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queryTables/queryTable1.xml" ContentType="application/vnd.openxmlformats-officedocument.spreadsheetml.queryTable+xml"/>
  <Override PartName="/xl/tables/table3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mc:AlternateContent xmlns:mc="http://schemas.openxmlformats.org/markup-compatibility/2006">
    <mc:Choice Requires="x15">
      <x15ac:absPath xmlns:x15ac="http://schemas.microsoft.com/office/spreadsheetml/2010/11/ac" url="C:\Users\Scien\Pictures\AL\Analysis\"/>
    </mc:Choice>
  </mc:AlternateContent>
  <xr:revisionPtr revIDLastSave="0" documentId="13_ncr:1_{617C1200-DF8E-4763-AEDA-C0490FBA36DC}" xr6:coauthVersionLast="43" xr6:coauthVersionMax="43" xr10:uidLastSave="{00000000-0000-0000-0000-000000000000}"/>
  <bookViews>
    <workbookView xWindow="-108" yWindow="-108" windowWidth="23256" windowHeight="12576" xr2:uid="{00000000-000D-0000-FFFF-FFFF00000000}"/>
  </bookViews>
  <sheets>
    <sheet name="Documentation (WIP)" sheetId="24" r:id="rId1"/>
    <sheet name="Documentation (Old)" sheetId="2" r:id="rId2"/>
    <sheet name="Non-CV" sheetId="11" r:id="rId3"/>
    <sheet name="Old CV Calculator" sheetId="19" state="hidden" r:id="rId4"/>
    <sheet name="BBV" sheetId="21" r:id="rId5"/>
    <sheet name="CV" sheetId="3" r:id="rId6"/>
    <sheet name="SS" sheetId="22" r:id="rId7"/>
    <sheet name="SSV" sheetId="26" r:id="rId8"/>
    <sheet name="AA" sheetId="23" r:id="rId9"/>
    <sheet name="Ship Stats" sheetId="17" state="hidden" r:id="rId10"/>
    <sheet name="Barrage" sheetId="25" state="hidden" r:id="rId11"/>
    <sheet name="Equipment Stats" sheetId="6" state="hidden" r:id="rId12"/>
  </sheets>
  <definedNames>
    <definedName name="AuxType1" localSheetId="3">AuxType[Type]</definedName>
    <definedName name="BB" localSheetId="3">BBTable[Name]</definedName>
    <definedName name="CA" localSheetId="3">CATable[Name]</definedName>
    <definedName name="CL" localSheetId="3">CLTable[Name]</definedName>
    <definedName name="DD" localSheetId="3">DDTable[Name]</definedName>
    <definedName name="Defense" localSheetId="3">DefenseTable[Name]</definedName>
    <definedName name="Destroyer" localSheetId="3">#REF!</definedName>
    <definedName name="EquipmentType" localSheetId="3">EquipType[Type]</definedName>
    <definedName name="ExternalData_1" localSheetId="11" hidden="1">'Equipment Stats'!$A$304:$E$311</definedName>
    <definedName name="FIDIB" localSheetId="3">FIDIBTable[Name]</definedName>
    <definedName name="TB" localSheetId="3">TBTable[Name]</definedName>
    <definedName name="TName" localSheetId="3">TORPTable[[#All],[Name]]</definedName>
    <definedName name="TORP" localSheetId="3">TORPTable[Name]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5" i="22" l="1"/>
  <c r="G259" i="25" l="1"/>
  <c r="G258" i="25"/>
  <c r="G257" i="25"/>
  <c r="G256" i="25"/>
  <c r="G255" i="25"/>
  <c r="H15" i="3"/>
  <c r="D15" i="3"/>
  <c r="G15" i="3"/>
  <c r="E15" i="3"/>
  <c r="F15" i="3"/>
  <c r="T11" i="26" l="1"/>
  <c r="R11" i="26"/>
  <c r="T10" i="26"/>
  <c r="R10" i="26"/>
  <c r="L10" i="26"/>
  <c r="R9" i="26"/>
  <c r="L9" i="26"/>
  <c r="L8" i="26"/>
  <c r="C4" i="26"/>
  <c r="C3" i="26" s="1"/>
  <c r="AC3" i="26"/>
  <c r="J3" i="26"/>
  <c r="D17" i="26"/>
  <c r="E16" i="26"/>
  <c r="H16" i="26"/>
  <c r="Y12" i="26"/>
  <c r="G18" i="26"/>
  <c r="F19" i="26"/>
  <c r="D13" i="26"/>
  <c r="G7" i="26"/>
  <c r="D10" i="26"/>
  <c r="E8" i="26"/>
  <c r="D7" i="26"/>
  <c r="D9" i="26"/>
  <c r="E20" i="26"/>
  <c r="F13" i="26"/>
  <c r="D15" i="26"/>
  <c r="E10" i="26"/>
  <c r="F18" i="26"/>
  <c r="G6" i="26"/>
  <c r="E6" i="26"/>
  <c r="D16" i="26"/>
  <c r="F7" i="26"/>
  <c r="Y13" i="26"/>
  <c r="E19" i="26"/>
  <c r="G10" i="26"/>
  <c r="H6" i="26"/>
  <c r="F20" i="26"/>
  <c r="F5" i="26"/>
  <c r="F15" i="26"/>
  <c r="G17" i="26"/>
  <c r="E12" i="26"/>
  <c r="H10" i="26"/>
  <c r="H20" i="26"/>
  <c r="D19" i="26"/>
  <c r="F9" i="26"/>
  <c r="H8" i="26"/>
  <c r="E13" i="26"/>
  <c r="G20" i="26"/>
  <c r="E7" i="26"/>
  <c r="F11" i="26"/>
  <c r="H5" i="26"/>
  <c r="G13" i="26"/>
  <c r="D5" i="26"/>
  <c r="G8" i="26"/>
  <c r="G19" i="26"/>
  <c r="D6" i="26"/>
  <c r="G12" i="26"/>
  <c r="G16" i="26"/>
  <c r="F12" i="26"/>
  <c r="G9" i="26"/>
  <c r="H15" i="26"/>
  <c r="G11" i="26"/>
  <c r="D11" i="26"/>
  <c r="H13" i="26"/>
  <c r="D20" i="26"/>
  <c r="E18" i="26"/>
  <c r="F17" i="26"/>
  <c r="Z4" i="26"/>
  <c r="G5" i="26"/>
  <c r="H9" i="26"/>
  <c r="H7" i="26"/>
  <c r="D8" i="26"/>
  <c r="E5" i="26"/>
  <c r="F16" i="26"/>
  <c r="F8" i="26"/>
  <c r="F6" i="26"/>
  <c r="H19" i="26"/>
  <c r="E11" i="26"/>
  <c r="E9" i="26"/>
  <c r="Z8" i="26"/>
  <c r="E15" i="26"/>
  <c r="E17" i="26"/>
  <c r="H18" i="26"/>
  <c r="C10" i="26"/>
  <c r="H11" i="26"/>
  <c r="D12" i="26"/>
  <c r="X4" i="26"/>
  <c r="H12" i="26"/>
  <c r="G15" i="26"/>
  <c r="F10" i="26"/>
  <c r="H17" i="26"/>
  <c r="Y4" i="26"/>
  <c r="D18" i="26"/>
  <c r="Z9" i="26" l="1"/>
  <c r="L7" i="26" s="1"/>
  <c r="AC4" i="26"/>
  <c r="C16" i="26"/>
  <c r="X7" i="26"/>
  <c r="C6" i="26"/>
  <c r="X6" i="26"/>
  <c r="X5" i="26"/>
  <c r="C8" i="26"/>
  <c r="Y7" i="26"/>
  <c r="B27" i="26"/>
  <c r="B28" i="26"/>
  <c r="C12" i="26"/>
  <c r="C9" i="26"/>
  <c r="C14" i="26"/>
  <c r="C11" i="26"/>
  <c r="C13" i="26"/>
  <c r="C17" i="26"/>
  <c r="Y6" i="26"/>
  <c r="C7" i="26"/>
  <c r="B29" i="26"/>
  <c r="C15" i="26"/>
  <c r="Y5" i="26"/>
  <c r="C5" i="26"/>
  <c r="B26" i="26"/>
  <c r="K28" i="26" l="1"/>
  <c r="K29" i="26"/>
  <c r="K27" i="26"/>
  <c r="K26" i="26"/>
  <c r="P28" i="26"/>
  <c r="P29" i="26"/>
  <c r="P27" i="26"/>
  <c r="P26" i="26"/>
  <c r="Y15" i="26"/>
  <c r="J28" i="26"/>
  <c r="I28" i="26"/>
  <c r="E28" i="26"/>
  <c r="N28" i="26"/>
  <c r="H28" i="26"/>
  <c r="O28" i="26"/>
  <c r="D28" i="26"/>
  <c r="G28" i="26"/>
  <c r="F28" i="26"/>
  <c r="Y19" i="26"/>
  <c r="Y20" i="26" s="1"/>
  <c r="Y17" i="26"/>
  <c r="Y18" i="26" s="1"/>
  <c r="Y10" i="26"/>
  <c r="Y11" i="26"/>
  <c r="E21" i="26"/>
  <c r="L22" i="26"/>
  <c r="O29" i="26"/>
  <c r="D29" i="26"/>
  <c r="N29" i="26"/>
  <c r="E29" i="26"/>
  <c r="J29" i="26"/>
  <c r="G29" i="26"/>
  <c r="F29" i="26"/>
  <c r="I29" i="26"/>
  <c r="H29" i="26"/>
  <c r="H27" i="26"/>
  <c r="G27" i="26"/>
  <c r="F27" i="26"/>
  <c r="D27" i="26"/>
  <c r="N27" i="26"/>
  <c r="J27" i="26"/>
  <c r="I27" i="26"/>
  <c r="E27" i="26"/>
  <c r="O27" i="26"/>
  <c r="F26" i="26"/>
  <c r="E26" i="26"/>
  <c r="G26" i="26"/>
  <c r="O26" i="26"/>
  <c r="H26" i="26"/>
  <c r="N26" i="26"/>
  <c r="J26" i="26"/>
  <c r="I26" i="26"/>
  <c r="C21" i="26"/>
  <c r="G21" i="26"/>
  <c r="AC6" i="26" s="1"/>
  <c r="AC7" i="26" s="1"/>
  <c r="Y8" i="26" l="1"/>
  <c r="V27" i="26" s="1"/>
  <c r="X8" i="26"/>
  <c r="T28" i="26" s="1"/>
  <c r="T38" i="26"/>
  <c r="T39" i="26" s="1"/>
  <c r="V38" i="26"/>
  <c r="V39" i="26" s="1"/>
  <c r="V36" i="26"/>
  <c r="V37" i="26" s="1"/>
  <c r="Z36" i="26"/>
  <c r="Z37" i="26" s="1"/>
  <c r="T36" i="26"/>
  <c r="X36" i="26"/>
  <c r="X37" i="26" s="1"/>
  <c r="X33" i="26"/>
  <c r="X35" i="26"/>
  <c r="X34" i="26"/>
  <c r="V33" i="26"/>
  <c r="V35" i="26"/>
  <c r="V34" i="26"/>
  <c r="Z33" i="26"/>
  <c r="Z35" i="26"/>
  <c r="Z34" i="26"/>
  <c r="X29" i="26"/>
  <c r="Z29" i="26" s="1"/>
  <c r="L11" i="26"/>
  <c r="P9" i="26"/>
  <c r="P10" i="26"/>
  <c r="P11" i="26"/>
  <c r="Y16" i="26"/>
  <c r="T37" i="26" l="1"/>
  <c r="AB37" i="26" s="1"/>
  <c r="AB36" i="26"/>
  <c r="T26" i="26"/>
  <c r="V28" i="26"/>
  <c r="V26" i="26"/>
  <c r="T30" i="26"/>
  <c r="V30" i="26"/>
  <c r="T27" i="26"/>
  <c r="G253" i="25"/>
  <c r="G254" i="25"/>
  <c r="G250" i="25"/>
  <c r="G251" i="25"/>
  <c r="G252" i="25"/>
  <c r="Z30" i="26" l="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U9" i="21"/>
  <c r="S9" i="21"/>
  <c r="S8" i="21"/>
  <c r="Q9" i="21"/>
  <c r="Q8" i="21"/>
  <c r="AA24" i="21"/>
  <c r="AA23" i="21"/>
  <c r="T33" i="26" l="1"/>
  <c r="AB33" i="26" s="1"/>
  <c r="R4" i="26" s="1"/>
  <c r="T35" i="26"/>
  <c r="AB35" i="26" s="1"/>
  <c r="R6" i="26" s="1"/>
  <c r="T34" i="26"/>
  <c r="AB34" i="26" s="1"/>
  <c r="R5" i="26" s="1"/>
  <c r="I19" i="11"/>
  <c r="U9" i="11"/>
  <c r="B286" i="6" l="1"/>
  <c r="C286" i="6"/>
  <c r="D286" i="6"/>
  <c r="B260" i="6"/>
  <c r="C260" i="6"/>
  <c r="D260" i="6"/>
  <c r="AE13" i="11"/>
  <c r="E5" i="22"/>
  <c r="I377" i="17" l="1"/>
  <c r="E5" i="11"/>
  <c r="Q2" i="23" l="1"/>
  <c r="C74" i="23"/>
  <c r="C73" i="23" s="1"/>
  <c r="C60" i="23"/>
  <c r="C59" i="23" s="1"/>
  <c r="C46" i="23"/>
  <c r="C45" i="23" s="1"/>
  <c r="C32" i="23"/>
  <c r="C31" i="23" s="1"/>
  <c r="C18" i="23"/>
  <c r="C17" i="23" s="1"/>
  <c r="G34" i="23"/>
  <c r="E52" i="23"/>
  <c r="D61" i="23"/>
  <c r="E51" i="23"/>
  <c r="D34" i="23"/>
  <c r="E39" i="23"/>
  <c r="E33" i="23"/>
  <c r="D63" i="23"/>
  <c r="G66" i="23"/>
  <c r="E64" i="23"/>
  <c r="F66" i="23"/>
  <c r="E24" i="23"/>
  <c r="G49" i="23"/>
  <c r="D66" i="23"/>
  <c r="D49" i="23"/>
  <c r="G52" i="23"/>
  <c r="G20" i="23"/>
  <c r="D62" i="23"/>
  <c r="D36" i="23"/>
  <c r="G24" i="23"/>
  <c r="E62" i="23"/>
  <c r="E25" i="23"/>
  <c r="G63" i="23"/>
  <c r="E75" i="23"/>
  <c r="D51" i="23"/>
  <c r="E36" i="23"/>
  <c r="D53" i="23"/>
  <c r="D21" i="23"/>
  <c r="G77" i="23"/>
  <c r="F64" i="23"/>
  <c r="D24" i="23"/>
  <c r="D22" i="23"/>
  <c r="G35" i="23"/>
  <c r="F36" i="23"/>
  <c r="E19" i="23"/>
  <c r="E35" i="23"/>
  <c r="D52" i="23"/>
  <c r="E22" i="23"/>
  <c r="G38" i="23"/>
  <c r="D38" i="23"/>
  <c r="F76" i="23"/>
  <c r="D25" i="23"/>
  <c r="F62" i="23"/>
  <c r="E77" i="23"/>
  <c r="D78" i="23"/>
  <c r="D79" i="23"/>
  <c r="E47" i="23"/>
  <c r="E21" i="23"/>
  <c r="E65" i="23"/>
  <c r="G22" i="23"/>
  <c r="F49" i="23"/>
  <c r="F52" i="23"/>
  <c r="D47" i="23"/>
  <c r="D23" i="23"/>
  <c r="G64" i="23"/>
  <c r="G78" i="23"/>
  <c r="E38" i="23"/>
  <c r="E61" i="23"/>
  <c r="E63" i="23"/>
  <c r="E53" i="23"/>
  <c r="F77" i="23"/>
  <c r="D39" i="23"/>
  <c r="E81" i="23"/>
  <c r="F50" i="23"/>
  <c r="F21" i="23"/>
  <c r="F63" i="23"/>
  <c r="F34" i="23"/>
  <c r="D33" i="23"/>
  <c r="D19" i="23"/>
  <c r="F78" i="23"/>
  <c r="G62" i="23"/>
  <c r="F48" i="23"/>
  <c r="D35" i="23"/>
  <c r="E79" i="23"/>
  <c r="D20" i="23"/>
  <c r="D50" i="23"/>
  <c r="E20" i="23"/>
  <c r="E80" i="23"/>
  <c r="E34" i="23"/>
  <c r="E66" i="23"/>
  <c r="D81" i="23"/>
  <c r="F38" i="23"/>
  <c r="D75" i="23"/>
  <c r="E67" i="23"/>
  <c r="F22" i="23"/>
  <c r="D77" i="23"/>
  <c r="E50" i="23"/>
  <c r="D37" i="23"/>
  <c r="F35" i="23"/>
  <c r="E78" i="23"/>
  <c r="E49" i="23"/>
  <c r="F24" i="23"/>
  <c r="F80" i="23"/>
  <c r="G48" i="23"/>
  <c r="G76" i="23"/>
  <c r="E23" i="23"/>
  <c r="F20" i="23"/>
  <c r="D65" i="23"/>
  <c r="G80" i="23"/>
  <c r="E48" i="23"/>
  <c r="G50" i="23"/>
  <c r="D64" i="23"/>
  <c r="D76" i="23"/>
  <c r="E76" i="23"/>
  <c r="D67" i="23"/>
  <c r="D48" i="23"/>
  <c r="G21" i="23"/>
  <c r="G36" i="23"/>
  <c r="E37" i="23"/>
  <c r="D80" i="23"/>
  <c r="C4" i="23" l="1"/>
  <c r="C3" i="23" s="1"/>
  <c r="E6" i="23"/>
  <c r="G6" i="23"/>
  <c r="C76" i="23"/>
  <c r="F8" i="23"/>
  <c r="E5" i="23"/>
  <c r="C33" i="23"/>
  <c r="E9" i="23"/>
  <c r="E7" i="23"/>
  <c r="E11" i="23"/>
  <c r="C49" i="23"/>
  <c r="C77" i="23"/>
  <c r="F7" i="23"/>
  <c r="C20" i="23"/>
  <c r="C75" i="23"/>
  <c r="D7" i="23"/>
  <c r="C22" i="23"/>
  <c r="E10" i="23"/>
  <c r="D6" i="23"/>
  <c r="D5" i="23"/>
  <c r="C63" i="23"/>
  <c r="G10" i="23"/>
  <c r="G7" i="23"/>
  <c r="C35" i="23"/>
  <c r="F6" i="23"/>
  <c r="C78" i="23"/>
  <c r="D8" i="23"/>
  <c r="C36" i="23"/>
  <c r="C19" i="23"/>
  <c r="C61" i="23"/>
  <c r="C21" i="23"/>
  <c r="C64" i="23"/>
  <c r="E8" i="23"/>
  <c r="C34" i="23"/>
  <c r="C47" i="23"/>
  <c r="C62" i="23"/>
  <c r="D10" i="23"/>
  <c r="C48" i="23"/>
  <c r="D11" i="23"/>
  <c r="F10" i="23"/>
  <c r="D9" i="23"/>
  <c r="G8" i="23"/>
  <c r="C50" i="23"/>
  <c r="K73" i="23" l="1"/>
  <c r="K59" i="23"/>
  <c r="K45" i="23"/>
  <c r="K31" i="23"/>
  <c r="K17" i="23"/>
  <c r="T11" i="22"/>
  <c r="T10" i="22"/>
  <c r="R11" i="22"/>
  <c r="R10" i="22"/>
  <c r="R9" i="22"/>
  <c r="J3" i="22"/>
  <c r="L10" i="22"/>
  <c r="L9" i="22"/>
  <c r="L8" i="22"/>
  <c r="F68" i="23"/>
  <c r="C7" i="23"/>
  <c r="F53" i="23"/>
  <c r="G23" i="23"/>
  <c r="G61" i="23"/>
  <c r="F8" i="22"/>
  <c r="G54" i="23"/>
  <c r="G8" i="22"/>
  <c r="G19" i="23"/>
  <c r="G67" i="23"/>
  <c r="D12" i="22"/>
  <c r="C5" i="23"/>
  <c r="G53" i="23"/>
  <c r="F26" i="23"/>
  <c r="G81" i="23"/>
  <c r="G47" i="23"/>
  <c r="C6" i="23"/>
  <c r="F75" i="23"/>
  <c r="G68" i="23"/>
  <c r="G33" i="23"/>
  <c r="H18" i="11"/>
  <c r="G37" i="23"/>
  <c r="F39" i="23"/>
  <c r="G82" i="23"/>
  <c r="C8" i="23"/>
  <c r="F23" i="23"/>
  <c r="G51" i="23"/>
  <c r="F79" i="23"/>
  <c r="G79" i="23"/>
  <c r="F37" i="23"/>
  <c r="F82" i="23"/>
  <c r="F81" i="23"/>
  <c r="F47" i="23"/>
  <c r="G25" i="23"/>
  <c r="G26" i="23"/>
  <c r="F54" i="23"/>
  <c r="F19" i="23"/>
  <c r="G39" i="23"/>
  <c r="F61" i="23"/>
  <c r="G40" i="23"/>
  <c r="F25" i="23"/>
  <c r="F51" i="23"/>
  <c r="F33" i="23"/>
  <c r="F67" i="23"/>
  <c r="F65" i="23"/>
  <c r="I18" i="11"/>
  <c r="G65" i="23"/>
  <c r="F40" i="23"/>
  <c r="G75" i="23"/>
  <c r="K74" i="23" l="1"/>
  <c r="K75" i="23"/>
  <c r="K60" i="23"/>
  <c r="K61" i="23"/>
  <c r="K46" i="23"/>
  <c r="K47" i="23"/>
  <c r="K33" i="23"/>
  <c r="K32" i="23"/>
  <c r="K18" i="23"/>
  <c r="K19" i="23"/>
  <c r="E55" i="23"/>
  <c r="E83" i="23"/>
  <c r="E69" i="23"/>
  <c r="E41" i="23"/>
  <c r="E27" i="23"/>
  <c r="C83" i="23"/>
  <c r="K83" i="23" s="1"/>
  <c r="C69" i="23"/>
  <c r="K69" i="23" s="1"/>
  <c r="C55" i="23"/>
  <c r="K55" i="23" s="1"/>
  <c r="C41" i="23"/>
  <c r="K41" i="23" s="1"/>
  <c r="C27" i="23"/>
  <c r="K27" i="23" s="1"/>
  <c r="K3" i="23"/>
  <c r="AC3" i="22"/>
  <c r="C4" i="22"/>
  <c r="G11" i="23"/>
  <c r="D7" i="22"/>
  <c r="F14" i="22"/>
  <c r="H7" i="22"/>
  <c r="H14" i="22"/>
  <c r="E9" i="22"/>
  <c r="E7" i="22"/>
  <c r="D15" i="22"/>
  <c r="E10" i="22"/>
  <c r="D10" i="22"/>
  <c r="F7" i="22"/>
  <c r="H8" i="22"/>
  <c r="Y12" i="22"/>
  <c r="G5" i="22"/>
  <c r="E15" i="22"/>
  <c r="F11" i="23"/>
  <c r="F5" i="23"/>
  <c r="E17" i="22"/>
  <c r="G16" i="22"/>
  <c r="G6" i="22"/>
  <c r="E18" i="22"/>
  <c r="D14" i="22"/>
  <c r="F5" i="22"/>
  <c r="G7" i="22"/>
  <c r="H16" i="22"/>
  <c r="H18" i="22"/>
  <c r="G12" i="22"/>
  <c r="E12" i="22"/>
  <c r="D19" i="22"/>
  <c r="F9" i="23"/>
  <c r="E11" i="22"/>
  <c r="G17" i="22"/>
  <c r="G18" i="22"/>
  <c r="G10" i="22"/>
  <c r="D6" i="22"/>
  <c r="G11" i="22"/>
  <c r="Z4" i="22"/>
  <c r="F17" i="22"/>
  <c r="D17" i="22"/>
  <c r="X4" i="22"/>
  <c r="Y4" i="22"/>
  <c r="G12" i="23"/>
  <c r="E16" i="22"/>
  <c r="H11" i="22"/>
  <c r="G15" i="22"/>
  <c r="F12" i="23"/>
  <c r="G9" i="22"/>
  <c r="H5" i="22"/>
  <c r="Y13" i="22"/>
  <c r="D16" i="22"/>
  <c r="E19" i="22"/>
  <c r="H17" i="22"/>
  <c r="F18" i="22"/>
  <c r="F9" i="22"/>
  <c r="G9" i="23"/>
  <c r="H15" i="22"/>
  <c r="F19" i="22"/>
  <c r="H6" i="22"/>
  <c r="F15" i="22"/>
  <c r="G14" i="22"/>
  <c r="H19" i="22"/>
  <c r="D11" i="22"/>
  <c r="F11" i="22"/>
  <c r="E6" i="22"/>
  <c r="D5" i="22"/>
  <c r="F16" i="22"/>
  <c r="F6" i="22"/>
  <c r="D18" i="22"/>
  <c r="D8" i="22"/>
  <c r="H12" i="22"/>
  <c r="H10" i="22"/>
  <c r="F10" i="22"/>
  <c r="E8" i="22"/>
  <c r="D9" i="22"/>
  <c r="F12" i="22"/>
  <c r="H9" i="22"/>
  <c r="G19" i="22"/>
  <c r="G5" i="23"/>
  <c r="E14" i="22"/>
  <c r="C3" i="22" l="1"/>
  <c r="K5" i="23"/>
  <c r="E13" i="23"/>
  <c r="N3" i="23" s="1"/>
  <c r="N2" i="23"/>
  <c r="K82" i="23"/>
  <c r="K68" i="23"/>
  <c r="K54" i="23"/>
  <c r="K40" i="23"/>
  <c r="K26" i="23"/>
  <c r="K4" i="23"/>
  <c r="C13" i="23"/>
  <c r="AC4" i="22"/>
  <c r="S10" i="11"/>
  <c r="S9" i="11"/>
  <c r="U8" i="11"/>
  <c r="S8" i="11"/>
  <c r="K3" i="11"/>
  <c r="X7" i="22"/>
  <c r="Y7" i="22"/>
  <c r="C16" i="22"/>
  <c r="Z5" i="22"/>
  <c r="B28" i="22"/>
  <c r="B25" i="22"/>
  <c r="C8" i="22"/>
  <c r="C5" i="22"/>
  <c r="C9" i="22"/>
  <c r="X6" i="22"/>
  <c r="Z6" i="22"/>
  <c r="C10" i="22"/>
  <c r="X5" i="22"/>
  <c r="C7" i="22"/>
  <c r="C6" i="22"/>
  <c r="Z7" i="22"/>
  <c r="B27" i="22"/>
  <c r="C14" i="22"/>
  <c r="C11" i="22"/>
  <c r="B26" i="22"/>
  <c r="C13" i="22"/>
  <c r="Y6" i="22"/>
  <c r="C15" i="22"/>
  <c r="C12" i="22"/>
  <c r="Y5" i="22"/>
  <c r="P27" i="22" l="1"/>
  <c r="P26" i="22"/>
  <c r="P28" i="22"/>
  <c r="P25" i="22"/>
  <c r="K25" i="22"/>
  <c r="K27" i="22"/>
  <c r="K26" i="22"/>
  <c r="K28" i="22"/>
  <c r="K12" i="23"/>
  <c r="K13" i="23"/>
  <c r="Y17" i="22"/>
  <c r="E25" i="22"/>
  <c r="J25" i="22"/>
  <c r="I25" i="22"/>
  <c r="O25" i="22"/>
  <c r="D25" i="22"/>
  <c r="N25" i="22"/>
  <c r="H25" i="22"/>
  <c r="G25" i="22"/>
  <c r="F25" i="22"/>
  <c r="O26" i="22"/>
  <c r="H26" i="22"/>
  <c r="D26" i="22"/>
  <c r="I26" i="22"/>
  <c r="N26" i="22"/>
  <c r="J26" i="22"/>
  <c r="E26" i="22"/>
  <c r="F26" i="22"/>
  <c r="G26" i="22"/>
  <c r="G20" i="22"/>
  <c r="AC6" i="22" s="1"/>
  <c r="AC7" i="22" s="1"/>
  <c r="N5" i="23"/>
  <c r="N4" i="23"/>
  <c r="Y10" i="22"/>
  <c r="Y19" i="22"/>
  <c r="Y20" i="22" s="1"/>
  <c r="Y15" i="22"/>
  <c r="Y11" i="22"/>
  <c r="L22" i="22"/>
  <c r="P11" i="22" s="1"/>
  <c r="C20" i="22"/>
  <c r="X28" i="22" s="1"/>
  <c r="E20" i="22"/>
  <c r="B285" i="6"/>
  <c r="Z5" i="26" s="1"/>
  <c r="C285" i="6"/>
  <c r="Z6" i="26" s="1"/>
  <c r="D285" i="6"/>
  <c r="Z7" i="26" s="1"/>
  <c r="Y8" i="22" l="1"/>
  <c r="V25" i="22" s="1"/>
  <c r="X8" i="22"/>
  <c r="T25" i="22" s="1"/>
  <c r="X27" i="26"/>
  <c r="Z27" i="26" s="1"/>
  <c r="L5" i="26" s="1"/>
  <c r="N5" i="26" s="1"/>
  <c r="P5" i="26" s="1"/>
  <c r="X26" i="26"/>
  <c r="Z26" i="26" s="1"/>
  <c r="L4" i="26" s="1"/>
  <c r="N4" i="26" s="1"/>
  <c r="P4" i="26" s="1"/>
  <c r="X28" i="26"/>
  <c r="Z28" i="26" s="1"/>
  <c r="L6" i="26" s="1"/>
  <c r="N6" i="26" s="1"/>
  <c r="P6" i="26" s="1"/>
  <c r="T35" i="22"/>
  <c r="T36" i="22" s="1"/>
  <c r="V35" i="22"/>
  <c r="V36" i="22" s="1"/>
  <c r="T32" i="22"/>
  <c r="V37" i="22"/>
  <c r="V38" i="22" s="1"/>
  <c r="Q3" i="23"/>
  <c r="Q4" i="23" s="1"/>
  <c r="F27" i="22"/>
  <c r="H27" i="22"/>
  <c r="N27" i="22"/>
  <c r="I27" i="22"/>
  <c r="G27" i="22"/>
  <c r="O27" i="22"/>
  <c r="J27" i="22"/>
  <c r="E27" i="22"/>
  <c r="D27" i="22"/>
  <c r="T37" i="22"/>
  <c r="T38" i="22" s="1"/>
  <c r="O28" i="22"/>
  <c r="N28" i="22"/>
  <c r="F28" i="22"/>
  <c r="E28" i="22"/>
  <c r="G28" i="22"/>
  <c r="H28" i="22"/>
  <c r="J28" i="22"/>
  <c r="I28" i="22"/>
  <c r="D28" i="22"/>
  <c r="L11" i="22"/>
  <c r="Z28" i="22"/>
  <c r="X27" i="22"/>
  <c r="X25" i="22"/>
  <c r="X26" i="22"/>
  <c r="V34" i="22"/>
  <c r="V32" i="22"/>
  <c r="V33" i="22"/>
  <c r="T34" i="22"/>
  <c r="T33" i="22"/>
  <c r="Y16" i="22"/>
  <c r="Y18" i="22"/>
  <c r="P9" i="22"/>
  <c r="P10" i="22"/>
  <c r="S9" i="3"/>
  <c r="S8" i="3"/>
  <c r="Q10" i="3"/>
  <c r="Q9" i="3"/>
  <c r="Q8" i="3"/>
  <c r="Z35" i="22" l="1"/>
  <c r="Z36" i="22" s="1"/>
  <c r="X35" i="22"/>
  <c r="X36" i="22" s="1"/>
  <c r="V29" i="22"/>
  <c r="T29" i="22"/>
  <c r="X33" i="22"/>
  <c r="X34" i="22"/>
  <c r="X32" i="22"/>
  <c r="Z32" i="22"/>
  <c r="Z33" i="22"/>
  <c r="Z34" i="22"/>
  <c r="Z25" i="22"/>
  <c r="V27" i="22"/>
  <c r="V26" i="22"/>
  <c r="T27" i="22"/>
  <c r="T26" i="22"/>
  <c r="D289" i="6"/>
  <c r="Z12" i="21" s="1"/>
  <c r="C289" i="6"/>
  <c r="Z11" i="21" s="1"/>
  <c r="B289" i="6"/>
  <c r="Z10" i="21" s="1"/>
  <c r="Y12" i="21"/>
  <c r="Y11" i="21"/>
  <c r="C4" i="21"/>
  <c r="C3" i="21" s="1"/>
  <c r="K3" i="21"/>
  <c r="Y10" i="21"/>
  <c r="F12" i="21"/>
  <c r="G8" i="21"/>
  <c r="E7" i="21"/>
  <c r="E12" i="21"/>
  <c r="G9" i="21"/>
  <c r="D12" i="21"/>
  <c r="G12" i="21"/>
  <c r="F13" i="21"/>
  <c r="D7" i="21"/>
  <c r="D11" i="21"/>
  <c r="E14" i="21"/>
  <c r="G17" i="21"/>
  <c r="G11" i="21"/>
  <c r="G7" i="21"/>
  <c r="E13" i="21"/>
  <c r="F7" i="21"/>
  <c r="G15" i="11"/>
  <c r="D9" i="21"/>
  <c r="B23" i="21"/>
  <c r="Y4" i="21"/>
  <c r="F15" i="21"/>
  <c r="F16" i="21"/>
  <c r="G16" i="21"/>
  <c r="D8" i="21"/>
  <c r="C13" i="21"/>
  <c r="F17" i="21"/>
  <c r="D14" i="21"/>
  <c r="B25" i="21"/>
  <c r="F9" i="21"/>
  <c r="B26" i="21"/>
  <c r="E8" i="21"/>
  <c r="B24" i="21"/>
  <c r="F8" i="21"/>
  <c r="D13" i="21"/>
  <c r="F14" i="21"/>
  <c r="F11" i="21"/>
  <c r="G15" i="21"/>
  <c r="G14" i="21"/>
  <c r="E9" i="21"/>
  <c r="E11" i="21"/>
  <c r="G13" i="21"/>
  <c r="F10" i="21"/>
  <c r="G10" i="11"/>
  <c r="AB34" i="22" l="1"/>
  <c r="AB33" i="22"/>
  <c r="AB32" i="22"/>
  <c r="AB35" i="22"/>
  <c r="AB36" i="22"/>
  <c r="Z29" i="22"/>
  <c r="G23" i="21"/>
  <c r="F23" i="21"/>
  <c r="H23" i="21"/>
  <c r="D23" i="21"/>
  <c r="J23" i="21"/>
  <c r="E23" i="21"/>
  <c r="P23" i="21"/>
  <c r="O23" i="21"/>
  <c r="I23" i="21"/>
  <c r="E26" i="21"/>
  <c r="D26" i="21"/>
  <c r="P26" i="21"/>
  <c r="I26" i="21"/>
  <c r="O26" i="21"/>
  <c r="H26" i="21"/>
  <c r="G26" i="21"/>
  <c r="J26" i="21"/>
  <c r="F26" i="21"/>
  <c r="O25" i="21"/>
  <c r="H25" i="21"/>
  <c r="I25" i="21"/>
  <c r="F25" i="21"/>
  <c r="E25" i="21"/>
  <c r="G25" i="21"/>
  <c r="D25" i="21"/>
  <c r="J25" i="21"/>
  <c r="P25" i="21"/>
  <c r="D24" i="21"/>
  <c r="O24" i="21"/>
  <c r="I24" i="21"/>
  <c r="P24" i="21"/>
  <c r="F24" i="21"/>
  <c r="E24" i="21"/>
  <c r="G24" i="21"/>
  <c r="J24" i="21"/>
  <c r="H24" i="21"/>
  <c r="Z27" i="22"/>
  <c r="Z26" i="22"/>
  <c r="AA15" i="21"/>
  <c r="M19" i="21"/>
  <c r="Y6" i="21"/>
  <c r="C10" i="21"/>
  <c r="Y7" i="21"/>
  <c r="C7" i="21"/>
  <c r="C9" i="21"/>
  <c r="F5" i="21"/>
  <c r="H5" i="21"/>
  <c r="G6" i="21"/>
  <c r="C8" i="21"/>
  <c r="G10" i="21"/>
  <c r="G5" i="21"/>
  <c r="F6" i="21"/>
  <c r="C12" i="21"/>
  <c r="C14" i="21"/>
  <c r="C11" i="21"/>
  <c r="Y5" i="21"/>
  <c r="R5" i="22" l="1"/>
  <c r="L5" i="22" s="1"/>
  <c r="R6" i="22"/>
  <c r="L6" i="22" s="1"/>
  <c r="R4" i="22"/>
  <c r="L4" i="22" s="1"/>
  <c r="N4" i="22" s="1"/>
  <c r="P4" i="22" s="1"/>
  <c r="Z13" i="21"/>
  <c r="Y13" i="21"/>
  <c r="D299" i="6"/>
  <c r="D300" i="6"/>
  <c r="D296" i="6"/>
  <c r="D292" i="6"/>
  <c r="D295" i="6"/>
  <c r="D294" i="6"/>
  <c r="D297" i="6"/>
  <c r="D298" i="6"/>
  <c r="D293" i="6"/>
  <c r="D302" i="6"/>
  <c r="D301" i="6"/>
  <c r="C299" i="6"/>
  <c r="C300" i="6"/>
  <c r="C296" i="6"/>
  <c r="C292" i="6"/>
  <c r="C295" i="6"/>
  <c r="C294" i="6"/>
  <c r="C297" i="6"/>
  <c r="C298" i="6"/>
  <c r="C293" i="6"/>
  <c r="C302" i="6"/>
  <c r="C301" i="6"/>
  <c r="B299" i="6"/>
  <c r="B300" i="6"/>
  <c r="B296" i="6"/>
  <c r="B292" i="6"/>
  <c r="B295" i="6"/>
  <c r="B294" i="6"/>
  <c r="B297" i="6"/>
  <c r="B298" i="6"/>
  <c r="B293" i="6"/>
  <c r="B302" i="6"/>
  <c r="B301" i="6"/>
  <c r="D270" i="6"/>
  <c r="D271" i="6"/>
  <c r="D272" i="6"/>
  <c r="D287" i="6"/>
  <c r="AA9" i="3" s="1"/>
  <c r="D273" i="6"/>
  <c r="D288" i="6"/>
  <c r="D282" i="6"/>
  <c r="D284" i="6"/>
  <c r="D283" i="6"/>
  <c r="D281" i="6"/>
  <c r="D261" i="6"/>
  <c r="D262" i="6"/>
  <c r="D263" i="6"/>
  <c r="D264" i="6"/>
  <c r="D266" i="6"/>
  <c r="D278" i="6"/>
  <c r="D280" i="6"/>
  <c r="D277" i="6"/>
  <c r="D268" i="6"/>
  <c r="D279" i="6"/>
  <c r="AA12" i="21" s="1"/>
  <c r="D267" i="6"/>
  <c r="D275" i="6"/>
  <c r="D274" i="6"/>
  <c r="D265" i="6"/>
  <c r="D269" i="6"/>
  <c r="D276" i="6"/>
  <c r="C270" i="6"/>
  <c r="C271" i="6"/>
  <c r="C272" i="6"/>
  <c r="C287" i="6"/>
  <c r="AA8" i="3" s="1"/>
  <c r="C273" i="6"/>
  <c r="C288" i="6"/>
  <c r="C282" i="6"/>
  <c r="C284" i="6"/>
  <c r="C283" i="6"/>
  <c r="C281" i="6"/>
  <c r="C261" i="6"/>
  <c r="C262" i="6"/>
  <c r="C263" i="6"/>
  <c r="C264" i="6"/>
  <c r="C266" i="6"/>
  <c r="C278" i="6"/>
  <c r="C280" i="6"/>
  <c r="C277" i="6"/>
  <c r="C268" i="6"/>
  <c r="C279" i="6"/>
  <c r="AA11" i="21" s="1"/>
  <c r="C267" i="6"/>
  <c r="C275" i="6"/>
  <c r="C274" i="6"/>
  <c r="C265" i="6"/>
  <c r="C269" i="6"/>
  <c r="C276" i="6"/>
  <c r="B270" i="6"/>
  <c r="B271" i="6"/>
  <c r="B272" i="6"/>
  <c r="B287" i="6"/>
  <c r="AA7" i="3" s="1"/>
  <c r="B273" i="6"/>
  <c r="B288" i="6"/>
  <c r="B282" i="6"/>
  <c r="B284" i="6"/>
  <c r="B283" i="6"/>
  <c r="B281" i="6"/>
  <c r="B261" i="6"/>
  <c r="B262" i="6"/>
  <c r="B263" i="6"/>
  <c r="B264" i="6"/>
  <c r="B266" i="6"/>
  <c r="B278" i="6"/>
  <c r="B280" i="6"/>
  <c r="B277" i="6"/>
  <c r="B268" i="6"/>
  <c r="B279" i="6"/>
  <c r="AA10" i="21" s="1"/>
  <c r="B267" i="6"/>
  <c r="B275" i="6"/>
  <c r="B274" i="6"/>
  <c r="B265" i="6"/>
  <c r="B269" i="6"/>
  <c r="B276" i="6"/>
  <c r="C4" i="19"/>
  <c r="C3" i="19" s="1"/>
  <c r="R3" i="19"/>
  <c r="C4" i="3"/>
  <c r="H14" i="21"/>
  <c r="G13" i="19"/>
  <c r="G12" i="19"/>
  <c r="J20" i="19"/>
  <c r="H12" i="21"/>
  <c r="E19" i="19"/>
  <c r="G7" i="19"/>
  <c r="F14" i="19"/>
  <c r="D8" i="19"/>
  <c r="E8" i="19"/>
  <c r="I19" i="19"/>
  <c r="H17" i="21"/>
  <c r="H13" i="19"/>
  <c r="E18" i="19"/>
  <c r="H8" i="19"/>
  <c r="F11" i="19"/>
  <c r="G18" i="19"/>
  <c r="F10" i="19"/>
  <c r="H7" i="19"/>
  <c r="C20" i="19"/>
  <c r="D7" i="19"/>
  <c r="G8" i="19"/>
  <c r="H6" i="21"/>
  <c r="G19" i="19"/>
  <c r="H12" i="19"/>
  <c r="E12" i="19"/>
  <c r="H9" i="21"/>
  <c r="G14" i="19"/>
  <c r="E7" i="19"/>
  <c r="F19" i="19"/>
  <c r="H10" i="21"/>
  <c r="I18" i="19"/>
  <c r="E20" i="19"/>
  <c r="J19" i="19"/>
  <c r="D19" i="19"/>
  <c r="H8" i="21"/>
  <c r="H11" i="21"/>
  <c r="F8" i="19"/>
  <c r="F18" i="19"/>
  <c r="F20" i="19"/>
  <c r="I20" i="19"/>
  <c r="D12" i="19"/>
  <c r="E11" i="19"/>
  <c r="J18" i="19"/>
  <c r="H7" i="21"/>
  <c r="F13" i="19"/>
  <c r="E10" i="19"/>
  <c r="F12" i="19"/>
  <c r="D13" i="19"/>
  <c r="H14" i="19"/>
  <c r="H10" i="19"/>
  <c r="D18" i="19"/>
  <c r="G20" i="19"/>
  <c r="C19" i="19"/>
  <c r="H15" i="21"/>
  <c r="D11" i="19"/>
  <c r="E13" i="19"/>
  <c r="H13" i="21"/>
  <c r="C18" i="19"/>
  <c r="H11" i="19"/>
  <c r="D20" i="19"/>
  <c r="G10" i="19"/>
  <c r="F7" i="19"/>
  <c r="G11" i="19"/>
  <c r="D10" i="19"/>
  <c r="H16" i="21"/>
  <c r="C3" i="3" l="1"/>
  <c r="N6" i="22"/>
  <c r="P6" i="22" s="1"/>
  <c r="N5" i="22"/>
  <c r="P5" i="22" s="1"/>
  <c r="AA21" i="21"/>
  <c r="AA22" i="21"/>
  <c r="AB7" i="3"/>
  <c r="AB8" i="3"/>
  <c r="AB9" i="3"/>
  <c r="AA13" i="21"/>
  <c r="AA17" i="21"/>
  <c r="M9" i="21" s="1"/>
  <c r="C18" i="21"/>
  <c r="AA27" i="21"/>
  <c r="AA28" i="21" s="1"/>
  <c r="AA20" i="21"/>
  <c r="E18" i="21"/>
  <c r="AA30" i="21"/>
  <c r="AA31" i="21" s="1"/>
  <c r="AA25" i="21"/>
  <c r="AA18" i="21"/>
  <c r="P9" i="21" s="1"/>
  <c r="AC7" i="3"/>
  <c r="AC8" i="3"/>
  <c r="AC9" i="3"/>
  <c r="L12" i="19"/>
  <c r="E31" i="19"/>
  <c r="E32" i="19" s="1"/>
  <c r="D4" i="11"/>
  <c r="D3" i="11" s="1"/>
  <c r="C25" i="11"/>
  <c r="F6" i="19"/>
  <c r="H6" i="19"/>
  <c r="G9" i="19"/>
  <c r="B23" i="3"/>
  <c r="C13" i="3"/>
  <c r="B25" i="3"/>
  <c r="B26" i="3"/>
  <c r="F9" i="19"/>
  <c r="D10" i="11"/>
  <c r="C7" i="19"/>
  <c r="C26" i="11"/>
  <c r="H5" i="19"/>
  <c r="F5" i="19"/>
  <c r="C23" i="11"/>
  <c r="C10" i="19"/>
  <c r="B24" i="3"/>
  <c r="G5" i="3"/>
  <c r="C11" i="19"/>
  <c r="G5" i="19"/>
  <c r="C8" i="19"/>
  <c r="C15" i="3"/>
  <c r="C24" i="11"/>
  <c r="H9" i="19"/>
  <c r="D12" i="11"/>
  <c r="G6" i="19"/>
  <c r="C12" i="3"/>
  <c r="P26" i="11" l="1"/>
  <c r="P25" i="11"/>
  <c r="P24" i="11"/>
  <c r="P23" i="11"/>
  <c r="P24" i="3"/>
  <c r="H24" i="3"/>
  <c r="I24" i="3"/>
  <c r="M24" i="3"/>
  <c r="K24" i="3"/>
  <c r="F24" i="3"/>
  <c r="J24" i="3"/>
  <c r="G24" i="3"/>
  <c r="E24" i="3"/>
  <c r="L24" i="3"/>
  <c r="D24" i="3"/>
  <c r="H26" i="3"/>
  <c r="P26" i="3"/>
  <c r="M26" i="3"/>
  <c r="K26" i="3"/>
  <c r="J26" i="3"/>
  <c r="G26" i="3"/>
  <c r="I26" i="3"/>
  <c r="F26" i="3"/>
  <c r="L26" i="3"/>
  <c r="E26" i="3"/>
  <c r="D26" i="3"/>
  <c r="H25" i="3"/>
  <c r="M25" i="3"/>
  <c r="K25" i="3"/>
  <c r="P25" i="3"/>
  <c r="G25" i="3"/>
  <c r="J25" i="3"/>
  <c r="I25" i="3"/>
  <c r="F25" i="3"/>
  <c r="L25" i="3"/>
  <c r="E25" i="3"/>
  <c r="D25" i="3"/>
  <c r="L23" i="3"/>
  <c r="F23" i="3"/>
  <c r="J23" i="3"/>
  <c r="G23" i="3"/>
  <c r="P23" i="3"/>
  <c r="H23" i="3"/>
  <c r="M23" i="3"/>
  <c r="K23" i="3"/>
  <c r="E23" i="3"/>
  <c r="I23" i="3"/>
  <c r="D23" i="3"/>
  <c r="O26" i="11"/>
  <c r="O25" i="11"/>
  <c r="O24" i="11"/>
  <c r="O23" i="11"/>
  <c r="N23" i="11"/>
  <c r="N26" i="11"/>
  <c r="N25" i="11"/>
  <c r="N24" i="11"/>
  <c r="K26" i="11"/>
  <c r="K25" i="11"/>
  <c r="K24" i="11"/>
  <c r="K23" i="11"/>
  <c r="J26" i="11"/>
  <c r="H26" i="11"/>
  <c r="I26" i="11"/>
  <c r="H25" i="11"/>
  <c r="I25" i="11"/>
  <c r="J25" i="11"/>
  <c r="H24" i="11"/>
  <c r="I24" i="11"/>
  <c r="J24" i="11"/>
  <c r="J23" i="11"/>
  <c r="I23" i="11"/>
  <c r="H23" i="11"/>
  <c r="G26" i="11"/>
  <c r="G25" i="11"/>
  <c r="G24" i="11"/>
  <c r="G23" i="11"/>
  <c r="F26" i="11"/>
  <c r="F25" i="11"/>
  <c r="F24" i="11"/>
  <c r="F23" i="11"/>
  <c r="E26" i="11"/>
  <c r="E25" i="11"/>
  <c r="E24" i="11"/>
  <c r="E23" i="11"/>
  <c r="D31" i="21"/>
  <c r="D37" i="21" s="1"/>
  <c r="D29" i="21"/>
  <c r="D35" i="21" s="1"/>
  <c r="D30" i="21"/>
  <c r="D36" i="21" s="1"/>
  <c r="AA26" i="21"/>
  <c r="M8" i="21" s="1"/>
  <c r="H31" i="21"/>
  <c r="H37" i="21" s="1"/>
  <c r="F31" i="21"/>
  <c r="F37" i="21" s="1"/>
  <c r="Q6" i="21" s="1"/>
  <c r="H30" i="21"/>
  <c r="H36" i="21" s="1"/>
  <c r="F30" i="21"/>
  <c r="F36" i="21" s="1"/>
  <c r="Q5" i="21" s="1"/>
  <c r="F29" i="21"/>
  <c r="F35" i="21" s="1"/>
  <c r="Q4" i="21" s="1"/>
  <c r="H29" i="21"/>
  <c r="H35" i="21" s="1"/>
  <c r="G18" i="21"/>
  <c r="P8" i="21" s="1"/>
  <c r="Q30" i="21"/>
  <c r="Q31" i="21"/>
  <c r="O31" i="21"/>
  <c r="Q29" i="21"/>
  <c r="O29" i="21"/>
  <c r="O30" i="21"/>
  <c r="M31" i="21"/>
  <c r="M29" i="21"/>
  <c r="M30" i="21"/>
  <c r="K30" i="21"/>
  <c r="K31" i="21"/>
  <c r="K29" i="21"/>
  <c r="D32" i="21"/>
  <c r="D38" i="21" s="1"/>
  <c r="K35" i="21"/>
  <c r="K39" i="21" s="1"/>
  <c r="Q35" i="21"/>
  <c r="Q39" i="21" s="1"/>
  <c r="M35" i="21"/>
  <c r="M39" i="21" s="1"/>
  <c r="O35" i="21"/>
  <c r="O39" i="21" s="1"/>
  <c r="K34" i="21"/>
  <c r="K38" i="21" s="1"/>
  <c r="M34" i="21"/>
  <c r="M38" i="21" s="1"/>
  <c r="O34" i="21"/>
  <c r="O38" i="21" s="1"/>
  <c r="Q34" i="21"/>
  <c r="Q38" i="21" s="1"/>
  <c r="L8" i="19"/>
  <c r="T9" i="19" s="1"/>
  <c r="D28" i="19"/>
  <c r="L3" i="19"/>
  <c r="I31" i="19"/>
  <c r="I32" i="19" s="1"/>
  <c r="AE8" i="11"/>
  <c r="F8" i="11"/>
  <c r="G11" i="11"/>
  <c r="H11" i="3"/>
  <c r="D11" i="3"/>
  <c r="H7" i="3"/>
  <c r="H8" i="11"/>
  <c r="E12" i="3"/>
  <c r="H8" i="3"/>
  <c r="H13" i="3"/>
  <c r="E8" i="3"/>
  <c r="F14" i="3"/>
  <c r="E11" i="3"/>
  <c r="G17" i="11"/>
  <c r="H14" i="3"/>
  <c r="G8" i="11"/>
  <c r="E13" i="3"/>
  <c r="G8" i="3"/>
  <c r="G13" i="11"/>
  <c r="F12" i="3"/>
  <c r="E14" i="11"/>
  <c r="H10" i="3"/>
  <c r="D10" i="3"/>
  <c r="G14" i="11"/>
  <c r="F7" i="3"/>
  <c r="D13" i="3"/>
  <c r="F10" i="3"/>
  <c r="D12" i="3"/>
  <c r="G10" i="3"/>
  <c r="G6" i="11"/>
  <c r="G9" i="11"/>
  <c r="F12" i="11"/>
  <c r="G7" i="3"/>
  <c r="G5" i="11"/>
  <c r="G7" i="11"/>
  <c r="F13" i="3"/>
  <c r="G11" i="3"/>
  <c r="G13" i="3"/>
  <c r="F8" i="3"/>
  <c r="G12" i="11"/>
  <c r="D8" i="3"/>
  <c r="E10" i="3"/>
  <c r="E7" i="11"/>
  <c r="I8" i="11"/>
  <c r="E8" i="11"/>
  <c r="H12" i="3"/>
  <c r="F11" i="3"/>
  <c r="D7" i="3"/>
  <c r="G16" i="11"/>
  <c r="G14" i="3"/>
  <c r="E7" i="3"/>
  <c r="G12" i="3"/>
  <c r="AC20" i="3" l="1"/>
  <c r="AC14" i="3"/>
  <c r="AC15" i="3" s="1"/>
  <c r="O4" i="21"/>
  <c r="O5" i="21"/>
  <c r="O6" i="21"/>
  <c r="M5" i="21"/>
  <c r="M4" i="21"/>
  <c r="M6" i="21"/>
  <c r="S6" i="21"/>
  <c r="S5" i="21"/>
  <c r="S4" i="21"/>
  <c r="G66" i="19"/>
  <c r="C64" i="19"/>
  <c r="N18" i="19" s="1"/>
  <c r="E60" i="19"/>
  <c r="R33" i="19"/>
  <c r="R37" i="19" s="1"/>
  <c r="T30" i="19"/>
  <c r="C61" i="19"/>
  <c r="E66" i="19"/>
  <c r="P20" i="19" s="1"/>
  <c r="P25" i="19" s="1"/>
  <c r="G62" i="19"/>
  <c r="R20" i="19" s="1"/>
  <c r="R25" i="19" s="1"/>
  <c r="C60" i="19"/>
  <c r="Q33" i="19"/>
  <c r="Q37" i="19" s="1"/>
  <c r="R30" i="19"/>
  <c r="T28" i="19"/>
  <c r="C66" i="19"/>
  <c r="N20" i="19" s="1"/>
  <c r="N25" i="19" s="1"/>
  <c r="E62" i="19"/>
  <c r="P33" i="19"/>
  <c r="P37" i="19" s="1"/>
  <c r="P30" i="19"/>
  <c r="R28" i="19"/>
  <c r="G65" i="19"/>
  <c r="C62" i="19"/>
  <c r="O33" i="19"/>
  <c r="O37" i="19" s="1"/>
  <c r="N30" i="19"/>
  <c r="P28" i="19"/>
  <c r="E65" i="19"/>
  <c r="P19" i="19" s="1"/>
  <c r="P24" i="19" s="1"/>
  <c r="G61" i="19"/>
  <c r="R19" i="19" s="1"/>
  <c r="R24" i="19" s="1"/>
  <c r="T29" i="19"/>
  <c r="N28" i="19"/>
  <c r="G64" i="19"/>
  <c r="P29" i="19"/>
  <c r="C65" i="19"/>
  <c r="N19" i="19" s="1"/>
  <c r="N24" i="19" s="1"/>
  <c r="E61" i="19"/>
  <c r="R29" i="19"/>
  <c r="E64" i="19"/>
  <c r="P18" i="19" s="1"/>
  <c r="G60" i="19"/>
  <c r="R18" i="19" s="1"/>
  <c r="R23" i="19" s="1"/>
  <c r="O34" i="19"/>
  <c r="O38" i="19" s="1"/>
  <c r="N29" i="19"/>
  <c r="D29" i="19"/>
  <c r="T8" i="19" s="1"/>
  <c r="C10" i="3"/>
  <c r="C8" i="3"/>
  <c r="F6" i="3"/>
  <c r="C11" i="3"/>
  <c r="C7" i="3"/>
  <c r="F5" i="3"/>
  <c r="D13" i="11"/>
  <c r="AA10" i="3" l="1"/>
  <c r="AA3" i="3"/>
  <c r="N23" i="19"/>
  <c r="P23" i="19"/>
  <c r="T6" i="19"/>
  <c r="T5" i="19"/>
  <c r="V6" i="19"/>
  <c r="V5" i="19"/>
  <c r="AC17" i="3"/>
  <c r="AC18" i="3" s="1"/>
  <c r="H19" i="11"/>
  <c r="I6" i="11"/>
  <c r="E12" i="11"/>
  <c r="E9" i="11"/>
  <c r="I7" i="11"/>
  <c r="H5" i="11"/>
  <c r="H6" i="3"/>
  <c r="D14" i="11"/>
  <c r="I9" i="11"/>
  <c r="AD4" i="11"/>
  <c r="H10" i="11"/>
  <c r="F10" i="11"/>
  <c r="D8" i="11"/>
  <c r="F13" i="11"/>
  <c r="E13" i="11"/>
  <c r="H14" i="11"/>
  <c r="F17" i="11"/>
  <c r="H9" i="3"/>
  <c r="E16" i="11"/>
  <c r="I13" i="11"/>
  <c r="E17" i="11"/>
  <c r="H16" i="11"/>
  <c r="F6" i="11"/>
  <c r="E6" i="11"/>
  <c r="F15" i="11"/>
  <c r="I5" i="11"/>
  <c r="F9" i="3"/>
  <c r="H7" i="11"/>
  <c r="H12" i="11"/>
  <c r="I14" i="11"/>
  <c r="F16" i="11"/>
  <c r="F5" i="11"/>
  <c r="E11" i="11"/>
  <c r="F7" i="11"/>
  <c r="H15" i="11"/>
  <c r="I17" i="11"/>
  <c r="H9" i="11"/>
  <c r="H13" i="11"/>
  <c r="H17" i="11"/>
  <c r="H5" i="3"/>
  <c r="H11" i="11"/>
  <c r="AE4" i="11"/>
  <c r="G9" i="3"/>
  <c r="G6" i="3"/>
  <c r="E10" i="11"/>
  <c r="F9" i="11"/>
  <c r="F11" i="11"/>
  <c r="H6" i="11"/>
  <c r="F14" i="11"/>
  <c r="I16" i="11"/>
  <c r="AE14" i="11"/>
  <c r="E15" i="11"/>
  <c r="I15" i="11"/>
  <c r="D11" i="11"/>
  <c r="I10" i="11"/>
  <c r="I11" i="11"/>
  <c r="I12" i="11"/>
  <c r="L14" i="3" l="1"/>
  <c r="AE20" i="11"/>
  <c r="AE16" i="11" s="1"/>
  <c r="AE19" i="11"/>
  <c r="AE17" i="11" s="1"/>
  <c r="Z38" i="3"/>
  <c r="Z39" i="3"/>
  <c r="X38" i="3"/>
  <c r="X39" i="3"/>
  <c r="V38" i="3"/>
  <c r="V39" i="3"/>
  <c r="T38" i="3"/>
  <c r="T39" i="3"/>
  <c r="X25" i="3"/>
  <c r="X24" i="3"/>
  <c r="X23" i="3"/>
  <c r="V25" i="3"/>
  <c r="V24" i="3"/>
  <c r="V23" i="3"/>
  <c r="T25" i="3"/>
  <c r="T24" i="3"/>
  <c r="T23" i="3"/>
  <c r="AE11" i="11"/>
  <c r="AE18" i="11"/>
  <c r="AE15" i="11"/>
  <c r="AE9" i="11"/>
  <c r="AC10" i="3"/>
  <c r="AB10" i="3"/>
  <c r="V4" i="19"/>
  <c r="T4" i="19"/>
  <c r="D20" i="11"/>
  <c r="U20" i="11" s="1"/>
  <c r="AE25" i="11"/>
  <c r="AE26" i="11" s="1"/>
  <c r="AE6" i="11"/>
  <c r="AD7" i="11"/>
  <c r="AE7" i="11"/>
  <c r="AE5" i="11"/>
  <c r="AD5" i="11"/>
  <c r="AD6" i="11"/>
  <c r="T33" i="3" l="1"/>
  <c r="O8" i="3"/>
  <c r="Z35" i="3"/>
  <c r="Z34" i="3"/>
  <c r="Z33" i="3"/>
  <c r="X33" i="3"/>
  <c r="X34" i="3"/>
  <c r="X35" i="3"/>
  <c r="V34" i="3"/>
  <c r="V35" i="3"/>
  <c r="V33" i="3"/>
  <c r="T35" i="3"/>
  <c r="T34" i="3"/>
  <c r="T42" i="3"/>
  <c r="X43" i="3"/>
  <c r="Z43" i="3"/>
  <c r="V43" i="3"/>
  <c r="Q9" i="11"/>
  <c r="T43" i="3"/>
  <c r="AA4" i="3"/>
  <c r="K9" i="3" s="1"/>
  <c r="O9" i="3"/>
  <c r="AC12" i="3"/>
  <c r="AC13" i="3" s="1"/>
  <c r="K10" i="3"/>
  <c r="O10" i="3"/>
  <c r="R4" i="3" s="1"/>
  <c r="J3" i="3"/>
  <c r="V6" i="3" l="1"/>
  <c r="V5" i="3"/>
  <c r="V4" i="3"/>
  <c r="T6" i="3"/>
  <c r="T5" i="3"/>
  <c r="T4" i="3"/>
  <c r="R6" i="3"/>
  <c r="R5" i="3"/>
  <c r="T29" i="3"/>
  <c r="T30" i="3"/>
  <c r="T28" i="3"/>
  <c r="X29" i="3"/>
  <c r="X30" i="3"/>
  <c r="X28" i="3"/>
  <c r="V30" i="3"/>
  <c r="V29" i="3"/>
  <c r="V28" i="3"/>
  <c r="K8" i="3"/>
  <c r="X42" i="3"/>
  <c r="Z42" i="3"/>
  <c r="V42" i="3"/>
  <c r="P4" i="3" l="1"/>
  <c r="P5" i="3"/>
  <c r="P6" i="3"/>
  <c r="L4" i="3"/>
  <c r="N6" i="3"/>
  <c r="N5" i="3"/>
  <c r="N4" i="3"/>
  <c r="L6" i="3"/>
  <c r="L5" i="3"/>
  <c r="D9" i="11"/>
  <c r="D7" i="11"/>
  <c r="D5" i="11"/>
  <c r="AE27" i="11" l="1"/>
  <c r="AE28" i="11" s="1"/>
  <c r="Q20" i="11"/>
  <c r="AE30" i="11" s="1"/>
  <c r="D19" i="11"/>
  <c r="AE23" i="11"/>
  <c r="D6" i="11"/>
  <c r="F30" i="11" l="1"/>
  <c r="X5" i="11" s="1"/>
  <c r="M9" i="11"/>
  <c r="Q10" i="11"/>
  <c r="M10" i="11"/>
  <c r="D18" i="11"/>
  <c r="D31" i="11" l="1"/>
  <c r="V6" i="11" s="1"/>
  <c r="D29" i="11"/>
  <c r="V4" i="11" s="1"/>
  <c r="F29" i="11"/>
  <c r="X4" i="11" s="1"/>
  <c r="F31" i="11"/>
  <c r="X6" i="11" s="1"/>
  <c r="D30" i="11"/>
  <c r="V5" i="11" s="1"/>
  <c r="O37" i="11"/>
  <c r="O35" i="11"/>
  <c r="O36" i="11"/>
  <c r="M36" i="11"/>
  <c r="M37" i="11"/>
  <c r="K37" i="11"/>
  <c r="M35" i="11"/>
  <c r="K35" i="11"/>
  <c r="K36" i="11"/>
  <c r="I38" i="11"/>
  <c r="I39" i="11" s="1"/>
  <c r="I36" i="11"/>
  <c r="I37" i="11"/>
  <c r="T31" i="11"/>
  <c r="I35" i="11"/>
  <c r="T29" i="11"/>
  <c r="T30" i="11"/>
  <c r="R30" i="11"/>
  <c r="R31" i="11"/>
  <c r="P31" i="11"/>
  <c r="R29" i="11"/>
  <c r="P29" i="11"/>
  <c r="P30" i="11"/>
  <c r="N30" i="11"/>
  <c r="N31" i="11"/>
  <c r="N29" i="11"/>
  <c r="K30" i="11"/>
  <c r="D32" i="11"/>
  <c r="M38" i="11"/>
  <c r="M39" i="11" s="1"/>
  <c r="O38" i="11"/>
  <c r="O39" i="11" s="1"/>
  <c r="K38" i="11"/>
  <c r="K39" i="11" s="1"/>
  <c r="AE24" i="11"/>
  <c r="M8" i="11" s="1"/>
  <c r="Z4" i="11" l="1"/>
  <c r="T4" i="11" s="1"/>
  <c r="Z6" i="11"/>
  <c r="T6" i="11" s="1"/>
  <c r="Z5" i="11"/>
  <c r="T5" i="11" s="1"/>
  <c r="K31" i="11"/>
  <c r="K29" i="11"/>
  <c r="H31" i="11"/>
  <c r="P6" i="11" s="1"/>
  <c r="H30" i="11"/>
  <c r="P5" i="11" s="1"/>
  <c r="H29" i="11"/>
  <c r="P4" i="11" s="1"/>
  <c r="D37" i="11"/>
  <c r="D36" i="11"/>
  <c r="D35" i="11"/>
  <c r="F36" i="11"/>
  <c r="F37" i="11"/>
  <c r="F35" i="11"/>
  <c r="R6" i="11"/>
  <c r="R5" i="11"/>
  <c r="R4" i="11"/>
  <c r="D38" i="11"/>
  <c r="M4" i="11" l="1"/>
  <c r="N6" i="11"/>
  <c r="N5" i="11"/>
  <c r="N4" i="11"/>
  <c r="M6" i="11"/>
  <c r="M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<sst xmlns="http://schemas.openxmlformats.org/spreadsheetml/2006/main" count="8710" uniqueCount="1470">
  <si>
    <t>Harutsuki</t>
  </si>
  <si>
    <t>Self</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</si>
  <si>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</si>
  <si>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</si>
  <si>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</si>
  <si>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</si>
  <si>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</si>
  <si>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</si>
  <si>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</si>
  <si>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</si>
  <si>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</si>
  <si>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</si>
  <si>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</si>
  <si>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</si>
  <si>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</si>
  <si>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</si>
  <si>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</si>
  <si>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</si>
  <si>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</si>
  <si>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</si>
  <si>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</si>
  <si>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</si>
  <si>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</si>
  <si>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</si>
  <si>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</si>
  <si>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</si>
  <si>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</si>
  <si>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</si>
  <si>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t>
  </si>
  <si>
    <t>**</t>
  </si>
  <si>
    <t>eHP</t>
  </si>
  <si>
    <t>Own HP</t>
  </si>
  <si>
    <t>Evasion Skill</t>
  </si>
  <si>
    <t>Own eHP</t>
  </si>
  <si>
    <t>Evasion Modifier</t>
  </si>
  <si>
    <t>Barrage DPS</t>
  </si>
  <si>
    <t>Own Accuracy</t>
  </si>
  <si>
    <t>Enemy Accuracy</t>
  </si>
  <si>
    <t>NOTE:</t>
  </si>
  <si>
    <t xml:space="preserve">Base Damage of barrages are affected by their barrage coeff. </t>
  </si>
  <si>
    <t>Important IF it is HE and it causes burn damage. Otherwise SET</t>
  </si>
  <si>
    <t>Base Damage to 0.</t>
  </si>
  <si>
    <t>NOTE 2:</t>
  </si>
  <si>
    <t>YOU WILL NEED TO MODIFY VALUES YOURSELF IF</t>
  </si>
  <si>
    <t>Burn DPS</t>
  </si>
  <si>
    <t>A SHIP'S SKILL CHANGES ANY STATS.</t>
  </si>
  <si>
    <t>NOTE 3:</t>
  </si>
  <si>
    <t>DO NOT CHANGE ANYTHING IF YOU DON'T</t>
  </si>
  <si>
    <t>KNOW WHAT YOU ARE DOING</t>
  </si>
  <si>
    <t>Burn DAM</t>
  </si>
  <si>
    <t>E Corrected Accuracy</t>
  </si>
  <si>
    <t>O Corrected Accuracy</t>
  </si>
  <si>
    <t>Damage</t>
  </si>
  <si>
    <t>EFF</t>
  </si>
  <si>
    <t>Primary</t>
  </si>
  <si>
    <t>Burn %</t>
  </si>
  <si>
    <t>Crit Skill</t>
  </si>
  <si>
    <t>ENEMY HIT</t>
  </si>
  <si>
    <t>ENEMY EVA</t>
  </si>
  <si>
    <t>Trigger (s)</t>
  </si>
  <si>
    <t>Crit Base Damage</t>
  </si>
  <si>
    <t>Total Secondary Damage</t>
  </si>
  <si>
    <t>Total Primary Damage</t>
  </si>
  <si>
    <t>Primary DPS</t>
  </si>
  <si>
    <t>Secondary DPS</t>
  </si>
  <si>
    <t>Reload Skill %</t>
  </si>
  <si>
    <t>Frontline ONLY. Leave 0 or modify the first barrage DPS (L26) if skill-based</t>
  </si>
  <si>
    <t>SKILL Barrages ONLY. Leave or modify their respective barrages!</t>
  </si>
  <si>
    <t>Modifier</t>
  </si>
  <si>
    <t>Slot 1</t>
  </si>
  <si>
    <t>Slot 2</t>
  </si>
  <si>
    <t>Slot 3</t>
  </si>
  <si>
    <t>Total Airpower</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</si>
  <si>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</si>
  <si>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</si>
  <si>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</si>
  <si>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</si>
  <si>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</si>
  <si>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</si>
  <si>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</si>
  <si>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</si>
  <si>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</si>
  <si>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</si>
  <si>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</si>
  <si>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</si>
  <si>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</si>
  <si>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</si>
  <si>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</si>
  <si>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</si>
  <si>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</si>
  <si>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</si>
  <si>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</si>
  <si>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</si>
  <si>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</si>
  <si>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</si>
  <si>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</si>
  <si>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</si>
  <si>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</si>
  <si>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</si>
  <si>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</si>
  <si>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</si>
  <si>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</si>
  <si>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</si>
  <si>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</si>
  <si>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Bomb Eff</t>
  </si>
  <si>
    <t>Torpedo Coeff</t>
  </si>
  <si>
    <t>B</t>
  </si>
  <si>
    <t>T</t>
  </si>
  <si>
    <t>B1L</t>
  </si>
  <si>
    <t>B1M</t>
  </si>
  <si>
    <t>B1H</t>
  </si>
  <si>
    <t>B3H</t>
  </si>
  <si>
    <t>B2M</t>
  </si>
  <si>
    <t>B2H</t>
  </si>
  <si>
    <t>B2L</t>
  </si>
  <si>
    <t>B3L</t>
  </si>
  <si>
    <t>B3M</t>
  </si>
  <si>
    <t>Damage Modifier</t>
  </si>
  <si>
    <t>T1L</t>
  </si>
  <si>
    <t>T1M</t>
  </si>
  <si>
    <t>T1H</t>
  </si>
  <si>
    <t>T2L</t>
  </si>
  <si>
    <t>T2M</t>
  </si>
  <si>
    <t>T2H</t>
  </si>
  <si>
    <t>T3L</t>
  </si>
  <si>
    <t>T3M</t>
  </si>
  <si>
    <t>T3H</t>
  </si>
  <si>
    <t>Important Stuff. Don't Change unless you know what you are doing</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</si>
  <si>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</si>
  <si>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</si>
  <si>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</si>
  <si>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</si>
  <si>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</si>
  <si>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</si>
  <si>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</si>
  <si>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</si>
  <si>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</si>
  <si>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</si>
  <si>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</si>
  <si>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</si>
  <si>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</si>
  <si>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</si>
  <si>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Airpower Modifier</t>
  </si>
  <si>
    <t>Flood Coef</t>
  </si>
  <si>
    <t>Burn Damage</t>
  </si>
  <si>
    <t>Flood</t>
  </si>
  <si>
    <t>Flood Damage</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</si>
  <si>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</si>
  <si>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</si>
  <si>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</si>
  <si>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</si>
  <si>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</si>
  <si>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</si>
  <si>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</si>
  <si>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</si>
  <si>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</si>
  <si>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</si>
  <si>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</si>
  <si>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</si>
  <si>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</si>
  <si>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</si>
  <si>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</si>
  <si>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</si>
  <si>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</si>
  <si>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</si>
  <si>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</si>
  <si>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</si>
  <si>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</si>
  <si>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</si>
  <si>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</si>
  <si>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</si>
  <si>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</si>
  <si>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</si>
  <si>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</si>
  <si>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</si>
  <si>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</si>
  <si>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</si>
  <si>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</si>
  <si>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</si>
  <si>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</si>
  <si>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</si>
  <si>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</si>
  <si>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</si>
  <si>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</si>
  <si>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</si>
  <si>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</si>
  <si>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</si>
  <si>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</si>
  <si>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</si>
  <si>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</si>
  <si>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</si>
  <si>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</si>
  <si>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</si>
  <si>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</si>
  <si>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</si>
  <si>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</si>
  <si>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</si>
  <si>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</si>
  <si>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Equip Type</t>
  </si>
  <si>
    <t>Equip Name</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</si>
  <si>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</si>
  <si>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</si>
  <si>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</si>
  <si>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</si>
  <si>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</si>
  <si>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</si>
  <si>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</si>
  <si>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</si>
  <si>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</si>
  <si>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</si>
  <si>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</si>
  <si>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</si>
  <si>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</si>
  <si>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</si>
  <si>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</si>
  <si>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</si>
  <si>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</si>
  <si>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</si>
  <si>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</si>
  <si>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</si>
  <si>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</si>
  <si>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</si>
  <si>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</si>
  <si>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</si>
  <si>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</si>
  <si>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</si>
  <si>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</si>
  <si>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</si>
  <si>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</si>
  <si>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</si>
  <si>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</si>
  <si>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</si>
  <si>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</si>
  <si>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</si>
  <si>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</si>
  <si>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</si>
  <si>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</si>
  <si>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</si>
  <si>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</si>
  <si>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</si>
  <si>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</si>
  <si>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</si>
  <si>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</si>
  <si>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</si>
  <si>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</si>
  <si>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</si>
  <si>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</si>
  <si>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</si>
  <si>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</si>
  <si>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</si>
  <si>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</si>
  <si>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</si>
  <si>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</si>
  <si>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</si>
  <si>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</si>
  <si>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</si>
  <si>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</si>
  <si>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</si>
  <si>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</si>
  <si>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</si>
  <si>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</si>
  <si>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</si>
  <si>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</si>
  <si>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</si>
  <si>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</si>
  <si>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</si>
  <si>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</si>
  <si>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</si>
  <si>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</si>
  <si>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</si>
  <si>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</si>
  <si>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</si>
  <si>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</si>
  <si>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</si>
  <si>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</si>
  <si>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</si>
  <si>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</si>
  <si>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</si>
  <si>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</si>
  <si>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</si>
  <si>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</si>
  <si>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</si>
  <si>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</si>
  <si>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</si>
  <si>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</si>
  <si>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</si>
  <si>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</si>
  <si>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</si>
  <si>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</si>
  <si>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</si>
  <si>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</si>
  <si>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</si>
  <si>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</si>
  <si>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</si>
  <si>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</si>
  <si>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</si>
  <si>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</si>
  <si>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</si>
  <si>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</si>
  <si>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</si>
  <si>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</si>
  <si>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</si>
  <si>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</si>
  <si>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</si>
  <si>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</si>
  <si>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</si>
  <si>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</si>
  <si>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</si>
  <si>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</si>
  <si>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</si>
  <si>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</si>
  <si>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</si>
  <si>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</si>
  <si>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</si>
  <si>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</si>
  <si>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</si>
  <si>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</si>
  <si>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</si>
  <si>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</si>
  <si>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</si>
  <si>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</si>
  <si>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</si>
  <si>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</si>
  <si>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</si>
  <si>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</si>
  <si>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</si>
  <si>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</si>
  <si>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</si>
  <si>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</si>
  <si>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</si>
  <si>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</si>
  <si>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</si>
  <si>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</si>
  <si>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</si>
  <si>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</si>
  <si>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</si>
  <si>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</si>
  <si>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</si>
  <si>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</si>
  <si>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</si>
  <si>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</si>
  <si>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</si>
  <si>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</si>
  <si>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</si>
  <si>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</si>
  <si>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</si>
  <si>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</si>
  <si>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</si>
  <si>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</si>
  <si>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</si>
  <si>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</si>
  <si>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</si>
  <si>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</si>
  <si>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 xml:space="preserve">Armor type </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</si>
  <si>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</si>
  <si>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</si>
  <si>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</si>
  <si>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</si>
  <si>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</si>
  <si>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</si>
  <si>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</si>
  <si>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</si>
  <si>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</si>
  <si>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</si>
  <si>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</si>
  <si>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</si>
  <si>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</si>
  <si>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</si>
  <si>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</si>
  <si>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</si>
  <si>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</si>
  <si>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</si>
  <si>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</si>
  <si>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</si>
  <si>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</si>
  <si>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</si>
  <si>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</si>
  <si>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</si>
  <si>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</si>
  <si>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</si>
  <si>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</si>
  <si>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</si>
  <si>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</si>
  <si>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</si>
  <si>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</si>
  <si>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</si>
  <si>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</si>
  <si>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</si>
  <si>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</si>
  <si>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</si>
  <si>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</si>
  <si>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</si>
  <si>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</si>
  <si>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</si>
  <si>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</si>
  <si>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</si>
  <si>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</si>
  <si>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</si>
  <si>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</si>
  <si>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</si>
  <si>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</si>
  <si>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</si>
  <si>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</si>
  <si>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</si>
  <si>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</si>
  <si>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</si>
  <si>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</si>
  <si>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</si>
  <si>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</si>
  <si>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</si>
  <si>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</si>
  <si>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</si>
  <si>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</si>
  <si>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</si>
  <si>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</si>
  <si>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</si>
  <si>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</si>
  <si>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</si>
  <si>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</si>
  <si>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</si>
  <si>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</si>
  <si>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</si>
  <si>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</si>
  <si>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</si>
  <si>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</si>
  <si>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</si>
  <si>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</si>
  <si>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</si>
  <si>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</si>
  <si>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</si>
  <si>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</si>
  <si>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</si>
  <si>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</si>
  <si>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</si>
  <si>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</si>
  <si>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</si>
  <si>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</si>
  <si>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</si>
  <si>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</si>
  <si>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</si>
  <si>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</si>
  <si>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</si>
  <si>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</si>
  <si>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</si>
  <si>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</si>
  <si>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</si>
  <si>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</si>
  <si>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</si>
  <si>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</si>
  <si>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</si>
  <si>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</si>
  <si>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</si>
  <si>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</si>
  <si>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</si>
  <si>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</si>
  <si>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</si>
  <si>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</si>
  <si>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</si>
  <si>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</si>
  <si>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</si>
  <si>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</si>
  <si>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</si>
  <si>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</si>
  <si>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</si>
  <si>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</si>
  <si>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</si>
  <si>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</si>
  <si>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</si>
  <si>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</si>
  <si>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</si>
  <si>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</si>
  <si>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</si>
  <si>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</si>
  <si>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</si>
  <si>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</si>
  <si>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</si>
  <si>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</si>
  <si>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</si>
  <si>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</si>
  <si>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</si>
  <si>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</si>
  <si>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</si>
  <si>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</si>
  <si>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</si>
  <si>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</si>
  <si>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</si>
  <si>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</si>
  <si>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</si>
  <si>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</si>
  <si>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</si>
  <si>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</si>
  <si>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</si>
  <si>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</si>
  <si>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</si>
  <si>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</si>
  <si>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</si>
  <si>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</si>
  <si>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</si>
  <si>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</si>
  <si>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</si>
  <si>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</si>
  <si>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</si>
  <si>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</si>
  <si>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</si>
  <si>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</si>
  <si>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</si>
  <si>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</si>
  <si>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</si>
  <si>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</si>
  <si>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</si>
  <si>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</si>
  <si>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</si>
  <si>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</si>
  <si>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</si>
  <si>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</si>
  <si>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</si>
  <si>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</si>
  <si>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</si>
  <si>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</si>
  <si>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</si>
  <si>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</si>
  <si>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</si>
  <si>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</si>
  <si>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</si>
  <si>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</si>
  <si>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</si>
  <si>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</si>
  <si>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</si>
  <si>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</si>
  <si>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</si>
  <si>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</si>
  <si>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</si>
  <si>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</si>
  <si>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</si>
  <si>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</si>
  <si>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</si>
  <si>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</si>
  <si>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</si>
  <si>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</si>
  <si>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</si>
  <si>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</si>
  <si>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</si>
  <si>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</si>
  <si>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</si>
  <si>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</si>
  <si>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</si>
  <si>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</si>
  <si>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</si>
  <si>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</si>
  <si>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</si>
  <si>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</si>
  <si>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</si>
  <si>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</si>
  <si>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</si>
  <si>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</si>
  <si>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</si>
  <si>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</si>
  <si>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</si>
  <si>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</si>
  <si>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</si>
  <si>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</si>
  <si>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</si>
  <si>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</si>
  <si>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</si>
  <si>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</si>
  <si>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</si>
  <si>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</si>
  <si>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</si>
  <si>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</si>
  <si>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</si>
  <si>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</si>
  <si>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</si>
  <si>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</si>
  <si>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</si>
  <si>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</si>
  <si>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</si>
  <si>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</si>
  <si>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</si>
  <si>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</si>
  <si>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</si>
  <si>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</si>
  <si>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</si>
  <si>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</si>
  <si>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</si>
  <si>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</si>
  <si>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</si>
  <si>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</si>
  <si>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</si>
  <si>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</si>
  <si>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</si>
  <si>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</si>
  <si>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</si>
  <si>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</si>
  <si>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</si>
  <si>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</si>
  <si>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</si>
  <si>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</si>
  <si>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</si>
  <si>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</si>
  <si>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</si>
  <si>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</si>
  <si>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</si>
  <si>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</si>
  <si>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</si>
  <si>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</si>
  <si>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</si>
  <si>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</si>
  <si>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</si>
  <si>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</si>
  <si>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</si>
  <si>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</si>
  <si>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</si>
  <si>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</si>
  <si>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</si>
  <si>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</si>
  <si>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</si>
  <si>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</si>
  <si>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HDN Neptune</t>
  </si>
  <si>
    <t>Noire</t>
  </si>
  <si>
    <t>Blanc</t>
  </si>
  <si>
    <t>Vert</t>
  </si>
  <si>
    <t>Purple Heart</t>
  </si>
  <si>
    <t>Black Heart</t>
  </si>
  <si>
    <t>White Heart</t>
  </si>
  <si>
    <t>Green Heart</t>
  </si>
  <si>
    <t>Kuon</t>
  </si>
  <si>
    <t>Nekone</t>
  </si>
  <si>
    <t>Rurutie</t>
  </si>
  <si>
    <t>Uruuru</t>
  </si>
  <si>
    <t>Saraana</t>
  </si>
  <si>
    <t>Fumiruiru</t>
  </si>
  <si>
    <t>HMS Neptune</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</si>
  <si>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</si>
  <si>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</si>
  <si>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</si>
  <si>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</si>
  <si>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</si>
  <si>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</si>
  <si>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</si>
  <si>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</si>
  <si>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</si>
  <si>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</si>
  <si>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</si>
  <si>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</si>
  <si>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</si>
  <si>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</si>
  <si>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</si>
  <si>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</si>
  <si>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</si>
  <si>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</si>
  <si>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</si>
  <si>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</si>
  <si>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</si>
  <si>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</si>
  <si>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</si>
  <si>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</si>
  <si>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</si>
  <si>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</si>
  <si>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</si>
  <si>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</si>
  <si>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</si>
  <si>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</si>
  <si>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</si>
  <si>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</si>
  <si>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</si>
  <si>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</si>
  <si>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</si>
  <si>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 xml:space="preserve">Oil </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</si>
  <si>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</si>
  <si>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</si>
  <si>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</si>
  <si>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</si>
  <si>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</si>
  <si>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</si>
  <si>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</si>
  <si>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</si>
  <si>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</si>
  <si>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</si>
  <si>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</si>
  <si>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</si>
  <si>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</si>
  <si>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</si>
  <si>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</si>
  <si>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</si>
  <si>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</si>
  <si>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</si>
  <si>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</si>
  <si>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</si>
  <si>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</si>
  <si>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</si>
  <si>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</si>
  <si>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</si>
  <si>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</si>
  <si>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</si>
  <si>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</si>
  <si>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</si>
  <si>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</si>
  <si>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</si>
  <si>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</si>
  <si>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</si>
  <si>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</si>
  <si>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</si>
  <si>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</si>
  <si>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</si>
  <si>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</si>
  <si>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</si>
  <si>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</si>
  <si>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</si>
  <si>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</si>
  <si>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</si>
  <si>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</si>
  <si>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</si>
  <si>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</si>
  <si>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</si>
  <si>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</si>
  <si>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</si>
  <si>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</si>
  <si>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</si>
  <si>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</si>
  <si>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</si>
  <si>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</si>
  <si>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</si>
  <si>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</si>
  <si>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</si>
  <si>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</si>
  <si>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</si>
  <si>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</si>
  <si>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</si>
  <si>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</si>
  <si>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</si>
  <si>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</si>
  <si>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</si>
  <si>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</si>
  <si>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</si>
  <si>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</si>
  <si>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</si>
  <si>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</si>
  <si>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</si>
  <si>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</si>
  <si>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</si>
  <si>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</si>
  <si>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</si>
  <si>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</si>
  <si>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</si>
  <si>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</si>
  <si>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</si>
  <si>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</si>
  <si>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</si>
  <si>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</si>
  <si>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</si>
  <si>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</si>
  <si>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</si>
  <si>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</si>
  <si>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</si>
  <si>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</si>
  <si>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</si>
  <si>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</si>
  <si>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</si>
  <si>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</si>
  <si>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</si>
  <si>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</si>
  <si>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</si>
  <si>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</si>
  <si>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</si>
  <si>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</si>
  <si>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</si>
  <si>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</si>
  <si>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</si>
  <si>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</si>
  <si>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</si>
  <si>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</si>
  <si>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</si>
  <si>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</si>
  <si>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</si>
  <si>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</si>
  <si>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</si>
  <si>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</si>
  <si>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</si>
  <si>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</si>
  <si>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</si>
  <si>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</si>
  <si>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</si>
  <si>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</si>
  <si>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</si>
  <si>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</si>
  <si>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</si>
  <si>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</si>
  <si>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</si>
  <si>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</si>
  <si>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</si>
  <si>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</si>
  <si>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</si>
  <si>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</si>
  <si>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</si>
  <si>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</si>
  <si>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</si>
  <si>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</si>
  <si>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</si>
  <si>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</si>
  <si>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</si>
  <si>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</si>
  <si>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</si>
  <si>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</si>
  <si>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</si>
  <si>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</si>
  <si>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</si>
  <si>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</si>
  <si>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</si>
  <si>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</si>
  <si>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</si>
  <si>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Bomb Damage</t>
  </si>
  <si>
    <t>B1</t>
  </si>
  <si>
    <t>B2</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</si>
  <si>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</si>
  <si>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</si>
  <si>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</si>
  <si>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</si>
  <si>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</si>
  <si>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</si>
  <si>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</si>
  <si>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</si>
  <si>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</si>
  <si>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</si>
  <si>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</si>
  <si>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</si>
  <si>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</si>
  <si>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</si>
  <si>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</si>
  <si>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</si>
  <si>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</si>
  <si>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</si>
  <si>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</si>
  <si>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</si>
  <si>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</si>
  <si>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</si>
  <si>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</si>
  <si>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</si>
  <si>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</si>
  <si>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</si>
  <si>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</si>
  <si>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</si>
  <si>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</si>
  <si>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</si>
  <si>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</si>
  <si>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</si>
  <si>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</si>
  <si>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</si>
  <si>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</si>
  <si>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</si>
  <si>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</si>
  <si>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</si>
  <si>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</si>
  <si>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</si>
  <si>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</si>
  <si>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</si>
  <si>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</si>
  <si>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</si>
  <si>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</si>
  <si>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</si>
  <si>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Abs CD %</t>
  </si>
  <si>
    <t>Enemy Acc:</t>
  </si>
  <si>
    <t>Own Accuracy:</t>
  </si>
  <si>
    <t>Enemy Accuracy:</t>
  </si>
  <si>
    <t>Bunker Hill</t>
  </si>
  <si>
    <t>Dewey</t>
  </si>
  <si>
    <t>AB %</t>
  </si>
  <si>
    <t>Burn Coef</t>
  </si>
  <si>
    <t>AB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</si>
  <si>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</si>
  <si>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</si>
  <si>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</si>
  <si>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</si>
  <si>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</si>
  <si>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</si>
  <si>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</si>
  <si>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</si>
  <si>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</si>
  <si>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</si>
  <si>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</si>
  <si>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</si>
  <si>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</si>
  <si>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</si>
  <si>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</si>
  <si>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</si>
  <si>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</si>
  <si>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</si>
  <si>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</si>
  <si>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</si>
  <si>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</si>
  <si>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</si>
  <si>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</si>
  <si>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</si>
  <si>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</si>
  <si>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</si>
  <si>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</si>
  <si>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</si>
  <si>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</si>
  <si>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</si>
  <si>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</si>
  <si>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</si>
  <si>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</si>
  <si>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</si>
  <si>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</si>
  <si>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</si>
  <si>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</si>
  <si>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</si>
  <si>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</si>
  <si>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</si>
  <si>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</si>
  <si>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</si>
  <si>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</si>
  <si>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</si>
  <si>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</si>
  <si>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</si>
  <si>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</si>
  <si>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</si>
  <si>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</si>
  <si>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</si>
  <si>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</si>
  <si>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</si>
  <si>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</si>
  <si>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</si>
  <si>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</si>
  <si>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</si>
  <si>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</si>
  <si>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</si>
  <si>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</si>
  <si>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</si>
  <si>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</si>
  <si>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</si>
  <si>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</si>
  <si>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</si>
  <si>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</si>
  <si>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</si>
  <si>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</si>
  <si>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</si>
  <si>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</si>
  <si>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</si>
  <si>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</si>
  <si>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</si>
  <si>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</si>
  <si>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</si>
  <si>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</si>
  <si>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</si>
  <si>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</si>
  <si>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</si>
  <si>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</si>
  <si>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</si>
  <si>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</si>
  <si>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</si>
  <si>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</si>
  <si>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</si>
  <si>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</si>
  <si>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</si>
  <si>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</si>
  <si>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</si>
  <si>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</si>
  <si>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</si>
  <si>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</si>
  <si>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</si>
  <si>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</si>
  <si>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</si>
  <si>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</si>
  <si>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</si>
  <si>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</si>
  <si>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</si>
  <si>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</si>
  <si>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</si>
  <si>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</si>
  <si>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</si>
  <si>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</si>
  <si>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</si>
  <si>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</si>
  <si>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</si>
  <si>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</si>
  <si>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</si>
  <si>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</si>
  <si>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</si>
  <si>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</si>
  <si>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</si>
  <si>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</si>
  <si>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</si>
  <si>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</si>
  <si>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</si>
  <si>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</si>
  <si>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</si>
  <si>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</si>
  <si>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</si>
  <si>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</si>
  <si>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</si>
  <si>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</si>
  <si>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</si>
  <si>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</si>
  <si>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</si>
  <si>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</si>
  <si>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</si>
  <si>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</si>
  <si>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</si>
  <si>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</si>
  <si>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</si>
  <si>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</si>
  <si>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</si>
  <si>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</si>
  <si>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</si>
  <si>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</si>
  <si>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</si>
  <si>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</si>
  <si>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</si>
  <si>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</si>
  <si>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</si>
  <si>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</si>
  <si>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</si>
  <si>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</si>
  <si>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</si>
  <si>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</si>
  <si>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</si>
  <si>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</si>
  <si>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</si>
  <si>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</si>
  <si>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</si>
  <si>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</si>
  <si>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</si>
  <si>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</si>
  <si>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</si>
  <si>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</si>
  <si>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</si>
  <si>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</si>
  <si>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</si>
  <si>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</si>
  <si>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</si>
  <si>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</si>
  <si>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</si>
  <si>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</si>
  <si>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</si>
  <si>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</si>
  <si>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</si>
  <si>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</si>
  <si>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</si>
  <si>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</si>
  <si>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Yukikaze-Exclusive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</si>
  <si>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</si>
  <si>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</si>
  <si>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</si>
  <si>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</si>
  <si>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</si>
  <si>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</si>
  <si>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</si>
  <si>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</si>
  <si>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</si>
  <si>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</si>
  <si>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</si>
  <si>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</si>
  <si>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</si>
  <si>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</si>
  <si>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</si>
  <si>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</si>
  <si>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</si>
  <si>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</si>
  <si>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</si>
  <si>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</si>
  <si>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</si>
  <si>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</si>
  <si>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</si>
  <si>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</si>
  <si>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</si>
  <si>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</si>
  <si>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</si>
  <si>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</si>
  <si>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</si>
  <si>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</si>
  <si>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</si>
  <si>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</si>
  <si>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</si>
  <si>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</si>
  <si>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</si>
  <si>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</si>
  <si>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</si>
  <si>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</si>
  <si>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</si>
  <si>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</si>
  <si>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</si>
  <si>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</si>
  <si>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</si>
  <si>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</si>
  <si>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</si>
  <si>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</si>
  <si>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</si>
  <si>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</si>
  <si>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</si>
  <si>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</si>
  <si>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</si>
  <si>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</si>
  <si>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</si>
  <si>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</si>
  <si>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</si>
  <si>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</si>
  <si>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</si>
  <si>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</si>
  <si>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</si>
  <si>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</si>
  <si>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</si>
  <si>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</si>
  <si>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</si>
  <si>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</si>
  <si>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</si>
  <si>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</si>
  <si>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</si>
  <si>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</si>
  <si>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</si>
  <si>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</si>
  <si>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</si>
  <si>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</si>
  <si>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</si>
  <si>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</si>
  <si>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</si>
  <si>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</si>
  <si>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</si>
  <si>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</si>
  <si>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</si>
  <si>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</si>
  <si>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</si>
  <si>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</si>
  <si>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</si>
  <si>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</si>
  <si>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</si>
  <si>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</si>
  <si>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</si>
  <si>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</si>
  <si>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</si>
  <si>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</si>
  <si>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</si>
  <si>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</si>
  <si>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</si>
  <si>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</si>
  <si>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</si>
  <si>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</si>
  <si>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</si>
  <si>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</si>
  <si>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</si>
  <si>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</si>
  <si>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</si>
  <si>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</si>
  <si>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</si>
  <si>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</si>
  <si>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</si>
  <si>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</si>
  <si>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</si>
  <si>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</si>
  <si>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</si>
  <si>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</si>
  <si>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</si>
  <si>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</si>
  <si>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</si>
  <si>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</si>
  <si>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</si>
  <si>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</si>
  <si>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Deck of Aces (5 - 7%, 3 - 12%, 2 - 51%, 1 - 30%)</t>
  </si>
  <si>
    <t>Deck of Aces (5 - 7%, 3 - 12%, 2 - 51%, 1 - 30%) (500lb)</t>
  </si>
  <si>
    <t>Deck of Aces (5 - 7%, 3 - 12%, 2 - 51%, 1 - 30%) (100lb)</t>
  </si>
  <si>
    <t>Doolittle Raid Kai</t>
  </si>
  <si>
    <t>Relentless Persistence- Fighter (100lb)</t>
  </si>
  <si>
    <t>Relentless Persistence - Bomber (2000lb)</t>
  </si>
  <si>
    <t>Relentless Persistence - Bomber (100lb)</t>
  </si>
  <si>
    <t>Relentless Persistence - Torpedo Bomber</t>
  </si>
  <si>
    <t>Future Base (1000lb)</t>
  </si>
  <si>
    <t>Future Base (100lb)</t>
  </si>
  <si>
    <t>Eat My Shells!</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</si>
  <si>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</si>
  <si>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</si>
  <si>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</si>
  <si>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</si>
  <si>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</si>
  <si>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</si>
  <si>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</si>
  <si>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</si>
  <si>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</si>
  <si>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</si>
  <si>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</si>
  <si>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</si>
  <si>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</si>
  <si>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</si>
  <si>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</si>
  <si>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</si>
  <si>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</si>
  <si>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</si>
  <si>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</si>
  <si>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</si>
  <si>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</si>
  <si>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</si>
  <si>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</si>
  <si>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</si>
  <si>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</si>
  <si>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</si>
  <si>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Aulick, Bush, Charles Ausburne, Fletcher, Foote, Hazelwood, Jenkins, Nicholas, Radford, Spence, Thatcher, Kimberly, Mullany</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</si>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</sst>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quot;lb&quot;"/>
    <numFmt numFmtId="166" formatCode="0.0%"/>
    <numFmt numFmtId="167" formatCode="0.0"/>
  </numFmts>
  <fonts count="39"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s>
  <borders count="27">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right/>
      <top style="thin">
        <color theme="9" tint="0.39997558519241921"/>
      </top>
      <bottom style="thin">
        <color theme="9" tint="0.39997558519241921"/>
      </bottom>
      <diagonal/>
    </border>
  </borders>
  <cellStyleXfs count="1">
    <xf numFmtId="0" fontId="0" fillId="0" borderId="0"/>
  </cellStyleXfs>
  <cellXfs count="19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2" fillId="2" borderId="0" xfId="0" applyFont="1" applyFill="1"/>
    <xf numFmtId="0" fontId="1" fillId="0" borderId="0" xfId="0" applyFont="1"/>
    <xf numFmtId="0" fontId="3" fillId="0" borderId="0" xfId="0" applyFont="1"/>
    <xf numFmtId="165" fontId="0" fillId="0" borderId="0" xfId="0" applyNumberForma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6"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6" borderId="0" xfId="0" applyFont="1" applyFill="1" applyBorder="1" applyAlignment="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 fillId="7"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23" fillId="2" borderId="0" xfId="0" applyFont="1" applyFill="1" applyAlignment="1"/>
    <xf numFmtId="0" fontId="0" fillId="0" borderId="0" xfId="0" applyAlignment="1">
      <alignment wrapText="1"/>
    </xf>
    <xf numFmtId="0" fontId="0" fillId="0" borderId="0" xfId="0" applyAlignment="1"/>
    <xf numFmtId="167" fontId="0" fillId="0" borderId="0" xfId="0" applyNumberFormat="1" applyAlignment="1">
      <alignment horizontal="center"/>
    </xf>
    <xf numFmtId="1" fontId="3" fillId="0" borderId="0" xfId="0" applyNumberFormat="1" applyFont="1"/>
    <xf numFmtId="167"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0" xfId="0" applyFont="1" applyFill="1" applyBorder="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0" fontId="29" fillId="0" borderId="0" xfId="0" applyFont="1"/>
    <xf numFmtId="9" fontId="30" fillId="0" borderId="0" xfId="0" applyNumberFormat="1" applyFont="1"/>
    <xf numFmtId="0" fontId="31" fillId="0" borderId="0" xfId="0" applyFont="1"/>
    <xf numFmtId="0" fontId="0" fillId="0" borderId="26" xfId="0" applyBorder="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7" fontId="28" fillId="0" borderId="0" xfId="0" applyNumberFormat="1" applyFont="1"/>
    <xf numFmtId="10" fontId="14" fillId="6" borderId="0" xfId="0" applyNumberFormat="1" applyFont="1" applyFill="1" applyBorder="1"/>
    <xf numFmtId="2" fontId="16" fillId="7" borderId="0" xfId="0" applyNumberFormat="1" applyFont="1" applyFill="1"/>
    <xf numFmtId="2" fontId="14" fillId="6" borderId="0" xfId="0" applyNumberFormat="1" applyFont="1" applyFill="1" applyBorder="1"/>
    <xf numFmtId="2" fontId="13" fillId="7" borderId="0" xfId="0" applyNumberFormat="1" applyFont="1" applyFill="1" applyBorder="1"/>
    <xf numFmtId="0" fontId="19" fillId="2" borderId="0" xfId="0" applyFont="1" applyFill="1" applyAlignment="1"/>
    <xf numFmtId="1" fontId="29" fillId="0" borderId="0" xfId="0" applyNumberFormat="1" applyFont="1"/>
    <xf numFmtId="1" fontId="0" fillId="0" borderId="0" xfId="0" applyNumberFormat="1" applyFill="1"/>
    <xf numFmtId="0" fontId="29" fillId="0" borderId="0" xfId="0" applyNumberFormat="1" applyFont="1"/>
    <xf numFmtId="2" fontId="10" fillId="7" borderId="0" xfId="0" applyNumberFormat="1" applyFont="1" applyFill="1"/>
    <xf numFmtId="0" fontId="10" fillId="7" borderId="0" xfId="0" applyNumberFormat="1" applyFon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8" fillId="2" borderId="0" xfId="0" applyFont="1" applyFill="1" applyAlignment="1">
      <alignment horizontal="center"/>
    </xf>
    <xf numFmtId="0" fontId="23" fillId="2" borderId="0" xfId="0" applyFont="1" applyFill="1" applyAlignment="1">
      <alignment horizontal="center"/>
    </xf>
    <xf numFmtId="0" fontId="19" fillId="2" borderId="0" xfId="0" applyFont="1" applyFill="1" applyAlignment="1">
      <alignment horizontal="center"/>
    </xf>
    <xf numFmtId="0" fontId="16" fillId="7" borderId="0" xfId="0" applyNumberFormat="1" applyFont="1" applyFill="1"/>
    <xf numFmtId="1" fontId="11" fillId="7" borderId="0" xfId="0" applyNumberFormat="1" applyFont="1" applyFill="1"/>
    <xf numFmtId="2" fontId="13" fillId="7" borderId="24" xfId="0" applyNumberFormat="1" applyFont="1" applyFill="1" applyBorder="1"/>
  </cellXfs>
  <cellStyles count="1">
    <cellStyle name="Normal" xfId="0" builtinId="0"/>
  </cellStyles>
  <dxfs count="1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67"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327660</xdr:colOff>
      <xdr:row>21</xdr:row>
      <xdr:rowOff>118110</xdr:rowOff>
    </xdr:from>
    <xdr:ext cx="438912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634740" y="4065270"/>
              <a:ext cx="438912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634740" y="4065270"/>
              <a:ext cx="438912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T3" totalsRowShown="0" headerRowCellStyle="Normal" dataCellStyle="Normal">
  <autoFilter ref="A1:T3" xr:uid="{C7368C79-6981-474C-9746-563FEE57E406}"/>
  <sortState ref="A2:T3">
    <sortCondition ref="B1:B3"/>
  </sortState>
  <tableColumns count="20">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129" dataCellStyle="Normal"/>
    <tableColumn id="20" xr3:uid="{11AEFC80-1E16-4D91-8459-B8805AEEDB6F}" name="AAEFF2" dataDxfId="128" dataCellStyle="Normal"/>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51:B869" totalsRowShown="0" tableBorderDxfId="65" totalsRowBorderDxfId="64" headerRowCellStyle="Normal" dataCellStyle="Normal">
  <autoFilter ref="A451:B869" xr:uid="{8F1E9A4F-60BF-40AA-A887-60F5D36F6BA3}"/>
  <sortState ref="A452:B829">
    <sortCondition ref="B451:B829"/>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71:A874" totalsRowShown="0">
  <autoFilter ref="A871:A874"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35:AF436" totalsRowShown="0" headerRowDxfId="63" dataDxfId="62" tableBorderDxfId="61">
  <autoFilter ref="A435:AF436" xr:uid="{CB765A0F-970A-4A1C-BD52-C08E82BB58D8}"/>
  <tableColumns count="32">
    <tableColumn id="1" xr3:uid="{213B9AC3-084F-44EF-BE81-075E50ACF0A7}" name="ID"/>
    <tableColumn id="2" xr3:uid="{CB04A5EB-DC9D-4696-840B-5BDA0B6FEAAC}" name="Name"/>
    <tableColumn id="3" xr3:uid="{7D04828F-BD9B-4E46-ADAA-E94D18CA855A}" name="Nation" dataDxfId="60"/>
    <tableColumn id="4" xr3:uid="{B09BFE68-9D21-4B93-B778-FF8AA44C14F4}" name="Rarity" dataDxfId="59"/>
    <tableColumn id="5" xr3:uid="{19746F48-8F15-4D28-8930-5AADB6E70597}" name="Type" dataDxfId="58"/>
    <tableColumn id="6" xr3:uid="{784F4FFA-7B0C-4CB9-B79D-D95DEAA4CA8C}" name="HP" dataDxfId="57"/>
    <tableColumn id="7" xr3:uid="{10486AFC-8C9C-48D9-89CE-284E27B0D0AA}" name="Armor type " dataDxfId="56"/>
    <tableColumn id="8" xr3:uid="{C354375D-7251-46C5-990A-1AC5649141D6}" name="RELOAD" dataDxfId="55"/>
    <tableColumn id="9" xr3:uid="{A2809447-940F-406F-96ED-B1163821B155}" name="FP" dataDxfId="54"/>
    <tableColumn id="10" xr3:uid="{5F8C850F-370B-4B38-AED5-69C6DB3F1265}" name="TP" dataDxfId="53"/>
    <tableColumn id="11" xr3:uid="{A47A1174-CD9E-40E5-B33B-7FCE7C93CEB2}" name="EVA" dataDxfId="52"/>
    <tableColumn id="12" xr3:uid="{3AF35460-F0EC-4572-BCFC-F1BF78AFC62E}" name="AA" dataDxfId="51"/>
    <tableColumn id="13" xr3:uid="{C5187DA7-B80D-45CD-86EF-2419C38F23A2}" name="AirP" dataDxfId="50"/>
    <tableColumn id="14" xr3:uid="{DC00D081-4199-4141-B61D-70634BBBBDAE}" name="Oil " dataDxfId="49"/>
    <tableColumn id="15" xr3:uid="{AE5B94E4-F81F-4002-8B2B-DBAFCE2B5A7C}" name="ASW" dataDxfId="48"/>
    <tableColumn id="16" xr3:uid="{73A6FD0A-8FFC-420F-94E4-9F13901CC917}" name="SPD" dataDxfId="47"/>
    <tableColumn id="17" xr3:uid="{1F1793AE-EAF0-4CDF-ABCD-61A898BB04F2}" name="Luck" dataDxfId="46"/>
    <tableColumn id="18" xr3:uid="{3DCEF1B8-1621-4002-B3F9-6176074654D9}" name="Hit" dataDxfId="45"/>
    <tableColumn id="19" xr3:uid="{316C1B5D-84C4-47C5-8BC1-7D72959BC759}" name="OXY" dataDxfId="44"/>
    <tableColumn id="20" xr3:uid="{A3921697-7EA2-44FD-B190-91A4452FEC10}" name="EFF" dataDxfId="43"/>
    <tableColumn id="21" xr3:uid="{FD1F1336-8FFE-4167-842F-39573BC4FD21}" name="SECEFF" dataDxfId="42"/>
    <tableColumn id="22" xr3:uid="{2FF9A2C3-AF19-44B0-9684-81D1EF8E367F}" name="TRIEFF" dataDxfId="41"/>
    <tableColumn id="23" xr3:uid="{9F66A3D6-971F-4717-8182-929B1F2FF196}" name="Plane1" dataDxfId="40"/>
    <tableColumn id="24" xr3:uid="{B4DDEA13-9982-4D5A-9049-36E6959B85FB}" name="Plane2" dataDxfId="39"/>
    <tableColumn id="25" xr3:uid="{59CD4A73-7015-4698-BBA8-9C4EE8CD52EC}" name="Plane3" dataDxfId="38"/>
    <tableColumn id="26" xr3:uid="{10FF3CEA-6F8D-494F-9A52-3AC860A3B515}" name="Type1" dataDxfId="37"/>
    <tableColumn id="27" xr3:uid="{D4F42C10-56FC-44A9-A910-850EA2D629D8}" name="Type2" dataDxfId="36"/>
    <tableColumn id="28" xr3:uid="{C92D7B87-E2CF-4BCE-BBFA-D2D8542620D6}" name="Type3" dataDxfId="35"/>
    <tableColumn id="29" xr3:uid="{F20AE40F-8D82-4580-A636-9AE844211E36}" name="Barg1" dataDxfId="34"/>
    <tableColumn id="30" xr3:uid="{0EBDFE9C-0C12-4682-8661-C209F4DCCD29}" name="Barg2" dataDxfId="33"/>
    <tableColumn id="31" xr3:uid="{EB9EF0EF-ED35-4272-8586-449510F9B232}" name="Barg3" dataDxfId="32"/>
    <tableColumn id="32" xr3:uid="{75B6ECC5-EDE5-4125-BE87-D9A4461DF08D}" name="Barg4" dataDxfId="31"/>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59" totalsRowShown="0" headerRowDxfId="30">
  <autoFilter ref="A1:U259"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29"/>
    <tableColumn id="7" xr3:uid="{38D7D4F3-141A-4606-AD7C-0E88AA45697D}" name="Total Damage" dataDxfId="28"/>
    <tableColumn id="8" xr3:uid="{B37B3996-76A3-41A6-B2F0-AED07D69C259}" name="Round Type"/>
    <tableColumn id="9" xr3:uid="{0E733371-4F27-4EE7-8792-02E971C8C8DB}" name="Light Armor"/>
    <tableColumn id="10" xr3:uid="{450B3E20-0F47-4197-873E-3C19745847CB}" name="Medium Armor" dataDxfId="27"/>
    <tableColumn id="11" xr3:uid="{1E49C8A9-3A98-4AFF-8E91-09C1B4F539AD}" name="Heavy Armor" dataDxfId="26"/>
    <tableColumn id="12" xr3:uid="{B2E9D83A-EC78-4FF8-8C5A-E939FCC9ECBA}" name="Burn %" dataDxfId="25"/>
    <tableColumn id="13" xr3:uid="{56DF2B98-C11A-49C0-B296-6193650EE15A}" name="Burn Priority" dataDxfId="24"/>
    <tableColumn id="20" xr3:uid="{D9C08ADE-3415-4186-8659-A6B634517321}" name="Burn Coeff" dataDxfId="23"/>
    <tableColumn id="18" xr3:uid="{381E2CC3-1D90-4FCB-9C96-58152C2F3912}" name="Flood %" dataDxfId="22"/>
    <tableColumn id="19" xr3:uid="{5F6C9A53-1B40-4FAD-91C2-274A0F714993}" name="Flood Coeff" dataDxfId="21"/>
    <tableColumn id="14" xr3:uid="{59B37040-BD9C-42E3-8F85-CF8E40EA791E}" name="AP Pen" dataDxfId="2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7" totalsRowShown="0">
  <autoFilter ref="A1:N17"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19:N34" totalsRowShown="0">
  <autoFilter ref="A19:N34" xr:uid="{00000000-0009-0000-0100-000007000000}"/>
  <sortState ref="A20:N34">
    <sortCondition ref="A19:A34"/>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6:N47" totalsRowShown="0">
  <autoFilter ref="A36:N47" xr:uid="{00000000-0009-0000-0100-000009000000}"/>
  <sortState ref="A37:N47">
    <sortCondition ref="A36:A47"/>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49:N67" totalsRowShown="0">
  <autoFilter ref="A49:N67" xr:uid="{00000000-0009-0000-0100-00000B000000}"/>
  <sortState ref="A50:N67">
    <sortCondition ref="A49:A67"/>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69:J80" totalsRowShown="0">
  <autoFilter ref="A69:J80" xr:uid="{00000000-0009-0000-0100-00000D000000}"/>
  <sortState ref="A70:J80">
    <sortCondition ref="A69:A80"/>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Z156" totalsRowShown="0" headerRowBorderDxfId="127" tableBorderDxfId="126" totalsRowBorderDxfId="125" headerRowCellStyle="Normal" dataCellStyle="Normal">
  <autoFilter ref="A5:Z156" xr:uid="{C9586176-1406-436E-8E97-E727BDBB74E6}"/>
  <sortState ref="A6:Z156">
    <sortCondition ref="B5:B156"/>
  </sortState>
  <tableColumns count="26">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124" dataCellStyle="Normal"/>
    <tableColumn id="17" xr3:uid="{2A67BFE6-15CE-4DDC-ADC5-73786A1E2835}" name="EFF" dataDxfId="123" dataCellStyle="Normal"/>
    <tableColumn id="18" xr3:uid="{3DF7A4AC-7346-4B44-841D-53B0C215B2D7}" name="SECEFF" dataDxfId="122" dataCellStyle="Normal"/>
    <tableColumn id="21" xr3:uid="{F4AC12BA-E344-4FB6-B8F9-0A799A7E0958}" name="AAEFF" dataDxfId="121" dataCellStyle="Normal"/>
    <tableColumn id="22" xr3:uid="{E5C7DCB5-4984-4021-80DD-D0CC476676F2}" name="AAEFF2" dataDxfId="120" dataCellStyle="Normal"/>
    <tableColumn id="23" xr3:uid="{6CBDFD34-7829-4EAF-A1CE-E895033CF968}" name="Barg1" dataDxfId="119" dataCellStyle="Normal"/>
    <tableColumn id="24" xr3:uid="{C8B3AE6B-2256-47AF-9564-EB14A1ECAF85}" name="Barg2" dataDxfId="118" dataCellStyle="Normal"/>
    <tableColumn id="25" xr3:uid="{D715069E-375F-45D7-B085-A59E97F9D443}" name="Barg3" dataDxfId="117" dataCellStyle="Normal"/>
    <tableColumn id="26" xr3:uid="{B7EA0C24-ED71-423D-BE75-449C5980B786}" name="Barg4" dataDxfId="11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2:D86" totalsRowShown="0" headerRowCellStyle="Normal" dataCellStyle="Normal">
  <autoFilter ref="A82:D86"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88:D94" totalsRowShown="0">
  <autoFilter ref="A88:D94"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6:D100" totalsRowShown="0">
  <autoFilter ref="A96:D100"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2:D108" totalsRowShown="0">
  <autoFilter ref="A102:D108"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0:D112" totalsRowShown="0">
  <autoFilter ref="A110:D112"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18:C125" totalsRowShown="0">
  <autoFilter ref="A118:C125"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50:L171" totalsRowShown="0" tableBorderDxfId="19" dataCellStyle="Normal">
  <autoFilter ref="A150:L171" xr:uid="{00000000-0009-0000-0100-000012000000}"/>
  <sortState ref="A151:L171">
    <sortCondition ref="A150:A171"/>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5" totalsRowShown="0">
  <autoFilter ref="U13:U15"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27:R148" totalsRowShown="0">
  <autoFilter ref="A127:R148" xr:uid="{00000000-0009-0000-0100-00001D000000}"/>
  <sortState ref="A128:R148">
    <sortCondition ref="A127:A148"/>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73:J203" totalsRowShown="0">
  <autoFilter ref="A173:J203" xr:uid="{00000000-0009-0000-0100-000004000000}"/>
  <sortState ref="A174:J203">
    <sortCondition ref="A173:A203"/>
  </sortState>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58:Z239" totalsRowShown="0" headerRowBorderDxfId="115" tableBorderDxfId="114" totalsRowBorderDxfId="113" headerRowCellStyle="Normal" dataCellStyle="Normal">
  <autoFilter ref="A158:Z239" xr:uid="{DCF42953-2A4B-40C4-A913-F9DEA117FD4C}"/>
  <sortState ref="A159:Z239">
    <sortCondition ref="B158:B239"/>
  </sortState>
  <tableColumns count="26">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12" dataCellStyle="Normal"/>
    <tableColumn id="18" xr3:uid="{DFE17054-EDA1-43BC-B21D-FB5FF7317D3A}" name="SECEFF" dataDxfId="111" dataCellStyle="Normal"/>
    <tableColumn id="21" xr3:uid="{7351A65C-A708-48E5-9AF2-C1C94F0AD4B7}" name="AAEFF" dataDxfId="110" dataCellStyle="Normal"/>
    <tableColumn id="22" xr3:uid="{95770387-CF77-49CD-97C1-226AC22157A6}" name="AAEFF2" dataDxfId="109" dataCellStyle="Normal"/>
    <tableColumn id="23" xr3:uid="{09158B8A-0DED-4002-B090-85C409095B4A}" name="Barg1" dataDxfId="108" dataCellStyle="Normal"/>
    <tableColumn id="24" xr3:uid="{8660D778-4503-4F6D-9FB2-0528F5D07BA6}" name="Barg2" dataDxfId="107" dataCellStyle="Normal"/>
    <tableColumn id="25" xr3:uid="{E8F5ADE1-387C-4579-8350-DE28082285BF}" name="Barg3" dataDxfId="106" dataCellStyle="Normal"/>
    <tableColumn id="26" xr3:uid="{FBE0E012-84D3-4D30-BB9A-EA7CEDF055BB}" name="Barg4" dataDxfId="105"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05:G216" totalsRowShown="0">
  <autoFilter ref="A205:G216" xr:uid="{00000000-0009-0000-0100-000006000000}"/>
  <sortState ref="A206:G216">
    <sortCondition ref="A205:A216"/>
  </sortState>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18:E224" totalsRowShown="0">
  <autoFilter ref="A218:E224" xr:uid="{00000000-0009-0000-0100-000011000000}"/>
  <tableColumns count="5">
    <tableColumn id="1" xr3:uid="{00000000-0010-0000-1C00-000001000000}" name="Bomb Weight"/>
    <tableColumn id="2" xr3:uid="{00000000-0010-0000-1C00-000002000000}" name="DMG"/>
    <tableColumn id="4" xr3:uid="{00000000-0010-0000-1C00-000004000000}" name="Light" dataDxfId="18"/>
    <tableColumn id="5" xr3:uid="{00000000-0010-0000-1C00-000005000000}" name="Medium" dataDxfId="17"/>
    <tableColumn id="6" xr3:uid="{00000000-0010-0000-1C00-000006000000}" name="Heavy" dataDxfId="16"/>
  </tableColumns>
  <tableStyleInfo name="TableStyleMedium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31:G257" totalsRowShown="0">
  <autoFilter ref="A231:G257" xr:uid="{00000000-0009-0000-0100-000003000000}"/>
  <sortState ref="A232:G257">
    <sortCondition ref="A231:A257"/>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59:D289" totalsRowShown="0" headerRowDxfId="15" headerRowBorderDxfId="14" tableBorderDxfId="13" totalsRowBorderDxfId="12" dataCellStyle="Normal">
  <autoFilter ref="A259:D289" xr:uid="{F081374E-B15D-4FDA-99C9-66F147E7DB36}"/>
  <sortState ref="A260:D289">
    <sortCondition ref="A259:A289"/>
  </sortState>
  <tableColumns count="4">
    <tableColumn id="1" xr3:uid="{26C91B2C-49E7-4BC1-8694-976E0067DA21}" name="Name" dataCellStyle="Normal"/>
    <tableColumn id="2" xr3:uid="{CC85AC17-AEC4-4DE7-ADCB-1D923EFEB8B7}" name="Light" dataCellStyle="Normal">
      <calculatedColumnFormula>(D174*$B$219*$C$219)+(E174*$B$220*$C$220)+(F174*$B$221*$C$221)+(G174*$B$222*$C$222)+(H174*$B$223*$C$223)+(I174*$B$224*$C$224)</calculatedColumnFormula>
    </tableColumn>
    <tableColumn id="3" xr3:uid="{670BE9D0-CE0A-45F4-AB51-28354B92A5DA}" name="Medium" dataCellStyle="Normal">
      <calculatedColumnFormula>(D174*$B$219*$D$219)+(E174*$B$220*$D$220)+(F174*$B$221*$D$221)+(G174*$B$222*$D$222)+(H174*$B$223*$D$223)+(I174*$B$224*$D$224)</calculatedColumnFormula>
    </tableColumn>
    <tableColumn id="4" xr3:uid="{0E50F530-D283-4D7E-9846-ACD2C37C159F}" name="Heavy" dataCellStyle="Normal">
      <calculatedColumnFormula>(D174*$B$219*$E$219)+(E174*$B$220*$E$220)+(F174*$B$221*$E$221)+(G174*$B$222*$E$222)+(H174*$B$223*$E$223)+(I174*$B$224*$E$224)</calculatedColumnFormula>
    </tableColumn>
  </tableColumns>
  <tableStyleInfo name="TableStyleMedium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291:D302" totalsRowShown="0">
  <autoFilter ref="A291:D302" xr:uid="{31412484-C91A-4942-8F4C-6D7407FFF785}"/>
  <sortState ref="A292:D302">
    <sortCondition ref="A291:A302"/>
  </sortState>
  <tableColumns count="4">
    <tableColumn id="1" xr3:uid="{3874E900-AC3F-4C67-83CC-B1A78806284B}" name="Name"/>
    <tableColumn id="2" xr3:uid="{06FAF47D-8BB8-4AB8-BB3B-94CFAE35210A}" name="Light" dataDxfId="11">
      <calculatedColumnFormula>E206*F206*$B$227</calculatedColumnFormula>
    </tableColumn>
    <tableColumn id="3" xr3:uid="{6A342676-1B67-48B3-A5C4-523E3676000C}" name="Medium" dataDxfId="10">
      <calculatedColumnFormula>E206*F206*$B$228</calculatedColumnFormula>
    </tableColumn>
    <tableColumn id="4" xr3:uid="{A24D79ED-B539-4C59-B5C5-61B6C83C453A}" name="Heavy" dataDxfId="9">
      <calculatedColumnFormula>E206*F206*$B$229</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04:L311" tableType="queryTable" totalsRowShown="0">
  <autoFilter ref="A304:L311" xr:uid="{FB1FF9FE-01E2-4DC4-B05E-D5A6A05CD5F3}"/>
  <sortState ref="A305:L311">
    <sortCondition ref="A304:A311"/>
  </sortState>
  <tableColumns count="12">
    <tableColumn id="1" xr3:uid="{7C5BC4FE-AFFF-4753-B274-F52B1C9ADED0}" uniqueName="1" name="Name" queryTableFieldId="1" dataDxfId="8"/>
    <tableColumn id="3" xr3:uid="{B21A0ED1-DAAC-4624-A601-E66518902A9F}" uniqueName="3" name="Stars" queryTableFieldId="3" dataDxfId="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6"/>
    <tableColumn id="8" xr3:uid="{CB52F863-4564-4DBA-B6ED-28C7F1DAFA23}" uniqueName="8" name="RoF" queryTableFieldId="8"/>
    <tableColumn id="12" xr3:uid="{F861F8DA-E385-45BD-A931-79D6AAB333A5}" uniqueName="12" name="Rng" queryTableFieldId="12" dataDxfId="5"/>
    <tableColumn id="13" xr3:uid="{E65910E8-B43E-4F29-A1C6-00B10072A8A3}" uniqueName="13" name="Spread" queryTableFieldId="13" dataDxfId="4"/>
    <tableColumn id="14" xr3:uid="{611E7882-810C-4931-A46A-9FF90612447F}" uniqueName="14" name="Angle" queryTableFieldId="14" dataDxfId="3"/>
    <tableColumn id="15" xr3:uid="{98D627AF-EEE0-4ECC-98A8-8315A6949E42}" uniqueName="15" name="Ammo" queryTableFieldId="15" dataDxfId="2"/>
    <tableColumn id="16" xr3:uid="{69BC2747-0D02-47DE-AEC4-ACEFB03102F8}" uniqueName="16" name="Drop" queryTableFieldId="16" dataDxfId="1"/>
    <tableColumn id="17" xr3:uid="{7E1E28C0-167A-4E54-A949-B70FC1C4C8DB}" uniqueName="17" name="Notes" queryTableFieldId="17" dataDxfId="0"/>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4:D116" totalsRowShown="0">
  <autoFilter ref="A114:D116"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1:Z295" totalsRowShown="0" headerRowBorderDxfId="104" tableBorderDxfId="103" totalsRowBorderDxfId="102" headerRowCellStyle="Normal" dataCellStyle="Normal">
  <autoFilter ref="A241:Z295" xr:uid="{1D3D806C-5CF1-4F01-BCDA-B599E330CA60}"/>
  <sortState ref="A242:Z295">
    <sortCondition ref="B241:B295"/>
  </sortState>
  <tableColumns count="26">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01" dataCellStyle="Normal"/>
    <tableColumn id="18" xr3:uid="{D5A51EE0-FFD7-414D-BBA2-88F057738A4F}" name="SECEFF" dataDxfId="100" dataCellStyle="Normal"/>
    <tableColumn id="21" xr3:uid="{6F584275-25B2-4B84-A6F9-0855FB7C34E2}" name="AAEFF" dataDxfId="99" dataCellStyle="Normal"/>
    <tableColumn id="22" xr3:uid="{6A3C87CC-CFE2-4030-8869-7CA4494C4B5F}" name="AAEFF2" dataDxfId="98" dataCellStyle="Normal"/>
    <tableColumn id="23" xr3:uid="{CECDDB0E-3B51-4AF0-97D4-41686A437F2B}" name="Barg1" dataDxfId="97" dataCellStyle="Normal"/>
    <tableColumn id="24" xr3:uid="{0FCFBCD3-A92C-43C4-9517-8860D8D5666E}" name="Barg2" dataDxfId="96" dataCellStyle="Normal"/>
    <tableColumn id="25" xr3:uid="{5B759AB4-037E-4CB6-9298-30C1C3EBF77F}" name="Barg3" dataDxfId="95" dataCellStyle="Normal"/>
    <tableColumn id="26" xr3:uid="{9FCB7012-6BFB-4B86-ACC6-392B372B5C7C}" name="Barg4" dataDxfId="94"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297:AD357" totalsRowShown="0" headerRowBorderDxfId="93" tableBorderDxfId="92" totalsRowBorderDxfId="91" headerRowCellStyle="Normal" dataCellStyle="Normal">
  <autoFilter ref="A297:AD357" xr:uid="{62318076-3773-4D07-B1C0-45BC305F5561}"/>
  <sortState ref="A298:AD357">
    <sortCondition ref="B297:B357"/>
  </sortState>
  <tableColumns count="30">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90" dataCellStyle="Normal"/>
    <tableColumn id="18" xr3:uid="{A0D3CDB4-E7A3-467C-A47A-732619306830}" name="SECEFF" dataDxfId="89" dataCellStyle="Normal"/>
    <tableColumn id="22" xr3:uid="{06268B7F-6F16-4701-9554-5EA3C169323C}" name="Type1" dataDxfId="88"/>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87" dataCellStyle="Normal"/>
    <tableColumn id="26" xr3:uid="{8A9D9386-8267-4236-AEE2-E781815A2BC4}" name="AAEFF2" dataDxfId="86"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59:AE389" totalsRowShown="0" headerRowBorderDxfId="85" tableBorderDxfId="84" totalsRowBorderDxfId="83" headerRowCellStyle="Normal" dataCellStyle="Normal">
  <autoFilter ref="A359:AE389" xr:uid="{3DC77F6F-3FF6-4E10-8EEA-D58244897F3F}"/>
  <sortState ref="A360:AE389">
    <sortCondition ref="B359:B389"/>
  </sortState>
  <tableColumns count="31">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82" dataCellStyle="Normal"/>
    <tableColumn id="18" xr3:uid="{F37A64E1-A889-458F-888F-5D98E7E28242}" name="SECEFF" dataDxfId="81" dataCellStyle="Normal"/>
    <tableColumn id="19" xr3:uid="{FDE1A6DC-2099-42D1-A9FB-D179920BA63C}" name="TRIEFF" dataDxfId="80"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391:AG414" totalsRowShown="0" headerRowBorderDxfId="79" tableBorderDxfId="78" totalsRowBorderDxfId="77" headerRowCellStyle="Normal" dataCellStyle="Normal">
  <autoFilter ref="A391:AG414" xr:uid="{9F20258C-1349-4B1F-A599-7CB7B6226315}"/>
  <sortState ref="A392:AG414">
    <sortCondition ref="B391:B414"/>
  </sortState>
  <tableColumns count="33">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76" dataCellStyle="Normal"/>
    <tableColumn id="18" xr3:uid="{EEDD6984-552A-4AEF-BE6E-0CA5A660ED85}" name="SECEFF" dataDxfId="75" dataCellStyle="Normal"/>
    <tableColumn id="19" xr3:uid="{F82CA285-2553-45E3-93E9-A8042E1BCD36}" name="TRIEFF" dataDxfId="7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73" dataCellStyle="Normal"/>
    <tableColumn id="29" xr3:uid="{1DF23F3F-7403-466E-9F75-E662CABAC628}" name="AAEFF2" dataDxfId="72" dataCellStyle="Normal"/>
    <tableColumn id="30" xr3:uid="{6760D0DC-B0AE-430B-B20B-FBAC8A0A8553}" name="Barg1" dataCellStyle="Normal"/>
    <tableColumn id="31" xr3:uid="{9CDD449B-5029-4CFF-BF9D-B792B6310BFF}" name="Barg2" dataCellStyle="Normal"/>
    <tableColumn id="32" xr3:uid="{66EF775C-C313-4EDB-96FE-695F8D20E161}" name="Barg3" dataCellStyle="Normal"/>
    <tableColumn id="33" xr3:uid="{3ACD8F05-5678-4EB8-8407-AABDCF6EBC10}" name="Barg4"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16:Z433" totalsRowShown="0" headerRowBorderDxfId="71" tableBorderDxfId="70" totalsRowBorderDxfId="69" headerRowCellStyle="Normal" dataCellStyle="Normal">
  <autoFilter ref="A416:Z433" xr:uid="{85E6C68C-C23B-4587-B2AE-F11AD4C707A7}"/>
  <sortState ref="A417:Z433">
    <sortCondition ref="B416:B433"/>
  </sortState>
  <tableColumns count="26">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68" dataCellStyle="Normal"/>
    <tableColumn id="21" xr3:uid="{0DB4987E-BF51-41E9-B5B8-C4731C668CB0}" name="SECEFF" dataDxfId="67" dataCellStyle="Normal"/>
    <tableColumn id="22" xr3:uid="{96B4BA74-B32D-4920-998F-E98EAD75DBCA}" name="TRIEFF" dataDxfId="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38:B449" totalsRowShown="0" headerRowCellStyle="Normal" dataCellStyle="Normal">
  <autoFilter ref="A438:B449" xr:uid="{A1A168C8-0702-4EEE-A8BB-85DBDD818714}"/>
  <sortState ref="A439:B449">
    <sortCondition ref="B438:B449"/>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5.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21.xml"/><Relationship Id="rId13" Type="http://schemas.openxmlformats.org/officeDocument/2006/relationships/table" Target="../tables/table26.xml"/><Relationship Id="rId18" Type="http://schemas.openxmlformats.org/officeDocument/2006/relationships/table" Target="../tables/table31.xml"/><Relationship Id="rId3" Type="http://schemas.openxmlformats.org/officeDocument/2006/relationships/table" Target="../tables/table16.xml"/><Relationship Id="rId21" Type="http://schemas.openxmlformats.org/officeDocument/2006/relationships/table" Target="../tables/table34.xml"/><Relationship Id="rId7" Type="http://schemas.openxmlformats.org/officeDocument/2006/relationships/table" Target="../tables/table20.xml"/><Relationship Id="rId12" Type="http://schemas.openxmlformats.org/officeDocument/2006/relationships/table" Target="../tables/table25.xml"/><Relationship Id="rId17" Type="http://schemas.openxmlformats.org/officeDocument/2006/relationships/table" Target="../tables/table30.xml"/><Relationship Id="rId2" Type="http://schemas.openxmlformats.org/officeDocument/2006/relationships/table" Target="../tables/table15.xml"/><Relationship Id="rId16" Type="http://schemas.openxmlformats.org/officeDocument/2006/relationships/table" Target="../tables/table29.xml"/><Relationship Id="rId20" Type="http://schemas.openxmlformats.org/officeDocument/2006/relationships/table" Target="../tables/table33.xml"/><Relationship Id="rId1" Type="http://schemas.openxmlformats.org/officeDocument/2006/relationships/table" Target="../tables/table14.xml"/><Relationship Id="rId6" Type="http://schemas.openxmlformats.org/officeDocument/2006/relationships/table" Target="../tables/table19.xml"/><Relationship Id="rId11" Type="http://schemas.openxmlformats.org/officeDocument/2006/relationships/table" Target="../tables/table24.xml"/><Relationship Id="rId5" Type="http://schemas.openxmlformats.org/officeDocument/2006/relationships/table" Target="../tables/table18.xml"/><Relationship Id="rId15" Type="http://schemas.openxmlformats.org/officeDocument/2006/relationships/table" Target="../tables/table28.xml"/><Relationship Id="rId23" Type="http://schemas.openxmlformats.org/officeDocument/2006/relationships/table" Target="../tables/table36.xml"/><Relationship Id="rId10" Type="http://schemas.openxmlformats.org/officeDocument/2006/relationships/table" Target="../tables/table23.xml"/><Relationship Id="rId19" Type="http://schemas.openxmlformats.org/officeDocument/2006/relationships/table" Target="../tables/table32.xml"/><Relationship Id="rId4" Type="http://schemas.openxmlformats.org/officeDocument/2006/relationships/table" Target="../tables/table17.xml"/><Relationship Id="rId9" Type="http://schemas.openxmlformats.org/officeDocument/2006/relationships/table" Target="../tables/table22.xml"/><Relationship Id="rId14" Type="http://schemas.openxmlformats.org/officeDocument/2006/relationships/table" Target="../tables/table27.xml"/><Relationship Id="rId22" Type="http://schemas.openxmlformats.org/officeDocument/2006/relationships/table" Target="../tables/table3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46"/>
  <sheetViews>
    <sheetView tabSelected="1" topLeftCell="A7" workbookViewId="0">
      <selection activeCell="D14" sqref="D14:U17"/>
    </sheetView>
  </sheetViews>
  <sheetFormatPr defaultRowHeight="14.4" x14ac:dyDescent="0.3"/>
  <cols>
    <col min="1" max="1" width="8.88671875" style="13"/>
    <col min="2" max="3" width="10.77734375" customWidth="1"/>
    <col min="22" max="24" width="8.88671875" style="13"/>
  </cols>
  <sheetData>
    <row r="1" spans="2:21" ht="15" thickBot="1" x14ac:dyDescent="0.35">
      <c r="B1" s="13"/>
      <c r="C1" s="13"/>
      <c r="D1" s="13"/>
      <c r="E1" s="13"/>
      <c r="F1" s="13"/>
      <c r="G1" s="13"/>
      <c r="H1" s="13"/>
      <c r="I1" s="13"/>
      <c r="J1" s="13"/>
      <c r="K1" s="13"/>
      <c r="L1" s="13"/>
      <c r="M1" s="13"/>
      <c r="N1" s="13"/>
      <c r="O1" s="13"/>
      <c r="P1" s="13"/>
      <c r="Q1" s="13"/>
      <c r="R1" s="13"/>
      <c r="S1" s="13"/>
      <c r="T1" s="13"/>
      <c r="U1" s="13"/>
    </row>
    <row r="2" spans="2:21" x14ac:dyDescent="0.3">
      <c r="B2" s="141" t="s">
        <v>1469</v>
      </c>
      <c r="C2" s="142"/>
      <c r="D2" s="142"/>
      <c r="E2" s="142"/>
      <c r="F2" s="142"/>
      <c r="G2" s="142"/>
      <c r="H2" s="142"/>
      <c r="I2" s="142"/>
      <c r="J2" s="142"/>
      <c r="K2" s="142"/>
      <c r="L2" s="142"/>
      <c r="M2" s="142"/>
      <c r="N2" s="142"/>
      <c r="O2" s="142"/>
      <c r="P2" s="142"/>
      <c r="Q2" s="142"/>
      <c r="R2" s="142"/>
      <c r="S2" s="142"/>
      <c r="T2" s="142"/>
      <c r="U2" s="143"/>
    </row>
    <row r="3" spans="2:21" x14ac:dyDescent="0.3">
      <c r="B3" s="144"/>
      <c r="C3" s="145"/>
      <c r="D3" s="145"/>
      <c r="E3" s="145"/>
      <c r="F3" s="145"/>
      <c r="G3" s="145"/>
      <c r="H3" s="145"/>
      <c r="I3" s="145"/>
      <c r="J3" s="145"/>
      <c r="K3" s="145"/>
      <c r="L3" s="145"/>
      <c r="M3" s="145"/>
      <c r="N3" s="145"/>
      <c r="O3" s="145"/>
      <c r="P3" s="145"/>
      <c r="Q3" s="145"/>
      <c r="R3" s="145"/>
      <c r="S3" s="145"/>
      <c r="T3" s="145"/>
      <c r="U3" s="146"/>
    </row>
    <row r="4" spans="2:21" ht="15" thickBot="1" x14ac:dyDescent="0.35">
      <c r="B4" s="147"/>
      <c r="C4" s="148"/>
      <c r="D4" s="148"/>
      <c r="E4" s="148"/>
      <c r="F4" s="148"/>
      <c r="G4" s="148"/>
      <c r="H4" s="148"/>
      <c r="I4" s="148"/>
      <c r="J4" s="148"/>
      <c r="K4" s="148"/>
      <c r="L4" s="148"/>
      <c r="M4" s="148"/>
      <c r="N4" s="148"/>
      <c r="O4" s="148"/>
      <c r="P4" s="148"/>
      <c r="Q4" s="148"/>
      <c r="R4" s="148"/>
      <c r="S4" s="148"/>
      <c r="T4" s="148"/>
      <c r="U4" s="149"/>
    </row>
    <row r="5" spans="2:21" x14ac:dyDescent="0.3">
      <c r="B5" s="150" t="s">
        <v>1446</v>
      </c>
      <c r="C5" s="151"/>
      <c r="D5" s="151"/>
      <c r="E5" s="151"/>
      <c r="F5" s="151"/>
      <c r="G5" s="151"/>
      <c r="H5" s="151"/>
      <c r="I5" s="151"/>
      <c r="J5" s="151"/>
      <c r="K5" s="151"/>
      <c r="L5" s="151"/>
      <c r="M5" s="151"/>
      <c r="N5" s="151"/>
      <c r="O5" s="151"/>
      <c r="P5" s="151"/>
      <c r="Q5" s="151"/>
      <c r="R5" s="151"/>
      <c r="S5" s="151"/>
      <c r="T5" s="151"/>
      <c r="U5" s="152"/>
    </row>
    <row r="6" spans="2:21" ht="15" thickBot="1" x14ac:dyDescent="0.35">
      <c r="B6" s="153"/>
      <c r="C6" s="154"/>
      <c r="D6" s="154"/>
      <c r="E6" s="154"/>
      <c r="F6" s="154"/>
      <c r="G6" s="154"/>
      <c r="H6" s="154"/>
      <c r="I6" s="154"/>
      <c r="J6" s="154"/>
      <c r="K6" s="154"/>
      <c r="L6" s="154"/>
      <c r="M6" s="154"/>
      <c r="N6" s="154"/>
      <c r="O6" s="154"/>
      <c r="P6" s="154"/>
      <c r="Q6" s="154"/>
      <c r="R6" s="154"/>
      <c r="S6" s="154"/>
      <c r="T6" s="154"/>
      <c r="U6" s="155"/>
    </row>
    <row r="7" spans="2:21" ht="18.600000000000001" customHeight="1" x14ac:dyDescent="0.3">
      <c r="B7" s="156" t="s">
        <v>976</v>
      </c>
      <c r="C7" s="157"/>
      <c r="D7" s="162" t="s">
        <v>977</v>
      </c>
      <c r="E7" s="162"/>
      <c r="F7" s="162"/>
      <c r="G7" s="162"/>
      <c r="H7" s="162"/>
      <c r="I7" s="162"/>
      <c r="J7" s="162"/>
      <c r="K7" s="162"/>
      <c r="L7" s="162"/>
      <c r="M7" s="162"/>
      <c r="N7" s="162"/>
      <c r="O7" s="162"/>
      <c r="P7" s="162"/>
      <c r="Q7" s="162"/>
      <c r="R7" s="162"/>
      <c r="S7" s="162"/>
      <c r="T7" s="162"/>
      <c r="U7" s="163"/>
    </row>
    <row r="8" spans="2:21" x14ac:dyDescent="0.3">
      <c r="B8" s="158"/>
      <c r="C8" s="159"/>
      <c r="D8" s="164"/>
      <c r="E8" s="164"/>
      <c r="F8" s="164"/>
      <c r="G8" s="164"/>
      <c r="H8" s="164"/>
      <c r="I8" s="164"/>
      <c r="J8" s="164"/>
      <c r="K8" s="164"/>
      <c r="L8" s="164"/>
      <c r="M8" s="164"/>
      <c r="N8" s="164"/>
      <c r="O8" s="164"/>
      <c r="P8" s="164"/>
      <c r="Q8" s="164"/>
      <c r="R8" s="164"/>
      <c r="S8" s="164"/>
      <c r="T8" s="164"/>
      <c r="U8" s="165"/>
    </row>
    <row r="9" spans="2:21" ht="15" thickBot="1" x14ac:dyDescent="0.35">
      <c r="B9" s="160"/>
      <c r="C9" s="161"/>
      <c r="D9" s="166"/>
      <c r="E9" s="166"/>
      <c r="F9" s="166"/>
      <c r="G9" s="166"/>
      <c r="H9" s="166"/>
      <c r="I9" s="166"/>
      <c r="J9" s="166"/>
      <c r="K9" s="166"/>
      <c r="L9" s="166"/>
      <c r="M9" s="166"/>
      <c r="N9" s="166"/>
      <c r="O9" s="166"/>
      <c r="P9" s="166"/>
      <c r="Q9" s="166"/>
      <c r="R9" s="166"/>
      <c r="S9" s="166"/>
      <c r="T9" s="166"/>
      <c r="U9" s="167"/>
    </row>
    <row r="10" spans="2:21" ht="14.4" customHeight="1" x14ac:dyDescent="0.3">
      <c r="B10" s="156" t="s">
        <v>978</v>
      </c>
      <c r="C10" s="179"/>
      <c r="D10" s="168" t="s">
        <v>979</v>
      </c>
      <c r="E10" s="162"/>
      <c r="F10" s="162"/>
      <c r="G10" s="162"/>
      <c r="H10" s="162"/>
      <c r="I10" s="162"/>
      <c r="J10" s="162"/>
      <c r="K10" s="162"/>
      <c r="L10" s="162"/>
      <c r="M10" s="162"/>
      <c r="N10" s="162"/>
      <c r="O10" s="162"/>
      <c r="P10" s="162"/>
      <c r="Q10" s="162"/>
      <c r="R10" s="162"/>
      <c r="S10" s="162"/>
      <c r="T10" s="162"/>
      <c r="U10" s="163"/>
    </row>
    <row r="11" spans="2:21" ht="14.4" customHeight="1" x14ac:dyDescent="0.3">
      <c r="B11" s="158"/>
      <c r="C11" s="180"/>
      <c r="D11" s="169"/>
      <c r="E11" s="164"/>
      <c r="F11" s="164"/>
      <c r="G11" s="164"/>
      <c r="H11" s="164"/>
      <c r="I11" s="164"/>
      <c r="J11" s="164"/>
      <c r="K11" s="164"/>
      <c r="L11" s="164"/>
      <c r="M11" s="164"/>
      <c r="N11" s="164"/>
      <c r="O11" s="164"/>
      <c r="P11" s="164"/>
      <c r="Q11" s="164"/>
      <c r="R11" s="164"/>
      <c r="S11" s="164"/>
      <c r="T11" s="164"/>
      <c r="U11" s="165"/>
    </row>
    <row r="12" spans="2:21" ht="14.4" customHeight="1" x14ac:dyDescent="0.3">
      <c r="B12" s="158"/>
      <c r="C12" s="180"/>
      <c r="D12" s="169"/>
      <c r="E12" s="164"/>
      <c r="F12" s="164"/>
      <c r="G12" s="164"/>
      <c r="H12" s="164"/>
      <c r="I12" s="164"/>
      <c r="J12" s="164"/>
      <c r="K12" s="164"/>
      <c r="L12" s="164"/>
      <c r="M12" s="164"/>
      <c r="N12" s="164"/>
      <c r="O12" s="164"/>
      <c r="P12" s="164"/>
      <c r="Q12" s="164"/>
      <c r="R12" s="164"/>
      <c r="S12" s="164"/>
      <c r="T12" s="164"/>
      <c r="U12" s="165"/>
    </row>
    <row r="13" spans="2:21" ht="15" customHeight="1" thickBot="1" x14ac:dyDescent="0.35">
      <c r="B13" s="160"/>
      <c r="C13" s="181"/>
      <c r="D13" s="170"/>
      <c r="E13" s="166"/>
      <c r="F13" s="166"/>
      <c r="G13" s="166"/>
      <c r="H13" s="166"/>
      <c r="I13" s="166"/>
      <c r="J13" s="166"/>
      <c r="K13" s="166"/>
      <c r="L13" s="166"/>
      <c r="M13" s="166"/>
      <c r="N13" s="166"/>
      <c r="O13" s="166"/>
      <c r="P13" s="166"/>
      <c r="Q13" s="166"/>
      <c r="R13" s="166"/>
      <c r="S13" s="166"/>
      <c r="T13" s="166"/>
      <c r="U13" s="167"/>
    </row>
    <row r="14" spans="2:21" ht="14.4" customHeight="1" x14ac:dyDescent="0.3">
      <c r="B14" s="156" t="s">
        <v>980</v>
      </c>
      <c r="C14" s="157"/>
      <c r="D14" s="162" t="s">
        <v>981</v>
      </c>
      <c r="E14" s="162"/>
      <c r="F14" s="162"/>
      <c r="G14" s="162"/>
      <c r="H14" s="162"/>
      <c r="I14" s="162"/>
      <c r="J14" s="162"/>
      <c r="K14" s="162"/>
      <c r="L14" s="162"/>
      <c r="M14" s="162"/>
      <c r="N14" s="162"/>
      <c r="O14" s="162"/>
      <c r="P14" s="162"/>
      <c r="Q14" s="162"/>
      <c r="R14" s="162"/>
      <c r="S14" s="162"/>
      <c r="T14" s="162"/>
      <c r="U14" s="163"/>
    </row>
    <row r="15" spans="2:21" ht="14.4" customHeight="1" x14ac:dyDescent="0.3">
      <c r="B15" s="158"/>
      <c r="C15" s="159"/>
      <c r="D15" s="164"/>
      <c r="E15" s="164"/>
      <c r="F15" s="164"/>
      <c r="G15" s="164"/>
      <c r="H15" s="164"/>
      <c r="I15" s="164"/>
      <c r="J15" s="164"/>
      <c r="K15" s="164"/>
      <c r="L15" s="164"/>
      <c r="M15" s="164"/>
      <c r="N15" s="164"/>
      <c r="O15" s="164"/>
      <c r="P15" s="164"/>
      <c r="Q15" s="164"/>
      <c r="R15" s="164"/>
      <c r="S15" s="164"/>
      <c r="T15" s="164"/>
      <c r="U15" s="165"/>
    </row>
    <row r="16" spans="2:21" ht="15" customHeight="1" x14ac:dyDescent="0.3">
      <c r="B16" s="158"/>
      <c r="C16" s="159"/>
      <c r="D16" s="164"/>
      <c r="E16" s="164"/>
      <c r="F16" s="164"/>
      <c r="G16" s="164"/>
      <c r="H16" s="164"/>
      <c r="I16" s="164"/>
      <c r="J16" s="164"/>
      <c r="K16" s="164"/>
      <c r="L16" s="164"/>
      <c r="M16" s="164"/>
      <c r="N16" s="164"/>
      <c r="O16" s="164"/>
      <c r="P16" s="164"/>
      <c r="Q16" s="164"/>
      <c r="R16" s="164"/>
      <c r="S16" s="164"/>
      <c r="T16" s="164"/>
      <c r="U16" s="165"/>
    </row>
    <row r="17" spans="2:21" ht="15" customHeight="1" thickBot="1" x14ac:dyDescent="0.35">
      <c r="B17" s="160"/>
      <c r="C17" s="161"/>
      <c r="D17" s="166"/>
      <c r="E17" s="166"/>
      <c r="F17" s="166"/>
      <c r="G17" s="166"/>
      <c r="H17" s="166"/>
      <c r="I17" s="166"/>
      <c r="J17" s="166"/>
      <c r="K17" s="166"/>
      <c r="L17" s="166"/>
      <c r="M17" s="166"/>
      <c r="N17" s="166"/>
      <c r="O17" s="166"/>
      <c r="P17" s="166"/>
      <c r="Q17" s="166"/>
      <c r="R17" s="166"/>
      <c r="S17" s="166"/>
      <c r="T17" s="166"/>
      <c r="U17" s="167"/>
    </row>
    <row r="18" spans="2:21" x14ac:dyDescent="0.3">
      <c r="B18" s="156" t="s">
        <v>982</v>
      </c>
      <c r="C18" s="157"/>
      <c r="D18" s="171" t="s">
        <v>983</v>
      </c>
      <c r="E18" s="171"/>
      <c r="F18" s="171"/>
      <c r="G18" s="171"/>
      <c r="H18" s="171"/>
      <c r="I18" s="171"/>
      <c r="J18" s="171"/>
      <c r="K18" s="171"/>
      <c r="L18" s="171"/>
      <c r="M18" s="171"/>
      <c r="N18" s="171"/>
      <c r="O18" s="171"/>
      <c r="P18" s="171"/>
      <c r="Q18" s="171"/>
      <c r="R18" s="171"/>
      <c r="S18" s="171"/>
      <c r="T18" s="171"/>
      <c r="U18" s="172"/>
    </row>
    <row r="19" spans="2:21" ht="14.4" customHeight="1" x14ac:dyDescent="0.3">
      <c r="B19" s="158"/>
      <c r="C19" s="159"/>
      <c r="D19" s="173"/>
      <c r="E19" s="173"/>
      <c r="F19" s="173"/>
      <c r="G19" s="173"/>
      <c r="H19" s="173"/>
      <c r="I19" s="173"/>
      <c r="J19" s="173"/>
      <c r="K19" s="173"/>
      <c r="L19" s="173"/>
      <c r="M19" s="173"/>
      <c r="N19" s="173"/>
      <c r="O19" s="173"/>
      <c r="P19" s="173"/>
      <c r="Q19" s="173"/>
      <c r="R19" s="173"/>
      <c r="S19" s="173"/>
      <c r="T19" s="173"/>
      <c r="U19" s="174"/>
    </row>
    <row r="20" spans="2:21" ht="14.4" customHeight="1" x14ac:dyDescent="0.3">
      <c r="B20" s="158"/>
      <c r="C20" s="159"/>
      <c r="D20" s="173"/>
      <c r="E20" s="173"/>
      <c r="F20" s="173"/>
      <c r="G20" s="173"/>
      <c r="H20" s="173"/>
      <c r="I20" s="173"/>
      <c r="J20" s="173"/>
      <c r="K20" s="173"/>
      <c r="L20" s="173"/>
      <c r="M20" s="173"/>
      <c r="N20" s="173"/>
      <c r="O20" s="173"/>
      <c r="P20" s="173"/>
      <c r="Q20" s="173"/>
      <c r="R20" s="173"/>
      <c r="S20" s="173"/>
      <c r="T20" s="173"/>
      <c r="U20" s="174"/>
    </row>
    <row r="21" spans="2:21" ht="14.4" customHeight="1" thickBot="1" x14ac:dyDescent="0.35">
      <c r="B21" s="160"/>
      <c r="C21" s="161"/>
      <c r="D21" s="173"/>
      <c r="E21" s="173"/>
      <c r="F21" s="173"/>
      <c r="G21" s="173"/>
      <c r="H21" s="173"/>
      <c r="I21" s="173"/>
      <c r="J21" s="173"/>
      <c r="K21" s="173"/>
      <c r="L21" s="173"/>
      <c r="M21" s="173"/>
      <c r="N21" s="173"/>
      <c r="O21" s="173"/>
      <c r="P21" s="173"/>
      <c r="Q21" s="173"/>
      <c r="R21" s="173"/>
      <c r="S21" s="173"/>
      <c r="T21" s="173"/>
      <c r="U21" s="174"/>
    </row>
    <row r="22" spans="2:21" ht="15" customHeight="1" x14ac:dyDescent="0.3">
      <c r="B22" s="156" t="s">
        <v>982</v>
      </c>
      <c r="C22" s="157"/>
      <c r="D22" s="175" t="s">
        <v>1436</v>
      </c>
      <c r="E22" s="175"/>
      <c r="F22" s="175"/>
      <c r="G22" s="175"/>
      <c r="H22" s="175"/>
      <c r="I22" s="175"/>
      <c r="J22" s="175"/>
      <c r="K22" s="175"/>
      <c r="L22" s="175"/>
      <c r="M22" s="175"/>
      <c r="N22" s="175"/>
      <c r="O22" s="175"/>
      <c r="P22" s="175"/>
      <c r="Q22" s="175"/>
      <c r="R22" s="175"/>
      <c r="S22" s="175"/>
      <c r="T22" s="175"/>
      <c r="U22" s="176"/>
    </row>
    <row r="23" spans="2:21" ht="15" customHeight="1" x14ac:dyDescent="0.3">
      <c r="B23" s="158"/>
      <c r="C23" s="159"/>
      <c r="D23" s="173"/>
      <c r="E23" s="173"/>
      <c r="F23" s="173"/>
      <c r="G23" s="173"/>
      <c r="H23" s="173"/>
      <c r="I23" s="173"/>
      <c r="J23" s="173"/>
      <c r="K23" s="173"/>
      <c r="L23" s="173"/>
      <c r="M23" s="173"/>
      <c r="N23" s="173"/>
      <c r="O23" s="173"/>
      <c r="P23" s="173"/>
      <c r="Q23" s="173"/>
      <c r="R23" s="173"/>
      <c r="S23" s="173"/>
      <c r="T23" s="173"/>
      <c r="U23" s="174"/>
    </row>
    <row r="24" spans="2:21" ht="14.4" customHeight="1" x14ac:dyDescent="0.3">
      <c r="B24" s="158"/>
      <c r="C24" s="159"/>
      <c r="D24" s="173"/>
      <c r="E24" s="173"/>
      <c r="F24" s="173"/>
      <c r="G24" s="173"/>
      <c r="H24" s="173"/>
      <c r="I24" s="173"/>
      <c r="J24" s="173"/>
      <c r="K24" s="173"/>
      <c r="L24" s="173"/>
      <c r="M24" s="173"/>
      <c r="N24" s="173"/>
      <c r="O24" s="173"/>
      <c r="P24" s="173"/>
      <c r="Q24" s="173"/>
      <c r="R24" s="173"/>
      <c r="S24" s="173"/>
      <c r="T24" s="173"/>
      <c r="U24" s="174"/>
    </row>
    <row r="25" spans="2:21" ht="15" customHeight="1" thickBot="1" x14ac:dyDescent="0.35">
      <c r="B25" s="160"/>
      <c r="C25" s="161"/>
      <c r="D25" s="177"/>
      <c r="E25" s="177"/>
      <c r="F25" s="177"/>
      <c r="G25" s="177"/>
      <c r="H25" s="177"/>
      <c r="I25" s="177"/>
      <c r="J25" s="177"/>
      <c r="K25" s="177"/>
      <c r="L25" s="177"/>
      <c r="M25" s="177"/>
      <c r="N25" s="177"/>
      <c r="O25" s="177"/>
      <c r="P25" s="177"/>
      <c r="Q25" s="177"/>
      <c r="R25" s="177"/>
      <c r="S25" s="177"/>
      <c r="T25" s="177"/>
      <c r="U25" s="178"/>
    </row>
    <row r="26" spans="2:21" ht="15" customHeight="1" x14ac:dyDescent="0.3">
      <c r="B26" s="156" t="s">
        <v>984</v>
      </c>
      <c r="C26" s="157"/>
      <c r="D26" s="182" t="s">
        <v>1437</v>
      </c>
      <c r="E26" s="182"/>
      <c r="F26" s="182"/>
      <c r="G26" s="182"/>
      <c r="H26" s="182"/>
      <c r="I26" s="182"/>
      <c r="J26" s="182"/>
      <c r="K26" s="182"/>
      <c r="L26" s="182"/>
      <c r="M26" s="182"/>
      <c r="N26" s="182"/>
      <c r="O26" s="182"/>
      <c r="P26" s="182"/>
      <c r="Q26" s="182"/>
      <c r="R26" s="182"/>
      <c r="S26" s="182"/>
      <c r="T26" s="182"/>
      <c r="U26" s="183"/>
    </row>
    <row r="27" spans="2:21" ht="14.4" customHeight="1" x14ac:dyDescent="0.3">
      <c r="B27" s="158"/>
      <c r="C27" s="159"/>
      <c r="D27" s="184"/>
      <c r="E27" s="184"/>
      <c r="F27" s="184"/>
      <c r="G27" s="184"/>
      <c r="H27" s="184"/>
      <c r="I27" s="184"/>
      <c r="J27" s="184"/>
      <c r="K27" s="184"/>
      <c r="L27" s="184"/>
      <c r="M27" s="184"/>
      <c r="N27" s="184"/>
      <c r="O27" s="184"/>
      <c r="P27" s="184"/>
      <c r="Q27" s="184"/>
      <c r="R27" s="184"/>
      <c r="S27" s="184"/>
      <c r="T27" s="184"/>
      <c r="U27" s="185"/>
    </row>
    <row r="28" spans="2:21" ht="14.4" customHeight="1" x14ac:dyDescent="0.3">
      <c r="B28" s="158"/>
      <c r="C28" s="159"/>
      <c r="D28" s="184"/>
      <c r="E28" s="184"/>
      <c r="F28" s="184"/>
      <c r="G28" s="184"/>
      <c r="H28" s="184"/>
      <c r="I28" s="184"/>
      <c r="J28" s="184"/>
      <c r="K28" s="184"/>
      <c r="L28" s="184"/>
      <c r="M28" s="184"/>
      <c r="N28" s="184"/>
      <c r="O28" s="184"/>
      <c r="P28" s="184"/>
      <c r="Q28" s="184"/>
      <c r="R28" s="184"/>
      <c r="S28" s="184"/>
      <c r="T28" s="184"/>
      <c r="U28" s="185"/>
    </row>
    <row r="29" spans="2:21" ht="14.4" customHeight="1" thickBot="1" x14ac:dyDescent="0.35">
      <c r="B29" s="160"/>
      <c r="C29" s="161"/>
      <c r="D29" s="186"/>
      <c r="E29" s="186"/>
      <c r="F29" s="186"/>
      <c r="G29" s="186"/>
      <c r="H29" s="186"/>
      <c r="I29" s="186"/>
      <c r="J29" s="186"/>
      <c r="K29" s="186"/>
      <c r="L29" s="186"/>
      <c r="M29" s="186"/>
      <c r="N29" s="186"/>
      <c r="O29" s="186"/>
      <c r="P29" s="186"/>
      <c r="Q29" s="186"/>
      <c r="R29" s="186"/>
      <c r="S29" s="186"/>
      <c r="T29" s="186"/>
      <c r="U29" s="187"/>
    </row>
    <row r="30" spans="2:21" ht="15" customHeight="1" x14ac:dyDescent="0.3">
      <c r="B30" s="156" t="s">
        <v>984</v>
      </c>
      <c r="C30" s="157"/>
      <c r="D30" s="162" t="s">
        <v>1438</v>
      </c>
      <c r="E30" s="182"/>
      <c r="F30" s="182"/>
      <c r="G30" s="182"/>
      <c r="H30" s="182"/>
      <c r="I30" s="182"/>
      <c r="J30" s="182"/>
      <c r="K30" s="182"/>
      <c r="L30" s="182"/>
      <c r="M30" s="182"/>
      <c r="N30" s="182"/>
      <c r="O30" s="182"/>
      <c r="P30" s="182"/>
      <c r="Q30" s="182"/>
      <c r="R30" s="182"/>
      <c r="S30" s="182"/>
      <c r="T30" s="182"/>
      <c r="U30" s="183"/>
    </row>
    <row r="31" spans="2:21" x14ac:dyDescent="0.3">
      <c r="B31" s="158"/>
      <c r="C31" s="159"/>
      <c r="D31" s="184"/>
      <c r="E31" s="184"/>
      <c r="F31" s="184"/>
      <c r="G31" s="184"/>
      <c r="H31" s="184"/>
      <c r="I31" s="184"/>
      <c r="J31" s="184"/>
      <c r="K31" s="184"/>
      <c r="L31" s="184"/>
      <c r="M31" s="184"/>
      <c r="N31" s="184"/>
      <c r="O31" s="184"/>
      <c r="P31" s="184"/>
      <c r="Q31" s="184"/>
      <c r="R31" s="184"/>
      <c r="S31" s="184"/>
      <c r="T31" s="184"/>
      <c r="U31" s="185"/>
    </row>
    <row r="32" spans="2:21" x14ac:dyDescent="0.3">
      <c r="B32" s="158"/>
      <c r="C32" s="159"/>
      <c r="D32" s="184"/>
      <c r="E32" s="184"/>
      <c r="F32" s="184"/>
      <c r="G32" s="184"/>
      <c r="H32" s="184"/>
      <c r="I32" s="184"/>
      <c r="J32" s="184"/>
      <c r="K32" s="184"/>
      <c r="L32" s="184"/>
      <c r="M32" s="184"/>
      <c r="N32" s="184"/>
      <c r="O32" s="184"/>
      <c r="P32" s="184"/>
      <c r="Q32" s="184"/>
      <c r="R32" s="184"/>
      <c r="S32" s="184"/>
      <c r="T32" s="184"/>
      <c r="U32" s="185"/>
    </row>
    <row r="33" spans="2:21" ht="15" thickBot="1" x14ac:dyDescent="0.35">
      <c r="B33" s="160"/>
      <c r="C33" s="161"/>
      <c r="D33" s="186"/>
      <c r="E33" s="186"/>
      <c r="F33" s="186"/>
      <c r="G33" s="186"/>
      <c r="H33" s="186"/>
      <c r="I33" s="186"/>
      <c r="J33" s="186"/>
      <c r="K33" s="186"/>
      <c r="L33" s="186"/>
      <c r="M33" s="186"/>
      <c r="N33" s="186"/>
      <c r="O33" s="186"/>
      <c r="P33" s="186"/>
      <c r="Q33" s="186"/>
      <c r="R33" s="186"/>
      <c r="S33" s="186"/>
      <c r="T33" s="186"/>
      <c r="U33" s="187"/>
    </row>
    <row r="34" spans="2:21" x14ac:dyDescent="0.3">
      <c r="B34" s="156" t="s">
        <v>985</v>
      </c>
      <c r="C34" s="157"/>
      <c r="D34" s="162" t="s">
        <v>1439</v>
      </c>
      <c r="E34" s="162"/>
      <c r="F34" s="162"/>
      <c r="G34" s="162"/>
      <c r="H34" s="162"/>
      <c r="I34" s="162"/>
      <c r="J34" s="162"/>
      <c r="K34" s="162"/>
      <c r="L34" s="162"/>
      <c r="M34" s="162"/>
      <c r="N34" s="162"/>
      <c r="O34" s="162"/>
      <c r="P34" s="162"/>
      <c r="Q34" s="162"/>
      <c r="R34" s="162"/>
      <c r="S34" s="162"/>
      <c r="T34" s="162"/>
      <c r="U34" s="163"/>
    </row>
    <row r="35" spans="2:21" x14ac:dyDescent="0.3">
      <c r="B35" s="158"/>
      <c r="C35" s="159"/>
      <c r="D35" s="164"/>
      <c r="E35" s="164"/>
      <c r="F35" s="164"/>
      <c r="G35" s="164"/>
      <c r="H35" s="164"/>
      <c r="I35" s="164"/>
      <c r="J35" s="164"/>
      <c r="K35" s="164"/>
      <c r="L35" s="164"/>
      <c r="M35" s="164"/>
      <c r="N35" s="164"/>
      <c r="O35" s="164"/>
      <c r="P35" s="164"/>
      <c r="Q35" s="164"/>
      <c r="R35" s="164"/>
      <c r="S35" s="164"/>
      <c r="T35" s="164"/>
      <c r="U35" s="165"/>
    </row>
    <row r="36" spans="2:21" x14ac:dyDescent="0.3">
      <c r="B36" s="158"/>
      <c r="C36" s="159"/>
      <c r="D36" s="164"/>
      <c r="E36" s="164"/>
      <c r="F36" s="164"/>
      <c r="G36" s="164"/>
      <c r="H36" s="164"/>
      <c r="I36" s="164"/>
      <c r="J36" s="164"/>
      <c r="K36" s="164"/>
      <c r="L36" s="164"/>
      <c r="M36" s="164"/>
      <c r="N36" s="164"/>
      <c r="O36" s="164"/>
      <c r="P36" s="164"/>
      <c r="Q36" s="164"/>
      <c r="R36" s="164"/>
      <c r="S36" s="164"/>
      <c r="T36" s="164"/>
      <c r="U36" s="165"/>
    </row>
    <row r="37" spans="2:21" ht="15" thickBot="1" x14ac:dyDescent="0.35">
      <c r="B37" s="160"/>
      <c r="C37" s="161"/>
      <c r="D37" s="166"/>
      <c r="E37" s="166"/>
      <c r="F37" s="166"/>
      <c r="G37" s="166"/>
      <c r="H37" s="166"/>
      <c r="I37" s="166"/>
      <c r="J37" s="166"/>
      <c r="K37" s="166"/>
      <c r="L37" s="166"/>
      <c r="M37" s="166"/>
      <c r="N37" s="166"/>
      <c r="O37" s="166"/>
      <c r="P37" s="166"/>
      <c r="Q37" s="166"/>
      <c r="R37" s="166"/>
      <c r="S37" s="166"/>
      <c r="T37" s="166"/>
      <c r="U37" s="167"/>
    </row>
    <row r="38" spans="2:21" x14ac:dyDescent="0.3">
      <c r="B38" s="156" t="s">
        <v>985</v>
      </c>
      <c r="C38" s="157"/>
      <c r="D38" s="162" t="s">
        <v>1455</v>
      </c>
      <c r="E38" s="162"/>
      <c r="F38" s="162"/>
      <c r="G38" s="162"/>
      <c r="H38" s="162"/>
      <c r="I38" s="162"/>
      <c r="J38" s="162"/>
      <c r="K38" s="162"/>
      <c r="L38" s="162"/>
      <c r="M38" s="162"/>
      <c r="N38" s="162"/>
      <c r="O38" s="162"/>
      <c r="P38" s="162"/>
      <c r="Q38" s="162"/>
      <c r="R38" s="162"/>
      <c r="S38" s="162"/>
      <c r="T38" s="162"/>
      <c r="U38" s="163"/>
    </row>
    <row r="39" spans="2:21" x14ac:dyDescent="0.3">
      <c r="B39" s="158"/>
      <c r="C39" s="159"/>
      <c r="D39" s="164"/>
      <c r="E39" s="164"/>
      <c r="F39" s="164"/>
      <c r="G39" s="164"/>
      <c r="H39" s="164"/>
      <c r="I39" s="164"/>
      <c r="J39" s="164"/>
      <c r="K39" s="164"/>
      <c r="L39" s="164"/>
      <c r="M39" s="164"/>
      <c r="N39" s="164"/>
      <c r="O39" s="164"/>
      <c r="P39" s="164"/>
      <c r="Q39" s="164"/>
      <c r="R39" s="164"/>
      <c r="S39" s="164"/>
      <c r="T39" s="164"/>
      <c r="U39" s="165"/>
    </row>
    <row r="40" spans="2:21" x14ac:dyDescent="0.3">
      <c r="B40" s="158"/>
      <c r="C40" s="159"/>
      <c r="D40" s="164"/>
      <c r="E40" s="164"/>
      <c r="F40" s="164"/>
      <c r="G40" s="164"/>
      <c r="H40" s="164"/>
      <c r="I40" s="164"/>
      <c r="J40" s="164"/>
      <c r="K40" s="164"/>
      <c r="L40" s="164"/>
      <c r="M40" s="164"/>
      <c r="N40" s="164"/>
      <c r="O40" s="164"/>
      <c r="P40" s="164"/>
      <c r="Q40" s="164"/>
      <c r="R40" s="164"/>
      <c r="S40" s="164"/>
      <c r="T40" s="164"/>
      <c r="U40" s="165"/>
    </row>
    <row r="41" spans="2:21" ht="15" thickBot="1" x14ac:dyDescent="0.35">
      <c r="B41" s="160"/>
      <c r="C41" s="161"/>
      <c r="D41" s="166"/>
      <c r="E41" s="166"/>
      <c r="F41" s="166"/>
      <c r="G41" s="166"/>
      <c r="H41" s="166"/>
      <c r="I41" s="166"/>
      <c r="J41" s="166"/>
      <c r="K41" s="166"/>
      <c r="L41" s="166"/>
      <c r="M41" s="166"/>
      <c r="N41" s="166"/>
      <c r="O41" s="166"/>
      <c r="P41" s="166"/>
      <c r="Q41" s="166"/>
      <c r="R41" s="166"/>
      <c r="S41" s="166"/>
      <c r="T41" s="166"/>
      <c r="U41" s="167"/>
    </row>
    <row r="42" spans="2:21" x14ac:dyDescent="0.3">
      <c r="B42" s="156" t="s">
        <v>985</v>
      </c>
      <c r="C42" s="157"/>
      <c r="D42" s="162" t="s">
        <v>1440</v>
      </c>
      <c r="E42" s="162"/>
      <c r="F42" s="162"/>
      <c r="G42" s="162"/>
      <c r="H42" s="162"/>
      <c r="I42" s="162"/>
      <c r="J42" s="162"/>
      <c r="K42" s="162"/>
      <c r="L42" s="162"/>
      <c r="M42" s="162"/>
      <c r="N42" s="162"/>
      <c r="O42" s="162"/>
      <c r="P42" s="162"/>
      <c r="Q42" s="162"/>
      <c r="R42" s="162"/>
      <c r="S42" s="162"/>
      <c r="T42" s="162"/>
      <c r="U42" s="163"/>
    </row>
    <row r="43" spans="2:21" x14ac:dyDescent="0.3">
      <c r="B43" s="158"/>
      <c r="C43" s="159"/>
      <c r="D43" s="164"/>
      <c r="E43" s="164"/>
      <c r="F43" s="164"/>
      <c r="G43" s="164"/>
      <c r="H43" s="164"/>
      <c r="I43" s="164"/>
      <c r="J43" s="164"/>
      <c r="K43" s="164"/>
      <c r="L43" s="164"/>
      <c r="M43" s="164"/>
      <c r="N43" s="164"/>
      <c r="O43" s="164"/>
      <c r="P43" s="164"/>
      <c r="Q43" s="164"/>
      <c r="R43" s="164"/>
      <c r="S43" s="164"/>
      <c r="T43" s="164"/>
      <c r="U43" s="165"/>
    </row>
    <row r="44" spans="2:21" x14ac:dyDescent="0.3">
      <c r="B44" s="158"/>
      <c r="C44" s="159"/>
      <c r="D44" s="164"/>
      <c r="E44" s="164"/>
      <c r="F44" s="164"/>
      <c r="G44" s="164"/>
      <c r="H44" s="164"/>
      <c r="I44" s="164"/>
      <c r="J44" s="164"/>
      <c r="K44" s="164"/>
      <c r="L44" s="164"/>
      <c r="M44" s="164"/>
      <c r="N44" s="164"/>
      <c r="O44" s="164"/>
      <c r="P44" s="164"/>
      <c r="Q44" s="164"/>
      <c r="R44" s="164"/>
      <c r="S44" s="164"/>
      <c r="T44" s="164"/>
      <c r="U44" s="165"/>
    </row>
    <row r="45" spans="2:21" ht="15" thickBot="1" x14ac:dyDescent="0.35">
      <c r="B45" s="160"/>
      <c r="C45" s="161"/>
      <c r="D45" s="166"/>
      <c r="E45" s="166"/>
      <c r="F45" s="166"/>
      <c r="G45" s="166"/>
      <c r="H45" s="166"/>
      <c r="I45" s="166"/>
      <c r="J45" s="166"/>
      <c r="K45" s="166"/>
      <c r="L45" s="166"/>
      <c r="M45" s="166"/>
      <c r="N45" s="166"/>
      <c r="O45" s="166"/>
      <c r="P45" s="166"/>
      <c r="Q45" s="166"/>
      <c r="R45" s="166"/>
      <c r="S45" s="166"/>
      <c r="T45" s="166"/>
      <c r="U45" s="167"/>
    </row>
    <row r="46" spans="2:21" ht="14.4" customHeight="1" x14ac:dyDescent="0.3">
      <c r="B46" s="156" t="s">
        <v>985</v>
      </c>
      <c r="C46" s="157"/>
      <c r="D46" s="162" t="s">
        <v>1448</v>
      </c>
      <c r="E46" s="162"/>
      <c r="F46" s="162"/>
      <c r="G46" s="162"/>
      <c r="H46" s="162"/>
      <c r="I46" s="162"/>
      <c r="J46" s="162"/>
      <c r="K46" s="162"/>
      <c r="L46" s="162"/>
      <c r="M46" s="162"/>
      <c r="N46" s="162"/>
      <c r="O46" s="162"/>
      <c r="P46" s="162"/>
      <c r="Q46" s="162"/>
      <c r="R46" s="162"/>
      <c r="S46" s="162"/>
      <c r="T46" s="162"/>
      <c r="U46" s="163"/>
    </row>
    <row r="47" spans="2:21" ht="14.4" customHeight="1" x14ac:dyDescent="0.3">
      <c r="B47" s="158"/>
      <c r="C47" s="159"/>
      <c r="D47" s="164"/>
      <c r="E47" s="164"/>
      <c r="F47" s="164"/>
      <c r="G47" s="164"/>
      <c r="H47" s="164"/>
      <c r="I47" s="164"/>
      <c r="J47" s="164"/>
      <c r="K47" s="164"/>
      <c r="L47" s="164"/>
      <c r="M47" s="164"/>
      <c r="N47" s="164"/>
      <c r="O47" s="164"/>
      <c r="P47" s="164"/>
      <c r="Q47" s="164"/>
      <c r="R47" s="164"/>
      <c r="S47" s="164"/>
      <c r="T47" s="164"/>
      <c r="U47" s="165"/>
    </row>
    <row r="48" spans="2:21" ht="14.4" customHeight="1" x14ac:dyDescent="0.3">
      <c r="B48" s="158"/>
      <c r="C48" s="159"/>
      <c r="D48" s="164"/>
      <c r="E48" s="164"/>
      <c r="F48" s="164"/>
      <c r="G48" s="164"/>
      <c r="H48" s="164"/>
      <c r="I48" s="164"/>
      <c r="J48" s="164"/>
      <c r="K48" s="164"/>
      <c r="L48" s="164"/>
      <c r="M48" s="164"/>
      <c r="N48" s="164"/>
      <c r="O48" s="164"/>
      <c r="P48" s="164"/>
      <c r="Q48" s="164"/>
      <c r="R48" s="164"/>
      <c r="S48" s="164"/>
      <c r="T48" s="164"/>
      <c r="U48" s="165"/>
    </row>
    <row r="49" spans="2:21" ht="15" customHeight="1" thickBot="1" x14ac:dyDescent="0.35">
      <c r="B49" s="160"/>
      <c r="C49" s="161"/>
      <c r="D49" s="166"/>
      <c r="E49" s="166"/>
      <c r="F49" s="166"/>
      <c r="G49" s="166"/>
      <c r="H49" s="166"/>
      <c r="I49" s="166"/>
      <c r="J49" s="166"/>
      <c r="K49" s="166"/>
      <c r="L49" s="166"/>
      <c r="M49" s="166"/>
      <c r="N49" s="166"/>
      <c r="O49" s="166"/>
      <c r="P49" s="166"/>
      <c r="Q49" s="166"/>
      <c r="R49" s="166"/>
      <c r="S49" s="166"/>
      <c r="T49" s="166"/>
      <c r="U49" s="167"/>
    </row>
    <row r="50" spans="2:21" ht="19.95" customHeight="1" x14ac:dyDescent="0.3">
      <c r="B50" s="156" t="s">
        <v>986</v>
      </c>
      <c r="C50" s="157"/>
      <c r="D50" s="162" t="s">
        <v>1449</v>
      </c>
      <c r="E50" s="162"/>
      <c r="F50" s="162"/>
      <c r="G50" s="162"/>
      <c r="H50" s="162"/>
      <c r="I50" s="162"/>
      <c r="J50" s="162"/>
      <c r="K50" s="162"/>
      <c r="L50" s="162"/>
      <c r="M50" s="162"/>
      <c r="N50" s="162"/>
      <c r="O50" s="162"/>
      <c r="P50" s="162"/>
      <c r="Q50" s="162"/>
      <c r="R50" s="162"/>
      <c r="S50" s="162"/>
      <c r="T50" s="162"/>
      <c r="U50" s="163"/>
    </row>
    <row r="51" spans="2:21" ht="19.95" customHeight="1" x14ac:dyDescent="0.3">
      <c r="B51" s="158"/>
      <c r="C51" s="159"/>
      <c r="D51" s="164"/>
      <c r="E51" s="164"/>
      <c r="F51" s="164"/>
      <c r="G51" s="164"/>
      <c r="H51" s="164"/>
      <c r="I51" s="164"/>
      <c r="J51" s="164"/>
      <c r="K51" s="164"/>
      <c r="L51" s="164"/>
      <c r="M51" s="164"/>
      <c r="N51" s="164"/>
      <c r="O51" s="164"/>
      <c r="P51" s="164"/>
      <c r="Q51" s="164"/>
      <c r="R51" s="164"/>
      <c r="S51" s="164"/>
      <c r="T51" s="164"/>
      <c r="U51" s="165"/>
    </row>
    <row r="52" spans="2:21" ht="19.95" customHeight="1" x14ac:dyDescent="0.3">
      <c r="B52" s="158"/>
      <c r="C52" s="159"/>
      <c r="D52" s="164"/>
      <c r="E52" s="164"/>
      <c r="F52" s="164"/>
      <c r="G52" s="164"/>
      <c r="H52" s="164"/>
      <c r="I52" s="164"/>
      <c r="J52" s="164"/>
      <c r="K52" s="164"/>
      <c r="L52" s="164"/>
      <c r="M52" s="164"/>
      <c r="N52" s="164"/>
      <c r="O52" s="164"/>
      <c r="P52" s="164"/>
      <c r="Q52" s="164"/>
      <c r="R52" s="164"/>
      <c r="S52" s="164"/>
      <c r="T52" s="164"/>
      <c r="U52" s="165"/>
    </row>
    <row r="53" spans="2:21" ht="19.95" customHeight="1" thickBot="1" x14ac:dyDescent="0.35">
      <c r="B53" s="160"/>
      <c r="C53" s="161"/>
      <c r="D53" s="166"/>
      <c r="E53" s="166"/>
      <c r="F53" s="166"/>
      <c r="G53" s="166"/>
      <c r="H53" s="166"/>
      <c r="I53" s="166"/>
      <c r="J53" s="166"/>
      <c r="K53" s="166"/>
      <c r="L53" s="166"/>
      <c r="M53" s="166"/>
      <c r="N53" s="166"/>
      <c r="O53" s="166"/>
      <c r="P53" s="166"/>
      <c r="Q53" s="166"/>
      <c r="R53" s="166"/>
      <c r="S53" s="166"/>
      <c r="T53" s="166"/>
      <c r="U53" s="167"/>
    </row>
    <row r="54" spans="2:21" x14ac:dyDescent="0.3">
      <c r="B54" s="156" t="s">
        <v>986</v>
      </c>
      <c r="C54" s="157"/>
      <c r="D54" s="162" t="s">
        <v>1447</v>
      </c>
      <c r="E54" s="162"/>
      <c r="F54" s="162"/>
      <c r="G54" s="162"/>
      <c r="H54" s="162"/>
      <c r="I54" s="162"/>
      <c r="J54" s="162"/>
      <c r="K54" s="162"/>
      <c r="L54" s="162"/>
      <c r="M54" s="162"/>
      <c r="N54" s="162"/>
      <c r="O54" s="162"/>
      <c r="P54" s="162"/>
      <c r="Q54" s="162"/>
      <c r="R54" s="162"/>
      <c r="S54" s="162"/>
      <c r="T54" s="162"/>
      <c r="U54" s="163"/>
    </row>
    <row r="55" spans="2:21" x14ac:dyDescent="0.3">
      <c r="B55" s="158"/>
      <c r="C55" s="159"/>
      <c r="D55" s="164"/>
      <c r="E55" s="164"/>
      <c r="F55" s="164"/>
      <c r="G55" s="164"/>
      <c r="H55" s="164"/>
      <c r="I55" s="164"/>
      <c r="J55" s="164"/>
      <c r="K55" s="164"/>
      <c r="L55" s="164"/>
      <c r="M55" s="164"/>
      <c r="N55" s="164"/>
      <c r="O55" s="164"/>
      <c r="P55" s="164"/>
      <c r="Q55" s="164"/>
      <c r="R55" s="164"/>
      <c r="S55" s="164"/>
      <c r="T55" s="164"/>
      <c r="U55" s="165"/>
    </row>
    <row r="56" spans="2:21" x14ac:dyDescent="0.3">
      <c r="B56" s="158"/>
      <c r="C56" s="159"/>
      <c r="D56" s="164"/>
      <c r="E56" s="164"/>
      <c r="F56" s="164"/>
      <c r="G56" s="164"/>
      <c r="H56" s="164"/>
      <c r="I56" s="164"/>
      <c r="J56" s="164"/>
      <c r="K56" s="164"/>
      <c r="L56" s="164"/>
      <c r="M56" s="164"/>
      <c r="N56" s="164"/>
      <c r="O56" s="164"/>
      <c r="P56" s="164"/>
      <c r="Q56" s="164"/>
      <c r="R56" s="164"/>
      <c r="S56" s="164"/>
      <c r="T56" s="164"/>
      <c r="U56" s="165"/>
    </row>
    <row r="57" spans="2:21" ht="15" thickBot="1" x14ac:dyDescent="0.35">
      <c r="B57" s="160"/>
      <c r="C57" s="161"/>
      <c r="D57" s="166"/>
      <c r="E57" s="166"/>
      <c r="F57" s="166"/>
      <c r="G57" s="166"/>
      <c r="H57" s="166"/>
      <c r="I57" s="166"/>
      <c r="J57" s="166"/>
      <c r="K57" s="166"/>
      <c r="L57" s="166"/>
      <c r="M57" s="166"/>
      <c r="N57" s="166"/>
      <c r="O57" s="166"/>
      <c r="P57" s="166"/>
      <c r="Q57" s="166"/>
      <c r="R57" s="166"/>
      <c r="S57" s="166"/>
      <c r="T57" s="166"/>
      <c r="U57" s="167"/>
    </row>
    <row r="58" spans="2:21" x14ac:dyDescent="0.3">
      <c r="B58" s="35"/>
      <c r="C58" s="35"/>
      <c r="D58" s="35"/>
      <c r="E58" s="35"/>
      <c r="F58" s="35"/>
      <c r="G58" s="35"/>
      <c r="H58" s="35"/>
      <c r="I58" s="35"/>
      <c r="J58" s="35"/>
      <c r="K58" s="35"/>
      <c r="L58" s="35"/>
      <c r="M58" s="35"/>
      <c r="N58" s="35"/>
      <c r="O58" s="35"/>
      <c r="P58" s="35"/>
      <c r="Q58" s="35"/>
      <c r="R58" s="35"/>
      <c r="S58" s="35"/>
      <c r="T58" s="35"/>
      <c r="U58" s="35"/>
    </row>
    <row r="59" spans="2:21" x14ac:dyDescent="0.3">
      <c r="B59" s="35"/>
      <c r="C59" s="35"/>
      <c r="D59" s="35"/>
      <c r="E59" s="35"/>
      <c r="F59" s="35"/>
      <c r="G59" s="35"/>
      <c r="H59" s="35"/>
      <c r="I59" s="35"/>
      <c r="J59" s="35"/>
      <c r="K59" s="35"/>
      <c r="L59" s="35"/>
      <c r="M59" s="35"/>
      <c r="N59" s="35"/>
      <c r="O59" s="35"/>
      <c r="P59" s="35"/>
      <c r="Q59" s="35"/>
      <c r="R59" s="35"/>
      <c r="S59" s="35"/>
      <c r="T59" s="35"/>
      <c r="U59" s="35"/>
    </row>
    <row r="60" spans="2:21" x14ac:dyDescent="0.3">
      <c r="B60" s="35"/>
      <c r="C60" s="35"/>
      <c r="D60" s="35"/>
      <c r="E60" s="35"/>
      <c r="F60" s="35"/>
      <c r="G60" s="35"/>
      <c r="H60" s="35"/>
      <c r="I60" s="35"/>
      <c r="J60" s="35"/>
      <c r="K60" s="35"/>
      <c r="L60" s="35"/>
      <c r="M60" s="35"/>
      <c r="N60" s="35"/>
      <c r="O60" s="35"/>
      <c r="P60" s="35"/>
      <c r="Q60" s="35"/>
      <c r="R60" s="35"/>
      <c r="S60" s="35"/>
      <c r="T60" s="35"/>
      <c r="U60" s="35"/>
    </row>
    <row r="61" spans="2:21" x14ac:dyDescent="0.3">
      <c r="B61" s="35"/>
      <c r="C61" s="35"/>
      <c r="D61" s="35"/>
      <c r="E61" s="35"/>
      <c r="F61" s="35"/>
      <c r="G61" s="35"/>
      <c r="H61" s="35"/>
      <c r="I61" s="35"/>
      <c r="J61" s="35"/>
      <c r="K61" s="35"/>
      <c r="L61" s="35"/>
      <c r="M61" s="35"/>
      <c r="N61" s="35"/>
      <c r="O61" s="35"/>
      <c r="P61" s="35"/>
      <c r="Q61" s="35"/>
      <c r="R61" s="35"/>
      <c r="S61" s="35"/>
      <c r="T61" s="35"/>
      <c r="U61" s="35"/>
    </row>
    <row r="62" spans="2:21" x14ac:dyDescent="0.3">
      <c r="B62" s="35"/>
      <c r="C62" s="35"/>
      <c r="D62" s="35"/>
      <c r="E62" s="35"/>
      <c r="F62" s="35"/>
      <c r="G62" s="35"/>
      <c r="H62" s="35"/>
      <c r="I62" s="35"/>
      <c r="J62" s="35"/>
      <c r="K62" s="35"/>
      <c r="L62" s="35"/>
      <c r="M62" s="35"/>
      <c r="N62" s="35"/>
      <c r="O62" s="35"/>
      <c r="P62" s="35"/>
      <c r="Q62" s="35"/>
      <c r="R62" s="35"/>
      <c r="S62" s="35"/>
      <c r="T62" s="35"/>
      <c r="U62" s="35"/>
    </row>
    <row r="63" spans="2:21" x14ac:dyDescent="0.3">
      <c r="B63" s="35"/>
      <c r="C63" s="35"/>
      <c r="D63" s="35"/>
      <c r="E63" s="35"/>
      <c r="F63" s="35"/>
      <c r="G63" s="35"/>
      <c r="H63" s="35"/>
      <c r="I63" s="35"/>
      <c r="J63" s="35"/>
      <c r="K63" s="35"/>
      <c r="L63" s="35"/>
      <c r="M63" s="35"/>
      <c r="N63" s="35"/>
      <c r="O63" s="35"/>
      <c r="P63" s="35"/>
      <c r="Q63" s="35"/>
      <c r="R63" s="35"/>
      <c r="S63" s="35"/>
      <c r="T63" s="35"/>
      <c r="U63" s="35"/>
    </row>
    <row r="64" spans="2:21" x14ac:dyDescent="0.3">
      <c r="B64" s="35"/>
      <c r="C64" s="35"/>
      <c r="D64" s="35"/>
      <c r="E64" s="35"/>
      <c r="F64" s="35"/>
      <c r="G64" s="35"/>
      <c r="H64" s="35"/>
      <c r="I64" s="35"/>
      <c r="J64" s="35"/>
      <c r="K64" s="35"/>
      <c r="L64" s="35"/>
      <c r="M64" s="35"/>
      <c r="N64" s="35"/>
      <c r="O64" s="35"/>
      <c r="P64" s="35"/>
      <c r="Q64" s="35"/>
      <c r="R64" s="35"/>
      <c r="S64" s="35"/>
      <c r="T64" s="35"/>
      <c r="U64" s="35"/>
    </row>
    <row r="65" spans="2:21" x14ac:dyDescent="0.3">
      <c r="B65" s="35"/>
      <c r="C65" s="35"/>
      <c r="D65" s="35"/>
      <c r="E65" s="35"/>
      <c r="F65" s="35"/>
      <c r="G65" s="35"/>
      <c r="H65" s="35"/>
      <c r="I65" s="35"/>
      <c r="J65" s="35"/>
      <c r="K65" s="35"/>
      <c r="L65" s="35"/>
      <c r="M65" s="35"/>
      <c r="N65" s="35"/>
      <c r="O65" s="35"/>
      <c r="P65" s="35"/>
      <c r="Q65" s="35"/>
      <c r="R65" s="35"/>
      <c r="S65" s="35"/>
      <c r="T65" s="35"/>
      <c r="U65" s="35"/>
    </row>
    <row r="66" spans="2:21" x14ac:dyDescent="0.3">
      <c r="B66" s="35"/>
      <c r="C66" s="35"/>
      <c r="D66" s="35"/>
      <c r="E66" s="35"/>
      <c r="F66" s="35"/>
      <c r="G66" s="35"/>
      <c r="H66" s="35"/>
      <c r="I66" s="35"/>
      <c r="J66" s="35"/>
      <c r="K66" s="35"/>
      <c r="L66" s="35"/>
      <c r="M66" s="35"/>
      <c r="N66" s="35"/>
      <c r="O66" s="35"/>
      <c r="P66" s="35"/>
      <c r="Q66" s="35"/>
      <c r="R66" s="35"/>
      <c r="S66" s="35"/>
      <c r="T66" s="35"/>
      <c r="U66" s="35"/>
    </row>
    <row r="67" spans="2:21" x14ac:dyDescent="0.3">
      <c r="B67" s="35"/>
      <c r="C67" s="35"/>
      <c r="D67" s="35"/>
      <c r="E67" s="35"/>
      <c r="F67" s="35"/>
      <c r="G67" s="35"/>
      <c r="H67" s="35"/>
      <c r="I67" s="35"/>
      <c r="J67" s="35"/>
      <c r="K67" s="35"/>
      <c r="L67" s="35"/>
      <c r="M67" s="35"/>
      <c r="N67" s="35"/>
      <c r="O67" s="35"/>
      <c r="P67" s="35"/>
      <c r="Q67" s="35"/>
      <c r="R67" s="35"/>
      <c r="S67" s="35"/>
      <c r="T67" s="35"/>
      <c r="U67" s="35"/>
    </row>
    <row r="68" spans="2:21" x14ac:dyDescent="0.3">
      <c r="B68" s="35"/>
      <c r="C68" s="35"/>
      <c r="D68" s="35"/>
      <c r="E68" s="35"/>
      <c r="F68" s="35"/>
      <c r="G68" s="35"/>
      <c r="H68" s="35"/>
      <c r="I68" s="35"/>
      <c r="J68" s="35"/>
      <c r="K68" s="35"/>
      <c r="L68" s="35"/>
      <c r="M68" s="35"/>
      <c r="N68" s="35"/>
      <c r="O68" s="35"/>
      <c r="P68" s="35"/>
      <c r="Q68" s="35"/>
      <c r="R68" s="35"/>
      <c r="S68" s="35"/>
      <c r="T68" s="35"/>
      <c r="U68" s="35"/>
    </row>
    <row r="69" spans="2:21" x14ac:dyDescent="0.3">
      <c r="B69" s="35"/>
      <c r="C69" s="35"/>
      <c r="D69" s="35"/>
      <c r="E69" s="35"/>
      <c r="F69" s="35"/>
      <c r="G69" s="35"/>
      <c r="H69" s="35"/>
      <c r="I69" s="35"/>
      <c r="J69" s="35"/>
      <c r="K69" s="35"/>
      <c r="L69" s="35"/>
      <c r="M69" s="35"/>
      <c r="N69" s="35"/>
      <c r="O69" s="35"/>
      <c r="P69" s="35"/>
      <c r="Q69" s="35"/>
      <c r="R69" s="35"/>
      <c r="S69" s="35"/>
      <c r="T69" s="35"/>
      <c r="U69" s="35"/>
    </row>
    <row r="70" spans="2:21" x14ac:dyDescent="0.3">
      <c r="B70" s="35"/>
      <c r="C70" s="35"/>
      <c r="D70" s="35"/>
      <c r="E70" s="35"/>
      <c r="F70" s="35"/>
      <c r="G70" s="35"/>
      <c r="H70" s="35"/>
      <c r="I70" s="35"/>
      <c r="J70" s="35"/>
      <c r="K70" s="35"/>
      <c r="L70" s="35"/>
      <c r="M70" s="35"/>
      <c r="N70" s="35"/>
      <c r="O70" s="35"/>
      <c r="P70" s="35"/>
      <c r="Q70" s="35"/>
      <c r="R70" s="35"/>
      <c r="S70" s="35"/>
      <c r="T70" s="35"/>
      <c r="U70" s="35"/>
    </row>
    <row r="71" spans="2:21" x14ac:dyDescent="0.3">
      <c r="B71" s="35"/>
      <c r="C71" s="35"/>
      <c r="D71" s="35"/>
      <c r="E71" s="35"/>
      <c r="F71" s="35"/>
      <c r="G71" s="35"/>
      <c r="H71" s="35"/>
      <c r="I71" s="35"/>
      <c r="J71" s="35"/>
      <c r="K71" s="35"/>
      <c r="L71" s="35"/>
      <c r="M71" s="35"/>
      <c r="N71" s="35"/>
      <c r="O71" s="35"/>
      <c r="P71" s="35"/>
      <c r="Q71" s="35"/>
      <c r="R71" s="35"/>
      <c r="S71" s="35"/>
      <c r="T71" s="35"/>
      <c r="U71" s="35"/>
    </row>
    <row r="72" spans="2:21" x14ac:dyDescent="0.3">
      <c r="B72" s="35"/>
      <c r="C72" s="35"/>
      <c r="D72" s="35"/>
      <c r="E72" s="35"/>
      <c r="F72" s="35"/>
      <c r="G72" s="35"/>
      <c r="H72" s="35"/>
      <c r="I72" s="35"/>
      <c r="J72" s="35"/>
      <c r="K72" s="35"/>
      <c r="L72" s="35"/>
      <c r="M72" s="35"/>
      <c r="N72" s="35"/>
      <c r="O72" s="35"/>
      <c r="P72" s="35"/>
      <c r="Q72" s="35"/>
      <c r="R72" s="35"/>
      <c r="S72" s="35"/>
      <c r="T72" s="35"/>
      <c r="U72" s="35"/>
    </row>
    <row r="73" spans="2:21" x14ac:dyDescent="0.3">
      <c r="B73" s="35"/>
      <c r="C73" s="35"/>
      <c r="D73" s="35"/>
      <c r="E73" s="35"/>
      <c r="F73" s="35"/>
      <c r="G73" s="35"/>
      <c r="H73" s="35"/>
      <c r="I73" s="35"/>
      <c r="J73" s="35"/>
      <c r="K73" s="35"/>
      <c r="L73" s="35"/>
      <c r="M73" s="35"/>
      <c r="N73" s="35"/>
      <c r="O73" s="35"/>
      <c r="P73" s="35"/>
      <c r="Q73" s="35"/>
      <c r="R73" s="35"/>
      <c r="S73" s="35"/>
      <c r="T73" s="35"/>
      <c r="U73" s="35"/>
    </row>
    <row r="74" spans="2:21" x14ac:dyDescent="0.3">
      <c r="B74" s="35"/>
      <c r="C74" s="35"/>
      <c r="D74" s="35"/>
      <c r="E74" s="35"/>
      <c r="F74" s="35"/>
      <c r="G74" s="35"/>
      <c r="H74" s="35"/>
      <c r="I74" s="35"/>
      <c r="J74" s="35"/>
      <c r="K74" s="35"/>
      <c r="L74" s="35"/>
      <c r="M74" s="35"/>
      <c r="N74" s="35"/>
      <c r="O74" s="35"/>
      <c r="P74" s="35"/>
      <c r="Q74" s="35"/>
      <c r="R74" s="35"/>
      <c r="S74" s="35"/>
      <c r="T74" s="35"/>
      <c r="U74" s="35"/>
    </row>
    <row r="75" spans="2:21" x14ac:dyDescent="0.3">
      <c r="B75" s="35"/>
      <c r="C75" s="35"/>
      <c r="D75" s="35"/>
      <c r="E75" s="35"/>
      <c r="F75" s="35"/>
      <c r="G75" s="35"/>
      <c r="H75" s="35"/>
      <c r="I75" s="35"/>
      <c r="J75" s="35"/>
      <c r="K75" s="35"/>
      <c r="L75" s="35"/>
      <c r="M75" s="35"/>
      <c r="N75" s="35"/>
      <c r="O75" s="35"/>
      <c r="P75" s="35"/>
      <c r="Q75" s="35"/>
      <c r="R75" s="35"/>
      <c r="S75" s="35"/>
      <c r="T75" s="35"/>
      <c r="U75" s="35"/>
    </row>
    <row r="76" spans="2:21" x14ac:dyDescent="0.3">
      <c r="B76" s="35"/>
      <c r="C76" s="35"/>
      <c r="D76" s="35"/>
      <c r="E76" s="35"/>
      <c r="F76" s="35"/>
      <c r="G76" s="35"/>
      <c r="H76" s="35"/>
      <c r="I76" s="35"/>
      <c r="J76" s="35"/>
      <c r="K76" s="35"/>
      <c r="L76" s="35"/>
      <c r="M76" s="35"/>
      <c r="N76" s="35"/>
      <c r="O76" s="35"/>
      <c r="P76" s="35"/>
      <c r="Q76" s="35"/>
      <c r="R76" s="35"/>
      <c r="S76" s="35"/>
      <c r="T76" s="35"/>
      <c r="U76" s="35"/>
    </row>
    <row r="77" spans="2:21" x14ac:dyDescent="0.3">
      <c r="B77" s="35"/>
      <c r="C77" s="35"/>
      <c r="D77" s="35"/>
      <c r="E77" s="35"/>
      <c r="F77" s="35"/>
      <c r="G77" s="35"/>
      <c r="H77" s="35"/>
      <c r="I77" s="35"/>
      <c r="J77" s="35"/>
      <c r="K77" s="35"/>
      <c r="L77" s="35"/>
      <c r="M77" s="35"/>
      <c r="N77" s="35"/>
      <c r="O77" s="35"/>
      <c r="P77" s="35"/>
      <c r="Q77" s="35"/>
      <c r="R77" s="35"/>
      <c r="S77" s="35"/>
      <c r="T77" s="35"/>
      <c r="U77" s="35"/>
    </row>
    <row r="78" spans="2:21" x14ac:dyDescent="0.3">
      <c r="B78" s="35"/>
      <c r="C78" s="35"/>
      <c r="D78" s="35"/>
      <c r="E78" s="35"/>
      <c r="F78" s="35"/>
      <c r="G78" s="35"/>
      <c r="H78" s="35"/>
      <c r="I78" s="35"/>
      <c r="J78" s="35"/>
      <c r="K78" s="35"/>
      <c r="L78" s="35"/>
      <c r="M78" s="35"/>
      <c r="N78" s="35"/>
      <c r="O78" s="35"/>
      <c r="P78" s="35"/>
      <c r="Q78" s="35"/>
      <c r="R78" s="35"/>
      <c r="S78" s="35"/>
      <c r="T78" s="35"/>
      <c r="U78" s="35"/>
    </row>
    <row r="79" spans="2:21" x14ac:dyDescent="0.3">
      <c r="B79" s="35"/>
      <c r="C79" s="35"/>
      <c r="D79" s="35"/>
      <c r="E79" s="35"/>
      <c r="F79" s="35"/>
      <c r="G79" s="35"/>
      <c r="H79" s="35"/>
      <c r="I79" s="35"/>
      <c r="J79" s="35"/>
      <c r="K79" s="35"/>
      <c r="L79" s="35"/>
      <c r="M79" s="35"/>
      <c r="N79" s="35"/>
      <c r="O79" s="35"/>
      <c r="P79" s="35"/>
      <c r="Q79" s="35"/>
      <c r="R79" s="35"/>
      <c r="S79" s="35"/>
      <c r="T79" s="35"/>
      <c r="U79" s="35"/>
    </row>
    <row r="80" spans="2:21" x14ac:dyDescent="0.3">
      <c r="B80" s="35"/>
      <c r="C80" s="35"/>
      <c r="D80" s="35"/>
      <c r="E80" s="35"/>
      <c r="F80" s="35"/>
      <c r="G80" s="35"/>
      <c r="H80" s="35"/>
      <c r="I80" s="35"/>
      <c r="J80" s="35"/>
      <c r="K80" s="35"/>
      <c r="L80" s="35"/>
      <c r="M80" s="35"/>
      <c r="N80" s="35"/>
      <c r="O80" s="35"/>
      <c r="P80" s="35"/>
      <c r="Q80" s="35"/>
      <c r="R80" s="35"/>
      <c r="S80" s="35"/>
      <c r="T80" s="35"/>
      <c r="U80" s="35"/>
    </row>
    <row r="81" spans="2:21" x14ac:dyDescent="0.3">
      <c r="B81" s="35"/>
      <c r="C81" s="35"/>
      <c r="D81" s="35"/>
      <c r="E81" s="35"/>
      <c r="F81" s="35"/>
      <c r="G81" s="35"/>
      <c r="H81" s="35"/>
      <c r="I81" s="35"/>
      <c r="J81" s="35"/>
      <c r="K81" s="35"/>
      <c r="L81" s="35"/>
      <c r="M81" s="35"/>
      <c r="N81" s="35"/>
      <c r="O81" s="35"/>
      <c r="P81" s="35"/>
      <c r="Q81" s="35"/>
      <c r="R81" s="35"/>
      <c r="S81" s="35"/>
      <c r="T81" s="35"/>
      <c r="U81" s="35"/>
    </row>
    <row r="82" spans="2:21" x14ac:dyDescent="0.3">
      <c r="B82" s="35"/>
      <c r="C82" s="35"/>
      <c r="D82" s="35"/>
      <c r="E82" s="35"/>
      <c r="F82" s="35"/>
      <c r="G82" s="35"/>
      <c r="H82" s="35"/>
      <c r="I82" s="35"/>
      <c r="J82" s="35"/>
      <c r="K82" s="35"/>
      <c r="L82" s="35"/>
      <c r="M82" s="35"/>
      <c r="N82" s="35"/>
      <c r="O82" s="35"/>
      <c r="P82" s="35"/>
      <c r="Q82" s="35"/>
      <c r="R82" s="35"/>
      <c r="S82" s="35"/>
      <c r="T82" s="35"/>
      <c r="U82" s="35"/>
    </row>
    <row r="83" spans="2:21" x14ac:dyDescent="0.3">
      <c r="B83" s="35"/>
      <c r="C83" s="35"/>
      <c r="D83" s="35"/>
      <c r="E83" s="35"/>
      <c r="F83" s="35"/>
      <c r="G83" s="35"/>
      <c r="H83" s="35"/>
      <c r="I83" s="35"/>
      <c r="J83" s="35"/>
      <c r="K83" s="35"/>
      <c r="L83" s="35"/>
      <c r="M83" s="35"/>
      <c r="N83" s="35"/>
      <c r="O83" s="35"/>
      <c r="P83" s="35"/>
      <c r="Q83" s="35"/>
      <c r="R83" s="35"/>
      <c r="S83" s="35"/>
      <c r="T83" s="35"/>
      <c r="U83" s="35"/>
    </row>
    <row r="84" spans="2:21" x14ac:dyDescent="0.3">
      <c r="B84" s="35"/>
      <c r="C84" s="35"/>
      <c r="D84" s="35"/>
      <c r="E84" s="35"/>
      <c r="F84" s="35"/>
      <c r="G84" s="35"/>
      <c r="H84" s="35"/>
      <c r="I84" s="35"/>
      <c r="J84" s="35"/>
      <c r="K84" s="35"/>
      <c r="L84" s="35"/>
      <c r="M84" s="35"/>
      <c r="N84" s="35"/>
      <c r="O84" s="35"/>
      <c r="P84" s="35"/>
      <c r="Q84" s="35"/>
      <c r="R84" s="35"/>
      <c r="S84" s="35"/>
      <c r="T84" s="35"/>
      <c r="U84" s="35"/>
    </row>
    <row r="85" spans="2:21" x14ac:dyDescent="0.3">
      <c r="B85" s="35"/>
      <c r="C85" s="35"/>
      <c r="D85" s="35"/>
      <c r="E85" s="35"/>
      <c r="F85" s="35"/>
      <c r="G85" s="35"/>
      <c r="H85" s="35"/>
      <c r="I85" s="35"/>
      <c r="J85" s="35"/>
      <c r="K85" s="35"/>
      <c r="L85" s="35"/>
      <c r="M85" s="35"/>
      <c r="N85" s="35"/>
      <c r="O85" s="35"/>
      <c r="P85" s="35"/>
      <c r="Q85" s="35"/>
      <c r="R85" s="35"/>
      <c r="S85" s="35"/>
      <c r="T85" s="35"/>
      <c r="U85" s="35"/>
    </row>
    <row r="86" spans="2:21" x14ac:dyDescent="0.3">
      <c r="B86" s="35"/>
      <c r="C86" s="35"/>
      <c r="D86" s="35"/>
      <c r="E86" s="35"/>
      <c r="F86" s="35"/>
      <c r="G86" s="35"/>
      <c r="H86" s="35"/>
      <c r="I86" s="35"/>
      <c r="J86" s="35"/>
      <c r="K86" s="35"/>
      <c r="L86" s="35"/>
      <c r="M86" s="35"/>
      <c r="N86" s="35"/>
      <c r="O86" s="35"/>
      <c r="P86" s="35"/>
      <c r="Q86" s="35"/>
      <c r="R86" s="35"/>
      <c r="S86" s="35"/>
      <c r="T86" s="35"/>
      <c r="U86" s="35"/>
    </row>
    <row r="87" spans="2:21" x14ac:dyDescent="0.3">
      <c r="B87" s="35"/>
      <c r="C87" s="35"/>
      <c r="D87" s="35"/>
      <c r="E87" s="35"/>
      <c r="F87" s="35"/>
      <c r="G87" s="35"/>
      <c r="H87" s="35"/>
      <c r="I87" s="35"/>
      <c r="J87" s="35"/>
      <c r="K87" s="35"/>
      <c r="L87" s="35"/>
      <c r="M87" s="35"/>
      <c r="N87" s="35"/>
      <c r="O87" s="35"/>
      <c r="P87" s="35"/>
      <c r="Q87" s="35"/>
      <c r="R87" s="35"/>
      <c r="S87" s="35"/>
      <c r="T87" s="35"/>
      <c r="U87" s="35"/>
    </row>
    <row r="88" spans="2:21" x14ac:dyDescent="0.3">
      <c r="B88" s="35"/>
      <c r="C88" s="35"/>
      <c r="D88" s="35"/>
      <c r="E88" s="35"/>
      <c r="F88" s="35"/>
      <c r="G88" s="35"/>
      <c r="H88" s="35"/>
      <c r="I88" s="35"/>
      <c r="J88" s="35"/>
      <c r="K88" s="35"/>
      <c r="L88" s="35"/>
      <c r="M88" s="35"/>
      <c r="N88" s="35"/>
      <c r="O88" s="35"/>
      <c r="P88" s="35"/>
      <c r="Q88" s="35"/>
      <c r="R88" s="35"/>
      <c r="S88" s="35"/>
      <c r="T88" s="35"/>
      <c r="U88" s="35"/>
    </row>
    <row r="89" spans="2:21" x14ac:dyDescent="0.3">
      <c r="B89" s="35"/>
      <c r="C89" s="35"/>
      <c r="D89" s="35"/>
      <c r="E89" s="35"/>
      <c r="F89" s="35"/>
      <c r="G89" s="35"/>
      <c r="H89" s="35"/>
      <c r="I89" s="35"/>
      <c r="J89" s="35"/>
      <c r="K89" s="35"/>
      <c r="L89" s="35"/>
      <c r="M89" s="35"/>
      <c r="N89" s="35"/>
      <c r="O89" s="35"/>
      <c r="P89" s="35"/>
      <c r="Q89" s="35"/>
      <c r="R89" s="35"/>
      <c r="S89" s="35"/>
      <c r="T89" s="35"/>
      <c r="U89" s="35"/>
    </row>
    <row r="90" spans="2:21" x14ac:dyDescent="0.3">
      <c r="B90" s="35"/>
      <c r="C90" s="35"/>
      <c r="D90" s="35"/>
      <c r="E90" s="35"/>
      <c r="F90" s="35"/>
      <c r="G90" s="35"/>
      <c r="H90" s="35"/>
      <c r="I90" s="35"/>
      <c r="J90" s="35"/>
      <c r="K90" s="35"/>
      <c r="L90" s="35"/>
      <c r="M90" s="35"/>
      <c r="N90" s="35"/>
      <c r="O90" s="35"/>
      <c r="P90" s="35"/>
      <c r="Q90" s="35"/>
      <c r="R90" s="35"/>
      <c r="S90" s="35"/>
      <c r="T90" s="35"/>
      <c r="U90" s="35"/>
    </row>
    <row r="91" spans="2:21" x14ac:dyDescent="0.3">
      <c r="B91" s="35"/>
      <c r="C91" s="35"/>
      <c r="D91" s="35"/>
      <c r="E91" s="35"/>
      <c r="F91" s="35"/>
      <c r="G91" s="35"/>
      <c r="H91" s="35"/>
      <c r="I91" s="35"/>
      <c r="J91" s="35"/>
      <c r="K91" s="35"/>
      <c r="L91" s="35"/>
      <c r="M91" s="35"/>
      <c r="N91" s="35"/>
      <c r="O91" s="35"/>
      <c r="P91" s="35"/>
      <c r="Q91" s="35"/>
      <c r="R91" s="35"/>
      <c r="S91" s="35"/>
      <c r="T91" s="35"/>
      <c r="U91" s="35"/>
    </row>
    <row r="92" spans="2:21" x14ac:dyDescent="0.3">
      <c r="B92" s="35"/>
      <c r="C92" s="35"/>
      <c r="D92" s="35"/>
      <c r="E92" s="35"/>
      <c r="F92" s="35"/>
      <c r="G92" s="35"/>
      <c r="H92" s="35"/>
      <c r="I92" s="35"/>
      <c r="J92" s="35"/>
      <c r="K92" s="35"/>
      <c r="L92" s="35"/>
      <c r="M92" s="35"/>
      <c r="N92" s="35"/>
      <c r="O92" s="35"/>
      <c r="P92" s="35"/>
      <c r="Q92" s="35"/>
      <c r="R92" s="35"/>
      <c r="S92" s="35"/>
      <c r="T92" s="35"/>
      <c r="U92" s="35"/>
    </row>
    <row r="93" spans="2:21" x14ac:dyDescent="0.3">
      <c r="B93" s="35"/>
      <c r="C93" s="35"/>
      <c r="D93" s="35"/>
      <c r="E93" s="35"/>
      <c r="F93" s="35"/>
      <c r="G93" s="35"/>
      <c r="H93" s="35"/>
      <c r="I93" s="35"/>
      <c r="J93" s="35"/>
      <c r="K93" s="35"/>
      <c r="L93" s="35"/>
      <c r="M93" s="35"/>
      <c r="N93" s="35"/>
      <c r="O93" s="35"/>
      <c r="P93" s="35"/>
      <c r="Q93" s="35"/>
      <c r="R93" s="35"/>
      <c r="S93" s="35"/>
      <c r="T93" s="35"/>
      <c r="U93" s="35"/>
    </row>
    <row r="94" spans="2:21" x14ac:dyDescent="0.3">
      <c r="B94" s="35"/>
      <c r="C94" s="35"/>
      <c r="D94" s="35"/>
      <c r="E94" s="35"/>
      <c r="F94" s="35"/>
      <c r="G94" s="35"/>
      <c r="H94" s="35"/>
      <c r="I94" s="35"/>
      <c r="J94" s="35"/>
      <c r="K94" s="35"/>
      <c r="L94" s="35"/>
      <c r="M94" s="35"/>
      <c r="N94" s="35"/>
      <c r="O94" s="35"/>
      <c r="P94" s="35"/>
      <c r="Q94" s="35"/>
      <c r="R94" s="35"/>
      <c r="S94" s="35"/>
      <c r="T94" s="35"/>
      <c r="U94" s="35"/>
    </row>
    <row r="95" spans="2:21" x14ac:dyDescent="0.3">
      <c r="B95" s="35"/>
      <c r="C95" s="35"/>
      <c r="D95" s="35"/>
      <c r="E95" s="35"/>
      <c r="F95" s="35"/>
      <c r="G95" s="35"/>
      <c r="H95" s="35"/>
      <c r="I95" s="35"/>
      <c r="J95" s="35"/>
      <c r="K95" s="35"/>
      <c r="L95" s="35"/>
      <c r="M95" s="35"/>
      <c r="N95" s="35"/>
      <c r="O95" s="35"/>
      <c r="P95" s="35"/>
      <c r="Q95" s="35"/>
      <c r="R95" s="35"/>
      <c r="S95" s="35"/>
      <c r="T95" s="35"/>
      <c r="U95" s="35"/>
    </row>
    <row r="96" spans="2:21" x14ac:dyDescent="0.3">
      <c r="B96" s="35"/>
      <c r="C96" s="35"/>
      <c r="D96" s="35"/>
      <c r="E96" s="35"/>
      <c r="F96" s="35"/>
      <c r="G96" s="35"/>
      <c r="H96" s="35"/>
      <c r="I96" s="35"/>
      <c r="J96" s="35"/>
      <c r="K96" s="35"/>
      <c r="L96" s="35"/>
      <c r="M96" s="35"/>
      <c r="N96" s="35"/>
      <c r="O96" s="35"/>
      <c r="P96" s="35"/>
      <c r="Q96" s="35"/>
      <c r="R96" s="35"/>
      <c r="S96" s="35"/>
      <c r="T96" s="35"/>
      <c r="U96" s="35"/>
    </row>
    <row r="97" spans="2:21" x14ac:dyDescent="0.3">
      <c r="B97" s="35"/>
      <c r="C97" s="35"/>
      <c r="D97" s="35"/>
      <c r="E97" s="35"/>
      <c r="F97" s="35"/>
      <c r="G97" s="35"/>
      <c r="H97" s="35"/>
      <c r="I97" s="35"/>
      <c r="J97" s="35"/>
      <c r="K97" s="35"/>
      <c r="L97" s="35"/>
      <c r="M97" s="35"/>
      <c r="N97" s="35"/>
      <c r="O97" s="35"/>
      <c r="P97" s="35"/>
      <c r="Q97" s="35"/>
      <c r="R97" s="35"/>
      <c r="S97" s="35"/>
      <c r="T97" s="35"/>
      <c r="U97" s="35"/>
    </row>
    <row r="98" spans="2:21" x14ac:dyDescent="0.3">
      <c r="B98" s="35"/>
      <c r="C98" s="35"/>
      <c r="D98" s="35"/>
      <c r="E98" s="35"/>
      <c r="F98" s="35"/>
      <c r="G98" s="35"/>
      <c r="H98" s="35"/>
      <c r="I98" s="35"/>
      <c r="J98" s="35"/>
      <c r="K98" s="35"/>
      <c r="L98" s="35"/>
      <c r="M98" s="35"/>
      <c r="N98" s="35"/>
      <c r="O98" s="35"/>
      <c r="P98" s="35"/>
      <c r="Q98" s="35"/>
      <c r="R98" s="35"/>
      <c r="S98" s="35"/>
      <c r="T98" s="35"/>
      <c r="U98" s="35"/>
    </row>
    <row r="99" spans="2:21" x14ac:dyDescent="0.3">
      <c r="B99" s="35"/>
      <c r="C99" s="35"/>
      <c r="D99" s="35"/>
      <c r="E99" s="35"/>
      <c r="F99" s="35"/>
      <c r="G99" s="35"/>
      <c r="H99" s="35"/>
      <c r="I99" s="35"/>
      <c r="J99" s="35"/>
      <c r="K99" s="35"/>
      <c r="L99" s="35"/>
      <c r="M99" s="35"/>
      <c r="N99" s="35"/>
      <c r="O99" s="35"/>
      <c r="P99" s="35"/>
      <c r="Q99" s="35"/>
      <c r="R99" s="35"/>
      <c r="S99" s="35"/>
      <c r="T99" s="35"/>
      <c r="U99" s="35"/>
    </row>
    <row r="100" spans="2:21" x14ac:dyDescent="0.3">
      <c r="B100" s="35"/>
      <c r="C100" s="35"/>
      <c r="D100" s="35"/>
      <c r="E100" s="35"/>
      <c r="F100" s="35"/>
      <c r="G100" s="35"/>
      <c r="H100" s="35"/>
      <c r="I100" s="35"/>
      <c r="J100" s="35"/>
      <c r="K100" s="35"/>
      <c r="L100" s="35"/>
      <c r="M100" s="35"/>
      <c r="N100" s="35"/>
      <c r="O100" s="35"/>
      <c r="P100" s="35"/>
      <c r="Q100" s="35"/>
      <c r="R100" s="35"/>
      <c r="S100" s="35"/>
      <c r="T100" s="35"/>
      <c r="U100" s="35"/>
    </row>
    <row r="101" spans="2:21" x14ac:dyDescent="0.3">
      <c r="B101" s="35"/>
      <c r="C101" s="35"/>
      <c r="D101" s="35"/>
      <c r="E101" s="35"/>
      <c r="F101" s="35"/>
      <c r="G101" s="35"/>
      <c r="H101" s="35"/>
      <c r="I101" s="35"/>
      <c r="J101" s="35"/>
      <c r="K101" s="35"/>
      <c r="L101" s="35"/>
      <c r="M101" s="35"/>
      <c r="N101" s="35"/>
      <c r="O101" s="35"/>
      <c r="P101" s="35"/>
      <c r="Q101" s="35"/>
      <c r="R101" s="35"/>
      <c r="S101" s="35"/>
      <c r="T101" s="35"/>
      <c r="U101" s="35"/>
    </row>
    <row r="102" spans="2:21" x14ac:dyDescent="0.3">
      <c r="B102" s="35"/>
      <c r="C102" s="35"/>
      <c r="D102" s="35"/>
      <c r="E102" s="35"/>
      <c r="F102" s="35"/>
      <c r="G102" s="35"/>
      <c r="H102" s="35"/>
      <c r="I102" s="35"/>
      <c r="J102" s="35"/>
      <c r="K102" s="35"/>
      <c r="L102" s="35"/>
      <c r="M102" s="35"/>
      <c r="N102" s="35"/>
      <c r="O102" s="35"/>
      <c r="P102" s="35"/>
      <c r="Q102" s="35"/>
      <c r="R102" s="35"/>
      <c r="S102" s="35"/>
      <c r="T102" s="35"/>
      <c r="U102" s="35"/>
    </row>
    <row r="103" spans="2:21" x14ac:dyDescent="0.3">
      <c r="B103" s="35"/>
      <c r="C103" s="35"/>
      <c r="D103" s="35"/>
      <c r="E103" s="35"/>
      <c r="F103" s="35"/>
      <c r="G103" s="35"/>
      <c r="H103" s="35"/>
      <c r="I103" s="35"/>
      <c r="J103" s="35"/>
      <c r="K103" s="35"/>
      <c r="L103" s="35"/>
      <c r="M103" s="35"/>
      <c r="N103" s="35"/>
      <c r="O103" s="35"/>
      <c r="P103" s="35"/>
      <c r="Q103" s="35"/>
      <c r="R103" s="35"/>
      <c r="S103" s="35"/>
      <c r="T103" s="35"/>
      <c r="U103" s="35"/>
    </row>
    <row r="104" spans="2:21" x14ac:dyDescent="0.3">
      <c r="B104" s="35"/>
      <c r="C104" s="35"/>
      <c r="D104" s="35"/>
      <c r="E104" s="35"/>
      <c r="F104" s="35"/>
      <c r="G104" s="35"/>
      <c r="H104" s="35"/>
      <c r="I104" s="35"/>
      <c r="J104" s="35"/>
      <c r="K104" s="35"/>
      <c r="L104" s="35"/>
      <c r="M104" s="35"/>
      <c r="N104" s="35"/>
      <c r="O104" s="35"/>
      <c r="P104" s="35"/>
      <c r="Q104" s="35"/>
      <c r="R104" s="35"/>
      <c r="S104" s="35"/>
      <c r="T104" s="35"/>
      <c r="U104" s="35"/>
    </row>
    <row r="105" spans="2:21" x14ac:dyDescent="0.3">
      <c r="B105" s="35"/>
      <c r="C105" s="35"/>
      <c r="D105" s="35"/>
      <c r="E105" s="35"/>
      <c r="F105" s="35"/>
      <c r="G105" s="35"/>
      <c r="H105" s="35"/>
      <c r="I105" s="35"/>
      <c r="J105" s="35"/>
      <c r="K105" s="35"/>
      <c r="L105" s="35"/>
      <c r="M105" s="35"/>
      <c r="N105" s="35"/>
      <c r="O105" s="35"/>
      <c r="P105" s="35"/>
      <c r="Q105" s="35"/>
      <c r="R105" s="35"/>
      <c r="S105" s="35"/>
      <c r="T105" s="35"/>
      <c r="U105" s="35"/>
    </row>
    <row r="106" spans="2:21" x14ac:dyDescent="0.3">
      <c r="B106" s="35"/>
      <c r="C106" s="35"/>
      <c r="D106" s="35"/>
      <c r="E106" s="35"/>
      <c r="F106" s="35"/>
      <c r="G106" s="35"/>
      <c r="H106" s="35"/>
      <c r="I106" s="35"/>
      <c r="J106" s="35"/>
      <c r="K106" s="35"/>
      <c r="L106" s="35"/>
      <c r="M106" s="35"/>
      <c r="N106" s="35"/>
      <c r="O106" s="35"/>
      <c r="P106" s="35"/>
      <c r="Q106" s="35"/>
      <c r="R106" s="35"/>
      <c r="S106" s="35"/>
      <c r="T106" s="35"/>
      <c r="U106" s="35"/>
    </row>
    <row r="107" spans="2:21" x14ac:dyDescent="0.3">
      <c r="B107" s="35"/>
      <c r="C107" s="35"/>
      <c r="D107" s="35"/>
      <c r="E107" s="35"/>
      <c r="F107" s="35"/>
      <c r="G107" s="35"/>
      <c r="H107" s="35"/>
      <c r="I107" s="35"/>
      <c r="J107" s="35"/>
      <c r="K107" s="35"/>
      <c r="L107" s="35"/>
      <c r="M107" s="35"/>
      <c r="N107" s="35"/>
      <c r="O107" s="35"/>
      <c r="P107" s="35"/>
      <c r="Q107" s="35"/>
      <c r="R107" s="35"/>
      <c r="S107" s="35"/>
      <c r="T107" s="35"/>
      <c r="U107" s="35"/>
    </row>
    <row r="108" spans="2:21" x14ac:dyDescent="0.3">
      <c r="B108" s="35"/>
      <c r="C108" s="35"/>
      <c r="D108" s="35"/>
      <c r="E108" s="35"/>
      <c r="F108" s="35"/>
      <c r="G108" s="35"/>
      <c r="H108" s="35"/>
      <c r="I108" s="35"/>
      <c r="J108" s="35"/>
      <c r="K108" s="35"/>
      <c r="L108" s="35"/>
      <c r="M108" s="35"/>
      <c r="N108" s="35"/>
      <c r="O108" s="35"/>
      <c r="P108" s="35"/>
      <c r="Q108" s="35"/>
      <c r="R108" s="35"/>
      <c r="S108" s="35"/>
      <c r="T108" s="35"/>
      <c r="U108" s="35"/>
    </row>
    <row r="109" spans="2:21" x14ac:dyDescent="0.3">
      <c r="B109" s="35"/>
      <c r="C109" s="35"/>
      <c r="D109" s="35"/>
      <c r="E109" s="35"/>
      <c r="F109" s="35"/>
      <c r="G109" s="35"/>
      <c r="H109" s="35"/>
      <c r="I109" s="35"/>
      <c r="J109" s="35"/>
      <c r="K109" s="35"/>
      <c r="L109" s="35"/>
      <c r="M109" s="35"/>
      <c r="N109" s="35"/>
      <c r="O109" s="35"/>
      <c r="P109" s="35"/>
      <c r="Q109" s="35"/>
      <c r="R109" s="35"/>
      <c r="S109" s="35"/>
      <c r="T109" s="35"/>
      <c r="U109" s="35"/>
    </row>
    <row r="110" spans="2:21" x14ac:dyDescent="0.3">
      <c r="B110" s="35"/>
      <c r="C110" s="35"/>
      <c r="D110" s="35"/>
      <c r="E110" s="35"/>
      <c r="F110" s="35"/>
      <c r="G110" s="35"/>
      <c r="H110" s="35"/>
      <c r="I110" s="35"/>
      <c r="J110" s="35"/>
      <c r="K110" s="35"/>
      <c r="L110" s="35"/>
      <c r="M110" s="35"/>
      <c r="N110" s="35"/>
      <c r="O110" s="35"/>
      <c r="P110" s="35"/>
      <c r="Q110" s="35"/>
      <c r="R110" s="35"/>
      <c r="S110" s="35"/>
      <c r="T110" s="35"/>
      <c r="U110" s="35"/>
    </row>
    <row r="111" spans="2:21" x14ac:dyDescent="0.3">
      <c r="B111" s="35"/>
      <c r="C111" s="35"/>
      <c r="D111" s="35"/>
      <c r="E111" s="35"/>
      <c r="F111" s="35"/>
      <c r="G111" s="35"/>
      <c r="H111" s="35"/>
      <c r="I111" s="35"/>
      <c r="J111" s="35"/>
      <c r="K111" s="35"/>
      <c r="L111" s="35"/>
      <c r="M111" s="35"/>
      <c r="N111" s="35"/>
      <c r="O111" s="35"/>
      <c r="P111" s="35"/>
      <c r="Q111" s="35"/>
      <c r="R111" s="35"/>
      <c r="S111" s="35"/>
      <c r="T111" s="35"/>
      <c r="U111" s="35"/>
    </row>
    <row r="112" spans="2:21" x14ac:dyDescent="0.3">
      <c r="B112" s="35"/>
      <c r="C112" s="35"/>
      <c r="D112" s="35"/>
      <c r="E112" s="35"/>
      <c r="F112" s="35"/>
      <c r="G112" s="35"/>
      <c r="H112" s="35"/>
      <c r="I112" s="35"/>
      <c r="J112" s="35"/>
      <c r="K112" s="35"/>
      <c r="L112" s="35"/>
      <c r="M112" s="35"/>
      <c r="N112" s="35"/>
      <c r="O112" s="35"/>
      <c r="P112" s="35"/>
      <c r="Q112" s="35"/>
      <c r="R112" s="35"/>
      <c r="S112" s="35"/>
      <c r="T112" s="35"/>
      <c r="U112" s="35"/>
    </row>
    <row r="113" spans="2:21" x14ac:dyDescent="0.3">
      <c r="B113" s="35"/>
      <c r="C113" s="35"/>
      <c r="D113" s="35"/>
      <c r="E113" s="35"/>
      <c r="F113" s="35"/>
      <c r="G113" s="35"/>
      <c r="H113" s="35"/>
      <c r="I113" s="35"/>
      <c r="J113" s="35"/>
      <c r="K113" s="35"/>
      <c r="L113" s="35"/>
      <c r="M113" s="35"/>
      <c r="N113" s="35"/>
      <c r="O113" s="35"/>
      <c r="P113" s="35"/>
      <c r="Q113" s="35"/>
      <c r="R113" s="35"/>
      <c r="S113" s="35"/>
      <c r="T113" s="35"/>
      <c r="U113" s="35"/>
    </row>
    <row r="114" spans="2:21" x14ac:dyDescent="0.3">
      <c r="B114" s="35"/>
      <c r="C114" s="35"/>
      <c r="D114" s="35"/>
      <c r="E114" s="35"/>
      <c r="F114" s="35"/>
      <c r="G114" s="35"/>
      <c r="H114" s="35"/>
      <c r="I114" s="35"/>
      <c r="J114" s="35"/>
      <c r="K114" s="35"/>
      <c r="L114" s="35"/>
      <c r="M114" s="35"/>
      <c r="N114" s="35"/>
      <c r="O114" s="35"/>
      <c r="P114" s="35"/>
      <c r="Q114" s="35"/>
      <c r="R114" s="35"/>
      <c r="S114" s="35"/>
      <c r="T114" s="35"/>
      <c r="U114" s="35"/>
    </row>
    <row r="115" spans="2:21" x14ac:dyDescent="0.3">
      <c r="B115" s="35"/>
      <c r="C115" s="35"/>
      <c r="D115" s="35"/>
      <c r="E115" s="35"/>
      <c r="F115" s="35"/>
      <c r="G115" s="35"/>
      <c r="H115" s="35"/>
      <c r="I115" s="35"/>
      <c r="J115" s="35"/>
      <c r="K115" s="35"/>
      <c r="L115" s="35"/>
      <c r="M115" s="35"/>
      <c r="N115" s="35"/>
      <c r="O115" s="35"/>
      <c r="P115" s="35"/>
      <c r="Q115" s="35"/>
      <c r="R115" s="35"/>
      <c r="S115" s="35"/>
      <c r="T115" s="35"/>
      <c r="U115" s="35"/>
    </row>
    <row r="116" spans="2:21" x14ac:dyDescent="0.3">
      <c r="B116" s="35"/>
      <c r="C116" s="35"/>
      <c r="D116" s="35"/>
      <c r="E116" s="35"/>
      <c r="F116" s="35"/>
      <c r="G116" s="35"/>
      <c r="H116" s="35"/>
      <c r="I116" s="35"/>
      <c r="J116" s="35"/>
      <c r="K116" s="35"/>
      <c r="L116" s="35"/>
      <c r="M116" s="35"/>
      <c r="N116" s="35"/>
      <c r="O116" s="35"/>
      <c r="P116" s="35"/>
      <c r="Q116" s="35"/>
      <c r="R116" s="35"/>
      <c r="S116" s="35"/>
      <c r="T116" s="35"/>
      <c r="U116" s="35"/>
    </row>
    <row r="117" spans="2:21" x14ac:dyDescent="0.3">
      <c r="B117" s="35"/>
      <c r="C117" s="35"/>
      <c r="D117" s="35"/>
      <c r="E117" s="35"/>
      <c r="F117" s="35"/>
      <c r="G117" s="35"/>
      <c r="H117" s="35"/>
      <c r="I117" s="35"/>
      <c r="J117" s="35"/>
      <c r="K117" s="35"/>
      <c r="L117" s="35"/>
      <c r="M117" s="35"/>
      <c r="N117" s="35"/>
      <c r="O117" s="35"/>
      <c r="P117" s="35"/>
      <c r="Q117" s="35"/>
      <c r="R117" s="35"/>
      <c r="S117" s="35"/>
      <c r="T117" s="35"/>
      <c r="U117" s="35"/>
    </row>
    <row r="118" spans="2:21" x14ac:dyDescent="0.3">
      <c r="B118" s="35"/>
      <c r="C118" s="35"/>
      <c r="D118" s="35"/>
      <c r="E118" s="35"/>
      <c r="F118" s="35"/>
      <c r="G118" s="35"/>
      <c r="H118" s="35"/>
      <c r="I118" s="35"/>
      <c r="J118" s="35"/>
      <c r="K118" s="35"/>
      <c r="L118" s="35"/>
      <c r="M118" s="35"/>
      <c r="N118" s="35"/>
      <c r="O118" s="35"/>
      <c r="P118" s="35"/>
      <c r="Q118" s="35"/>
      <c r="R118" s="35"/>
      <c r="S118" s="35"/>
      <c r="T118" s="35"/>
      <c r="U118" s="35"/>
    </row>
    <row r="119" spans="2:21" x14ac:dyDescent="0.3">
      <c r="B119" s="35"/>
      <c r="C119" s="35"/>
      <c r="D119" s="35"/>
      <c r="E119" s="35"/>
      <c r="F119" s="35"/>
      <c r="G119" s="35"/>
      <c r="H119" s="35"/>
      <c r="I119" s="35"/>
      <c r="J119" s="35"/>
      <c r="K119" s="35"/>
      <c r="L119" s="35"/>
      <c r="M119" s="35"/>
      <c r="N119" s="35"/>
      <c r="O119" s="35"/>
      <c r="P119" s="35"/>
      <c r="Q119" s="35"/>
      <c r="R119" s="35"/>
      <c r="S119" s="35"/>
      <c r="T119" s="35"/>
      <c r="U119" s="35"/>
    </row>
    <row r="120" spans="2:21" x14ac:dyDescent="0.3">
      <c r="B120" s="35"/>
      <c r="C120" s="35"/>
      <c r="D120" s="35"/>
      <c r="E120" s="35"/>
      <c r="F120" s="35"/>
      <c r="G120" s="35"/>
      <c r="H120" s="35"/>
      <c r="I120" s="35"/>
      <c r="J120" s="35"/>
      <c r="K120" s="35"/>
      <c r="L120" s="35"/>
      <c r="M120" s="35"/>
      <c r="N120" s="35"/>
      <c r="O120" s="35"/>
      <c r="P120" s="35"/>
      <c r="Q120" s="35"/>
      <c r="R120" s="35"/>
      <c r="S120" s="35"/>
      <c r="T120" s="35"/>
      <c r="U120" s="35"/>
    </row>
    <row r="121" spans="2:21" x14ac:dyDescent="0.3">
      <c r="B121" s="35"/>
      <c r="C121" s="35"/>
      <c r="D121" s="35"/>
      <c r="E121" s="35"/>
      <c r="F121" s="35"/>
      <c r="G121" s="35"/>
      <c r="H121" s="35"/>
      <c r="I121" s="35"/>
      <c r="J121" s="35"/>
      <c r="K121" s="35"/>
      <c r="L121" s="35"/>
      <c r="M121" s="35"/>
      <c r="N121" s="35"/>
      <c r="O121" s="35"/>
      <c r="P121" s="35"/>
      <c r="Q121" s="35"/>
      <c r="R121" s="35"/>
      <c r="S121" s="35"/>
      <c r="T121" s="35"/>
      <c r="U121" s="35"/>
    </row>
    <row r="122" spans="2:21" x14ac:dyDescent="0.3">
      <c r="B122" s="35"/>
      <c r="C122" s="35"/>
      <c r="D122" s="35"/>
      <c r="E122" s="35"/>
      <c r="F122" s="35"/>
      <c r="G122" s="35"/>
      <c r="H122" s="35"/>
      <c r="I122" s="35"/>
      <c r="J122" s="35"/>
      <c r="K122" s="35"/>
      <c r="L122" s="35"/>
      <c r="M122" s="35"/>
      <c r="N122" s="35"/>
      <c r="O122" s="35"/>
      <c r="P122" s="35"/>
      <c r="Q122" s="35"/>
      <c r="R122" s="35"/>
      <c r="S122" s="35"/>
      <c r="T122" s="35"/>
      <c r="U122" s="35"/>
    </row>
    <row r="123" spans="2:21" x14ac:dyDescent="0.3">
      <c r="B123" s="35"/>
      <c r="C123" s="35"/>
      <c r="D123" s="35"/>
      <c r="E123" s="35"/>
      <c r="F123" s="35"/>
      <c r="G123" s="35"/>
      <c r="H123" s="35"/>
      <c r="I123" s="35"/>
      <c r="J123" s="35"/>
      <c r="K123" s="35"/>
      <c r="L123" s="35"/>
      <c r="M123" s="35"/>
      <c r="N123" s="35"/>
      <c r="O123" s="35"/>
      <c r="P123" s="35"/>
      <c r="Q123" s="35"/>
      <c r="R123" s="35"/>
      <c r="S123" s="35"/>
      <c r="T123" s="35"/>
      <c r="U123" s="35"/>
    </row>
    <row r="124" spans="2:21" x14ac:dyDescent="0.3">
      <c r="B124" s="35"/>
      <c r="C124" s="35"/>
      <c r="D124" s="35"/>
      <c r="E124" s="35"/>
      <c r="F124" s="35"/>
      <c r="G124" s="35"/>
      <c r="H124" s="35"/>
      <c r="I124" s="35"/>
      <c r="J124" s="35"/>
      <c r="K124" s="35"/>
      <c r="L124" s="35"/>
      <c r="M124" s="35"/>
      <c r="N124" s="35"/>
      <c r="O124" s="35"/>
      <c r="P124" s="35"/>
      <c r="Q124" s="35"/>
      <c r="R124" s="35"/>
      <c r="S124" s="35"/>
      <c r="T124" s="35"/>
      <c r="U124" s="35"/>
    </row>
    <row r="125" spans="2:21" x14ac:dyDescent="0.3">
      <c r="B125" s="35"/>
      <c r="C125" s="35"/>
      <c r="D125" s="35"/>
      <c r="E125" s="35"/>
      <c r="F125" s="35"/>
      <c r="G125" s="35"/>
      <c r="H125" s="35"/>
      <c r="I125" s="35"/>
      <c r="J125" s="35"/>
      <c r="K125" s="35"/>
      <c r="L125" s="35"/>
      <c r="M125" s="35"/>
      <c r="N125" s="35"/>
      <c r="O125" s="35"/>
      <c r="P125" s="35"/>
      <c r="Q125" s="35"/>
      <c r="R125" s="35"/>
      <c r="S125" s="35"/>
      <c r="T125" s="35"/>
      <c r="U125" s="35"/>
    </row>
    <row r="126" spans="2:21" x14ac:dyDescent="0.3">
      <c r="B126" s="35"/>
      <c r="C126" s="35"/>
      <c r="D126" s="35"/>
      <c r="E126" s="35"/>
      <c r="F126" s="35"/>
      <c r="G126" s="35"/>
      <c r="H126" s="35"/>
      <c r="I126" s="35"/>
      <c r="J126" s="35"/>
      <c r="K126" s="35"/>
      <c r="L126" s="35"/>
      <c r="M126" s="35"/>
      <c r="N126" s="35"/>
      <c r="O126" s="35"/>
      <c r="P126" s="35"/>
      <c r="Q126" s="35"/>
      <c r="R126" s="35"/>
      <c r="S126" s="35"/>
      <c r="T126" s="35"/>
      <c r="U126" s="35"/>
    </row>
    <row r="127" spans="2:21" x14ac:dyDescent="0.3">
      <c r="B127" s="35"/>
      <c r="C127" s="35"/>
      <c r="D127" s="35"/>
      <c r="E127" s="35"/>
      <c r="F127" s="35"/>
      <c r="G127" s="35"/>
      <c r="H127" s="35"/>
      <c r="I127" s="35"/>
      <c r="J127" s="35"/>
      <c r="K127" s="35"/>
      <c r="L127" s="35"/>
      <c r="M127" s="35"/>
      <c r="N127" s="35"/>
      <c r="O127" s="35"/>
      <c r="P127" s="35"/>
      <c r="Q127" s="35"/>
      <c r="R127" s="35"/>
      <c r="S127" s="35"/>
      <c r="T127" s="35"/>
      <c r="U127" s="35"/>
    </row>
    <row r="128" spans="2:21" x14ac:dyDescent="0.3">
      <c r="B128" s="35"/>
      <c r="C128" s="35"/>
      <c r="D128" s="35"/>
      <c r="E128" s="35"/>
      <c r="F128" s="35"/>
      <c r="G128" s="35"/>
      <c r="H128" s="35"/>
      <c r="I128" s="35"/>
      <c r="J128" s="35"/>
      <c r="K128" s="35"/>
      <c r="L128" s="35"/>
      <c r="M128" s="35"/>
      <c r="N128" s="35"/>
      <c r="O128" s="35"/>
      <c r="P128" s="35"/>
      <c r="Q128" s="35"/>
      <c r="R128" s="35"/>
      <c r="S128" s="35"/>
      <c r="T128" s="35"/>
      <c r="U128" s="35"/>
    </row>
    <row r="129" spans="2:21" x14ac:dyDescent="0.3">
      <c r="B129" s="35"/>
      <c r="C129" s="35"/>
      <c r="D129" s="35"/>
      <c r="E129" s="35"/>
      <c r="F129" s="35"/>
      <c r="G129" s="35"/>
      <c r="H129" s="35"/>
      <c r="I129" s="35"/>
      <c r="J129" s="35"/>
      <c r="K129" s="35"/>
      <c r="L129" s="35"/>
      <c r="M129" s="35"/>
      <c r="N129" s="35"/>
      <c r="O129" s="35"/>
      <c r="P129" s="35"/>
      <c r="Q129" s="35"/>
      <c r="R129" s="35"/>
      <c r="S129" s="35"/>
      <c r="T129" s="35"/>
      <c r="U129" s="35"/>
    </row>
    <row r="130" spans="2:21" x14ac:dyDescent="0.3">
      <c r="B130" s="35"/>
      <c r="C130" s="35"/>
      <c r="D130" s="35"/>
      <c r="E130" s="35"/>
      <c r="F130" s="35"/>
      <c r="G130" s="35"/>
      <c r="H130" s="35"/>
      <c r="I130" s="35"/>
      <c r="J130" s="35"/>
      <c r="K130" s="35"/>
      <c r="L130" s="35"/>
      <c r="M130" s="35"/>
      <c r="N130" s="35"/>
      <c r="O130" s="35"/>
      <c r="P130" s="35"/>
      <c r="Q130" s="35"/>
      <c r="R130" s="35"/>
      <c r="S130" s="35"/>
      <c r="T130" s="35"/>
      <c r="U130" s="35"/>
    </row>
    <row r="131" spans="2:21" x14ac:dyDescent="0.3">
      <c r="B131" s="35"/>
      <c r="C131" s="35"/>
      <c r="D131" s="35"/>
      <c r="E131" s="35"/>
      <c r="F131" s="35"/>
      <c r="G131" s="35"/>
      <c r="H131" s="35"/>
      <c r="I131" s="35"/>
      <c r="J131" s="35"/>
      <c r="K131" s="35"/>
      <c r="L131" s="35"/>
      <c r="M131" s="35"/>
      <c r="N131" s="35"/>
      <c r="O131" s="35"/>
      <c r="P131" s="35"/>
      <c r="Q131" s="35"/>
      <c r="R131" s="35"/>
      <c r="S131" s="35"/>
      <c r="T131" s="35"/>
      <c r="U131" s="35"/>
    </row>
    <row r="132" spans="2:21" x14ac:dyDescent="0.3">
      <c r="B132" s="35"/>
      <c r="C132" s="35"/>
      <c r="D132" s="35"/>
      <c r="E132" s="35"/>
      <c r="F132" s="35"/>
      <c r="G132" s="35"/>
      <c r="H132" s="35"/>
      <c r="I132" s="35"/>
      <c r="J132" s="35"/>
      <c r="K132" s="35"/>
      <c r="L132" s="35"/>
      <c r="M132" s="35"/>
      <c r="N132" s="35"/>
      <c r="O132" s="35"/>
      <c r="P132" s="35"/>
      <c r="Q132" s="35"/>
      <c r="R132" s="35"/>
      <c r="S132" s="35"/>
      <c r="T132" s="35"/>
      <c r="U132" s="35"/>
    </row>
    <row r="133" spans="2:21" x14ac:dyDescent="0.3">
      <c r="B133" s="35"/>
      <c r="C133" s="35"/>
      <c r="D133" s="35"/>
      <c r="E133" s="35"/>
      <c r="F133" s="35"/>
      <c r="G133" s="35"/>
      <c r="H133" s="35"/>
      <c r="I133" s="35"/>
      <c r="J133" s="35"/>
      <c r="K133" s="35"/>
      <c r="L133" s="35"/>
      <c r="M133" s="35"/>
      <c r="N133" s="35"/>
      <c r="O133" s="35"/>
      <c r="P133" s="35"/>
      <c r="Q133" s="35"/>
      <c r="R133" s="35"/>
      <c r="S133" s="35"/>
      <c r="T133" s="35"/>
      <c r="U133" s="35"/>
    </row>
    <row r="134" spans="2:21" x14ac:dyDescent="0.3">
      <c r="B134" s="35"/>
      <c r="C134" s="35"/>
      <c r="D134" s="35"/>
      <c r="E134" s="35"/>
      <c r="F134" s="35"/>
      <c r="G134" s="35"/>
      <c r="H134" s="35"/>
      <c r="I134" s="35"/>
      <c r="J134" s="35"/>
      <c r="K134" s="35"/>
      <c r="L134" s="35"/>
      <c r="M134" s="35"/>
      <c r="N134" s="35"/>
      <c r="O134" s="35"/>
      <c r="P134" s="35"/>
      <c r="Q134" s="35"/>
      <c r="R134" s="35"/>
      <c r="S134" s="35"/>
      <c r="T134" s="35"/>
      <c r="U134" s="35"/>
    </row>
    <row r="135" spans="2:21" x14ac:dyDescent="0.3">
      <c r="B135" s="35"/>
      <c r="C135" s="35"/>
      <c r="D135" s="35"/>
      <c r="E135" s="35"/>
      <c r="F135" s="35"/>
      <c r="G135" s="35"/>
      <c r="H135" s="35"/>
      <c r="I135" s="35"/>
      <c r="J135" s="35"/>
      <c r="K135" s="35"/>
      <c r="L135" s="35"/>
      <c r="M135" s="35"/>
      <c r="N135" s="35"/>
      <c r="O135" s="35"/>
      <c r="P135" s="35"/>
      <c r="Q135" s="35"/>
      <c r="R135" s="35"/>
      <c r="S135" s="35"/>
      <c r="T135" s="35"/>
      <c r="U135" s="35"/>
    </row>
    <row r="136" spans="2:21" x14ac:dyDescent="0.3">
      <c r="B136" s="35"/>
      <c r="C136" s="35"/>
      <c r="D136" s="35"/>
      <c r="E136" s="35"/>
      <c r="F136" s="35"/>
      <c r="G136" s="35"/>
      <c r="H136" s="35"/>
      <c r="I136" s="35"/>
      <c r="J136" s="35"/>
      <c r="K136" s="35"/>
      <c r="L136" s="35"/>
      <c r="M136" s="35"/>
      <c r="N136" s="35"/>
      <c r="O136" s="35"/>
      <c r="P136" s="35"/>
      <c r="Q136" s="35"/>
      <c r="R136" s="35"/>
      <c r="S136" s="35"/>
      <c r="T136" s="35"/>
      <c r="U136" s="35"/>
    </row>
    <row r="137" spans="2:21" x14ac:dyDescent="0.3">
      <c r="B137" s="35"/>
      <c r="C137" s="35"/>
      <c r="D137" s="35"/>
      <c r="E137" s="35"/>
      <c r="F137" s="35"/>
      <c r="G137" s="35"/>
      <c r="H137" s="35"/>
      <c r="I137" s="35"/>
      <c r="J137" s="35"/>
      <c r="K137" s="35"/>
      <c r="L137" s="35"/>
      <c r="M137" s="35"/>
      <c r="N137" s="35"/>
      <c r="O137" s="35"/>
      <c r="P137" s="35"/>
      <c r="Q137" s="35"/>
      <c r="R137" s="35"/>
      <c r="S137" s="35"/>
      <c r="T137" s="35"/>
      <c r="U137" s="35"/>
    </row>
    <row r="138" spans="2:21" x14ac:dyDescent="0.3">
      <c r="B138" s="35"/>
      <c r="C138" s="35"/>
      <c r="D138" s="35"/>
      <c r="E138" s="35"/>
      <c r="F138" s="35"/>
      <c r="G138" s="35"/>
      <c r="H138" s="35"/>
      <c r="I138" s="35"/>
      <c r="J138" s="35"/>
      <c r="K138" s="35"/>
      <c r="L138" s="35"/>
      <c r="M138" s="35"/>
      <c r="N138" s="35"/>
      <c r="O138" s="35"/>
      <c r="P138" s="35"/>
      <c r="Q138" s="35"/>
      <c r="R138" s="35"/>
      <c r="S138" s="35"/>
      <c r="T138" s="35"/>
      <c r="U138" s="35"/>
    </row>
    <row r="139" spans="2:21" x14ac:dyDescent="0.3">
      <c r="B139" s="35"/>
      <c r="C139" s="35"/>
      <c r="D139" s="35"/>
      <c r="E139" s="35"/>
      <c r="F139" s="35"/>
      <c r="G139" s="35"/>
      <c r="H139" s="35"/>
      <c r="I139" s="35"/>
      <c r="J139" s="35"/>
      <c r="K139" s="35"/>
      <c r="L139" s="35"/>
      <c r="M139" s="35"/>
      <c r="N139" s="35"/>
      <c r="O139" s="35"/>
      <c r="P139" s="35"/>
      <c r="Q139" s="35"/>
      <c r="R139" s="35"/>
      <c r="S139" s="35"/>
      <c r="T139" s="35"/>
      <c r="U139" s="35"/>
    </row>
    <row r="140" spans="2:21" x14ac:dyDescent="0.3">
      <c r="B140" s="35"/>
      <c r="C140" s="35"/>
      <c r="D140" s="35"/>
      <c r="E140" s="35"/>
      <c r="F140" s="35"/>
      <c r="G140" s="35"/>
      <c r="H140" s="35"/>
      <c r="I140" s="35"/>
      <c r="J140" s="35"/>
      <c r="K140" s="35"/>
      <c r="L140" s="35"/>
      <c r="M140" s="35"/>
      <c r="N140" s="35"/>
      <c r="O140" s="35"/>
      <c r="P140" s="35"/>
      <c r="Q140" s="35"/>
      <c r="R140" s="35"/>
      <c r="S140" s="35"/>
      <c r="T140" s="35"/>
      <c r="U140" s="35"/>
    </row>
    <row r="141" spans="2:21" x14ac:dyDescent="0.3">
      <c r="B141" s="35"/>
      <c r="C141" s="35"/>
      <c r="D141" s="35"/>
      <c r="E141" s="35"/>
      <c r="F141" s="35"/>
      <c r="G141" s="35"/>
      <c r="H141" s="35"/>
      <c r="I141" s="35"/>
      <c r="J141" s="35"/>
      <c r="K141" s="35"/>
      <c r="L141" s="35"/>
      <c r="M141" s="35"/>
      <c r="N141" s="35"/>
      <c r="O141" s="35"/>
      <c r="P141" s="35"/>
      <c r="Q141" s="35"/>
      <c r="R141" s="35"/>
      <c r="S141" s="35"/>
      <c r="T141" s="35"/>
      <c r="U141" s="35"/>
    </row>
    <row r="142" spans="2:21" x14ac:dyDescent="0.3">
      <c r="B142" s="35"/>
      <c r="C142" s="35"/>
      <c r="D142" s="35"/>
      <c r="E142" s="35"/>
      <c r="F142" s="35"/>
      <c r="G142" s="35"/>
      <c r="H142" s="35"/>
      <c r="I142" s="35"/>
      <c r="J142" s="35"/>
      <c r="K142" s="35"/>
      <c r="L142" s="35"/>
      <c r="M142" s="35"/>
      <c r="N142" s="35"/>
      <c r="O142" s="35"/>
      <c r="P142" s="35"/>
      <c r="Q142" s="35"/>
      <c r="R142" s="35"/>
      <c r="S142" s="35"/>
      <c r="T142" s="35"/>
      <c r="U142" s="35"/>
    </row>
    <row r="143" spans="2:21" x14ac:dyDescent="0.3">
      <c r="B143" s="35"/>
      <c r="C143" s="35"/>
      <c r="D143" s="35"/>
      <c r="E143" s="35"/>
      <c r="F143" s="35"/>
      <c r="G143" s="35"/>
      <c r="H143" s="35"/>
      <c r="I143" s="35"/>
      <c r="J143" s="35"/>
      <c r="K143" s="35"/>
      <c r="L143" s="35"/>
      <c r="M143" s="35"/>
      <c r="N143" s="35"/>
      <c r="O143" s="35"/>
      <c r="P143" s="35"/>
      <c r="Q143" s="35"/>
      <c r="R143" s="35"/>
      <c r="S143" s="35"/>
      <c r="T143" s="35"/>
      <c r="U143" s="35"/>
    </row>
    <row r="144" spans="2:21" x14ac:dyDescent="0.3">
      <c r="B144" s="35"/>
      <c r="C144" s="35"/>
      <c r="D144" s="35"/>
      <c r="E144" s="35"/>
      <c r="F144" s="35"/>
      <c r="G144" s="35"/>
      <c r="H144" s="35"/>
      <c r="I144" s="35"/>
      <c r="J144" s="35"/>
      <c r="K144" s="35"/>
      <c r="L144" s="35"/>
      <c r="M144" s="35"/>
      <c r="N144" s="35"/>
      <c r="O144" s="35"/>
      <c r="P144" s="35"/>
      <c r="Q144" s="35"/>
      <c r="R144" s="35"/>
      <c r="S144" s="35"/>
      <c r="T144" s="35"/>
      <c r="U144" s="35"/>
    </row>
    <row r="145" spans="2:21" x14ac:dyDescent="0.3">
      <c r="B145" s="35"/>
      <c r="C145" s="35"/>
      <c r="D145" s="35"/>
      <c r="E145" s="35"/>
      <c r="F145" s="35"/>
      <c r="G145" s="35"/>
      <c r="H145" s="35"/>
      <c r="I145" s="35"/>
      <c r="J145" s="35"/>
      <c r="K145" s="35"/>
      <c r="L145" s="35"/>
      <c r="M145" s="35"/>
      <c r="N145" s="35"/>
      <c r="O145" s="35"/>
      <c r="P145" s="35"/>
      <c r="Q145" s="35"/>
      <c r="R145" s="35"/>
      <c r="S145" s="35"/>
      <c r="T145" s="35"/>
      <c r="U145" s="35"/>
    </row>
    <row r="146" spans="2:21" x14ac:dyDescent="0.3">
      <c r="B146" s="35"/>
      <c r="C146" s="35"/>
      <c r="D146" s="35"/>
      <c r="E146" s="35"/>
      <c r="F146" s="35"/>
      <c r="G146" s="35"/>
      <c r="H146" s="35"/>
      <c r="I146" s="35"/>
      <c r="J146" s="35"/>
      <c r="K146" s="35"/>
      <c r="L146" s="35"/>
      <c r="M146" s="35"/>
      <c r="N146" s="35"/>
      <c r="O146" s="35"/>
      <c r="P146" s="35"/>
      <c r="Q146" s="35"/>
      <c r="R146" s="35"/>
      <c r="S146" s="35"/>
      <c r="T146" s="35"/>
      <c r="U146" s="35"/>
    </row>
  </sheetData>
  <mergeCells count="28">
    <mergeCell ref="B50:C53"/>
    <mergeCell ref="D50:U53"/>
    <mergeCell ref="B54:C57"/>
    <mergeCell ref="D54:U57"/>
    <mergeCell ref="B26:C29"/>
    <mergeCell ref="D26:U29"/>
    <mergeCell ref="D30:U33"/>
    <mergeCell ref="B30:C33"/>
    <mergeCell ref="B34:C37"/>
    <mergeCell ref="D34:U37"/>
    <mergeCell ref="B38:C41"/>
    <mergeCell ref="D38:U41"/>
    <mergeCell ref="B46:C49"/>
    <mergeCell ref="D46:U49"/>
    <mergeCell ref="B42:C45"/>
    <mergeCell ref="D42:U45"/>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G874"/>
  <sheetViews>
    <sheetView topLeftCell="G58" zoomScale="85" zoomScaleNormal="85" workbookViewId="0">
      <selection activeCell="X75" sqref="X75"/>
    </sheetView>
  </sheetViews>
  <sheetFormatPr defaultRowHeight="14.4" x14ac:dyDescent="0.3"/>
  <cols>
    <col min="1" max="1" width="12.109375" customWidth="1"/>
    <col min="2" max="2" width="31.5546875" bestFit="1" customWidth="1"/>
    <col min="3" max="6" width="10.77734375" customWidth="1"/>
    <col min="7" max="7" width="13.77734375" customWidth="1"/>
    <col min="8" max="16" width="10.77734375" customWidth="1"/>
    <col min="17" max="18" width="10" style="6" customWidth="1"/>
    <col min="19" max="19" width="10" customWidth="1"/>
    <col min="20" max="20" width="8.88671875" customWidth="1"/>
    <col min="21" max="21" width="10.21875" customWidth="1"/>
    <col min="22" max="22" width="9" bestFit="1" customWidth="1"/>
  </cols>
  <sheetData>
    <row r="1" spans="1:26" x14ac:dyDescent="0.3">
      <c r="A1" t="s">
        <v>351</v>
      </c>
      <c r="B1" t="s">
        <v>149</v>
      </c>
      <c r="C1" t="s">
        <v>192</v>
      </c>
      <c r="D1" t="s">
        <v>352</v>
      </c>
      <c r="E1" t="s">
        <v>150</v>
      </c>
      <c r="F1" t="s">
        <v>7</v>
      </c>
      <c r="G1" t="s">
        <v>353</v>
      </c>
      <c r="H1" t="s">
        <v>14</v>
      </c>
      <c r="I1" t="s">
        <v>9</v>
      </c>
      <c r="J1" t="s">
        <v>11</v>
      </c>
      <c r="K1" t="s">
        <v>294</v>
      </c>
      <c r="L1" t="s">
        <v>265</v>
      </c>
      <c r="M1" t="s">
        <v>293</v>
      </c>
      <c r="N1" t="s">
        <v>667</v>
      </c>
      <c r="O1" t="s">
        <v>666</v>
      </c>
      <c r="P1" t="s">
        <v>295</v>
      </c>
      <c r="Q1" t="s">
        <v>761</v>
      </c>
      <c r="R1" t="s">
        <v>762</v>
      </c>
      <c r="S1" s="24" t="s">
        <v>936</v>
      </c>
      <c r="T1" s="24" t="s">
        <v>937</v>
      </c>
    </row>
    <row r="2" spans="1:26" x14ac:dyDescent="0.3">
      <c r="A2">
        <v>232</v>
      </c>
      <c r="B2" t="s">
        <v>616</v>
      </c>
      <c r="C2" t="s">
        <v>648</v>
      </c>
      <c r="D2" t="s">
        <v>642</v>
      </c>
      <c r="E2" t="s">
        <v>615</v>
      </c>
      <c r="F2">
        <v>4125</v>
      </c>
      <c r="G2" t="s">
        <v>8</v>
      </c>
      <c r="H2">
        <v>181</v>
      </c>
      <c r="I2">
        <v>44</v>
      </c>
      <c r="J2">
        <v>0</v>
      </c>
      <c r="K2">
        <v>45</v>
      </c>
      <c r="L2">
        <v>160</v>
      </c>
      <c r="M2">
        <v>0</v>
      </c>
      <c r="N2">
        <v>11</v>
      </c>
      <c r="O2">
        <v>0</v>
      </c>
      <c r="P2">
        <v>19</v>
      </c>
      <c r="Q2">
        <v>53</v>
      </c>
      <c r="R2">
        <v>107</v>
      </c>
      <c r="S2" s="25">
        <v>1</v>
      </c>
      <c r="T2" s="25">
        <v>1</v>
      </c>
    </row>
    <row r="3" spans="1:26" x14ac:dyDescent="0.3">
      <c r="A3">
        <v>80</v>
      </c>
      <c r="B3" t="s">
        <v>614</v>
      </c>
      <c r="C3" t="s">
        <v>646</v>
      </c>
      <c r="D3" t="s">
        <v>639</v>
      </c>
      <c r="E3" t="s">
        <v>615</v>
      </c>
      <c r="F3">
        <v>4624</v>
      </c>
      <c r="G3" t="s">
        <v>8</v>
      </c>
      <c r="H3">
        <v>168</v>
      </c>
      <c r="I3">
        <v>50</v>
      </c>
      <c r="J3">
        <v>0</v>
      </c>
      <c r="K3">
        <v>43</v>
      </c>
      <c r="L3">
        <v>152</v>
      </c>
      <c r="M3">
        <v>0</v>
      </c>
      <c r="N3">
        <v>10</v>
      </c>
      <c r="O3">
        <v>0</v>
      </c>
      <c r="P3">
        <v>16</v>
      </c>
      <c r="Q3">
        <v>79</v>
      </c>
      <c r="R3">
        <v>108</v>
      </c>
      <c r="S3" s="25">
        <v>1</v>
      </c>
      <c r="T3" s="25">
        <v>1</v>
      </c>
    </row>
    <row r="4" spans="1:26" x14ac:dyDescent="0.3">
      <c r="Q4"/>
      <c r="R4"/>
    </row>
    <row r="5" spans="1:26" x14ac:dyDescent="0.3">
      <c r="A5" t="s">
        <v>351</v>
      </c>
      <c r="B5" t="s">
        <v>149</v>
      </c>
      <c r="C5" t="s">
        <v>192</v>
      </c>
      <c r="D5" t="s">
        <v>352</v>
      </c>
      <c r="E5" t="s">
        <v>150</v>
      </c>
      <c r="F5" t="s">
        <v>7</v>
      </c>
      <c r="G5" t="s">
        <v>353</v>
      </c>
      <c r="H5" t="s">
        <v>14</v>
      </c>
      <c r="I5" t="s">
        <v>9</v>
      </c>
      <c r="J5" t="s">
        <v>11</v>
      </c>
      <c r="K5" t="s">
        <v>294</v>
      </c>
      <c r="L5" t="s">
        <v>265</v>
      </c>
      <c r="M5" t="s">
        <v>293</v>
      </c>
      <c r="N5" t="s">
        <v>667</v>
      </c>
      <c r="O5" t="s">
        <v>666</v>
      </c>
      <c r="P5" t="s">
        <v>295</v>
      </c>
      <c r="Q5" t="s">
        <v>761</v>
      </c>
      <c r="R5" t="s">
        <v>762</v>
      </c>
      <c r="S5" s="6" t="s">
        <v>53</v>
      </c>
      <c r="T5" s="6" t="s">
        <v>668</v>
      </c>
      <c r="U5" s="26" t="s">
        <v>936</v>
      </c>
      <c r="V5" s="26" t="s">
        <v>937</v>
      </c>
      <c r="W5" s="26" t="s">
        <v>1016</v>
      </c>
      <c r="X5" s="26" t="s">
        <v>1017</v>
      </c>
      <c r="Y5" s="26" t="s">
        <v>1053</v>
      </c>
      <c r="Z5" s="26" t="s">
        <v>1054</v>
      </c>
    </row>
    <row r="6" spans="1:26" x14ac:dyDescent="0.3">
      <c r="A6" t="s">
        <v>637</v>
      </c>
      <c r="B6">
        <v>22</v>
      </c>
      <c r="C6" t="s">
        <v>656</v>
      </c>
      <c r="D6" t="s">
        <v>639</v>
      </c>
      <c r="E6" t="s">
        <v>657</v>
      </c>
      <c r="F6">
        <v>1427</v>
      </c>
      <c r="G6" t="s">
        <v>8</v>
      </c>
      <c r="H6">
        <v>179</v>
      </c>
      <c r="I6">
        <v>54</v>
      </c>
      <c r="J6">
        <v>204</v>
      </c>
      <c r="K6">
        <v>163</v>
      </c>
      <c r="L6">
        <v>149</v>
      </c>
      <c r="M6">
        <v>0</v>
      </c>
      <c r="N6">
        <v>8</v>
      </c>
      <c r="O6">
        <v>190</v>
      </c>
      <c r="P6">
        <v>43</v>
      </c>
      <c r="Q6">
        <v>22</v>
      </c>
      <c r="R6" s="136">
        <v>182</v>
      </c>
      <c r="S6" s="6">
        <v>1.35</v>
      </c>
      <c r="T6" s="6">
        <v>1.1499999999999999</v>
      </c>
      <c r="U6" s="25">
        <v>0.95</v>
      </c>
      <c r="V6" s="25">
        <v>0</v>
      </c>
      <c r="W6" t="s">
        <v>1058</v>
      </c>
      <c r="X6" s="25" t="s">
        <v>756</v>
      </c>
      <c r="Y6" s="25" t="s">
        <v>756</v>
      </c>
      <c r="Z6" s="25" t="s">
        <v>756</v>
      </c>
    </row>
    <row r="7" spans="1:26" x14ac:dyDescent="0.3">
      <c r="A7" t="s">
        <v>638</v>
      </c>
      <c r="B7">
        <v>33</v>
      </c>
      <c r="C7" t="s">
        <v>656</v>
      </c>
      <c r="D7" t="s">
        <v>639</v>
      </c>
      <c r="E7" t="s">
        <v>657</v>
      </c>
      <c r="F7">
        <v>1375</v>
      </c>
      <c r="G7" t="s">
        <v>8</v>
      </c>
      <c r="H7">
        <v>170</v>
      </c>
      <c r="I7">
        <v>39</v>
      </c>
      <c r="J7">
        <v>251</v>
      </c>
      <c r="K7">
        <v>163</v>
      </c>
      <c r="L7">
        <v>149</v>
      </c>
      <c r="M7">
        <v>0</v>
      </c>
      <c r="N7">
        <v>8</v>
      </c>
      <c r="O7">
        <v>190</v>
      </c>
      <c r="P7">
        <v>43</v>
      </c>
      <c r="Q7">
        <v>33</v>
      </c>
      <c r="R7" s="138">
        <v>173</v>
      </c>
      <c r="S7" s="6">
        <v>1.1499999999999999</v>
      </c>
      <c r="T7" s="6">
        <v>1.3</v>
      </c>
      <c r="U7" s="25">
        <v>0.95</v>
      </c>
      <c r="V7" s="25">
        <v>0</v>
      </c>
      <c r="W7" t="s">
        <v>1059</v>
      </c>
      <c r="X7" s="25" t="s">
        <v>756</v>
      </c>
      <c r="Y7" s="25" t="s">
        <v>756</v>
      </c>
      <c r="Z7" s="25" t="s">
        <v>756</v>
      </c>
    </row>
    <row r="8" spans="1:26" x14ac:dyDescent="0.3">
      <c r="A8">
        <v>82</v>
      </c>
      <c r="B8" t="s">
        <v>370</v>
      </c>
      <c r="C8" t="s">
        <v>647</v>
      </c>
      <c r="D8" t="s">
        <v>640</v>
      </c>
      <c r="E8" t="s">
        <v>657</v>
      </c>
      <c r="F8">
        <v>1370</v>
      </c>
      <c r="G8" t="s">
        <v>8</v>
      </c>
      <c r="H8">
        <v>193</v>
      </c>
      <c r="I8">
        <v>68</v>
      </c>
      <c r="J8">
        <v>360</v>
      </c>
      <c r="K8">
        <v>209</v>
      </c>
      <c r="L8">
        <v>154</v>
      </c>
      <c r="M8">
        <v>0</v>
      </c>
      <c r="N8">
        <v>8</v>
      </c>
      <c r="O8">
        <v>173</v>
      </c>
      <c r="P8">
        <v>42</v>
      </c>
      <c r="Q8">
        <v>43</v>
      </c>
      <c r="R8" s="138">
        <v>172</v>
      </c>
      <c r="S8" s="6">
        <v>1.1499999999999999</v>
      </c>
      <c r="T8" s="6">
        <v>1.45</v>
      </c>
      <c r="U8" s="25">
        <v>1.05</v>
      </c>
      <c r="V8" s="25">
        <v>0</v>
      </c>
      <c r="W8" t="s">
        <v>1025</v>
      </c>
      <c r="X8" s="25" t="s">
        <v>756</v>
      </c>
      <c r="Y8" s="25" t="s">
        <v>756</v>
      </c>
      <c r="Z8" s="25" t="s">
        <v>756</v>
      </c>
    </row>
    <row r="9" spans="1:26" x14ac:dyDescent="0.3">
      <c r="A9">
        <v>3082</v>
      </c>
      <c r="B9" t="s">
        <v>713</v>
      </c>
      <c r="C9" t="s">
        <v>647</v>
      </c>
      <c r="D9" t="s">
        <v>639</v>
      </c>
      <c r="E9" t="s">
        <v>657</v>
      </c>
      <c r="F9">
        <v>1535</v>
      </c>
      <c r="G9" t="s">
        <v>8</v>
      </c>
      <c r="H9">
        <v>193</v>
      </c>
      <c r="I9">
        <v>68</v>
      </c>
      <c r="J9">
        <v>400</v>
      </c>
      <c r="K9">
        <v>244</v>
      </c>
      <c r="L9">
        <v>169</v>
      </c>
      <c r="M9">
        <v>0</v>
      </c>
      <c r="N9">
        <v>8</v>
      </c>
      <c r="O9">
        <v>173</v>
      </c>
      <c r="P9">
        <v>45</v>
      </c>
      <c r="Q9">
        <v>43</v>
      </c>
      <c r="R9" s="138">
        <v>172</v>
      </c>
      <c r="S9" s="6">
        <v>1.1499999999999999</v>
      </c>
      <c r="T9" s="6">
        <v>1.5</v>
      </c>
      <c r="U9" s="25">
        <v>1.1000000000000001</v>
      </c>
      <c r="V9" s="25">
        <v>0</v>
      </c>
      <c r="W9" t="s">
        <v>1025</v>
      </c>
      <c r="X9" s="25" t="s">
        <v>756</v>
      </c>
      <c r="Y9" s="25" t="s">
        <v>756</v>
      </c>
      <c r="Z9" s="25" t="s">
        <v>756</v>
      </c>
    </row>
    <row r="10" spans="1:26" x14ac:dyDescent="0.3">
      <c r="A10">
        <v>159</v>
      </c>
      <c r="B10" t="s">
        <v>437</v>
      </c>
      <c r="C10" t="s">
        <v>648</v>
      </c>
      <c r="D10" t="s">
        <v>640</v>
      </c>
      <c r="E10" t="s">
        <v>657</v>
      </c>
      <c r="F10">
        <v>1747</v>
      </c>
      <c r="G10" t="s">
        <v>8</v>
      </c>
      <c r="H10">
        <v>210</v>
      </c>
      <c r="I10">
        <v>60</v>
      </c>
      <c r="J10">
        <v>493</v>
      </c>
      <c r="K10">
        <v>194</v>
      </c>
      <c r="L10">
        <v>150</v>
      </c>
      <c r="M10">
        <v>0</v>
      </c>
      <c r="N10">
        <v>8</v>
      </c>
      <c r="O10">
        <v>190</v>
      </c>
      <c r="P10">
        <v>45</v>
      </c>
      <c r="Q10">
        <v>45</v>
      </c>
      <c r="R10" s="138">
        <v>178</v>
      </c>
      <c r="S10" s="6">
        <v>0.75</v>
      </c>
      <c r="T10" s="6">
        <v>1.5</v>
      </c>
      <c r="U10" s="25">
        <v>0.75</v>
      </c>
      <c r="V10" s="25">
        <v>0</v>
      </c>
      <c r="W10" t="s">
        <v>1037</v>
      </c>
      <c r="X10" s="25" t="s">
        <v>756</v>
      </c>
      <c r="Y10" s="25" t="s">
        <v>756</v>
      </c>
      <c r="Z10" s="25" t="s">
        <v>756</v>
      </c>
    </row>
    <row r="11" spans="1:26" x14ac:dyDescent="0.3">
      <c r="A11" s="24"/>
      <c r="B11" s="24" t="s">
        <v>1430</v>
      </c>
      <c r="C11" s="24" t="s">
        <v>646</v>
      </c>
      <c r="D11" s="24" t="s">
        <v>640</v>
      </c>
      <c r="E11" s="24" t="s">
        <v>157</v>
      </c>
      <c r="F11" s="24">
        <v>1679</v>
      </c>
      <c r="G11" s="24" t="s">
        <v>8</v>
      </c>
      <c r="H11" s="24">
        <v>173</v>
      </c>
      <c r="I11" s="24">
        <v>81</v>
      </c>
      <c r="J11" s="24">
        <v>279</v>
      </c>
      <c r="K11" s="24">
        <v>162</v>
      </c>
      <c r="L11" s="24">
        <v>182</v>
      </c>
      <c r="M11" s="24">
        <v>0</v>
      </c>
      <c r="N11" s="24">
        <v>8</v>
      </c>
      <c r="O11" s="24">
        <v>197</v>
      </c>
      <c r="P11" s="24">
        <v>44</v>
      </c>
      <c r="Q11" s="24">
        <v>83</v>
      </c>
      <c r="R11" s="137">
        <v>173</v>
      </c>
      <c r="S11" s="25">
        <v>1.2</v>
      </c>
      <c r="T11" s="25">
        <v>1.3</v>
      </c>
      <c r="U11" s="25">
        <v>1.3</v>
      </c>
      <c r="V11" s="25">
        <v>0</v>
      </c>
      <c r="W11" s="25" t="s">
        <v>756</v>
      </c>
      <c r="X11" s="25" t="s">
        <v>756</v>
      </c>
      <c r="Y11" s="25" t="s">
        <v>756</v>
      </c>
      <c r="Z11" s="25" t="s">
        <v>756</v>
      </c>
    </row>
    <row r="12" spans="1:26" x14ac:dyDescent="0.3">
      <c r="A12">
        <v>81</v>
      </c>
      <c r="B12" t="s">
        <v>429</v>
      </c>
      <c r="C12" t="s">
        <v>647</v>
      </c>
      <c r="D12" t="s">
        <v>640</v>
      </c>
      <c r="E12" t="s">
        <v>657</v>
      </c>
      <c r="F12">
        <v>1370</v>
      </c>
      <c r="G12" t="s">
        <v>8</v>
      </c>
      <c r="H12">
        <v>192</v>
      </c>
      <c r="I12">
        <v>65</v>
      </c>
      <c r="J12">
        <v>360</v>
      </c>
      <c r="K12">
        <v>211</v>
      </c>
      <c r="L12">
        <v>154</v>
      </c>
      <c r="M12">
        <v>0</v>
      </c>
      <c r="N12">
        <v>8</v>
      </c>
      <c r="O12">
        <v>176</v>
      </c>
      <c r="P12">
        <v>44</v>
      </c>
      <c r="Q12">
        <v>72</v>
      </c>
      <c r="R12" s="136">
        <v>186</v>
      </c>
      <c r="S12" s="6">
        <v>1.2</v>
      </c>
      <c r="T12" s="6">
        <v>1.35</v>
      </c>
      <c r="U12" s="25">
        <v>1.05</v>
      </c>
      <c r="V12" s="25">
        <v>0</v>
      </c>
      <c r="W12" t="s">
        <v>1025</v>
      </c>
      <c r="X12" s="25" t="s">
        <v>756</v>
      </c>
      <c r="Y12" s="25" t="s">
        <v>756</v>
      </c>
      <c r="Z12" s="25" t="s">
        <v>756</v>
      </c>
    </row>
    <row r="13" spans="1:26" x14ac:dyDescent="0.3">
      <c r="A13">
        <v>253</v>
      </c>
      <c r="B13" t="s">
        <v>452</v>
      </c>
      <c r="C13" t="s">
        <v>650</v>
      </c>
      <c r="D13" t="s">
        <v>639</v>
      </c>
      <c r="E13" t="s">
        <v>157</v>
      </c>
      <c r="F13">
        <v>2277</v>
      </c>
      <c r="G13" t="s">
        <v>8</v>
      </c>
      <c r="H13">
        <v>201</v>
      </c>
      <c r="I13">
        <v>131</v>
      </c>
      <c r="J13">
        <v>228</v>
      </c>
      <c r="K13">
        <v>165</v>
      </c>
      <c r="L13">
        <v>172</v>
      </c>
      <c r="M13">
        <v>0</v>
      </c>
      <c r="N13">
        <v>8</v>
      </c>
      <c r="O13">
        <v>200</v>
      </c>
      <c r="P13">
        <v>45</v>
      </c>
      <c r="Q13">
        <v>81</v>
      </c>
      <c r="R13" s="138">
        <v>188</v>
      </c>
      <c r="S13" s="6">
        <v>1.55</v>
      </c>
      <c r="T13" s="6">
        <v>1</v>
      </c>
      <c r="U13" s="25">
        <v>1.05</v>
      </c>
      <c r="V13" s="25">
        <v>0</v>
      </c>
      <c r="W13" t="s">
        <v>1045</v>
      </c>
      <c r="X13" s="25" t="s">
        <v>756</v>
      </c>
      <c r="Y13" s="25" t="s">
        <v>756</v>
      </c>
      <c r="Z13" s="25" t="s">
        <v>756</v>
      </c>
    </row>
    <row r="14" spans="1:26" x14ac:dyDescent="0.3">
      <c r="A14">
        <v>334</v>
      </c>
      <c r="B14" t="s">
        <v>476</v>
      </c>
      <c r="C14" t="s">
        <v>648</v>
      </c>
      <c r="D14" t="s">
        <v>640</v>
      </c>
      <c r="E14" t="s">
        <v>657</v>
      </c>
      <c r="F14">
        <v>1937</v>
      </c>
      <c r="G14" t="s">
        <v>8</v>
      </c>
      <c r="H14">
        <v>196</v>
      </c>
      <c r="I14">
        <v>62</v>
      </c>
      <c r="J14">
        <v>509</v>
      </c>
      <c r="K14">
        <v>191</v>
      </c>
      <c r="L14">
        <v>149</v>
      </c>
      <c r="M14">
        <v>0</v>
      </c>
      <c r="N14">
        <v>8</v>
      </c>
      <c r="O14">
        <v>187</v>
      </c>
      <c r="P14">
        <v>42</v>
      </c>
      <c r="Q14">
        <v>32</v>
      </c>
      <c r="R14" s="138">
        <v>183</v>
      </c>
      <c r="S14" s="6">
        <v>0.75</v>
      </c>
      <c r="T14" s="6">
        <v>1.5</v>
      </c>
      <c r="U14" s="25">
        <v>0.75</v>
      </c>
      <c r="V14" s="25">
        <v>0</v>
      </c>
      <c r="W14" t="s">
        <v>1051</v>
      </c>
      <c r="X14" s="25" t="s">
        <v>756</v>
      </c>
      <c r="Y14" s="25" t="s">
        <v>756</v>
      </c>
      <c r="Z14" s="25" t="s">
        <v>756</v>
      </c>
    </row>
    <row r="15" spans="1:26" x14ac:dyDescent="0.3">
      <c r="A15">
        <v>83</v>
      </c>
      <c r="B15" t="s">
        <v>371</v>
      </c>
      <c r="C15" t="s">
        <v>647</v>
      </c>
      <c r="D15" t="s">
        <v>640</v>
      </c>
      <c r="E15" t="s">
        <v>657</v>
      </c>
      <c r="F15">
        <v>1370</v>
      </c>
      <c r="G15" t="s">
        <v>8</v>
      </c>
      <c r="H15">
        <v>193</v>
      </c>
      <c r="I15">
        <v>68</v>
      </c>
      <c r="J15">
        <v>360</v>
      </c>
      <c r="K15">
        <v>209</v>
      </c>
      <c r="L15">
        <v>154</v>
      </c>
      <c r="M15">
        <v>0</v>
      </c>
      <c r="N15">
        <v>8</v>
      </c>
      <c r="O15">
        <v>173</v>
      </c>
      <c r="P15">
        <v>42</v>
      </c>
      <c r="Q15">
        <v>35</v>
      </c>
      <c r="R15" s="138">
        <v>172</v>
      </c>
      <c r="S15" s="6">
        <v>1.2</v>
      </c>
      <c r="T15" s="6">
        <v>1.4</v>
      </c>
      <c r="U15" s="25">
        <v>1.05</v>
      </c>
      <c r="V15" s="25">
        <v>0</v>
      </c>
      <c r="W15" t="s">
        <v>1025</v>
      </c>
      <c r="X15" s="25" t="s">
        <v>756</v>
      </c>
      <c r="Y15" s="25" t="s">
        <v>756</v>
      </c>
      <c r="Z15" s="25" t="s">
        <v>756</v>
      </c>
    </row>
    <row r="16" spans="1:26" x14ac:dyDescent="0.3">
      <c r="A16">
        <v>3083</v>
      </c>
      <c r="B16" t="s">
        <v>714</v>
      </c>
      <c r="C16" t="s">
        <v>647</v>
      </c>
      <c r="D16" t="s">
        <v>639</v>
      </c>
      <c r="E16" t="s">
        <v>657</v>
      </c>
      <c r="F16">
        <v>1535</v>
      </c>
      <c r="G16" t="s">
        <v>8</v>
      </c>
      <c r="H16">
        <v>193</v>
      </c>
      <c r="I16">
        <v>68</v>
      </c>
      <c r="J16">
        <v>400</v>
      </c>
      <c r="K16">
        <v>244</v>
      </c>
      <c r="L16">
        <v>169</v>
      </c>
      <c r="M16">
        <v>0</v>
      </c>
      <c r="N16">
        <v>8</v>
      </c>
      <c r="O16">
        <v>173</v>
      </c>
      <c r="P16">
        <v>45</v>
      </c>
      <c r="Q16">
        <v>35</v>
      </c>
      <c r="R16" s="138">
        <v>172</v>
      </c>
      <c r="S16" s="6">
        <v>1.2</v>
      </c>
      <c r="T16" s="6">
        <v>1.45</v>
      </c>
      <c r="U16" s="25">
        <v>1.1000000000000001</v>
      </c>
      <c r="V16" s="25">
        <v>0</v>
      </c>
      <c r="W16" t="s">
        <v>1025</v>
      </c>
      <c r="X16" s="25" t="s">
        <v>756</v>
      </c>
      <c r="Y16" s="25" t="s">
        <v>756</v>
      </c>
      <c r="Z16" s="25" t="s">
        <v>756</v>
      </c>
    </row>
    <row r="17" spans="1:26" x14ac:dyDescent="0.3">
      <c r="A17">
        <v>175</v>
      </c>
      <c r="B17" t="s">
        <v>448</v>
      </c>
      <c r="C17" t="s">
        <v>648</v>
      </c>
      <c r="D17" t="s">
        <v>640</v>
      </c>
      <c r="E17" t="s">
        <v>657</v>
      </c>
      <c r="F17">
        <v>1773</v>
      </c>
      <c r="G17" t="s">
        <v>8</v>
      </c>
      <c r="H17">
        <v>196</v>
      </c>
      <c r="I17">
        <v>59</v>
      </c>
      <c r="J17">
        <v>478</v>
      </c>
      <c r="K17">
        <v>192</v>
      </c>
      <c r="L17">
        <v>145</v>
      </c>
      <c r="M17">
        <v>0</v>
      </c>
      <c r="N17">
        <v>8</v>
      </c>
      <c r="O17">
        <v>189</v>
      </c>
      <c r="P17">
        <v>43</v>
      </c>
      <c r="Q17">
        <v>34</v>
      </c>
      <c r="R17" s="138">
        <v>180</v>
      </c>
      <c r="S17" s="6">
        <v>0.75</v>
      </c>
      <c r="T17" s="6">
        <v>1.5</v>
      </c>
      <c r="U17" s="25">
        <v>0.75</v>
      </c>
      <c r="V17" s="25">
        <v>0</v>
      </c>
      <c r="W17" s="27" t="s">
        <v>1041</v>
      </c>
      <c r="X17" s="25" t="s">
        <v>756</v>
      </c>
      <c r="Y17" s="25" t="s">
        <v>756</v>
      </c>
      <c r="Z17" s="25" t="s">
        <v>756</v>
      </c>
    </row>
    <row r="18" spans="1:26" x14ac:dyDescent="0.3">
      <c r="A18">
        <v>331</v>
      </c>
      <c r="B18" t="s">
        <v>473</v>
      </c>
      <c r="C18" t="s">
        <v>648</v>
      </c>
      <c r="D18" t="s">
        <v>640</v>
      </c>
      <c r="E18" t="s">
        <v>657</v>
      </c>
      <c r="F18">
        <v>1937</v>
      </c>
      <c r="G18" t="s">
        <v>8</v>
      </c>
      <c r="H18">
        <v>196</v>
      </c>
      <c r="I18">
        <v>62</v>
      </c>
      <c r="J18">
        <v>508</v>
      </c>
      <c r="K18">
        <v>191</v>
      </c>
      <c r="L18">
        <v>149</v>
      </c>
      <c r="M18">
        <v>0</v>
      </c>
      <c r="N18">
        <v>8</v>
      </c>
      <c r="O18">
        <v>189</v>
      </c>
      <c r="P18">
        <v>42</v>
      </c>
      <c r="Q18">
        <v>32</v>
      </c>
      <c r="R18" s="138">
        <v>182</v>
      </c>
      <c r="S18" s="6">
        <v>0.75</v>
      </c>
      <c r="T18" s="6">
        <v>1.5</v>
      </c>
      <c r="U18" s="25">
        <v>0.75</v>
      </c>
      <c r="V18" s="25">
        <v>0</v>
      </c>
      <c r="W18" t="s">
        <v>1051</v>
      </c>
      <c r="X18" s="25" t="s">
        <v>756</v>
      </c>
      <c r="Y18" s="25" t="s">
        <v>756</v>
      </c>
      <c r="Z18" s="25" t="s">
        <v>756</v>
      </c>
    </row>
    <row r="19" spans="1:26" x14ac:dyDescent="0.3">
      <c r="A19">
        <v>15</v>
      </c>
      <c r="B19" t="s">
        <v>423</v>
      </c>
      <c r="C19" t="s">
        <v>646</v>
      </c>
      <c r="D19" t="s">
        <v>641</v>
      </c>
      <c r="E19" t="s">
        <v>657</v>
      </c>
      <c r="F19">
        <v>1998</v>
      </c>
      <c r="G19" t="s">
        <v>8</v>
      </c>
      <c r="H19">
        <v>204</v>
      </c>
      <c r="I19">
        <v>82</v>
      </c>
      <c r="J19">
        <v>279</v>
      </c>
      <c r="K19">
        <v>158</v>
      </c>
      <c r="L19">
        <v>171</v>
      </c>
      <c r="M19">
        <v>0</v>
      </c>
      <c r="N19">
        <v>7</v>
      </c>
      <c r="O19">
        <v>202</v>
      </c>
      <c r="P19">
        <v>42</v>
      </c>
      <c r="Q19">
        <v>62</v>
      </c>
      <c r="R19" s="138">
        <v>197</v>
      </c>
      <c r="S19" s="6">
        <v>1.2</v>
      </c>
      <c r="T19" s="6">
        <v>1.3</v>
      </c>
      <c r="U19" s="25">
        <v>1.3</v>
      </c>
      <c r="V19" s="25">
        <v>0</v>
      </c>
      <c r="W19" s="27" t="s">
        <v>1020</v>
      </c>
      <c r="X19" s="25" t="s">
        <v>756</v>
      </c>
      <c r="Y19" s="25" t="s">
        <v>756</v>
      </c>
      <c r="Z19" s="25" t="s">
        <v>756</v>
      </c>
    </row>
    <row r="20" spans="1:26" x14ac:dyDescent="0.3">
      <c r="A20">
        <v>155</v>
      </c>
      <c r="B20" t="s">
        <v>385</v>
      </c>
      <c r="C20" t="s">
        <v>648</v>
      </c>
      <c r="D20" t="s">
        <v>639</v>
      </c>
      <c r="E20" t="s">
        <v>657</v>
      </c>
      <c r="F20">
        <v>1798</v>
      </c>
      <c r="G20" t="s">
        <v>8</v>
      </c>
      <c r="H20">
        <v>213</v>
      </c>
      <c r="I20">
        <v>65</v>
      </c>
      <c r="J20">
        <v>509</v>
      </c>
      <c r="K20">
        <v>194</v>
      </c>
      <c r="L20">
        <v>146</v>
      </c>
      <c r="M20">
        <v>0</v>
      </c>
      <c r="N20">
        <v>9</v>
      </c>
      <c r="O20">
        <v>203</v>
      </c>
      <c r="P20">
        <v>45</v>
      </c>
      <c r="Q20">
        <v>36</v>
      </c>
      <c r="R20" s="138">
        <v>183</v>
      </c>
      <c r="S20" s="6">
        <v>0.8</v>
      </c>
      <c r="T20" s="6">
        <v>1.6</v>
      </c>
      <c r="U20" s="25">
        <v>0.75</v>
      </c>
      <c r="V20" s="25">
        <v>0</v>
      </c>
      <c r="W20" t="s">
        <v>1036</v>
      </c>
      <c r="X20" t="s">
        <v>756</v>
      </c>
      <c r="Y20" s="25" t="s">
        <v>756</v>
      </c>
      <c r="Z20" s="25" t="s">
        <v>756</v>
      </c>
    </row>
    <row r="21" spans="1:26" x14ac:dyDescent="0.3">
      <c r="A21">
        <v>3155</v>
      </c>
      <c r="B21" t="s">
        <v>721</v>
      </c>
      <c r="C21" t="s">
        <v>648</v>
      </c>
      <c r="D21" t="s">
        <v>642</v>
      </c>
      <c r="E21" t="s">
        <v>657</v>
      </c>
      <c r="F21">
        <v>1963</v>
      </c>
      <c r="G21" t="s">
        <v>8</v>
      </c>
      <c r="H21">
        <v>228</v>
      </c>
      <c r="I21">
        <v>75</v>
      </c>
      <c r="J21">
        <v>569</v>
      </c>
      <c r="K21">
        <v>214</v>
      </c>
      <c r="L21">
        <v>146</v>
      </c>
      <c r="M21">
        <v>0</v>
      </c>
      <c r="N21">
        <v>9</v>
      </c>
      <c r="O21">
        <v>203</v>
      </c>
      <c r="P21">
        <v>48</v>
      </c>
      <c r="Q21">
        <v>36</v>
      </c>
      <c r="R21" s="138">
        <v>183</v>
      </c>
      <c r="S21" s="6">
        <v>0.85</v>
      </c>
      <c r="T21" s="6">
        <v>1.65</v>
      </c>
      <c r="U21" s="25">
        <v>0.75</v>
      </c>
      <c r="V21" s="25">
        <v>0</v>
      </c>
      <c r="W21" t="s">
        <v>1036</v>
      </c>
      <c r="X21" t="s">
        <v>1339</v>
      </c>
      <c r="Y21" t="s">
        <v>1340</v>
      </c>
      <c r="Z21" s="25"/>
    </row>
    <row r="22" spans="1:26" x14ac:dyDescent="0.3">
      <c r="A22">
        <v>263</v>
      </c>
      <c r="B22" t="s">
        <v>402</v>
      </c>
      <c r="C22" t="s">
        <v>646</v>
      </c>
      <c r="D22" t="s">
        <v>640</v>
      </c>
      <c r="E22" t="s">
        <v>657</v>
      </c>
      <c r="F22">
        <v>1826</v>
      </c>
      <c r="G22" t="s">
        <v>8</v>
      </c>
      <c r="H22">
        <v>204</v>
      </c>
      <c r="I22">
        <v>87</v>
      </c>
      <c r="J22">
        <v>320</v>
      </c>
      <c r="K22">
        <v>162</v>
      </c>
      <c r="L22">
        <v>172</v>
      </c>
      <c r="M22">
        <v>0</v>
      </c>
      <c r="N22">
        <v>8</v>
      </c>
      <c r="O22">
        <v>192</v>
      </c>
      <c r="P22">
        <v>44</v>
      </c>
      <c r="Q22">
        <v>70</v>
      </c>
      <c r="R22" s="138">
        <v>184</v>
      </c>
      <c r="S22" s="6">
        <v>1.3</v>
      </c>
      <c r="T22" s="6">
        <v>1.3</v>
      </c>
      <c r="U22" s="25">
        <v>1.25</v>
      </c>
      <c r="V22" s="25">
        <v>0</v>
      </c>
      <c r="W22" t="s">
        <v>1022</v>
      </c>
      <c r="X22" s="25" t="s">
        <v>756</v>
      </c>
      <c r="Y22" s="25" t="s">
        <v>756</v>
      </c>
      <c r="Z22" s="25" t="s">
        <v>756</v>
      </c>
    </row>
    <row r="23" spans="1:26" x14ac:dyDescent="0.3">
      <c r="A23">
        <v>3263</v>
      </c>
      <c r="B23" t="s">
        <v>724</v>
      </c>
      <c r="C23" t="s">
        <v>646</v>
      </c>
      <c r="D23" t="s">
        <v>639</v>
      </c>
      <c r="E23" t="s">
        <v>657</v>
      </c>
      <c r="F23">
        <v>2036</v>
      </c>
      <c r="G23" t="s">
        <v>8</v>
      </c>
      <c r="H23">
        <v>224</v>
      </c>
      <c r="I23">
        <v>102</v>
      </c>
      <c r="J23">
        <v>320</v>
      </c>
      <c r="K23">
        <v>162</v>
      </c>
      <c r="L23">
        <v>262</v>
      </c>
      <c r="M23">
        <v>0</v>
      </c>
      <c r="N23">
        <v>8</v>
      </c>
      <c r="O23">
        <v>192</v>
      </c>
      <c r="P23">
        <v>47</v>
      </c>
      <c r="Q23">
        <v>70</v>
      </c>
      <c r="R23" s="138">
        <v>184</v>
      </c>
      <c r="S23" s="6">
        <v>1.35</v>
      </c>
      <c r="T23" s="6">
        <v>1.35</v>
      </c>
      <c r="U23" s="25">
        <v>1.25</v>
      </c>
      <c r="V23" s="25">
        <v>0</v>
      </c>
      <c r="W23" t="s">
        <v>1022</v>
      </c>
      <c r="X23" s="25" t="s">
        <v>756</v>
      </c>
      <c r="Y23" s="25" t="s">
        <v>756</v>
      </c>
      <c r="Z23" s="25" t="s">
        <v>756</v>
      </c>
    </row>
    <row r="24" spans="1:26" x14ac:dyDescent="0.3">
      <c r="A24">
        <v>86</v>
      </c>
      <c r="B24" t="s">
        <v>430</v>
      </c>
      <c r="C24" t="s">
        <v>647</v>
      </c>
      <c r="D24" t="s">
        <v>641</v>
      </c>
      <c r="E24" t="s">
        <v>657</v>
      </c>
      <c r="F24">
        <v>1349</v>
      </c>
      <c r="G24" t="s">
        <v>8</v>
      </c>
      <c r="H24">
        <v>190</v>
      </c>
      <c r="I24">
        <v>65</v>
      </c>
      <c r="J24">
        <v>354</v>
      </c>
      <c r="K24">
        <v>209</v>
      </c>
      <c r="L24">
        <v>150</v>
      </c>
      <c r="M24">
        <v>0</v>
      </c>
      <c r="N24">
        <v>7</v>
      </c>
      <c r="O24">
        <v>192</v>
      </c>
      <c r="P24">
        <v>42</v>
      </c>
      <c r="Q24">
        <v>71</v>
      </c>
      <c r="R24" s="138">
        <v>175</v>
      </c>
      <c r="S24" s="6">
        <v>1.2</v>
      </c>
      <c r="T24" s="6">
        <v>1.35</v>
      </c>
      <c r="U24" s="25">
        <v>1.05</v>
      </c>
      <c r="V24" s="25">
        <v>0</v>
      </c>
      <c r="W24" t="s">
        <v>1026</v>
      </c>
      <c r="X24" s="25" t="s">
        <v>756</v>
      </c>
      <c r="Y24" s="25" t="s">
        <v>756</v>
      </c>
      <c r="Z24" s="25" t="s">
        <v>756</v>
      </c>
    </row>
    <row r="25" spans="1:26" x14ac:dyDescent="0.3">
      <c r="A25">
        <v>18</v>
      </c>
      <c r="B25" t="s">
        <v>426</v>
      </c>
      <c r="C25" t="s">
        <v>646</v>
      </c>
      <c r="D25" t="s">
        <v>640</v>
      </c>
      <c r="E25" t="s">
        <v>657</v>
      </c>
      <c r="F25">
        <v>1826</v>
      </c>
      <c r="G25" t="s">
        <v>8</v>
      </c>
      <c r="H25">
        <v>204</v>
      </c>
      <c r="I25">
        <v>87</v>
      </c>
      <c r="J25">
        <v>320</v>
      </c>
      <c r="K25">
        <v>163</v>
      </c>
      <c r="L25">
        <v>172</v>
      </c>
      <c r="M25">
        <v>0</v>
      </c>
      <c r="N25">
        <v>8</v>
      </c>
      <c r="O25">
        <v>193</v>
      </c>
      <c r="P25">
        <v>45</v>
      </c>
      <c r="Q25">
        <v>72</v>
      </c>
      <c r="R25" s="138">
        <v>184</v>
      </c>
      <c r="S25" s="6">
        <v>1.3</v>
      </c>
      <c r="T25" s="6">
        <v>1.3</v>
      </c>
      <c r="U25" s="25">
        <v>1.25</v>
      </c>
      <c r="V25" s="25">
        <v>0</v>
      </c>
      <c r="W25" t="s">
        <v>1022</v>
      </c>
      <c r="X25" s="25" t="s">
        <v>756</v>
      </c>
      <c r="Y25" s="25" t="s">
        <v>756</v>
      </c>
      <c r="Z25" s="25" t="s">
        <v>756</v>
      </c>
    </row>
    <row r="26" spans="1:26" x14ac:dyDescent="0.3">
      <c r="A26" t="s">
        <v>333</v>
      </c>
      <c r="B26" t="s">
        <v>619</v>
      </c>
      <c r="C26" t="s">
        <v>654</v>
      </c>
      <c r="D26" t="s">
        <v>639</v>
      </c>
      <c r="E26" t="s">
        <v>657</v>
      </c>
      <c r="F26">
        <v>1800</v>
      </c>
      <c r="G26" t="s">
        <v>8</v>
      </c>
      <c r="H26">
        <v>207</v>
      </c>
      <c r="I26">
        <v>70</v>
      </c>
      <c r="J26">
        <v>439</v>
      </c>
      <c r="K26">
        <v>175</v>
      </c>
      <c r="L26">
        <v>149</v>
      </c>
      <c r="M26">
        <v>0</v>
      </c>
      <c r="N26">
        <v>9</v>
      </c>
      <c r="O26">
        <v>199</v>
      </c>
      <c r="P26">
        <v>45</v>
      </c>
      <c r="Q26">
        <v>71</v>
      </c>
      <c r="R26" s="138">
        <v>189</v>
      </c>
      <c r="S26" s="6">
        <v>0.75</v>
      </c>
      <c r="T26" s="6">
        <v>1.5</v>
      </c>
      <c r="U26" s="25">
        <v>0.75</v>
      </c>
      <c r="V26" s="25">
        <v>0</v>
      </c>
      <c r="W26" s="25" t="s">
        <v>756</v>
      </c>
      <c r="X26" s="25" t="s">
        <v>756</v>
      </c>
      <c r="Y26" s="25" t="s">
        <v>756</v>
      </c>
      <c r="Z26" s="25" t="s">
        <v>756</v>
      </c>
    </row>
    <row r="27" spans="1:26" x14ac:dyDescent="0.3">
      <c r="A27">
        <v>87</v>
      </c>
      <c r="B27" t="s">
        <v>431</v>
      </c>
      <c r="C27" t="s">
        <v>647</v>
      </c>
      <c r="D27" t="s">
        <v>641</v>
      </c>
      <c r="E27" t="s">
        <v>657</v>
      </c>
      <c r="F27">
        <v>1349</v>
      </c>
      <c r="G27" t="s">
        <v>8</v>
      </c>
      <c r="H27">
        <v>190</v>
      </c>
      <c r="I27">
        <v>65</v>
      </c>
      <c r="J27">
        <v>354</v>
      </c>
      <c r="K27">
        <v>209</v>
      </c>
      <c r="L27">
        <v>150</v>
      </c>
      <c r="M27">
        <v>0</v>
      </c>
      <c r="N27">
        <v>7</v>
      </c>
      <c r="O27">
        <v>197</v>
      </c>
      <c r="P27">
        <v>42</v>
      </c>
      <c r="Q27">
        <v>65</v>
      </c>
      <c r="R27" s="138">
        <v>175</v>
      </c>
      <c r="S27" s="6">
        <v>1.2</v>
      </c>
      <c r="T27" s="6">
        <v>1.35</v>
      </c>
      <c r="U27" s="25">
        <v>1.05</v>
      </c>
      <c r="V27" s="25">
        <v>0</v>
      </c>
      <c r="W27" t="s">
        <v>1026</v>
      </c>
      <c r="X27" s="25" t="s">
        <v>756</v>
      </c>
      <c r="Y27" s="25" t="s">
        <v>756</v>
      </c>
      <c r="Z27" s="25" t="s">
        <v>756</v>
      </c>
    </row>
    <row r="28" spans="1:26" x14ac:dyDescent="0.3">
      <c r="A28">
        <v>355</v>
      </c>
      <c r="B28" t="s">
        <v>478</v>
      </c>
      <c r="C28" t="s">
        <v>646</v>
      </c>
      <c r="D28" t="s">
        <v>640</v>
      </c>
      <c r="E28" t="s">
        <v>657</v>
      </c>
      <c r="F28">
        <v>2054</v>
      </c>
      <c r="G28" t="s">
        <v>8</v>
      </c>
      <c r="H28">
        <v>201</v>
      </c>
      <c r="I28">
        <v>85</v>
      </c>
      <c r="J28">
        <v>282</v>
      </c>
      <c r="K28">
        <v>160</v>
      </c>
      <c r="L28">
        <v>189</v>
      </c>
      <c r="M28">
        <v>0</v>
      </c>
      <c r="N28">
        <v>8</v>
      </c>
      <c r="O28">
        <v>206</v>
      </c>
      <c r="P28">
        <v>42</v>
      </c>
      <c r="Q28">
        <v>34</v>
      </c>
      <c r="R28" s="138">
        <v>199</v>
      </c>
      <c r="S28" s="6">
        <v>1.2</v>
      </c>
      <c r="T28" s="6">
        <v>1.3</v>
      </c>
      <c r="U28" s="25">
        <v>1.35</v>
      </c>
      <c r="V28" s="25">
        <v>0</v>
      </c>
      <c r="W28" s="25" t="s">
        <v>1020</v>
      </c>
      <c r="X28" s="25" t="s">
        <v>756</v>
      </c>
      <c r="Y28" s="25" t="s">
        <v>756</v>
      </c>
      <c r="Z28" s="25" t="s">
        <v>756</v>
      </c>
    </row>
    <row r="29" spans="1:26" x14ac:dyDescent="0.3">
      <c r="A29">
        <v>5</v>
      </c>
      <c r="B29" t="s">
        <v>354</v>
      </c>
      <c r="C29" t="s">
        <v>646</v>
      </c>
      <c r="D29" t="s">
        <v>641</v>
      </c>
      <c r="E29" t="s">
        <v>657</v>
      </c>
      <c r="F29">
        <v>1735</v>
      </c>
      <c r="G29" t="s">
        <v>8</v>
      </c>
      <c r="H29">
        <v>190</v>
      </c>
      <c r="I29">
        <v>76</v>
      </c>
      <c r="J29">
        <v>283</v>
      </c>
      <c r="K29">
        <v>162</v>
      </c>
      <c r="L29">
        <v>168</v>
      </c>
      <c r="M29">
        <v>0</v>
      </c>
      <c r="N29">
        <v>7</v>
      </c>
      <c r="O29">
        <v>181</v>
      </c>
      <c r="P29">
        <v>44</v>
      </c>
      <c r="Q29">
        <v>66</v>
      </c>
      <c r="R29" s="138">
        <v>182</v>
      </c>
      <c r="S29" s="6">
        <v>1.2</v>
      </c>
      <c r="T29" s="6">
        <v>1.3</v>
      </c>
      <c r="U29" s="25">
        <v>1.3</v>
      </c>
      <c r="V29" s="25">
        <v>0</v>
      </c>
      <c r="W29" t="s">
        <v>1018</v>
      </c>
      <c r="X29" s="25" t="s">
        <v>756</v>
      </c>
      <c r="Y29" s="25" t="s">
        <v>756</v>
      </c>
      <c r="Z29" s="25" t="s">
        <v>756</v>
      </c>
    </row>
    <row r="30" spans="1:26" x14ac:dyDescent="0.3">
      <c r="A30">
        <v>3005</v>
      </c>
      <c r="B30" t="s">
        <v>709</v>
      </c>
      <c r="C30" t="s">
        <v>646</v>
      </c>
      <c r="D30" t="s">
        <v>640</v>
      </c>
      <c r="E30" t="s">
        <v>657</v>
      </c>
      <c r="F30">
        <v>1900</v>
      </c>
      <c r="G30" t="s">
        <v>8</v>
      </c>
      <c r="H30">
        <v>210</v>
      </c>
      <c r="I30">
        <v>101</v>
      </c>
      <c r="J30">
        <v>293</v>
      </c>
      <c r="K30">
        <v>187</v>
      </c>
      <c r="L30">
        <v>168</v>
      </c>
      <c r="M30">
        <v>0</v>
      </c>
      <c r="N30">
        <v>7</v>
      </c>
      <c r="O30">
        <v>181</v>
      </c>
      <c r="P30">
        <v>47</v>
      </c>
      <c r="Q30">
        <v>66</v>
      </c>
      <c r="R30" s="138">
        <v>182</v>
      </c>
      <c r="S30" s="6">
        <v>1.25</v>
      </c>
      <c r="T30" s="6">
        <v>1.35</v>
      </c>
      <c r="U30" s="25">
        <v>1.3</v>
      </c>
      <c r="V30" s="25">
        <v>0</v>
      </c>
      <c r="W30" t="s">
        <v>1018</v>
      </c>
      <c r="X30" s="25" t="s">
        <v>756</v>
      </c>
      <c r="Y30" s="25" t="s">
        <v>756</v>
      </c>
      <c r="Z30" s="25" t="s">
        <v>756</v>
      </c>
    </row>
    <row r="31" spans="1:26" x14ac:dyDescent="0.3">
      <c r="A31">
        <v>255</v>
      </c>
      <c r="B31" t="s">
        <v>454</v>
      </c>
      <c r="C31" t="s">
        <v>650</v>
      </c>
      <c r="D31" t="s">
        <v>639</v>
      </c>
      <c r="E31" t="s">
        <v>657</v>
      </c>
      <c r="F31">
        <v>2277</v>
      </c>
      <c r="G31" t="s">
        <v>8</v>
      </c>
      <c r="H31">
        <v>199</v>
      </c>
      <c r="I31">
        <v>131</v>
      </c>
      <c r="J31">
        <v>228</v>
      </c>
      <c r="K31">
        <v>165</v>
      </c>
      <c r="L31">
        <v>172</v>
      </c>
      <c r="M31">
        <v>0</v>
      </c>
      <c r="N31">
        <v>9</v>
      </c>
      <c r="O31">
        <v>200</v>
      </c>
      <c r="P31">
        <v>45</v>
      </c>
      <c r="Q31">
        <v>61</v>
      </c>
      <c r="R31" s="138">
        <v>184</v>
      </c>
      <c r="S31" s="6">
        <v>1.55</v>
      </c>
      <c r="T31" s="6">
        <v>1</v>
      </c>
      <c r="U31" s="25">
        <v>1.05</v>
      </c>
      <c r="V31" s="25">
        <v>0</v>
      </c>
      <c r="W31" t="s">
        <v>1045</v>
      </c>
      <c r="X31" s="25" t="s">
        <v>756</v>
      </c>
      <c r="Y31" s="25" t="s">
        <v>756</v>
      </c>
      <c r="Z31" s="25" t="s">
        <v>756</v>
      </c>
    </row>
    <row r="32" spans="1:26" x14ac:dyDescent="0.3">
      <c r="A32">
        <v>13</v>
      </c>
      <c r="B32" t="s">
        <v>421</v>
      </c>
      <c r="C32" t="s">
        <v>646</v>
      </c>
      <c r="D32" t="s">
        <v>639</v>
      </c>
      <c r="E32" t="s">
        <v>657</v>
      </c>
      <c r="F32">
        <v>2112</v>
      </c>
      <c r="G32" t="s">
        <v>8</v>
      </c>
      <c r="H32">
        <v>215</v>
      </c>
      <c r="I32">
        <v>87</v>
      </c>
      <c r="J32">
        <v>291</v>
      </c>
      <c r="K32">
        <v>158</v>
      </c>
      <c r="L32">
        <v>178</v>
      </c>
      <c r="M32">
        <v>0</v>
      </c>
      <c r="N32">
        <v>9</v>
      </c>
      <c r="O32">
        <v>212</v>
      </c>
      <c r="P32">
        <v>42</v>
      </c>
      <c r="Q32">
        <v>82</v>
      </c>
      <c r="R32" s="138">
        <v>207</v>
      </c>
      <c r="S32" s="6">
        <v>1.25</v>
      </c>
      <c r="T32" s="6">
        <v>1.3</v>
      </c>
      <c r="U32" s="25">
        <v>1.3</v>
      </c>
      <c r="V32" s="25">
        <v>0</v>
      </c>
      <c r="W32" s="27" t="s">
        <v>1020</v>
      </c>
      <c r="X32" s="25" t="s">
        <v>756</v>
      </c>
      <c r="Y32" s="25" t="s">
        <v>756</v>
      </c>
      <c r="Z32" s="25" t="s">
        <v>756</v>
      </c>
    </row>
    <row r="33" spans="1:26" x14ac:dyDescent="0.3">
      <c r="A33">
        <v>88</v>
      </c>
      <c r="B33" t="s">
        <v>372</v>
      </c>
      <c r="C33" t="s">
        <v>647</v>
      </c>
      <c r="D33" t="s">
        <v>641</v>
      </c>
      <c r="E33" t="s">
        <v>657</v>
      </c>
      <c r="F33">
        <v>1359</v>
      </c>
      <c r="G33" t="s">
        <v>8</v>
      </c>
      <c r="H33">
        <v>190</v>
      </c>
      <c r="I33">
        <v>68</v>
      </c>
      <c r="J33">
        <v>350</v>
      </c>
      <c r="K33">
        <v>210</v>
      </c>
      <c r="L33">
        <v>150</v>
      </c>
      <c r="M33">
        <v>0</v>
      </c>
      <c r="N33">
        <v>7</v>
      </c>
      <c r="O33">
        <v>206</v>
      </c>
      <c r="P33">
        <v>43</v>
      </c>
      <c r="Q33">
        <v>54</v>
      </c>
      <c r="R33" s="138">
        <v>178</v>
      </c>
      <c r="S33" s="6">
        <v>1.2</v>
      </c>
      <c r="T33" s="6">
        <v>1.35</v>
      </c>
      <c r="U33" s="25">
        <v>1.05</v>
      </c>
      <c r="V33" s="25">
        <v>0</v>
      </c>
      <c r="W33" t="s">
        <v>1027</v>
      </c>
      <c r="X33" s="25" t="s">
        <v>756</v>
      </c>
      <c r="Y33" s="25" t="s">
        <v>756</v>
      </c>
      <c r="Z33" s="25" t="s">
        <v>756</v>
      </c>
    </row>
    <row r="34" spans="1:26" x14ac:dyDescent="0.3">
      <c r="A34">
        <v>3088</v>
      </c>
      <c r="B34" t="s">
        <v>715</v>
      </c>
      <c r="C34" t="s">
        <v>647</v>
      </c>
      <c r="D34" t="s">
        <v>640</v>
      </c>
      <c r="E34" t="s">
        <v>657</v>
      </c>
      <c r="F34">
        <v>1524</v>
      </c>
      <c r="G34" t="s">
        <v>8</v>
      </c>
      <c r="H34">
        <v>195</v>
      </c>
      <c r="I34">
        <v>68</v>
      </c>
      <c r="J34">
        <v>385</v>
      </c>
      <c r="K34">
        <v>245</v>
      </c>
      <c r="L34">
        <v>165</v>
      </c>
      <c r="M34">
        <v>0</v>
      </c>
      <c r="N34">
        <v>7</v>
      </c>
      <c r="O34">
        <v>206</v>
      </c>
      <c r="P34">
        <v>46</v>
      </c>
      <c r="Q34">
        <v>54</v>
      </c>
      <c r="R34" s="138">
        <v>178</v>
      </c>
      <c r="S34" s="6">
        <v>1.2</v>
      </c>
      <c r="T34" s="6">
        <v>1.4</v>
      </c>
      <c r="U34" s="25">
        <v>1.1000000000000001</v>
      </c>
      <c r="V34" s="25">
        <v>0</v>
      </c>
      <c r="W34" t="s">
        <v>1027</v>
      </c>
      <c r="X34" s="25" t="s">
        <v>756</v>
      </c>
      <c r="Y34" s="25" t="s">
        <v>756</v>
      </c>
      <c r="Z34" s="25" t="s">
        <v>756</v>
      </c>
    </row>
    <row r="35" spans="1:26" x14ac:dyDescent="0.3">
      <c r="A35">
        <v>8</v>
      </c>
      <c r="B35" t="s">
        <v>417</v>
      </c>
      <c r="C35" t="s">
        <v>646</v>
      </c>
      <c r="D35" t="s">
        <v>641</v>
      </c>
      <c r="E35" t="s">
        <v>657</v>
      </c>
      <c r="F35">
        <v>1774</v>
      </c>
      <c r="G35" t="s">
        <v>8</v>
      </c>
      <c r="H35">
        <v>196</v>
      </c>
      <c r="I35">
        <v>72</v>
      </c>
      <c r="J35">
        <v>429</v>
      </c>
      <c r="K35">
        <v>163</v>
      </c>
      <c r="L35">
        <v>171</v>
      </c>
      <c r="M35">
        <v>0</v>
      </c>
      <c r="N35">
        <v>7</v>
      </c>
      <c r="O35">
        <v>192</v>
      </c>
      <c r="P35">
        <v>46</v>
      </c>
      <c r="Q35">
        <v>72</v>
      </c>
      <c r="R35" s="138">
        <v>194</v>
      </c>
      <c r="S35" s="6">
        <v>1.1499999999999999</v>
      </c>
      <c r="T35" s="6">
        <v>1.35</v>
      </c>
      <c r="U35" s="25">
        <v>1.25</v>
      </c>
      <c r="V35" s="25">
        <v>0</v>
      </c>
      <c r="W35" t="s">
        <v>1019</v>
      </c>
      <c r="X35" s="25" t="s">
        <v>756</v>
      </c>
      <c r="Y35" s="25" t="s">
        <v>756</v>
      </c>
      <c r="Z35" s="25" t="s">
        <v>756</v>
      </c>
    </row>
    <row r="36" spans="1:26" x14ac:dyDescent="0.3">
      <c r="A36">
        <v>89</v>
      </c>
      <c r="B36" t="s">
        <v>373</v>
      </c>
      <c r="C36" t="s">
        <v>647</v>
      </c>
      <c r="D36" t="s">
        <v>641</v>
      </c>
      <c r="E36" t="s">
        <v>657</v>
      </c>
      <c r="F36">
        <v>1359</v>
      </c>
      <c r="G36" t="s">
        <v>8</v>
      </c>
      <c r="H36">
        <v>190</v>
      </c>
      <c r="I36">
        <v>68</v>
      </c>
      <c r="J36">
        <v>350</v>
      </c>
      <c r="K36">
        <v>210</v>
      </c>
      <c r="L36">
        <v>150</v>
      </c>
      <c r="M36">
        <v>0</v>
      </c>
      <c r="N36">
        <v>7</v>
      </c>
      <c r="O36">
        <v>206</v>
      </c>
      <c r="P36">
        <v>43</v>
      </c>
      <c r="Q36">
        <v>35</v>
      </c>
      <c r="R36" s="138">
        <v>178</v>
      </c>
      <c r="S36" s="6">
        <v>1.2</v>
      </c>
      <c r="T36" s="6">
        <v>1.35</v>
      </c>
      <c r="U36" s="25">
        <v>1.05</v>
      </c>
      <c r="V36" s="25">
        <v>0</v>
      </c>
      <c r="W36" t="s">
        <v>1027</v>
      </c>
      <c r="X36" s="25" t="s">
        <v>756</v>
      </c>
      <c r="Y36" s="25" t="s">
        <v>756</v>
      </c>
      <c r="Z36" s="25" t="s">
        <v>756</v>
      </c>
    </row>
    <row r="37" spans="1:26" x14ac:dyDescent="0.3">
      <c r="A37">
        <v>3089</v>
      </c>
      <c r="B37" t="s">
        <v>716</v>
      </c>
      <c r="C37" t="s">
        <v>647</v>
      </c>
      <c r="D37" t="s">
        <v>640</v>
      </c>
      <c r="E37" t="s">
        <v>657</v>
      </c>
      <c r="F37">
        <v>1524</v>
      </c>
      <c r="G37" t="s">
        <v>8</v>
      </c>
      <c r="H37">
        <v>190</v>
      </c>
      <c r="I37">
        <v>108</v>
      </c>
      <c r="J37">
        <v>350</v>
      </c>
      <c r="K37">
        <v>240</v>
      </c>
      <c r="L37">
        <v>165</v>
      </c>
      <c r="M37">
        <v>0</v>
      </c>
      <c r="N37">
        <v>7</v>
      </c>
      <c r="O37">
        <v>206</v>
      </c>
      <c r="P37">
        <v>46</v>
      </c>
      <c r="Q37">
        <v>35</v>
      </c>
      <c r="R37" s="138">
        <v>183</v>
      </c>
      <c r="S37" s="6">
        <v>1.25</v>
      </c>
      <c r="T37" s="6">
        <v>1.35</v>
      </c>
      <c r="U37" s="25">
        <v>1.1000000000000001</v>
      </c>
      <c r="V37" s="25">
        <v>0</v>
      </c>
      <c r="W37" t="s">
        <v>1027</v>
      </c>
      <c r="X37" s="25" t="s">
        <v>756</v>
      </c>
      <c r="Y37" s="25" t="s">
        <v>756</v>
      </c>
      <c r="Z37" s="25" t="s">
        <v>756</v>
      </c>
    </row>
    <row r="38" spans="1:26" x14ac:dyDescent="0.3">
      <c r="A38">
        <v>90</v>
      </c>
      <c r="B38" t="s">
        <v>374</v>
      </c>
      <c r="C38" t="s">
        <v>647</v>
      </c>
      <c r="D38" t="s">
        <v>641</v>
      </c>
      <c r="E38" t="s">
        <v>657</v>
      </c>
      <c r="F38">
        <v>1359</v>
      </c>
      <c r="G38" t="s">
        <v>8</v>
      </c>
      <c r="H38">
        <v>190</v>
      </c>
      <c r="I38">
        <v>68</v>
      </c>
      <c r="J38">
        <v>350</v>
      </c>
      <c r="K38">
        <v>210</v>
      </c>
      <c r="L38">
        <v>150</v>
      </c>
      <c r="M38">
        <v>0</v>
      </c>
      <c r="N38">
        <v>7</v>
      </c>
      <c r="O38">
        <v>210</v>
      </c>
      <c r="P38">
        <v>43</v>
      </c>
      <c r="Q38">
        <v>72</v>
      </c>
      <c r="R38" s="138">
        <v>178</v>
      </c>
      <c r="S38" s="6">
        <v>1.2</v>
      </c>
      <c r="T38" s="6">
        <v>1.35</v>
      </c>
      <c r="U38" s="25">
        <v>1.05</v>
      </c>
      <c r="V38" s="25">
        <v>0</v>
      </c>
      <c r="W38" t="s">
        <v>1027</v>
      </c>
      <c r="X38" s="25" t="s">
        <v>756</v>
      </c>
      <c r="Y38" s="25" t="s">
        <v>756</v>
      </c>
      <c r="Z38" s="25" t="s">
        <v>756</v>
      </c>
    </row>
    <row r="39" spans="1:26" x14ac:dyDescent="0.3">
      <c r="A39">
        <v>3090</v>
      </c>
      <c r="B39" t="s">
        <v>717</v>
      </c>
      <c r="C39" t="s">
        <v>647</v>
      </c>
      <c r="D39" t="s">
        <v>640</v>
      </c>
      <c r="E39" t="s">
        <v>657</v>
      </c>
      <c r="F39">
        <v>1524</v>
      </c>
      <c r="G39" t="s">
        <v>8</v>
      </c>
      <c r="H39">
        <v>190</v>
      </c>
      <c r="I39">
        <v>98</v>
      </c>
      <c r="J39">
        <v>350</v>
      </c>
      <c r="K39">
        <v>255</v>
      </c>
      <c r="L39">
        <v>165</v>
      </c>
      <c r="M39">
        <v>0</v>
      </c>
      <c r="N39">
        <v>7</v>
      </c>
      <c r="O39">
        <v>210</v>
      </c>
      <c r="P39">
        <v>46</v>
      </c>
      <c r="Q39">
        <v>72</v>
      </c>
      <c r="R39" s="138">
        <v>178</v>
      </c>
      <c r="S39" s="6">
        <v>1.25</v>
      </c>
      <c r="T39" s="6">
        <v>1.35</v>
      </c>
      <c r="U39" s="25">
        <v>1.1000000000000001</v>
      </c>
      <c r="V39" s="25">
        <v>0</v>
      </c>
      <c r="W39" t="s">
        <v>1027</v>
      </c>
      <c r="X39" s="25" t="s">
        <v>756</v>
      </c>
      <c r="Y39" s="25" t="s">
        <v>756</v>
      </c>
      <c r="Z39" s="25" t="s">
        <v>756</v>
      </c>
    </row>
    <row r="40" spans="1:26" x14ac:dyDescent="0.3">
      <c r="A40">
        <v>4</v>
      </c>
      <c r="B40" t="s">
        <v>864</v>
      </c>
      <c r="C40" t="s">
        <v>646</v>
      </c>
      <c r="D40" t="s">
        <v>640</v>
      </c>
      <c r="E40" t="s">
        <v>157</v>
      </c>
      <c r="F40">
        <v>1647</v>
      </c>
      <c r="G40" t="s">
        <v>8</v>
      </c>
      <c r="H40">
        <v>162</v>
      </c>
      <c r="I40">
        <v>74</v>
      </c>
      <c r="J40">
        <v>279</v>
      </c>
      <c r="K40">
        <v>162</v>
      </c>
      <c r="L40">
        <v>185</v>
      </c>
      <c r="M40">
        <v>0</v>
      </c>
      <c r="N40">
        <v>7</v>
      </c>
      <c r="O40">
        <v>184</v>
      </c>
      <c r="P40">
        <v>44</v>
      </c>
      <c r="Q40">
        <v>72</v>
      </c>
      <c r="R40" s="138">
        <v>173</v>
      </c>
      <c r="S40" s="6">
        <v>1.2</v>
      </c>
      <c r="T40" s="6">
        <v>1.3</v>
      </c>
      <c r="U40" s="25">
        <v>1.3</v>
      </c>
      <c r="V40" s="25">
        <v>0</v>
      </c>
      <c r="W40" s="25" t="s">
        <v>756</v>
      </c>
      <c r="X40" s="25" t="s">
        <v>756</v>
      </c>
      <c r="Y40" s="25" t="s">
        <v>756</v>
      </c>
      <c r="Z40" s="25" t="s">
        <v>756</v>
      </c>
    </row>
    <row r="41" spans="1:26" x14ac:dyDescent="0.3">
      <c r="A41">
        <v>6</v>
      </c>
      <c r="B41" t="s">
        <v>356</v>
      </c>
      <c r="C41" t="s">
        <v>646</v>
      </c>
      <c r="D41" t="s">
        <v>641</v>
      </c>
      <c r="E41" t="s">
        <v>657</v>
      </c>
      <c r="F41">
        <v>1735</v>
      </c>
      <c r="G41" t="s">
        <v>8</v>
      </c>
      <c r="H41">
        <v>190</v>
      </c>
      <c r="I41">
        <v>76</v>
      </c>
      <c r="J41">
        <v>283</v>
      </c>
      <c r="K41">
        <v>162</v>
      </c>
      <c r="L41">
        <v>168</v>
      </c>
      <c r="M41">
        <v>0</v>
      </c>
      <c r="N41">
        <v>7</v>
      </c>
      <c r="O41">
        <v>181</v>
      </c>
      <c r="P41">
        <v>44</v>
      </c>
      <c r="Q41">
        <v>63</v>
      </c>
      <c r="R41" s="138">
        <v>182</v>
      </c>
      <c r="S41" s="6">
        <v>1.2</v>
      </c>
      <c r="T41" s="6">
        <v>1.3</v>
      </c>
      <c r="U41" s="25">
        <v>1.3</v>
      </c>
      <c r="V41" s="25">
        <v>0</v>
      </c>
      <c r="W41" t="s">
        <v>1018</v>
      </c>
      <c r="X41" s="25" t="s">
        <v>756</v>
      </c>
      <c r="Y41" s="25" t="s">
        <v>756</v>
      </c>
      <c r="Z41" s="25" t="s">
        <v>756</v>
      </c>
    </row>
    <row r="42" spans="1:26" x14ac:dyDescent="0.3">
      <c r="A42">
        <v>3006</v>
      </c>
      <c r="B42" t="s">
        <v>710</v>
      </c>
      <c r="C42" t="s">
        <v>646</v>
      </c>
      <c r="D42" t="s">
        <v>640</v>
      </c>
      <c r="E42" t="s">
        <v>657</v>
      </c>
      <c r="F42">
        <v>1900</v>
      </c>
      <c r="G42" t="s">
        <v>8</v>
      </c>
      <c r="H42">
        <v>210</v>
      </c>
      <c r="I42">
        <v>101</v>
      </c>
      <c r="J42">
        <v>293</v>
      </c>
      <c r="K42">
        <v>187</v>
      </c>
      <c r="L42">
        <v>168</v>
      </c>
      <c r="M42">
        <v>0</v>
      </c>
      <c r="N42">
        <v>7</v>
      </c>
      <c r="O42">
        <v>181</v>
      </c>
      <c r="P42">
        <v>47</v>
      </c>
      <c r="Q42">
        <v>63</v>
      </c>
      <c r="R42" s="138">
        <v>182</v>
      </c>
      <c r="S42" s="6">
        <v>1.25</v>
      </c>
      <c r="T42" s="6">
        <v>1.35</v>
      </c>
      <c r="U42" s="25">
        <v>1.3</v>
      </c>
      <c r="V42" s="25">
        <v>0</v>
      </c>
      <c r="W42" t="s">
        <v>1018</v>
      </c>
      <c r="X42" s="25" t="s">
        <v>756</v>
      </c>
      <c r="Y42" s="25" t="s">
        <v>756</v>
      </c>
      <c r="Z42" s="25" t="s">
        <v>756</v>
      </c>
    </row>
    <row r="43" spans="1:26" x14ac:dyDescent="0.3">
      <c r="A43" s="24"/>
      <c r="B43" s="24" t="s">
        <v>993</v>
      </c>
      <c r="C43" s="24" t="s">
        <v>647</v>
      </c>
      <c r="D43" s="24" t="s">
        <v>639</v>
      </c>
      <c r="E43" s="24" t="s">
        <v>157</v>
      </c>
      <c r="F43" s="24">
        <v>1400</v>
      </c>
      <c r="G43" s="24" t="s">
        <v>8</v>
      </c>
      <c r="H43" s="24">
        <v>193</v>
      </c>
      <c r="I43" s="24">
        <v>73</v>
      </c>
      <c r="J43" s="24">
        <v>360</v>
      </c>
      <c r="K43" s="24">
        <v>209</v>
      </c>
      <c r="L43" s="24">
        <v>152</v>
      </c>
      <c r="M43" s="24">
        <v>0</v>
      </c>
      <c r="N43" s="24">
        <v>8</v>
      </c>
      <c r="O43" s="24">
        <v>207</v>
      </c>
      <c r="P43" s="24">
        <v>42</v>
      </c>
      <c r="Q43" s="24">
        <v>65</v>
      </c>
      <c r="R43" s="138">
        <v>178</v>
      </c>
      <c r="S43" s="25">
        <v>1.2</v>
      </c>
      <c r="T43" s="25">
        <v>1.4</v>
      </c>
      <c r="U43" s="25">
        <v>1.05</v>
      </c>
      <c r="V43" s="25">
        <v>0</v>
      </c>
      <c r="W43" s="25" t="s">
        <v>999</v>
      </c>
      <c r="X43" s="25" t="s">
        <v>756</v>
      </c>
      <c r="Y43" s="25" t="s">
        <v>756</v>
      </c>
      <c r="Z43" s="25" t="s">
        <v>756</v>
      </c>
    </row>
    <row r="44" spans="1:26" x14ac:dyDescent="0.3">
      <c r="A44">
        <v>28</v>
      </c>
      <c r="B44" t="s">
        <v>428</v>
      </c>
      <c r="C44" t="s">
        <v>646</v>
      </c>
      <c r="D44" t="s">
        <v>642</v>
      </c>
      <c r="E44" t="s">
        <v>657</v>
      </c>
      <c r="F44">
        <v>1720</v>
      </c>
      <c r="G44" t="s">
        <v>8</v>
      </c>
      <c r="H44">
        <v>231</v>
      </c>
      <c r="I44">
        <v>81</v>
      </c>
      <c r="J44">
        <v>381</v>
      </c>
      <c r="K44">
        <v>211</v>
      </c>
      <c r="L44">
        <v>183</v>
      </c>
      <c r="M44">
        <v>0</v>
      </c>
      <c r="N44">
        <v>10</v>
      </c>
      <c r="O44">
        <v>226</v>
      </c>
      <c r="P44">
        <v>25</v>
      </c>
      <c r="Q44">
        <v>75</v>
      </c>
      <c r="R44" s="138">
        <v>194</v>
      </c>
      <c r="S44" s="6">
        <v>1.1499999999999999</v>
      </c>
      <c r="T44" s="6">
        <v>1.3</v>
      </c>
      <c r="U44" s="25">
        <v>1.25</v>
      </c>
      <c r="V44" s="25">
        <v>0</v>
      </c>
      <c r="W44" t="s">
        <v>1024</v>
      </c>
      <c r="X44" s="25" t="s">
        <v>756</v>
      </c>
      <c r="Y44" s="25" t="s">
        <v>756</v>
      </c>
      <c r="Z44" s="25" t="s">
        <v>756</v>
      </c>
    </row>
    <row r="45" spans="1:26" x14ac:dyDescent="0.3">
      <c r="A45">
        <v>11</v>
      </c>
      <c r="B45" t="s">
        <v>420</v>
      </c>
      <c r="C45" t="s">
        <v>646</v>
      </c>
      <c r="D45" t="s">
        <v>640</v>
      </c>
      <c r="E45" t="s">
        <v>657</v>
      </c>
      <c r="F45">
        <v>2077</v>
      </c>
      <c r="G45" t="s">
        <v>8</v>
      </c>
      <c r="H45">
        <v>196</v>
      </c>
      <c r="I45">
        <v>85</v>
      </c>
      <c r="J45">
        <v>283</v>
      </c>
      <c r="K45">
        <v>160</v>
      </c>
      <c r="L45">
        <v>172</v>
      </c>
      <c r="M45">
        <v>0</v>
      </c>
      <c r="N45">
        <v>8</v>
      </c>
      <c r="O45">
        <v>206</v>
      </c>
      <c r="P45">
        <v>43</v>
      </c>
      <c r="Q45">
        <v>73</v>
      </c>
      <c r="R45" s="138">
        <v>189</v>
      </c>
      <c r="S45" s="6">
        <v>1.2</v>
      </c>
      <c r="T45" s="6">
        <v>1.3</v>
      </c>
      <c r="U45" s="25">
        <v>1.3</v>
      </c>
      <c r="V45" s="25">
        <v>0</v>
      </c>
      <c r="W45" s="27" t="s">
        <v>1020</v>
      </c>
      <c r="X45" s="25" t="s">
        <v>756</v>
      </c>
      <c r="Y45" s="25" t="s">
        <v>756</v>
      </c>
      <c r="Z45" s="25" t="s">
        <v>756</v>
      </c>
    </row>
    <row r="46" spans="1:26" x14ac:dyDescent="0.3">
      <c r="A46">
        <v>16</v>
      </c>
      <c r="B46" t="s">
        <v>424</v>
      </c>
      <c r="C46" t="s">
        <v>646</v>
      </c>
      <c r="D46" t="s">
        <v>641</v>
      </c>
      <c r="E46" t="s">
        <v>657</v>
      </c>
      <c r="F46">
        <v>1998</v>
      </c>
      <c r="G46" t="s">
        <v>8</v>
      </c>
      <c r="H46">
        <v>196</v>
      </c>
      <c r="I46">
        <v>82</v>
      </c>
      <c r="J46">
        <v>279</v>
      </c>
      <c r="K46">
        <v>158</v>
      </c>
      <c r="L46">
        <v>171</v>
      </c>
      <c r="M46">
        <v>0</v>
      </c>
      <c r="N46">
        <v>7</v>
      </c>
      <c r="O46">
        <v>202</v>
      </c>
      <c r="P46">
        <v>42</v>
      </c>
      <c r="Q46">
        <v>67</v>
      </c>
      <c r="R46" s="138">
        <v>197</v>
      </c>
      <c r="S46" s="6">
        <v>1.2</v>
      </c>
      <c r="T46" s="6">
        <v>1.3</v>
      </c>
      <c r="U46" s="25">
        <v>1.3</v>
      </c>
      <c r="V46" s="25">
        <v>0</v>
      </c>
      <c r="W46" s="27" t="s">
        <v>1020</v>
      </c>
      <c r="X46" s="25" t="s">
        <v>756</v>
      </c>
      <c r="Y46" s="25" t="s">
        <v>756</v>
      </c>
      <c r="Z46" s="25" t="s">
        <v>756</v>
      </c>
    </row>
    <row r="47" spans="1:26" x14ac:dyDescent="0.3">
      <c r="A47">
        <v>348</v>
      </c>
      <c r="B47" t="s">
        <v>411</v>
      </c>
      <c r="C47" t="s">
        <v>652</v>
      </c>
      <c r="D47" t="s">
        <v>640</v>
      </c>
      <c r="E47" t="s">
        <v>657</v>
      </c>
      <c r="F47">
        <v>1376</v>
      </c>
      <c r="G47" t="s">
        <v>8</v>
      </c>
      <c r="H47">
        <v>193</v>
      </c>
      <c r="I47">
        <v>69</v>
      </c>
      <c r="J47">
        <v>409</v>
      </c>
      <c r="K47">
        <v>200</v>
      </c>
      <c r="L47">
        <v>138</v>
      </c>
      <c r="M47">
        <v>0</v>
      </c>
      <c r="N47">
        <v>8</v>
      </c>
      <c r="O47">
        <v>189</v>
      </c>
      <c r="P47">
        <v>39</v>
      </c>
      <c r="Q47">
        <v>69</v>
      </c>
      <c r="R47" s="138">
        <v>186</v>
      </c>
      <c r="S47" s="6">
        <v>1.1499999999999999</v>
      </c>
      <c r="T47" s="6">
        <v>1.4</v>
      </c>
      <c r="U47" s="25">
        <v>0.75</v>
      </c>
      <c r="V47" s="25">
        <v>0</v>
      </c>
      <c r="W47" t="s">
        <v>1055</v>
      </c>
      <c r="X47" s="25" t="s">
        <v>756</v>
      </c>
      <c r="Y47" s="25" t="s">
        <v>756</v>
      </c>
      <c r="Z47" s="25" t="s">
        <v>756</v>
      </c>
    </row>
    <row r="48" spans="1:26" x14ac:dyDescent="0.3">
      <c r="A48">
        <v>3348</v>
      </c>
      <c r="B48" t="s">
        <v>731</v>
      </c>
      <c r="C48" t="s">
        <v>652</v>
      </c>
      <c r="D48" t="s">
        <v>639</v>
      </c>
      <c r="E48" t="s">
        <v>657</v>
      </c>
      <c r="F48">
        <v>1436</v>
      </c>
      <c r="G48" t="s">
        <v>8</v>
      </c>
      <c r="H48">
        <v>193</v>
      </c>
      <c r="I48">
        <v>89</v>
      </c>
      <c r="J48">
        <v>439</v>
      </c>
      <c r="K48">
        <v>200</v>
      </c>
      <c r="L48">
        <v>168</v>
      </c>
      <c r="M48">
        <v>0</v>
      </c>
      <c r="N48">
        <v>8</v>
      </c>
      <c r="O48">
        <v>219</v>
      </c>
      <c r="P48">
        <v>42</v>
      </c>
      <c r="Q48">
        <v>69</v>
      </c>
      <c r="R48" s="138">
        <v>186</v>
      </c>
      <c r="S48" s="6">
        <v>1.2</v>
      </c>
      <c r="T48" s="6">
        <v>1.45</v>
      </c>
      <c r="U48" s="25">
        <v>0.8</v>
      </c>
      <c r="V48" s="25">
        <v>0</v>
      </c>
      <c r="W48" t="s">
        <v>1055</v>
      </c>
      <c r="X48" s="25" t="s">
        <v>756</v>
      </c>
      <c r="Y48" s="25" t="s">
        <v>756</v>
      </c>
      <c r="Z48" s="25" t="s">
        <v>756</v>
      </c>
    </row>
    <row r="49" spans="1:26" x14ac:dyDescent="0.3">
      <c r="A49">
        <v>92</v>
      </c>
      <c r="B49" t="s">
        <v>376</v>
      </c>
      <c r="C49" t="s">
        <v>647</v>
      </c>
      <c r="D49" t="s">
        <v>640</v>
      </c>
      <c r="E49" t="s">
        <v>657</v>
      </c>
      <c r="F49">
        <v>1402</v>
      </c>
      <c r="G49" t="s">
        <v>8</v>
      </c>
      <c r="H49">
        <v>195</v>
      </c>
      <c r="I49">
        <v>72</v>
      </c>
      <c r="J49">
        <v>357</v>
      </c>
      <c r="K49">
        <v>209</v>
      </c>
      <c r="L49">
        <v>154</v>
      </c>
      <c r="M49">
        <v>0</v>
      </c>
      <c r="N49">
        <v>8</v>
      </c>
      <c r="O49">
        <v>218</v>
      </c>
      <c r="P49">
        <v>42</v>
      </c>
      <c r="Q49">
        <v>68</v>
      </c>
      <c r="R49" s="138">
        <v>180</v>
      </c>
      <c r="S49" s="6">
        <v>1.2</v>
      </c>
      <c r="T49" s="6">
        <v>1.35</v>
      </c>
      <c r="U49" s="25">
        <v>1.05</v>
      </c>
      <c r="V49" s="25">
        <v>0</v>
      </c>
      <c r="W49" t="s">
        <v>1028</v>
      </c>
      <c r="X49" s="25" t="s">
        <v>756</v>
      </c>
      <c r="Y49" s="25" t="s">
        <v>756</v>
      </c>
      <c r="Z49" s="25" t="s">
        <v>756</v>
      </c>
    </row>
    <row r="50" spans="1:26" x14ac:dyDescent="0.3">
      <c r="A50">
        <v>3092</v>
      </c>
      <c r="B50" t="s">
        <v>719</v>
      </c>
      <c r="C50" t="s">
        <v>647</v>
      </c>
      <c r="D50" t="s">
        <v>639</v>
      </c>
      <c r="E50" t="s">
        <v>657</v>
      </c>
      <c r="F50">
        <v>1567</v>
      </c>
      <c r="G50" t="s">
        <v>8</v>
      </c>
      <c r="H50">
        <v>195</v>
      </c>
      <c r="I50">
        <v>107</v>
      </c>
      <c r="J50">
        <v>357</v>
      </c>
      <c r="K50">
        <v>249</v>
      </c>
      <c r="L50">
        <v>169</v>
      </c>
      <c r="M50">
        <v>0</v>
      </c>
      <c r="N50">
        <v>8</v>
      </c>
      <c r="O50">
        <v>218</v>
      </c>
      <c r="P50">
        <v>45</v>
      </c>
      <c r="Q50">
        <v>68</v>
      </c>
      <c r="R50" s="138">
        <v>180</v>
      </c>
      <c r="S50" s="6">
        <v>1.25</v>
      </c>
      <c r="T50" s="6">
        <v>1.35</v>
      </c>
      <c r="U50" s="25">
        <v>1.1000000000000001</v>
      </c>
      <c r="V50" s="25">
        <v>0</v>
      </c>
      <c r="W50" t="s">
        <v>1028</v>
      </c>
      <c r="X50" s="25" t="s">
        <v>756</v>
      </c>
      <c r="Y50" s="25" t="s">
        <v>756</v>
      </c>
      <c r="Z50" s="25" t="s">
        <v>756</v>
      </c>
    </row>
    <row r="51" spans="1:26" x14ac:dyDescent="0.3">
      <c r="A51">
        <v>91</v>
      </c>
      <c r="B51" t="s">
        <v>375</v>
      </c>
      <c r="C51" t="s">
        <v>647</v>
      </c>
      <c r="D51" t="s">
        <v>641</v>
      </c>
      <c r="E51" t="s">
        <v>657</v>
      </c>
      <c r="F51">
        <v>1373</v>
      </c>
      <c r="G51" t="s">
        <v>8</v>
      </c>
      <c r="H51">
        <v>192</v>
      </c>
      <c r="I51">
        <v>71</v>
      </c>
      <c r="J51">
        <v>350</v>
      </c>
      <c r="K51">
        <v>209</v>
      </c>
      <c r="L51">
        <v>150</v>
      </c>
      <c r="M51">
        <v>0</v>
      </c>
      <c r="N51">
        <v>7</v>
      </c>
      <c r="O51">
        <v>213</v>
      </c>
      <c r="P51">
        <v>42</v>
      </c>
      <c r="Q51">
        <v>68</v>
      </c>
      <c r="R51" s="138">
        <v>180</v>
      </c>
      <c r="S51" s="6">
        <v>1.2</v>
      </c>
      <c r="T51" s="6">
        <v>1.35</v>
      </c>
      <c r="U51" s="25">
        <v>1.05</v>
      </c>
      <c r="V51" s="25">
        <v>0</v>
      </c>
      <c r="W51" t="s">
        <v>1028</v>
      </c>
      <c r="X51" s="25" t="s">
        <v>756</v>
      </c>
      <c r="Y51" s="25" t="s">
        <v>756</v>
      </c>
      <c r="Z51" s="25" t="s">
        <v>756</v>
      </c>
    </row>
    <row r="52" spans="1:26" x14ac:dyDescent="0.3">
      <c r="A52">
        <v>3091</v>
      </c>
      <c r="B52" t="s">
        <v>718</v>
      </c>
      <c r="C52" t="s">
        <v>647</v>
      </c>
      <c r="D52" t="s">
        <v>640</v>
      </c>
      <c r="E52" t="s">
        <v>657</v>
      </c>
      <c r="F52">
        <v>1538</v>
      </c>
      <c r="G52" t="s">
        <v>8</v>
      </c>
      <c r="H52">
        <v>192</v>
      </c>
      <c r="I52">
        <v>106</v>
      </c>
      <c r="J52">
        <v>350</v>
      </c>
      <c r="K52">
        <v>249</v>
      </c>
      <c r="L52">
        <v>165</v>
      </c>
      <c r="M52">
        <v>0</v>
      </c>
      <c r="N52">
        <v>7</v>
      </c>
      <c r="O52">
        <v>213</v>
      </c>
      <c r="P52">
        <v>45</v>
      </c>
      <c r="Q52">
        <v>68</v>
      </c>
      <c r="R52" s="138">
        <v>180</v>
      </c>
      <c r="S52" s="6">
        <v>1.25</v>
      </c>
      <c r="T52" s="6">
        <v>1.35</v>
      </c>
      <c r="U52" s="25">
        <v>1.1000000000000001</v>
      </c>
      <c r="V52" s="25">
        <v>0</v>
      </c>
      <c r="W52" t="s">
        <v>1028</v>
      </c>
      <c r="X52" s="25" t="s">
        <v>756</v>
      </c>
      <c r="Y52" s="25" t="s">
        <v>756</v>
      </c>
      <c r="Z52" s="25" t="s">
        <v>756</v>
      </c>
    </row>
    <row r="53" spans="1:26" x14ac:dyDescent="0.3">
      <c r="A53">
        <v>254</v>
      </c>
      <c r="B53" t="s">
        <v>453</v>
      </c>
      <c r="C53" t="s">
        <v>650</v>
      </c>
      <c r="D53" t="s">
        <v>639</v>
      </c>
      <c r="E53" t="s">
        <v>657</v>
      </c>
      <c r="F53">
        <v>2277</v>
      </c>
      <c r="G53" t="s">
        <v>8</v>
      </c>
      <c r="H53">
        <v>201</v>
      </c>
      <c r="I53">
        <v>128</v>
      </c>
      <c r="J53">
        <v>231</v>
      </c>
      <c r="K53">
        <v>165</v>
      </c>
      <c r="L53">
        <v>174</v>
      </c>
      <c r="M53">
        <v>0</v>
      </c>
      <c r="N53">
        <v>9</v>
      </c>
      <c r="O53">
        <v>200</v>
      </c>
      <c r="P53">
        <v>45</v>
      </c>
      <c r="Q53">
        <v>51</v>
      </c>
      <c r="R53" s="138">
        <v>186</v>
      </c>
      <c r="S53" s="6">
        <v>1.55</v>
      </c>
      <c r="T53" s="6">
        <v>1</v>
      </c>
      <c r="U53" s="25">
        <v>1.05</v>
      </c>
      <c r="V53" s="25">
        <v>0</v>
      </c>
      <c r="W53" t="s">
        <v>1045</v>
      </c>
      <c r="X53" s="25" t="s">
        <v>756</v>
      </c>
      <c r="Y53" s="25" t="s">
        <v>756</v>
      </c>
      <c r="Z53" s="25" t="s">
        <v>756</v>
      </c>
    </row>
    <row r="54" spans="1:26" x14ac:dyDescent="0.3">
      <c r="A54">
        <v>151</v>
      </c>
      <c r="B54" t="s">
        <v>436</v>
      </c>
      <c r="C54" t="s">
        <v>648</v>
      </c>
      <c r="D54" t="s">
        <v>639</v>
      </c>
      <c r="E54" t="s">
        <v>657</v>
      </c>
      <c r="F54">
        <v>1798</v>
      </c>
      <c r="G54" t="s">
        <v>8</v>
      </c>
      <c r="H54">
        <v>213</v>
      </c>
      <c r="I54">
        <v>62</v>
      </c>
      <c r="J54">
        <v>508</v>
      </c>
      <c r="K54">
        <v>191</v>
      </c>
      <c r="L54">
        <v>146</v>
      </c>
      <c r="M54">
        <v>0</v>
      </c>
      <c r="N54">
        <v>9</v>
      </c>
      <c r="O54">
        <v>195</v>
      </c>
      <c r="P54">
        <v>45</v>
      </c>
      <c r="Q54">
        <v>34</v>
      </c>
      <c r="R54" s="138">
        <v>183</v>
      </c>
      <c r="S54" s="6">
        <v>0.75</v>
      </c>
      <c r="T54" s="6">
        <v>1.6</v>
      </c>
      <c r="U54" s="25">
        <v>0.75</v>
      </c>
      <c r="V54" s="25">
        <v>0</v>
      </c>
      <c r="W54" t="s">
        <v>1035</v>
      </c>
      <c r="X54" s="25" t="s">
        <v>756</v>
      </c>
      <c r="Y54" s="25" t="s">
        <v>756</v>
      </c>
      <c r="Z54" s="25" t="s">
        <v>756</v>
      </c>
    </row>
    <row r="55" spans="1:26" x14ac:dyDescent="0.3">
      <c r="A55">
        <v>277</v>
      </c>
      <c r="B55" t="s">
        <v>459</v>
      </c>
      <c r="C55" t="s">
        <v>648</v>
      </c>
      <c r="D55" t="s">
        <v>640</v>
      </c>
      <c r="E55" t="s">
        <v>657</v>
      </c>
      <c r="F55">
        <v>1516</v>
      </c>
      <c r="G55" t="s">
        <v>8</v>
      </c>
      <c r="H55">
        <v>201</v>
      </c>
      <c r="I55">
        <v>60</v>
      </c>
      <c r="J55">
        <v>438</v>
      </c>
      <c r="K55">
        <v>193</v>
      </c>
      <c r="L55">
        <v>128</v>
      </c>
      <c r="M55">
        <v>0</v>
      </c>
      <c r="N55">
        <v>8</v>
      </c>
      <c r="O55">
        <v>184</v>
      </c>
      <c r="P55">
        <v>44</v>
      </c>
      <c r="Q55">
        <v>27</v>
      </c>
      <c r="R55" s="138">
        <v>178</v>
      </c>
      <c r="S55" s="6">
        <v>0.75</v>
      </c>
      <c r="T55" s="6">
        <v>1.45</v>
      </c>
      <c r="U55" s="25">
        <v>0.75</v>
      </c>
      <c r="V55" s="25">
        <v>0</v>
      </c>
      <c r="W55" s="25" t="s">
        <v>1048</v>
      </c>
      <c r="X55" s="25" t="s">
        <v>756</v>
      </c>
      <c r="Y55" s="25" t="s">
        <v>756</v>
      </c>
      <c r="Z55" s="25" t="s">
        <v>756</v>
      </c>
    </row>
    <row r="56" spans="1:26" x14ac:dyDescent="0.3">
      <c r="A56">
        <v>94</v>
      </c>
      <c r="B56" t="s">
        <v>433</v>
      </c>
      <c r="C56" t="s">
        <v>647</v>
      </c>
      <c r="D56" t="s">
        <v>639</v>
      </c>
      <c r="E56" t="s">
        <v>657</v>
      </c>
      <c r="F56">
        <v>1412</v>
      </c>
      <c r="G56" t="s">
        <v>8</v>
      </c>
      <c r="H56">
        <v>201</v>
      </c>
      <c r="I56">
        <v>79</v>
      </c>
      <c r="J56">
        <v>370</v>
      </c>
      <c r="K56">
        <v>210</v>
      </c>
      <c r="L56">
        <v>164</v>
      </c>
      <c r="M56">
        <v>0</v>
      </c>
      <c r="N56">
        <v>9</v>
      </c>
      <c r="O56">
        <v>215</v>
      </c>
      <c r="P56">
        <v>43</v>
      </c>
      <c r="Q56">
        <v>36</v>
      </c>
      <c r="R56" s="138">
        <v>186</v>
      </c>
      <c r="S56" s="6">
        <v>1.3</v>
      </c>
      <c r="T56" s="6">
        <v>1.35</v>
      </c>
      <c r="U56" s="25">
        <v>1.05</v>
      </c>
      <c r="V56" s="25">
        <v>0</v>
      </c>
      <c r="W56" t="s">
        <v>1030</v>
      </c>
      <c r="X56" s="25" t="s">
        <v>756</v>
      </c>
      <c r="Y56" s="25" t="s">
        <v>756</v>
      </c>
      <c r="Z56" s="25" t="s">
        <v>756</v>
      </c>
    </row>
    <row r="57" spans="1:26" x14ac:dyDescent="0.3">
      <c r="A57">
        <v>93</v>
      </c>
      <c r="B57" t="s">
        <v>432</v>
      </c>
      <c r="C57" t="s">
        <v>647</v>
      </c>
      <c r="D57" t="s">
        <v>639</v>
      </c>
      <c r="E57" t="s">
        <v>657</v>
      </c>
      <c r="F57">
        <v>1518</v>
      </c>
      <c r="G57" t="s">
        <v>8</v>
      </c>
      <c r="H57">
        <v>201</v>
      </c>
      <c r="I57">
        <v>85</v>
      </c>
      <c r="J57">
        <v>346</v>
      </c>
      <c r="K57">
        <v>210</v>
      </c>
      <c r="L57">
        <v>164</v>
      </c>
      <c r="M57">
        <v>0</v>
      </c>
      <c r="N57">
        <v>9</v>
      </c>
      <c r="O57">
        <v>215</v>
      </c>
      <c r="P57">
        <v>43</v>
      </c>
      <c r="Q57">
        <v>32</v>
      </c>
      <c r="R57" s="138">
        <v>184</v>
      </c>
      <c r="S57" s="6">
        <v>1.35</v>
      </c>
      <c r="T57" s="6">
        <v>1.3</v>
      </c>
      <c r="U57" s="25">
        <v>1.05</v>
      </c>
      <c r="V57" s="25">
        <v>0</v>
      </c>
      <c r="W57" t="s">
        <v>1029</v>
      </c>
      <c r="X57" s="25" t="s">
        <v>756</v>
      </c>
      <c r="Y57" s="25" t="s">
        <v>756</v>
      </c>
      <c r="Z57" s="25" t="s">
        <v>756</v>
      </c>
    </row>
    <row r="58" spans="1:26" x14ac:dyDescent="0.3">
      <c r="A58">
        <v>7</v>
      </c>
      <c r="B58" t="s">
        <v>416</v>
      </c>
      <c r="C58" t="s">
        <v>646</v>
      </c>
      <c r="D58" t="s">
        <v>640</v>
      </c>
      <c r="E58" t="s">
        <v>657</v>
      </c>
      <c r="F58">
        <v>1810</v>
      </c>
      <c r="G58" t="s">
        <v>8</v>
      </c>
      <c r="H58">
        <v>201</v>
      </c>
      <c r="I58">
        <v>73</v>
      </c>
      <c r="J58">
        <v>438</v>
      </c>
      <c r="K58">
        <v>163</v>
      </c>
      <c r="L58">
        <v>174</v>
      </c>
      <c r="M58">
        <v>0</v>
      </c>
      <c r="N58">
        <v>8</v>
      </c>
      <c r="O58">
        <v>201</v>
      </c>
      <c r="P58">
        <v>46</v>
      </c>
      <c r="Q58">
        <v>72</v>
      </c>
      <c r="R58" s="138">
        <v>194</v>
      </c>
      <c r="S58" s="6">
        <v>1.1499999999999999</v>
      </c>
      <c r="T58" s="6">
        <v>1.35</v>
      </c>
      <c r="U58" s="25">
        <v>1.25</v>
      </c>
      <c r="V58" s="25">
        <v>0</v>
      </c>
      <c r="W58" t="s">
        <v>1019</v>
      </c>
      <c r="X58" s="25" t="s">
        <v>756</v>
      </c>
      <c r="Y58" s="25" t="s">
        <v>756</v>
      </c>
      <c r="Z58" s="25" t="s">
        <v>756</v>
      </c>
    </row>
    <row r="59" spans="1:26" x14ac:dyDescent="0.3">
      <c r="A59">
        <v>318</v>
      </c>
      <c r="B59" t="s">
        <v>409</v>
      </c>
      <c r="C59" t="s">
        <v>648</v>
      </c>
      <c r="D59" t="s">
        <v>640</v>
      </c>
      <c r="E59" t="s">
        <v>657</v>
      </c>
      <c r="F59">
        <v>2083</v>
      </c>
      <c r="G59" t="s">
        <v>8</v>
      </c>
      <c r="H59">
        <v>201</v>
      </c>
      <c r="I59">
        <v>65</v>
      </c>
      <c r="J59">
        <v>512</v>
      </c>
      <c r="K59">
        <v>191</v>
      </c>
      <c r="L59">
        <v>150</v>
      </c>
      <c r="M59">
        <v>0</v>
      </c>
      <c r="N59">
        <v>8</v>
      </c>
      <c r="O59">
        <v>187</v>
      </c>
      <c r="P59">
        <v>42</v>
      </c>
      <c r="Q59">
        <v>58</v>
      </c>
      <c r="R59" s="138">
        <v>184</v>
      </c>
      <c r="S59" s="6">
        <v>0.75</v>
      </c>
      <c r="T59" s="6">
        <v>1.5</v>
      </c>
      <c r="U59" s="25">
        <v>0.75</v>
      </c>
      <c r="V59" s="25">
        <v>0</v>
      </c>
      <c r="W59" s="27" t="s">
        <v>1040</v>
      </c>
      <c r="X59" s="25" t="s">
        <v>756</v>
      </c>
      <c r="Y59" s="25" t="s">
        <v>756</v>
      </c>
      <c r="Z59" s="25" t="s">
        <v>756</v>
      </c>
    </row>
    <row r="60" spans="1:26" x14ac:dyDescent="0.3">
      <c r="A60">
        <v>3318</v>
      </c>
      <c r="B60" t="s">
        <v>729</v>
      </c>
      <c r="C60" t="s">
        <v>648</v>
      </c>
      <c r="D60" t="s">
        <v>639</v>
      </c>
      <c r="E60" t="s">
        <v>657</v>
      </c>
      <c r="F60">
        <v>2143</v>
      </c>
      <c r="G60" t="s">
        <v>8</v>
      </c>
      <c r="H60">
        <v>201</v>
      </c>
      <c r="I60">
        <v>75</v>
      </c>
      <c r="J60">
        <v>572</v>
      </c>
      <c r="K60">
        <v>211</v>
      </c>
      <c r="L60">
        <v>150</v>
      </c>
      <c r="M60">
        <v>0</v>
      </c>
      <c r="N60">
        <v>8</v>
      </c>
      <c r="O60">
        <v>187</v>
      </c>
      <c r="P60">
        <v>45</v>
      </c>
      <c r="Q60">
        <v>58</v>
      </c>
      <c r="R60" s="138">
        <v>184</v>
      </c>
      <c r="S60" s="6">
        <v>0.8</v>
      </c>
      <c r="T60" s="6">
        <v>1.65</v>
      </c>
      <c r="U60" s="25">
        <v>0.75</v>
      </c>
      <c r="V60" s="25">
        <v>0</v>
      </c>
      <c r="W60" s="25" t="s">
        <v>1040</v>
      </c>
      <c r="X60" s="25" t="s">
        <v>756</v>
      </c>
      <c r="Y60" s="25" t="s">
        <v>756</v>
      </c>
      <c r="Z60" s="25" t="s">
        <v>756</v>
      </c>
    </row>
    <row r="61" spans="1:26" x14ac:dyDescent="0.3">
      <c r="A61">
        <v>27</v>
      </c>
      <c r="B61" t="s">
        <v>357</v>
      </c>
      <c r="C61" t="s">
        <v>646</v>
      </c>
      <c r="D61" t="s">
        <v>640</v>
      </c>
      <c r="E61" t="s">
        <v>657</v>
      </c>
      <c r="F61">
        <v>1815</v>
      </c>
      <c r="G61" t="s">
        <v>8</v>
      </c>
      <c r="H61">
        <v>204</v>
      </c>
      <c r="I61">
        <v>81</v>
      </c>
      <c r="J61">
        <v>286</v>
      </c>
      <c r="K61">
        <v>160</v>
      </c>
      <c r="L61">
        <v>172</v>
      </c>
      <c r="M61">
        <v>0</v>
      </c>
      <c r="N61">
        <v>8</v>
      </c>
      <c r="O61">
        <v>208</v>
      </c>
      <c r="P61">
        <v>42</v>
      </c>
      <c r="Q61">
        <v>47</v>
      </c>
      <c r="R61" s="138">
        <v>178</v>
      </c>
      <c r="S61" s="6">
        <v>1.2</v>
      </c>
      <c r="T61" s="6">
        <v>1.3</v>
      </c>
      <c r="U61" s="25">
        <v>1.3</v>
      </c>
      <c r="V61" s="25">
        <v>0</v>
      </c>
      <c r="W61" t="s">
        <v>1023</v>
      </c>
      <c r="X61" s="25" t="s">
        <v>756</v>
      </c>
      <c r="Y61" s="25" t="s">
        <v>756</v>
      </c>
      <c r="Z61" s="25" t="s">
        <v>756</v>
      </c>
    </row>
    <row r="62" spans="1:26" x14ac:dyDescent="0.3">
      <c r="A62">
        <v>3027</v>
      </c>
      <c r="B62" t="s">
        <v>712</v>
      </c>
      <c r="C62" t="s">
        <v>646</v>
      </c>
      <c r="D62" t="s">
        <v>639</v>
      </c>
      <c r="E62" t="s">
        <v>657</v>
      </c>
      <c r="F62">
        <v>2025</v>
      </c>
      <c r="G62" t="s">
        <v>8</v>
      </c>
      <c r="H62">
        <v>224</v>
      </c>
      <c r="I62">
        <v>96</v>
      </c>
      <c r="J62">
        <v>286</v>
      </c>
      <c r="K62">
        <v>160</v>
      </c>
      <c r="L62">
        <v>262</v>
      </c>
      <c r="M62">
        <v>0</v>
      </c>
      <c r="N62">
        <v>8</v>
      </c>
      <c r="O62">
        <v>208</v>
      </c>
      <c r="P62">
        <v>45</v>
      </c>
      <c r="Q62">
        <v>47</v>
      </c>
      <c r="R62" s="138">
        <v>178</v>
      </c>
      <c r="S62" s="6">
        <v>1.25</v>
      </c>
      <c r="T62" s="6">
        <v>1.3</v>
      </c>
      <c r="U62" s="25">
        <v>1.35</v>
      </c>
      <c r="V62" s="25">
        <v>0</v>
      </c>
      <c r="W62" t="s">
        <v>1023</v>
      </c>
      <c r="X62" s="25" t="s">
        <v>756</v>
      </c>
      <c r="Y62" s="25" t="s">
        <v>756</v>
      </c>
      <c r="Z62" s="25" t="s">
        <v>756</v>
      </c>
    </row>
    <row r="63" spans="1:26" x14ac:dyDescent="0.3">
      <c r="A63">
        <v>96</v>
      </c>
      <c r="B63" t="s">
        <v>808</v>
      </c>
      <c r="C63" t="s">
        <v>647</v>
      </c>
      <c r="D63" t="s">
        <v>639</v>
      </c>
      <c r="E63" t="s">
        <v>157</v>
      </c>
      <c r="F63">
        <v>1518</v>
      </c>
      <c r="G63" t="s">
        <v>8</v>
      </c>
      <c r="H63">
        <v>201</v>
      </c>
      <c r="I63">
        <v>81</v>
      </c>
      <c r="J63">
        <v>374</v>
      </c>
      <c r="K63">
        <v>210</v>
      </c>
      <c r="L63">
        <v>157</v>
      </c>
      <c r="M63">
        <v>0</v>
      </c>
      <c r="N63">
        <v>8</v>
      </c>
      <c r="O63">
        <v>192</v>
      </c>
      <c r="P63">
        <v>43</v>
      </c>
      <c r="Q63">
        <v>40</v>
      </c>
      <c r="R63" s="138">
        <v>197</v>
      </c>
      <c r="S63" s="6">
        <v>1.3</v>
      </c>
      <c r="T63" s="6">
        <v>1.35</v>
      </c>
      <c r="U63" s="25">
        <v>1.05</v>
      </c>
      <c r="V63" s="25">
        <v>0</v>
      </c>
      <c r="W63" t="s">
        <v>1031</v>
      </c>
      <c r="X63" t="s">
        <v>1349</v>
      </c>
      <c r="Y63" t="s">
        <v>1350</v>
      </c>
      <c r="Z63" s="25" t="s">
        <v>756</v>
      </c>
    </row>
    <row r="64" spans="1:26" x14ac:dyDescent="0.3">
      <c r="A64">
        <v>296</v>
      </c>
      <c r="B64" t="s">
        <v>0</v>
      </c>
      <c r="C64" t="s">
        <v>648</v>
      </c>
      <c r="D64" t="s">
        <v>639</v>
      </c>
      <c r="E64" t="s">
        <v>657</v>
      </c>
      <c r="F64">
        <v>2445</v>
      </c>
      <c r="G64" t="s">
        <v>8</v>
      </c>
      <c r="H64">
        <v>210</v>
      </c>
      <c r="I64">
        <v>74</v>
      </c>
      <c r="J64">
        <v>363</v>
      </c>
      <c r="K64">
        <v>179</v>
      </c>
      <c r="L64">
        <v>194</v>
      </c>
      <c r="M64">
        <v>0</v>
      </c>
      <c r="N64">
        <v>9</v>
      </c>
      <c r="O64">
        <v>207</v>
      </c>
      <c r="P64">
        <v>39</v>
      </c>
      <c r="Q64">
        <v>61</v>
      </c>
      <c r="R64" s="138">
        <v>189</v>
      </c>
      <c r="S64" s="6">
        <v>1</v>
      </c>
      <c r="T64" s="6">
        <v>1.35</v>
      </c>
      <c r="U64" s="25">
        <v>1.35</v>
      </c>
      <c r="V64" s="25">
        <v>0</v>
      </c>
      <c r="W64" t="s">
        <v>1049</v>
      </c>
      <c r="X64" s="25" t="s">
        <v>756</v>
      </c>
      <c r="Y64" s="25" t="s">
        <v>756</v>
      </c>
      <c r="Z64" s="25" t="s">
        <v>756</v>
      </c>
    </row>
    <row r="65" spans="1:26" x14ac:dyDescent="0.3">
      <c r="A65">
        <v>369</v>
      </c>
      <c r="B65" t="s">
        <v>483</v>
      </c>
      <c r="C65" t="s">
        <v>648</v>
      </c>
      <c r="D65" t="s">
        <v>640</v>
      </c>
      <c r="E65" t="s">
        <v>657</v>
      </c>
      <c r="F65">
        <v>1561</v>
      </c>
      <c r="G65" t="s">
        <v>8</v>
      </c>
      <c r="H65">
        <v>203</v>
      </c>
      <c r="I65">
        <v>60</v>
      </c>
      <c r="J65">
        <v>404</v>
      </c>
      <c r="K65">
        <v>193</v>
      </c>
      <c r="L65">
        <v>139</v>
      </c>
      <c r="M65">
        <v>0</v>
      </c>
      <c r="N65">
        <v>7</v>
      </c>
      <c r="O65">
        <v>189</v>
      </c>
      <c r="P65">
        <v>44</v>
      </c>
      <c r="Q65">
        <v>87</v>
      </c>
      <c r="R65" s="138">
        <v>183</v>
      </c>
      <c r="S65" s="6">
        <v>0.75</v>
      </c>
      <c r="T65" s="6">
        <v>1.4</v>
      </c>
      <c r="U65" s="25">
        <v>0.75</v>
      </c>
      <c r="V65" s="25">
        <v>0</v>
      </c>
      <c r="W65" t="s">
        <v>1047</v>
      </c>
      <c r="X65" s="25" t="s">
        <v>756</v>
      </c>
      <c r="Y65" s="25" t="s">
        <v>756</v>
      </c>
      <c r="Z65" s="25" t="s">
        <v>756</v>
      </c>
    </row>
    <row r="66" spans="1:26" x14ac:dyDescent="0.3">
      <c r="A66">
        <v>171</v>
      </c>
      <c r="B66" t="s">
        <v>445</v>
      </c>
      <c r="C66" t="s">
        <v>648</v>
      </c>
      <c r="D66" t="s">
        <v>640</v>
      </c>
      <c r="E66" t="s">
        <v>657</v>
      </c>
      <c r="F66">
        <v>1773</v>
      </c>
      <c r="G66" t="s">
        <v>8</v>
      </c>
      <c r="H66">
        <v>196</v>
      </c>
      <c r="I66">
        <v>59</v>
      </c>
      <c r="J66">
        <v>478</v>
      </c>
      <c r="K66">
        <v>192</v>
      </c>
      <c r="L66">
        <v>145</v>
      </c>
      <c r="M66">
        <v>0</v>
      </c>
      <c r="N66">
        <v>8</v>
      </c>
      <c r="O66">
        <v>189</v>
      </c>
      <c r="P66">
        <v>43</v>
      </c>
      <c r="Q66">
        <v>45</v>
      </c>
      <c r="R66" s="138">
        <v>180</v>
      </c>
      <c r="S66" s="6">
        <v>0.75</v>
      </c>
      <c r="T66" s="6">
        <v>1.5</v>
      </c>
      <c r="U66" s="25">
        <v>0.75</v>
      </c>
      <c r="V66" s="25">
        <v>0</v>
      </c>
      <c r="W66" s="27" t="s">
        <v>1041</v>
      </c>
      <c r="X66" s="25" t="s">
        <v>756</v>
      </c>
      <c r="Y66" s="25" t="s">
        <v>756</v>
      </c>
      <c r="Z66" s="25" t="s">
        <v>756</v>
      </c>
    </row>
    <row r="67" spans="1:26" x14ac:dyDescent="0.3">
      <c r="A67">
        <v>174</v>
      </c>
      <c r="B67" t="s">
        <v>447</v>
      </c>
      <c r="C67" t="s">
        <v>648</v>
      </c>
      <c r="D67" t="s">
        <v>640</v>
      </c>
      <c r="E67" t="s">
        <v>657</v>
      </c>
      <c r="F67">
        <v>1773</v>
      </c>
      <c r="G67" t="s">
        <v>8</v>
      </c>
      <c r="H67">
        <v>196</v>
      </c>
      <c r="I67">
        <v>59</v>
      </c>
      <c r="J67">
        <v>478</v>
      </c>
      <c r="K67">
        <v>192</v>
      </c>
      <c r="L67">
        <v>145</v>
      </c>
      <c r="M67">
        <v>0</v>
      </c>
      <c r="N67">
        <v>8</v>
      </c>
      <c r="O67">
        <v>189</v>
      </c>
      <c r="P67">
        <v>43</v>
      </c>
      <c r="Q67">
        <v>51</v>
      </c>
      <c r="R67" s="138">
        <v>180</v>
      </c>
      <c r="S67" s="6">
        <v>0.75</v>
      </c>
      <c r="T67" s="6">
        <v>1.5</v>
      </c>
      <c r="U67" s="25">
        <v>0.75</v>
      </c>
      <c r="V67" s="25">
        <v>0</v>
      </c>
      <c r="W67" s="27" t="s">
        <v>1041</v>
      </c>
      <c r="X67" s="25" t="s">
        <v>756</v>
      </c>
      <c r="Y67" s="25" t="s">
        <v>756</v>
      </c>
      <c r="Z67" s="25" t="s">
        <v>756</v>
      </c>
    </row>
    <row r="68" spans="1:26" x14ac:dyDescent="0.3">
      <c r="A68">
        <v>365</v>
      </c>
      <c r="B68" t="s">
        <v>482</v>
      </c>
      <c r="C68" t="s">
        <v>646</v>
      </c>
      <c r="D68" t="s">
        <v>640</v>
      </c>
      <c r="E68" t="s">
        <v>657</v>
      </c>
      <c r="F68">
        <v>2054</v>
      </c>
      <c r="G68" t="s">
        <v>8</v>
      </c>
      <c r="H68">
        <v>196</v>
      </c>
      <c r="I68">
        <v>85</v>
      </c>
      <c r="J68">
        <v>283</v>
      </c>
      <c r="K68">
        <v>160</v>
      </c>
      <c r="L68">
        <v>172</v>
      </c>
      <c r="M68">
        <v>0</v>
      </c>
      <c r="N68">
        <v>8</v>
      </c>
      <c r="O68">
        <v>218</v>
      </c>
      <c r="P68">
        <v>42</v>
      </c>
      <c r="Q68">
        <v>75</v>
      </c>
      <c r="R68" s="138">
        <v>197</v>
      </c>
      <c r="S68" s="6">
        <v>1.2</v>
      </c>
      <c r="T68" s="6">
        <v>1.3</v>
      </c>
      <c r="U68" s="25">
        <v>1.3</v>
      </c>
      <c r="V68" s="25">
        <v>0</v>
      </c>
      <c r="W68" s="25" t="s">
        <v>1020</v>
      </c>
      <c r="X68" s="25" t="s">
        <v>756</v>
      </c>
      <c r="Y68" s="25" t="s">
        <v>756</v>
      </c>
      <c r="Z68" s="25" t="s">
        <v>756</v>
      </c>
    </row>
    <row r="69" spans="1:26" x14ac:dyDescent="0.3">
      <c r="A69">
        <v>362</v>
      </c>
      <c r="B69" t="s">
        <v>480</v>
      </c>
      <c r="C69" t="s">
        <v>646</v>
      </c>
      <c r="D69" t="s">
        <v>640</v>
      </c>
      <c r="E69" t="s">
        <v>657</v>
      </c>
      <c r="F69">
        <v>1826</v>
      </c>
      <c r="G69" t="s">
        <v>8</v>
      </c>
      <c r="H69">
        <v>204</v>
      </c>
      <c r="I69">
        <v>87</v>
      </c>
      <c r="J69">
        <v>320</v>
      </c>
      <c r="K69">
        <v>163</v>
      </c>
      <c r="L69">
        <v>172</v>
      </c>
      <c r="M69">
        <v>0</v>
      </c>
      <c r="N69">
        <v>8</v>
      </c>
      <c r="O69">
        <v>212</v>
      </c>
      <c r="P69">
        <v>45</v>
      </c>
      <c r="Q69">
        <v>68</v>
      </c>
      <c r="R69" s="138">
        <v>184</v>
      </c>
      <c r="S69" s="6">
        <v>1.3</v>
      </c>
      <c r="T69" s="6">
        <v>1.3</v>
      </c>
      <c r="U69" s="25">
        <v>1.25</v>
      </c>
      <c r="V69" s="25">
        <v>0</v>
      </c>
      <c r="W69" t="s">
        <v>1022</v>
      </c>
      <c r="X69" s="25" t="s">
        <v>756</v>
      </c>
      <c r="Y69" s="25" t="s">
        <v>756</v>
      </c>
      <c r="Z69" s="25" t="s">
        <v>756</v>
      </c>
    </row>
    <row r="70" spans="1:26" x14ac:dyDescent="0.3">
      <c r="A70">
        <v>100</v>
      </c>
      <c r="B70" t="s">
        <v>807</v>
      </c>
      <c r="C70" t="s">
        <v>647</v>
      </c>
      <c r="D70" t="s">
        <v>640</v>
      </c>
      <c r="E70" t="s">
        <v>157</v>
      </c>
      <c r="F70">
        <v>1370</v>
      </c>
      <c r="G70" t="s">
        <v>8</v>
      </c>
      <c r="H70">
        <v>196</v>
      </c>
      <c r="I70">
        <v>76</v>
      </c>
      <c r="J70">
        <v>356</v>
      </c>
      <c r="K70">
        <v>210</v>
      </c>
      <c r="L70">
        <v>156</v>
      </c>
      <c r="M70">
        <v>0</v>
      </c>
      <c r="N70">
        <v>7</v>
      </c>
      <c r="O70">
        <v>187</v>
      </c>
      <c r="P70">
        <v>43</v>
      </c>
      <c r="Q70">
        <v>24</v>
      </c>
      <c r="R70" s="138">
        <v>191</v>
      </c>
      <c r="S70" s="6">
        <v>1.25</v>
      </c>
      <c r="T70" s="6">
        <v>1.3</v>
      </c>
      <c r="U70" s="25">
        <v>1.05</v>
      </c>
      <c r="V70" s="25">
        <v>0</v>
      </c>
      <c r="W70" t="s">
        <v>1031</v>
      </c>
      <c r="X70" s="25" t="s">
        <v>756</v>
      </c>
      <c r="Y70" s="25" t="s">
        <v>756</v>
      </c>
      <c r="Z70" s="25" t="s">
        <v>756</v>
      </c>
    </row>
    <row r="71" spans="1:26" x14ac:dyDescent="0.3">
      <c r="A71">
        <v>161</v>
      </c>
      <c r="B71" t="s">
        <v>438</v>
      </c>
      <c r="C71" t="s">
        <v>648</v>
      </c>
      <c r="D71" t="s">
        <v>640</v>
      </c>
      <c r="E71" t="s">
        <v>657</v>
      </c>
      <c r="F71">
        <v>1747</v>
      </c>
      <c r="G71" t="s">
        <v>8</v>
      </c>
      <c r="H71">
        <v>210</v>
      </c>
      <c r="I71">
        <v>60</v>
      </c>
      <c r="J71">
        <v>493</v>
      </c>
      <c r="K71">
        <v>194</v>
      </c>
      <c r="L71">
        <v>150</v>
      </c>
      <c r="M71">
        <v>0</v>
      </c>
      <c r="N71">
        <v>8</v>
      </c>
      <c r="O71">
        <v>170</v>
      </c>
      <c r="P71">
        <v>45</v>
      </c>
      <c r="Q71">
        <v>52</v>
      </c>
      <c r="R71" s="138">
        <v>178</v>
      </c>
      <c r="S71" s="6">
        <v>0.75</v>
      </c>
      <c r="T71" s="6">
        <v>1.5</v>
      </c>
      <c r="U71" s="25">
        <v>0.75</v>
      </c>
      <c r="V71" s="25">
        <v>0</v>
      </c>
      <c r="W71" t="s">
        <v>1037</v>
      </c>
      <c r="X71" s="25" t="s">
        <v>756</v>
      </c>
      <c r="Y71" s="25" t="s">
        <v>756</v>
      </c>
      <c r="Z71" s="25" t="s">
        <v>756</v>
      </c>
    </row>
    <row r="72" spans="1:26" x14ac:dyDescent="0.3">
      <c r="A72">
        <v>162</v>
      </c>
      <c r="B72" t="s">
        <v>439</v>
      </c>
      <c r="C72" t="s">
        <v>648</v>
      </c>
      <c r="D72" t="s">
        <v>640</v>
      </c>
      <c r="E72" t="s">
        <v>657</v>
      </c>
      <c r="F72">
        <v>1747</v>
      </c>
      <c r="G72" t="s">
        <v>8</v>
      </c>
      <c r="H72">
        <v>210</v>
      </c>
      <c r="I72">
        <v>60</v>
      </c>
      <c r="J72">
        <v>493</v>
      </c>
      <c r="K72">
        <v>194</v>
      </c>
      <c r="L72">
        <v>150</v>
      </c>
      <c r="M72">
        <v>0</v>
      </c>
      <c r="N72">
        <v>8</v>
      </c>
      <c r="O72">
        <v>170</v>
      </c>
      <c r="P72">
        <v>45</v>
      </c>
      <c r="Q72">
        <v>57</v>
      </c>
      <c r="R72" s="138">
        <v>178</v>
      </c>
      <c r="S72" s="6">
        <v>0.75</v>
      </c>
      <c r="T72" s="6">
        <v>1.5</v>
      </c>
      <c r="U72" s="25">
        <v>0.75</v>
      </c>
      <c r="V72" s="25">
        <v>0</v>
      </c>
      <c r="W72" t="s">
        <v>1037</v>
      </c>
      <c r="X72" s="25" t="s">
        <v>756</v>
      </c>
      <c r="Y72" s="25" t="s">
        <v>756</v>
      </c>
      <c r="Z72" s="25" t="s">
        <v>756</v>
      </c>
    </row>
    <row r="73" spans="1:26" x14ac:dyDescent="0.3">
      <c r="A73">
        <v>317</v>
      </c>
      <c r="B73" t="s">
        <v>470</v>
      </c>
      <c r="C73" t="s">
        <v>648</v>
      </c>
      <c r="D73" t="s">
        <v>640</v>
      </c>
      <c r="E73" t="s">
        <v>657</v>
      </c>
      <c r="F73">
        <v>2083</v>
      </c>
      <c r="G73" t="s">
        <v>8</v>
      </c>
      <c r="H73">
        <v>201</v>
      </c>
      <c r="I73">
        <v>65</v>
      </c>
      <c r="J73">
        <v>502</v>
      </c>
      <c r="K73">
        <v>191</v>
      </c>
      <c r="L73">
        <v>149</v>
      </c>
      <c r="M73">
        <v>0</v>
      </c>
      <c r="N73">
        <v>8</v>
      </c>
      <c r="O73">
        <v>198</v>
      </c>
      <c r="P73">
        <v>42</v>
      </c>
      <c r="Q73">
        <v>18</v>
      </c>
      <c r="R73" s="138">
        <v>183</v>
      </c>
      <c r="S73" s="6">
        <v>0.75</v>
      </c>
      <c r="T73" s="6">
        <v>1.5</v>
      </c>
      <c r="U73" s="25">
        <v>0.75</v>
      </c>
      <c r="V73" s="25">
        <v>0</v>
      </c>
      <c r="W73" s="27" t="s">
        <v>1040</v>
      </c>
      <c r="X73" s="25" t="s">
        <v>756</v>
      </c>
      <c r="Y73" s="25" t="s">
        <v>756</v>
      </c>
      <c r="Z73" s="25" t="s">
        <v>756</v>
      </c>
    </row>
    <row r="74" spans="1:26" x14ac:dyDescent="0.3">
      <c r="A74">
        <v>101</v>
      </c>
      <c r="B74" t="s">
        <v>377</v>
      </c>
      <c r="C74" t="s">
        <v>647</v>
      </c>
      <c r="D74" t="s">
        <v>639</v>
      </c>
      <c r="E74" t="s">
        <v>657</v>
      </c>
      <c r="F74">
        <v>1581</v>
      </c>
      <c r="G74" t="s">
        <v>8</v>
      </c>
      <c r="H74">
        <v>207</v>
      </c>
      <c r="I74">
        <v>80</v>
      </c>
      <c r="J74">
        <v>374</v>
      </c>
      <c r="K74">
        <v>210</v>
      </c>
      <c r="L74">
        <v>160</v>
      </c>
      <c r="M74">
        <v>0</v>
      </c>
      <c r="N74">
        <v>9</v>
      </c>
      <c r="O74">
        <v>215</v>
      </c>
      <c r="P74">
        <v>43</v>
      </c>
      <c r="Q74">
        <v>65</v>
      </c>
      <c r="R74" s="138">
        <v>194</v>
      </c>
      <c r="S74" s="6">
        <v>1.2</v>
      </c>
      <c r="T74" s="6">
        <v>1.4</v>
      </c>
      <c r="U74" s="25">
        <v>1.05</v>
      </c>
      <c r="V74" s="25">
        <v>0</v>
      </c>
      <c r="W74" t="s">
        <v>1032</v>
      </c>
      <c r="X74" s="25"/>
      <c r="Y74" s="25" t="s">
        <v>756</v>
      </c>
      <c r="Z74" s="25" t="s">
        <v>756</v>
      </c>
    </row>
    <row r="75" spans="1:26" x14ac:dyDescent="0.3">
      <c r="A75">
        <v>3101</v>
      </c>
      <c r="B75" t="s">
        <v>720</v>
      </c>
      <c r="C75" t="s">
        <v>647</v>
      </c>
      <c r="D75" t="s">
        <v>642</v>
      </c>
      <c r="E75" t="s">
        <v>657</v>
      </c>
      <c r="F75">
        <v>1746</v>
      </c>
      <c r="G75" t="s">
        <v>8</v>
      </c>
      <c r="H75">
        <v>207</v>
      </c>
      <c r="I75">
        <v>90</v>
      </c>
      <c r="J75">
        <v>429</v>
      </c>
      <c r="K75">
        <v>250</v>
      </c>
      <c r="L75">
        <v>160</v>
      </c>
      <c r="M75">
        <v>0</v>
      </c>
      <c r="N75">
        <v>9</v>
      </c>
      <c r="O75">
        <v>215</v>
      </c>
      <c r="P75">
        <v>46</v>
      </c>
      <c r="Q75">
        <v>65</v>
      </c>
      <c r="R75" s="138">
        <v>194</v>
      </c>
      <c r="S75" s="6">
        <v>1.25</v>
      </c>
      <c r="T75" s="6">
        <v>1.45</v>
      </c>
      <c r="U75" s="25">
        <v>1.05</v>
      </c>
      <c r="V75" s="25">
        <v>0</v>
      </c>
      <c r="W75" t="s">
        <v>1032</v>
      </c>
      <c r="X75" t="s">
        <v>1341</v>
      </c>
      <c r="Y75" t="s">
        <v>1342</v>
      </c>
      <c r="Z75" s="25" t="s">
        <v>756</v>
      </c>
    </row>
    <row r="76" spans="1:26" x14ac:dyDescent="0.3">
      <c r="A76">
        <v>300</v>
      </c>
      <c r="B76" t="s">
        <v>466</v>
      </c>
      <c r="C76" t="s">
        <v>646</v>
      </c>
      <c r="D76" t="s">
        <v>640</v>
      </c>
      <c r="E76" t="s">
        <v>657</v>
      </c>
      <c r="F76">
        <v>2080</v>
      </c>
      <c r="G76" t="s">
        <v>8</v>
      </c>
      <c r="H76">
        <v>201</v>
      </c>
      <c r="I76">
        <v>85</v>
      </c>
      <c r="J76">
        <v>283</v>
      </c>
      <c r="K76">
        <v>161</v>
      </c>
      <c r="L76">
        <v>172</v>
      </c>
      <c r="M76">
        <v>0</v>
      </c>
      <c r="N76">
        <v>8</v>
      </c>
      <c r="O76">
        <v>206</v>
      </c>
      <c r="P76">
        <v>43</v>
      </c>
      <c r="Q76">
        <v>81</v>
      </c>
      <c r="R76" s="138">
        <v>197</v>
      </c>
      <c r="S76" s="6">
        <v>1.2</v>
      </c>
      <c r="T76" s="6">
        <v>1.3</v>
      </c>
      <c r="U76" s="25">
        <v>1.3</v>
      </c>
      <c r="V76" s="25">
        <v>0</v>
      </c>
      <c r="W76" s="27" t="s">
        <v>1020</v>
      </c>
      <c r="X76" s="25" t="s">
        <v>756</v>
      </c>
      <c r="Y76" s="25" t="s">
        <v>756</v>
      </c>
      <c r="Z76" s="25" t="s">
        <v>756</v>
      </c>
    </row>
    <row r="77" spans="1:26" x14ac:dyDescent="0.3">
      <c r="A77">
        <v>307</v>
      </c>
      <c r="B77" t="s">
        <v>468</v>
      </c>
      <c r="C77" t="s">
        <v>647</v>
      </c>
      <c r="D77" t="s">
        <v>640</v>
      </c>
      <c r="E77" t="s">
        <v>657</v>
      </c>
      <c r="F77">
        <v>1536</v>
      </c>
      <c r="G77" t="s">
        <v>8</v>
      </c>
      <c r="H77">
        <v>201</v>
      </c>
      <c r="I77">
        <v>76</v>
      </c>
      <c r="J77">
        <v>364</v>
      </c>
      <c r="K77">
        <v>210</v>
      </c>
      <c r="L77">
        <v>156</v>
      </c>
      <c r="M77">
        <v>0</v>
      </c>
      <c r="N77">
        <v>8</v>
      </c>
      <c r="O77">
        <v>210</v>
      </c>
      <c r="P77">
        <v>43</v>
      </c>
      <c r="Q77">
        <v>20</v>
      </c>
      <c r="R77" s="138">
        <v>194</v>
      </c>
      <c r="S77" s="6">
        <v>1.2</v>
      </c>
      <c r="T77" s="6">
        <v>1.4</v>
      </c>
      <c r="U77" s="25">
        <v>1.05</v>
      </c>
      <c r="V77" s="25">
        <v>0</v>
      </c>
      <c r="W77" t="s">
        <v>1033</v>
      </c>
      <c r="X77" s="25" t="s">
        <v>756</v>
      </c>
      <c r="Y77" s="25" t="s">
        <v>756</v>
      </c>
      <c r="Z77" s="25" t="s">
        <v>756</v>
      </c>
    </row>
    <row r="78" spans="1:26" x14ac:dyDescent="0.3">
      <c r="A78">
        <v>102</v>
      </c>
      <c r="B78" t="s">
        <v>434</v>
      </c>
      <c r="C78" t="s">
        <v>647</v>
      </c>
      <c r="D78" t="s">
        <v>640</v>
      </c>
      <c r="E78" t="s">
        <v>657</v>
      </c>
      <c r="F78">
        <v>1536</v>
      </c>
      <c r="G78" t="s">
        <v>8</v>
      </c>
      <c r="H78">
        <v>201</v>
      </c>
      <c r="I78">
        <v>76</v>
      </c>
      <c r="J78">
        <v>364</v>
      </c>
      <c r="K78">
        <v>210</v>
      </c>
      <c r="L78">
        <v>156</v>
      </c>
      <c r="M78">
        <v>0</v>
      </c>
      <c r="N78">
        <v>8</v>
      </c>
      <c r="O78">
        <v>210</v>
      </c>
      <c r="P78">
        <v>43</v>
      </c>
      <c r="Q78">
        <v>40</v>
      </c>
      <c r="R78" s="138">
        <v>194</v>
      </c>
      <c r="S78" s="6">
        <v>1.2</v>
      </c>
      <c r="T78" s="6">
        <v>1.4</v>
      </c>
      <c r="U78" s="25">
        <v>1.05</v>
      </c>
      <c r="V78" s="25">
        <v>0</v>
      </c>
      <c r="W78" t="s">
        <v>1033</v>
      </c>
      <c r="X78" s="25" t="s">
        <v>756</v>
      </c>
      <c r="Y78" s="25" t="s">
        <v>756</v>
      </c>
      <c r="Z78" s="25" t="s">
        <v>756</v>
      </c>
    </row>
    <row r="79" spans="1:26" x14ac:dyDescent="0.3">
      <c r="A79">
        <v>306</v>
      </c>
      <c r="B79" t="s">
        <v>467</v>
      </c>
      <c r="C79" t="s">
        <v>647</v>
      </c>
      <c r="D79" t="s">
        <v>640</v>
      </c>
      <c r="E79" t="s">
        <v>657</v>
      </c>
      <c r="F79">
        <v>1536</v>
      </c>
      <c r="G79" t="s">
        <v>8</v>
      </c>
      <c r="H79">
        <v>201</v>
      </c>
      <c r="I79">
        <v>76</v>
      </c>
      <c r="J79">
        <v>364</v>
      </c>
      <c r="K79">
        <v>210</v>
      </c>
      <c r="L79">
        <v>156</v>
      </c>
      <c r="M79">
        <v>0</v>
      </c>
      <c r="N79">
        <v>8</v>
      </c>
      <c r="O79">
        <v>210</v>
      </c>
      <c r="P79">
        <v>43</v>
      </c>
      <c r="Q79">
        <v>52</v>
      </c>
      <c r="R79" s="138">
        <v>194</v>
      </c>
      <c r="S79" s="6">
        <v>1.2</v>
      </c>
      <c r="T79" s="6">
        <v>1.4</v>
      </c>
      <c r="U79" s="25">
        <v>1.05</v>
      </c>
      <c r="V79" s="25">
        <v>0</v>
      </c>
      <c r="W79" t="s">
        <v>1033</v>
      </c>
      <c r="X79" s="25" t="s">
        <v>756</v>
      </c>
      <c r="Y79" s="25" t="s">
        <v>756</v>
      </c>
      <c r="Z79" s="25" t="s">
        <v>756</v>
      </c>
    </row>
    <row r="80" spans="1:26" x14ac:dyDescent="0.3">
      <c r="A80">
        <v>167</v>
      </c>
      <c r="B80" t="s">
        <v>386</v>
      </c>
      <c r="C80" t="s">
        <v>648</v>
      </c>
      <c r="D80" t="s">
        <v>640</v>
      </c>
      <c r="E80" t="s">
        <v>657</v>
      </c>
      <c r="F80">
        <v>1885</v>
      </c>
      <c r="G80" t="s">
        <v>8</v>
      </c>
      <c r="H80">
        <v>201</v>
      </c>
      <c r="I80">
        <v>65</v>
      </c>
      <c r="J80">
        <v>512</v>
      </c>
      <c r="K80">
        <v>192</v>
      </c>
      <c r="L80">
        <v>150</v>
      </c>
      <c r="M80">
        <v>0</v>
      </c>
      <c r="N80">
        <v>8</v>
      </c>
      <c r="O80">
        <v>189</v>
      </c>
      <c r="P80">
        <v>42</v>
      </c>
      <c r="Q80">
        <v>25</v>
      </c>
      <c r="R80" s="138">
        <v>184</v>
      </c>
      <c r="S80" s="6">
        <v>0.75</v>
      </c>
      <c r="T80" s="6">
        <v>1.5</v>
      </c>
      <c r="U80" s="25">
        <v>0.75</v>
      </c>
      <c r="V80" s="25">
        <v>0</v>
      </c>
      <c r="W80" s="27" t="s">
        <v>1040</v>
      </c>
      <c r="X80" s="25" t="s">
        <v>756</v>
      </c>
      <c r="Y80" s="25" t="s">
        <v>756</v>
      </c>
      <c r="Z80" s="25" t="s">
        <v>756</v>
      </c>
    </row>
    <row r="81" spans="1:26" x14ac:dyDescent="0.3">
      <c r="A81">
        <v>3167</v>
      </c>
      <c r="B81" t="s">
        <v>722</v>
      </c>
      <c r="C81" t="s">
        <v>648</v>
      </c>
      <c r="D81" t="s">
        <v>639</v>
      </c>
      <c r="E81" t="s">
        <v>657</v>
      </c>
      <c r="F81">
        <v>2050</v>
      </c>
      <c r="G81" t="s">
        <v>8</v>
      </c>
      <c r="H81">
        <v>221</v>
      </c>
      <c r="I81">
        <v>75</v>
      </c>
      <c r="J81">
        <v>552</v>
      </c>
      <c r="K81">
        <v>192</v>
      </c>
      <c r="L81">
        <v>150</v>
      </c>
      <c r="M81">
        <v>0</v>
      </c>
      <c r="N81">
        <v>8</v>
      </c>
      <c r="O81">
        <v>209</v>
      </c>
      <c r="P81">
        <v>45</v>
      </c>
      <c r="Q81">
        <v>25</v>
      </c>
      <c r="R81" s="138">
        <v>184</v>
      </c>
      <c r="S81" s="6">
        <v>0.8</v>
      </c>
      <c r="T81" s="6">
        <v>1.55</v>
      </c>
      <c r="U81" s="25">
        <v>0.75</v>
      </c>
      <c r="V81" s="25">
        <v>0</v>
      </c>
      <c r="W81" s="25" t="s">
        <v>1040</v>
      </c>
      <c r="X81" s="25" t="s">
        <v>756</v>
      </c>
      <c r="Y81" s="25" t="s">
        <v>756</v>
      </c>
      <c r="Z81" s="25" t="s">
        <v>756</v>
      </c>
    </row>
    <row r="82" spans="1:26" x14ac:dyDescent="0.3">
      <c r="A82">
        <v>363</v>
      </c>
      <c r="B82" t="s">
        <v>481</v>
      </c>
      <c r="C82" t="s">
        <v>646</v>
      </c>
      <c r="D82" t="s">
        <v>640</v>
      </c>
      <c r="E82" t="s">
        <v>657</v>
      </c>
      <c r="F82">
        <v>1826</v>
      </c>
      <c r="G82" t="s">
        <v>8</v>
      </c>
      <c r="H82">
        <v>204</v>
      </c>
      <c r="I82">
        <v>87</v>
      </c>
      <c r="J82">
        <v>320</v>
      </c>
      <c r="K82">
        <v>163</v>
      </c>
      <c r="L82">
        <v>172</v>
      </c>
      <c r="M82">
        <v>0</v>
      </c>
      <c r="N82">
        <v>8</v>
      </c>
      <c r="O82">
        <v>193</v>
      </c>
      <c r="P82">
        <v>45</v>
      </c>
      <c r="Q82">
        <v>75</v>
      </c>
      <c r="R82" s="138">
        <v>184</v>
      </c>
      <c r="S82" s="6">
        <v>1.3</v>
      </c>
      <c r="T82" s="6">
        <v>1.3</v>
      </c>
      <c r="U82" s="25">
        <v>1.25</v>
      </c>
      <c r="V82" s="25">
        <v>0</v>
      </c>
      <c r="W82" t="s">
        <v>1022</v>
      </c>
      <c r="X82" s="25" t="s">
        <v>756</v>
      </c>
      <c r="Y82" s="25" t="s">
        <v>756</v>
      </c>
      <c r="Z82" s="25" t="s">
        <v>756</v>
      </c>
    </row>
    <row r="83" spans="1:26" x14ac:dyDescent="0.3">
      <c r="A83">
        <v>269</v>
      </c>
      <c r="B83" t="s">
        <v>403</v>
      </c>
      <c r="C83" t="s">
        <v>648</v>
      </c>
      <c r="D83" t="s">
        <v>640</v>
      </c>
      <c r="E83" t="s">
        <v>657</v>
      </c>
      <c r="F83">
        <v>1561</v>
      </c>
      <c r="G83" t="s">
        <v>8</v>
      </c>
      <c r="H83">
        <v>209</v>
      </c>
      <c r="I83">
        <v>60</v>
      </c>
      <c r="J83">
        <v>404</v>
      </c>
      <c r="K83">
        <v>193</v>
      </c>
      <c r="L83">
        <v>139</v>
      </c>
      <c r="M83">
        <v>0</v>
      </c>
      <c r="N83">
        <v>7</v>
      </c>
      <c r="O83">
        <v>202</v>
      </c>
      <c r="P83">
        <v>44</v>
      </c>
      <c r="Q83">
        <v>86</v>
      </c>
      <c r="R83" s="138">
        <v>183</v>
      </c>
      <c r="S83" s="6">
        <v>0.75</v>
      </c>
      <c r="T83" s="6">
        <v>1.4</v>
      </c>
      <c r="U83" s="25">
        <v>0.75</v>
      </c>
      <c r="V83" s="25">
        <v>0</v>
      </c>
      <c r="W83" t="s">
        <v>1047</v>
      </c>
      <c r="X83" s="25" t="s">
        <v>756</v>
      </c>
      <c r="Y83" s="25" t="s">
        <v>756</v>
      </c>
      <c r="Z83" s="25" t="s">
        <v>756</v>
      </c>
    </row>
    <row r="84" spans="1:26" x14ac:dyDescent="0.3">
      <c r="A84">
        <v>3269</v>
      </c>
      <c r="B84" t="s">
        <v>725</v>
      </c>
      <c r="C84" t="s">
        <v>648</v>
      </c>
      <c r="D84" t="s">
        <v>639</v>
      </c>
      <c r="E84" t="s">
        <v>657</v>
      </c>
      <c r="F84">
        <v>1726</v>
      </c>
      <c r="G84" t="s">
        <v>8</v>
      </c>
      <c r="H84">
        <v>229</v>
      </c>
      <c r="I84">
        <v>60</v>
      </c>
      <c r="J84">
        <v>414</v>
      </c>
      <c r="K84">
        <v>193</v>
      </c>
      <c r="L84">
        <v>179</v>
      </c>
      <c r="M84">
        <v>0</v>
      </c>
      <c r="N84">
        <v>7</v>
      </c>
      <c r="O84">
        <v>202</v>
      </c>
      <c r="P84">
        <v>47</v>
      </c>
      <c r="Q84">
        <v>86</v>
      </c>
      <c r="R84" s="138">
        <v>193</v>
      </c>
      <c r="S84" s="6">
        <v>0.75</v>
      </c>
      <c r="T84" s="6">
        <v>1.45</v>
      </c>
      <c r="U84" s="25">
        <v>0.8</v>
      </c>
      <c r="V84" s="25">
        <v>0</v>
      </c>
      <c r="W84" t="s">
        <v>1047</v>
      </c>
      <c r="X84" s="25" t="s">
        <v>756</v>
      </c>
      <c r="Y84" s="25" t="s">
        <v>756</v>
      </c>
      <c r="Z84" s="25" t="s">
        <v>756</v>
      </c>
    </row>
    <row r="85" spans="1:26" x14ac:dyDescent="0.3">
      <c r="A85">
        <v>288</v>
      </c>
      <c r="B85" t="s">
        <v>462</v>
      </c>
      <c r="C85" t="s">
        <v>648</v>
      </c>
      <c r="D85" t="s">
        <v>642</v>
      </c>
      <c r="E85" t="s">
        <v>657</v>
      </c>
      <c r="F85">
        <v>1830</v>
      </c>
      <c r="G85" t="s">
        <v>8</v>
      </c>
      <c r="H85">
        <v>217</v>
      </c>
      <c r="I85">
        <v>69</v>
      </c>
      <c r="J85">
        <v>545</v>
      </c>
      <c r="K85">
        <v>190</v>
      </c>
      <c r="L85">
        <v>161</v>
      </c>
      <c r="M85">
        <v>0</v>
      </c>
      <c r="N85">
        <v>10</v>
      </c>
      <c r="O85">
        <v>200</v>
      </c>
      <c r="P85">
        <v>40</v>
      </c>
      <c r="Q85">
        <v>38</v>
      </c>
      <c r="R85" s="138">
        <v>191</v>
      </c>
      <c r="S85" s="6">
        <v>0.85</v>
      </c>
      <c r="T85" s="6">
        <v>1.5</v>
      </c>
      <c r="U85" s="25">
        <v>0.85</v>
      </c>
      <c r="V85" s="25">
        <v>0</v>
      </c>
      <c r="W85" t="s">
        <v>1323</v>
      </c>
      <c r="X85" t="s">
        <v>1324</v>
      </c>
      <c r="Y85" s="25" t="s">
        <v>756</v>
      </c>
      <c r="Z85" s="25" t="s">
        <v>756</v>
      </c>
    </row>
    <row r="86" spans="1:26" x14ac:dyDescent="0.3">
      <c r="A86">
        <v>374</v>
      </c>
      <c r="B86" t="s">
        <v>485</v>
      </c>
      <c r="C86" t="s">
        <v>646</v>
      </c>
      <c r="D86" t="s">
        <v>640</v>
      </c>
      <c r="E86" t="s">
        <v>657</v>
      </c>
      <c r="F86">
        <v>2054</v>
      </c>
      <c r="G86" t="s">
        <v>8</v>
      </c>
      <c r="H86">
        <v>201</v>
      </c>
      <c r="I86">
        <v>82</v>
      </c>
      <c r="J86">
        <v>283</v>
      </c>
      <c r="K86">
        <v>160</v>
      </c>
      <c r="L86">
        <v>182</v>
      </c>
      <c r="M86">
        <v>0</v>
      </c>
      <c r="N86">
        <v>8</v>
      </c>
      <c r="O86">
        <v>206</v>
      </c>
      <c r="P86">
        <v>42</v>
      </c>
      <c r="Q86">
        <v>77</v>
      </c>
      <c r="R86" s="138">
        <v>199</v>
      </c>
      <c r="S86" s="6">
        <v>1.2</v>
      </c>
      <c r="T86" s="6">
        <v>1.3</v>
      </c>
      <c r="U86" s="25">
        <v>1.3</v>
      </c>
      <c r="V86" s="25">
        <v>0</v>
      </c>
      <c r="W86" s="25" t="s">
        <v>1020</v>
      </c>
      <c r="X86" s="25" t="s">
        <v>756</v>
      </c>
      <c r="Y86" s="25" t="s">
        <v>756</v>
      </c>
      <c r="Z86" s="25" t="s">
        <v>756</v>
      </c>
    </row>
    <row r="87" spans="1:26" x14ac:dyDescent="0.3">
      <c r="A87">
        <v>272</v>
      </c>
      <c r="B87" t="s">
        <v>456</v>
      </c>
      <c r="C87" t="s">
        <v>648</v>
      </c>
      <c r="D87" t="s">
        <v>641</v>
      </c>
      <c r="E87" t="s">
        <v>657</v>
      </c>
      <c r="F87">
        <v>1487</v>
      </c>
      <c r="G87" t="s">
        <v>8</v>
      </c>
      <c r="H87">
        <v>196</v>
      </c>
      <c r="I87">
        <v>59</v>
      </c>
      <c r="J87">
        <v>427</v>
      </c>
      <c r="K87">
        <v>193</v>
      </c>
      <c r="L87">
        <v>138</v>
      </c>
      <c r="M87">
        <v>0</v>
      </c>
      <c r="N87">
        <v>7</v>
      </c>
      <c r="O87">
        <v>179</v>
      </c>
      <c r="P87">
        <v>44</v>
      </c>
      <c r="Q87">
        <v>15</v>
      </c>
      <c r="R87" s="136">
        <v>178</v>
      </c>
      <c r="S87" s="6">
        <v>0.75</v>
      </c>
      <c r="T87" s="6">
        <v>1.45</v>
      </c>
      <c r="U87" s="25">
        <v>0.75</v>
      </c>
      <c r="V87" s="25">
        <v>0</v>
      </c>
      <c r="W87" s="25" t="s">
        <v>1048</v>
      </c>
      <c r="X87" s="25" t="s">
        <v>756</v>
      </c>
      <c r="Y87" s="25" t="s">
        <v>756</v>
      </c>
      <c r="Z87" s="25" t="s">
        <v>756</v>
      </c>
    </row>
    <row r="88" spans="1:26" x14ac:dyDescent="0.3">
      <c r="A88" s="24"/>
      <c r="B88" s="24" t="s">
        <v>1417</v>
      </c>
      <c r="C88" s="24" t="s">
        <v>648</v>
      </c>
      <c r="D88" s="24" t="s">
        <v>640</v>
      </c>
      <c r="E88" s="24" t="s">
        <v>157</v>
      </c>
      <c r="F88" s="24">
        <v>1652</v>
      </c>
      <c r="G88" s="24" t="s">
        <v>8</v>
      </c>
      <c r="H88" s="24">
        <v>216</v>
      </c>
      <c r="I88" s="24">
        <v>59</v>
      </c>
      <c r="J88" s="24">
        <v>462</v>
      </c>
      <c r="K88" s="24">
        <v>193</v>
      </c>
      <c r="L88" s="24">
        <v>173</v>
      </c>
      <c r="M88" s="24">
        <v>0</v>
      </c>
      <c r="N88" s="24">
        <v>7</v>
      </c>
      <c r="O88" s="24">
        <v>179</v>
      </c>
      <c r="P88" s="24">
        <v>47</v>
      </c>
      <c r="Q88" s="24">
        <v>15</v>
      </c>
      <c r="R88" s="137">
        <v>178</v>
      </c>
      <c r="S88" s="25">
        <v>0.75</v>
      </c>
      <c r="T88" s="25">
        <v>1.5</v>
      </c>
      <c r="U88" s="25">
        <v>0.8</v>
      </c>
      <c r="V88" s="25">
        <v>0</v>
      </c>
      <c r="W88" s="25" t="s">
        <v>1048</v>
      </c>
      <c r="X88" s="25" t="s">
        <v>756</v>
      </c>
      <c r="Y88" s="25" t="s">
        <v>756</v>
      </c>
      <c r="Z88" s="25" t="s">
        <v>756</v>
      </c>
    </row>
    <row r="89" spans="1:26" x14ac:dyDescent="0.3">
      <c r="A89" s="24" t="s">
        <v>939</v>
      </c>
      <c r="B89" s="24" t="s">
        <v>930</v>
      </c>
      <c r="C89" s="24" t="s">
        <v>648</v>
      </c>
      <c r="D89" s="24" t="s">
        <v>934</v>
      </c>
      <c r="E89" s="24" t="s">
        <v>157</v>
      </c>
      <c r="F89" s="24">
        <v>2641</v>
      </c>
      <c r="G89" s="24" t="s">
        <v>8</v>
      </c>
      <c r="H89" s="24">
        <v>223</v>
      </c>
      <c r="I89" s="24">
        <v>86</v>
      </c>
      <c r="J89" s="24">
        <v>393</v>
      </c>
      <c r="K89" s="24">
        <v>197</v>
      </c>
      <c r="L89" s="24">
        <v>197</v>
      </c>
      <c r="M89" s="24">
        <v>0</v>
      </c>
      <c r="N89" s="24">
        <v>11</v>
      </c>
      <c r="O89" s="24">
        <v>122</v>
      </c>
      <c r="P89" s="24">
        <v>44</v>
      </c>
      <c r="Q89" s="24">
        <v>0</v>
      </c>
      <c r="R89" s="136">
        <v>208</v>
      </c>
      <c r="S89" s="25">
        <v>1.05</v>
      </c>
      <c r="T89" s="25">
        <v>1.35</v>
      </c>
      <c r="U89" s="25">
        <v>1.35</v>
      </c>
      <c r="V89" s="25">
        <v>0</v>
      </c>
      <c r="W89" t="s">
        <v>1329</v>
      </c>
      <c r="X89" t="s">
        <v>1330</v>
      </c>
      <c r="Y89" t="s">
        <v>1062</v>
      </c>
      <c r="Z89" s="25" t="s">
        <v>756</v>
      </c>
    </row>
    <row r="90" spans="1:26" x14ac:dyDescent="0.3">
      <c r="A90" s="24"/>
      <c r="B90" s="24" t="s">
        <v>1264</v>
      </c>
      <c r="C90" s="24" t="s">
        <v>975</v>
      </c>
      <c r="D90" s="24" t="s">
        <v>639</v>
      </c>
      <c r="E90" s="24" t="s">
        <v>157</v>
      </c>
      <c r="F90" s="24">
        <v>1768</v>
      </c>
      <c r="G90" s="24" t="s">
        <v>8</v>
      </c>
      <c r="H90" s="24">
        <v>201</v>
      </c>
      <c r="I90" s="24">
        <v>74</v>
      </c>
      <c r="J90" s="24">
        <v>473</v>
      </c>
      <c r="K90" s="24">
        <v>194</v>
      </c>
      <c r="L90" s="24">
        <v>167</v>
      </c>
      <c r="M90" s="24">
        <v>0</v>
      </c>
      <c r="N90" s="24">
        <v>9</v>
      </c>
      <c r="O90" s="24">
        <v>223</v>
      </c>
      <c r="P90" s="24">
        <v>42</v>
      </c>
      <c r="Q90" s="24">
        <v>66</v>
      </c>
      <c r="R90" s="136">
        <v>180</v>
      </c>
      <c r="S90" s="25">
        <v>0.75</v>
      </c>
      <c r="T90" s="25">
        <v>1.6</v>
      </c>
      <c r="U90" s="25">
        <v>1.05</v>
      </c>
      <c r="V90" s="25">
        <v>0</v>
      </c>
      <c r="W90" s="25" t="s">
        <v>756</v>
      </c>
      <c r="X90" t="s">
        <v>1063</v>
      </c>
      <c r="Y90" s="25" t="s">
        <v>756</v>
      </c>
      <c r="Z90" s="25" t="s">
        <v>756</v>
      </c>
    </row>
    <row r="91" spans="1:26" x14ac:dyDescent="0.3">
      <c r="A91">
        <v>177</v>
      </c>
      <c r="B91" t="s">
        <v>450</v>
      </c>
      <c r="C91" t="s">
        <v>648</v>
      </c>
      <c r="D91" t="s">
        <v>640</v>
      </c>
      <c r="E91" t="s">
        <v>657</v>
      </c>
      <c r="F91">
        <v>2083</v>
      </c>
      <c r="G91" t="s">
        <v>8</v>
      </c>
      <c r="H91">
        <v>201</v>
      </c>
      <c r="I91">
        <v>65</v>
      </c>
      <c r="J91">
        <v>512</v>
      </c>
      <c r="K91">
        <v>191</v>
      </c>
      <c r="L91">
        <v>150</v>
      </c>
      <c r="M91">
        <v>0</v>
      </c>
      <c r="N91">
        <v>8</v>
      </c>
      <c r="O91">
        <v>189</v>
      </c>
      <c r="P91">
        <v>42</v>
      </c>
      <c r="Q91">
        <v>34</v>
      </c>
      <c r="R91" s="136">
        <v>184</v>
      </c>
      <c r="S91" s="6">
        <v>0.75</v>
      </c>
      <c r="T91" s="6">
        <v>1.5</v>
      </c>
      <c r="U91" s="25">
        <v>0.75</v>
      </c>
      <c r="V91" s="25">
        <v>0</v>
      </c>
      <c r="W91" s="27" t="s">
        <v>1040</v>
      </c>
      <c r="X91" s="25" t="s">
        <v>756</v>
      </c>
      <c r="Y91" s="25" t="s">
        <v>756</v>
      </c>
      <c r="Z91" s="25" t="s">
        <v>756</v>
      </c>
    </row>
    <row r="92" spans="1:26" x14ac:dyDescent="0.3">
      <c r="A92">
        <v>19</v>
      </c>
      <c r="B92" t="s">
        <v>317</v>
      </c>
      <c r="C92" t="s">
        <v>646</v>
      </c>
      <c r="D92" t="s">
        <v>639</v>
      </c>
      <c r="E92" t="s">
        <v>657</v>
      </c>
      <c r="F92">
        <v>1980</v>
      </c>
      <c r="G92" t="s">
        <v>8</v>
      </c>
      <c r="H92">
        <v>220</v>
      </c>
      <c r="I92">
        <v>101</v>
      </c>
      <c r="J92">
        <v>302</v>
      </c>
      <c r="K92">
        <v>163</v>
      </c>
      <c r="L92">
        <v>176</v>
      </c>
      <c r="M92">
        <v>0</v>
      </c>
      <c r="N92">
        <v>9</v>
      </c>
      <c r="O92">
        <v>199</v>
      </c>
      <c r="P92">
        <v>45</v>
      </c>
      <c r="Q92">
        <v>18</v>
      </c>
      <c r="R92" s="136">
        <v>205</v>
      </c>
      <c r="S92" s="6">
        <v>1.4</v>
      </c>
      <c r="T92" s="6">
        <v>1.25</v>
      </c>
      <c r="U92" s="25">
        <v>1.25</v>
      </c>
      <c r="V92" s="25">
        <v>0</v>
      </c>
      <c r="W92" t="s">
        <v>1021</v>
      </c>
      <c r="X92" s="25"/>
      <c r="Y92" s="25" t="s">
        <v>756</v>
      </c>
      <c r="Z92" s="25" t="s">
        <v>756</v>
      </c>
    </row>
    <row r="93" spans="1:26" x14ac:dyDescent="0.3">
      <c r="A93">
        <v>3019</v>
      </c>
      <c r="B93" t="s">
        <v>711</v>
      </c>
      <c r="C93" t="s">
        <v>646</v>
      </c>
      <c r="D93" t="s">
        <v>642</v>
      </c>
      <c r="E93" t="s">
        <v>657</v>
      </c>
      <c r="F93">
        <v>2145</v>
      </c>
      <c r="G93" t="s">
        <v>8</v>
      </c>
      <c r="H93">
        <v>220</v>
      </c>
      <c r="I93">
        <v>161</v>
      </c>
      <c r="J93">
        <v>342</v>
      </c>
      <c r="K93">
        <v>203</v>
      </c>
      <c r="L93">
        <v>176</v>
      </c>
      <c r="M93">
        <v>0</v>
      </c>
      <c r="N93">
        <v>9</v>
      </c>
      <c r="O93">
        <v>199</v>
      </c>
      <c r="P93">
        <v>45</v>
      </c>
      <c r="Q93">
        <v>18</v>
      </c>
      <c r="R93" s="136">
        <v>205</v>
      </c>
      <c r="S93" s="6">
        <v>1.65</v>
      </c>
      <c r="T93" s="6">
        <v>1.25</v>
      </c>
      <c r="U93" s="25">
        <v>1.25</v>
      </c>
      <c r="V93" s="25">
        <v>0</v>
      </c>
      <c r="W93" t="s">
        <v>1021</v>
      </c>
      <c r="X93" t="s">
        <v>1343</v>
      </c>
      <c r="Y93" t="s">
        <v>1344</v>
      </c>
      <c r="Z93" s="25" t="s">
        <v>756</v>
      </c>
    </row>
    <row r="94" spans="1:26" x14ac:dyDescent="0.3">
      <c r="A94" s="24"/>
      <c r="B94" s="24" t="s">
        <v>1009</v>
      </c>
      <c r="C94" s="24" t="s">
        <v>653</v>
      </c>
      <c r="D94" s="24" t="s">
        <v>642</v>
      </c>
      <c r="E94" s="24" t="s">
        <v>157</v>
      </c>
      <c r="F94" s="24">
        <v>2021</v>
      </c>
      <c r="G94" s="24" t="s">
        <v>8</v>
      </c>
      <c r="H94">
        <v>206</v>
      </c>
      <c r="I94">
        <v>137</v>
      </c>
      <c r="J94">
        <v>273</v>
      </c>
      <c r="K94">
        <v>213</v>
      </c>
      <c r="L94">
        <v>138</v>
      </c>
      <c r="M94" s="24">
        <v>0</v>
      </c>
      <c r="N94" s="24">
        <v>10</v>
      </c>
      <c r="O94">
        <v>192</v>
      </c>
      <c r="P94">
        <v>54</v>
      </c>
      <c r="Q94">
        <v>51</v>
      </c>
      <c r="R94" s="136">
        <v>186</v>
      </c>
      <c r="S94" s="25">
        <v>1.5</v>
      </c>
      <c r="T94" s="25">
        <v>1.25</v>
      </c>
      <c r="U94" s="25">
        <v>1.2</v>
      </c>
      <c r="V94" s="25">
        <v>0</v>
      </c>
      <c r="W94" t="s">
        <v>1331</v>
      </c>
      <c r="X94" t="s">
        <v>1332</v>
      </c>
      <c r="Y94" s="25" t="s">
        <v>756</v>
      </c>
      <c r="Z94" s="25" t="s">
        <v>756</v>
      </c>
    </row>
    <row r="95" spans="1:26" x14ac:dyDescent="0.3">
      <c r="A95">
        <v>351</v>
      </c>
      <c r="B95" t="s">
        <v>412</v>
      </c>
      <c r="C95" t="s">
        <v>653</v>
      </c>
      <c r="D95" t="s">
        <v>640</v>
      </c>
      <c r="E95" t="s">
        <v>657</v>
      </c>
      <c r="F95">
        <v>1376</v>
      </c>
      <c r="G95" t="s">
        <v>8</v>
      </c>
      <c r="H95">
        <v>193</v>
      </c>
      <c r="I95">
        <v>69</v>
      </c>
      <c r="J95">
        <v>409</v>
      </c>
      <c r="K95">
        <v>200</v>
      </c>
      <c r="L95">
        <v>138</v>
      </c>
      <c r="M95">
        <v>0</v>
      </c>
      <c r="N95">
        <v>8</v>
      </c>
      <c r="O95">
        <v>187</v>
      </c>
      <c r="P95">
        <v>42</v>
      </c>
      <c r="Q95">
        <v>24</v>
      </c>
      <c r="R95" s="136">
        <v>186</v>
      </c>
      <c r="S95" s="6">
        <v>1.1499999999999999</v>
      </c>
      <c r="T95" s="6">
        <v>1.4</v>
      </c>
      <c r="U95" s="25">
        <v>0.75</v>
      </c>
      <c r="V95" s="25">
        <v>0</v>
      </c>
      <c r="W95" t="s">
        <v>1055</v>
      </c>
      <c r="X95" s="25" t="s">
        <v>756</v>
      </c>
      <c r="Y95" s="25" t="s">
        <v>756</v>
      </c>
      <c r="Z95" s="25" t="s">
        <v>756</v>
      </c>
    </row>
    <row r="96" spans="1:26" x14ac:dyDescent="0.3">
      <c r="A96">
        <v>3351</v>
      </c>
      <c r="B96" t="s">
        <v>732</v>
      </c>
      <c r="C96" t="s">
        <v>653</v>
      </c>
      <c r="D96" t="s">
        <v>639</v>
      </c>
      <c r="E96" t="s">
        <v>657</v>
      </c>
      <c r="F96">
        <v>1436</v>
      </c>
      <c r="G96" t="s">
        <v>8</v>
      </c>
      <c r="H96">
        <v>193</v>
      </c>
      <c r="I96">
        <v>89</v>
      </c>
      <c r="J96">
        <v>439</v>
      </c>
      <c r="K96">
        <v>200</v>
      </c>
      <c r="L96">
        <v>183</v>
      </c>
      <c r="M96">
        <v>0</v>
      </c>
      <c r="N96">
        <v>8</v>
      </c>
      <c r="O96">
        <v>202</v>
      </c>
      <c r="P96">
        <v>42</v>
      </c>
      <c r="Q96">
        <v>24</v>
      </c>
      <c r="R96" s="138">
        <v>186</v>
      </c>
      <c r="S96" s="6">
        <v>1.2</v>
      </c>
      <c r="T96" s="6">
        <v>1.45</v>
      </c>
      <c r="U96" s="25">
        <v>0.8</v>
      </c>
      <c r="V96" s="25">
        <v>0</v>
      </c>
      <c r="W96" t="s">
        <v>1055</v>
      </c>
      <c r="X96" s="25" t="s">
        <v>756</v>
      </c>
      <c r="Y96" s="25" t="s">
        <v>756</v>
      </c>
      <c r="Z96" s="25" t="s">
        <v>756</v>
      </c>
    </row>
    <row r="97" spans="1:29" x14ac:dyDescent="0.3">
      <c r="A97">
        <v>359</v>
      </c>
      <c r="B97" t="s">
        <v>479</v>
      </c>
      <c r="C97" t="s">
        <v>652</v>
      </c>
      <c r="D97" t="s">
        <v>639</v>
      </c>
      <c r="E97" t="s">
        <v>657</v>
      </c>
      <c r="F97">
        <v>1571</v>
      </c>
      <c r="G97" t="s">
        <v>8</v>
      </c>
      <c r="H97">
        <v>192</v>
      </c>
      <c r="I97">
        <v>93</v>
      </c>
      <c r="J97">
        <v>394</v>
      </c>
      <c r="K97">
        <v>189</v>
      </c>
      <c r="L97">
        <v>172</v>
      </c>
      <c r="M97">
        <v>0</v>
      </c>
      <c r="N97">
        <v>9</v>
      </c>
      <c r="O97">
        <v>187</v>
      </c>
      <c r="P97">
        <v>42</v>
      </c>
      <c r="Q97">
        <v>41</v>
      </c>
      <c r="R97" s="136">
        <v>189</v>
      </c>
      <c r="S97" s="6">
        <v>1.3</v>
      </c>
      <c r="T97" s="6">
        <v>1.1499999999999999</v>
      </c>
      <c r="U97" s="25">
        <v>0.75</v>
      </c>
      <c r="V97" s="25">
        <v>0</v>
      </c>
      <c r="W97" t="s">
        <v>1060</v>
      </c>
      <c r="X97" s="25" t="s">
        <v>756</v>
      </c>
      <c r="Y97" s="25" t="s">
        <v>756</v>
      </c>
      <c r="Z97" s="25" t="s">
        <v>756</v>
      </c>
    </row>
    <row r="98" spans="1:29" x14ac:dyDescent="0.3">
      <c r="A98">
        <v>347</v>
      </c>
      <c r="B98" t="s">
        <v>477</v>
      </c>
      <c r="C98" t="s">
        <v>652</v>
      </c>
      <c r="D98" t="s">
        <v>642</v>
      </c>
      <c r="E98" t="s">
        <v>657</v>
      </c>
      <c r="F98">
        <v>2021</v>
      </c>
      <c r="G98" t="s">
        <v>8</v>
      </c>
      <c r="H98">
        <v>207</v>
      </c>
      <c r="I98">
        <v>131</v>
      </c>
      <c r="J98">
        <v>267</v>
      </c>
      <c r="K98">
        <v>213</v>
      </c>
      <c r="L98">
        <v>167</v>
      </c>
      <c r="M98">
        <v>0</v>
      </c>
      <c r="N98">
        <v>10</v>
      </c>
      <c r="O98">
        <v>207</v>
      </c>
      <c r="P98">
        <v>54</v>
      </c>
      <c r="Q98">
        <v>77</v>
      </c>
      <c r="R98" s="138">
        <v>186</v>
      </c>
      <c r="S98" s="6">
        <v>1.4</v>
      </c>
      <c r="T98" s="6">
        <v>1.25</v>
      </c>
      <c r="U98" s="25">
        <v>1.4</v>
      </c>
      <c r="V98" s="25">
        <v>0</v>
      </c>
      <c r="W98" t="s">
        <v>1325</v>
      </c>
      <c r="X98" t="s">
        <v>1326</v>
      </c>
      <c r="Y98" s="25" t="s">
        <v>1327</v>
      </c>
      <c r="Z98" s="25" t="s">
        <v>1328</v>
      </c>
    </row>
    <row r="99" spans="1:29" x14ac:dyDescent="0.3">
      <c r="A99" s="24"/>
      <c r="B99" s="24" t="s">
        <v>1416</v>
      </c>
      <c r="C99" s="24" t="s">
        <v>1011</v>
      </c>
      <c r="D99" s="24" t="s">
        <v>639</v>
      </c>
      <c r="E99" s="24" t="s">
        <v>157</v>
      </c>
      <c r="F99" s="24">
        <v>1772</v>
      </c>
      <c r="G99" s="24" t="s">
        <v>8</v>
      </c>
      <c r="H99">
        <v>196</v>
      </c>
      <c r="I99">
        <v>103</v>
      </c>
      <c r="J99">
        <v>370</v>
      </c>
      <c r="K99">
        <v>178</v>
      </c>
      <c r="L99">
        <v>204</v>
      </c>
      <c r="M99" s="24">
        <v>0</v>
      </c>
      <c r="N99" s="24">
        <v>9</v>
      </c>
      <c r="O99">
        <v>193</v>
      </c>
      <c r="P99">
        <v>42</v>
      </c>
      <c r="Q99">
        <v>45</v>
      </c>
      <c r="R99" s="136">
        <v>194</v>
      </c>
      <c r="S99" s="25">
        <v>1.3</v>
      </c>
      <c r="T99" s="25">
        <v>1.35</v>
      </c>
      <c r="U99" s="25">
        <v>0.75</v>
      </c>
      <c r="V99" s="25">
        <v>0</v>
      </c>
      <c r="W99" t="s">
        <v>1060</v>
      </c>
      <c r="X99" s="25" t="s">
        <v>756</v>
      </c>
      <c r="Y99" s="25" t="s">
        <v>756</v>
      </c>
      <c r="Z99" s="25" t="s">
        <v>756</v>
      </c>
    </row>
    <row r="100" spans="1:29" x14ac:dyDescent="0.3">
      <c r="A100">
        <v>370</v>
      </c>
      <c r="B100" t="s">
        <v>484</v>
      </c>
      <c r="C100" t="s">
        <v>648</v>
      </c>
      <c r="D100" t="s">
        <v>639</v>
      </c>
      <c r="E100" t="s">
        <v>657</v>
      </c>
      <c r="F100">
        <v>2157</v>
      </c>
      <c r="G100" t="s">
        <v>8</v>
      </c>
      <c r="H100">
        <v>215</v>
      </c>
      <c r="I100">
        <v>70</v>
      </c>
      <c r="J100">
        <v>526</v>
      </c>
      <c r="K100">
        <v>191</v>
      </c>
      <c r="L100">
        <v>156</v>
      </c>
      <c r="M100">
        <v>0</v>
      </c>
      <c r="N100">
        <v>9</v>
      </c>
      <c r="O100">
        <v>193</v>
      </c>
      <c r="P100">
        <v>42</v>
      </c>
      <c r="Q100">
        <v>40</v>
      </c>
      <c r="R100" s="136">
        <v>189</v>
      </c>
      <c r="S100" s="6">
        <v>0.8</v>
      </c>
      <c r="T100" s="6">
        <v>1.55</v>
      </c>
      <c r="U100" s="25">
        <v>0.75</v>
      </c>
      <c r="V100" s="25">
        <v>0</v>
      </c>
      <c r="W100" t="s">
        <v>1056</v>
      </c>
      <c r="X100" s="25" t="s">
        <v>756</v>
      </c>
      <c r="Y100" s="25" t="s">
        <v>756</v>
      </c>
      <c r="Z100" s="25" t="s">
        <v>756</v>
      </c>
    </row>
    <row r="101" spans="1:29" x14ac:dyDescent="0.3">
      <c r="A101">
        <v>325</v>
      </c>
      <c r="B101" t="s">
        <v>471</v>
      </c>
      <c r="C101" t="s">
        <v>647</v>
      </c>
      <c r="D101" t="s">
        <v>639</v>
      </c>
      <c r="E101" t="s">
        <v>657</v>
      </c>
      <c r="F101">
        <v>1683</v>
      </c>
      <c r="G101" t="s">
        <v>8</v>
      </c>
      <c r="H101">
        <v>201</v>
      </c>
      <c r="I101">
        <v>76</v>
      </c>
      <c r="J101">
        <v>394</v>
      </c>
      <c r="K101">
        <v>210</v>
      </c>
      <c r="L101">
        <v>157</v>
      </c>
      <c r="M101">
        <v>0</v>
      </c>
      <c r="N101">
        <v>9</v>
      </c>
      <c r="O101">
        <v>223</v>
      </c>
      <c r="P101">
        <v>43</v>
      </c>
      <c r="Q101">
        <v>76</v>
      </c>
      <c r="R101" s="136">
        <v>180</v>
      </c>
      <c r="S101" s="6">
        <v>1.2</v>
      </c>
      <c r="T101" s="6">
        <v>1.45</v>
      </c>
      <c r="U101" s="25">
        <v>1</v>
      </c>
      <c r="V101" s="25">
        <v>0</v>
      </c>
      <c r="W101" t="s">
        <v>1050</v>
      </c>
      <c r="X101" s="25" t="s">
        <v>756</v>
      </c>
      <c r="Y101" s="25" t="s">
        <v>756</v>
      </c>
      <c r="Z101" s="25" t="s">
        <v>756</v>
      </c>
    </row>
    <row r="102" spans="1:29" x14ac:dyDescent="0.3">
      <c r="A102">
        <v>270</v>
      </c>
      <c r="B102" t="s">
        <v>404</v>
      </c>
      <c r="C102" t="s">
        <v>648</v>
      </c>
      <c r="D102" t="s">
        <v>640</v>
      </c>
      <c r="E102" t="s">
        <v>657</v>
      </c>
      <c r="F102">
        <v>1561</v>
      </c>
      <c r="G102" t="s">
        <v>8</v>
      </c>
      <c r="H102">
        <v>203</v>
      </c>
      <c r="I102">
        <v>59</v>
      </c>
      <c r="J102">
        <v>404</v>
      </c>
      <c r="K102">
        <v>190</v>
      </c>
      <c r="L102">
        <v>130</v>
      </c>
      <c r="M102">
        <v>0</v>
      </c>
      <c r="N102">
        <v>7</v>
      </c>
      <c r="O102">
        <v>186</v>
      </c>
      <c r="P102">
        <v>44</v>
      </c>
      <c r="Q102">
        <v>45</v>
      </c>
      <c r="R102" s="136">
        <v>183</v>
      </c>
      <c r="S102" s="6">
        <v>0.75</v>
      </c>
      <c r="T102" s="6">
        <v>1.4</v>
      </c>
      <c r="U102" s="25">
        <v>0.75</v>
      </c>
      <c r="V102" s="25">
        <v>0</v>
      </c>
      <c r="W102" t="s">
        <v>1047</v>
      </c>
      <c r="X102" s="25" t="s">
        <v>756</v>
      </c>
      <c r="Y102" s="25" t="s">
        <v>756</v>
      </c>
      <c r="Z102" s="25" t="s">
        <v>756</v>
      </c>
      <c r="AC102" s="119"/>
    </row>
    <row r="103" spans="1:29" x14ac:dyDescent="0.3">
      <c r="A103">
        <v>3270</v>
      </c>
      <c r="B103" t="s">
        <v>726</v>
      </c>
      <c r="C103" t="s">
        <v>648</v>
      </c>
      <c r="D103" t="s">
        <v>639</v>
      </c>
      <c r="E103" t="s">
        <v>657</v>
      </c>
      <c r="F103">
        <v>1726</v>
      </c>
      <c r="G103" t="s">
        <v>8</v>
      </c>
      <c r="H103">
        <v>223</v>
      </c>
      <c r="I103">
        <v>59</v>
      </c>
      <c r="J103">
        <v>414</v>
      </c>
      <c r="K103">
        <v>190</v>
      </c>
      <c r="L103">
        <v>170</v>
      </c>
      <c r="M103">
        <v>0</v>
      </c>
      <c r="N103">
        <v>7</v>
      </c>
      <c r="O103">
        <v>186</v>
      </c>
      <c r="P103">
        <v>47</v>
      </c>
      <c r="Q103">
        <v>45</v>
      </c>
      <c r="R103" s="7">
        <v>193</v>
      </c>
      <c r="S103" s="6">
        <v>0.75</v>
      </c>
      <c r="T103" s="6">
        <v>1.45</v>
      </c>
      <c r="U103" s="25">
        <v>0.8</v>
      </c>
      <c r="V103" s="25">
        <v>0</v>
      </c>
      <c r="W103" t="s">
        <v>1047</v>
      </c>
      <c r="X103" s="25" t="s">
        <v>756</v>
      </c>
      <c r="Y103" s="25" t="s">
        <v>756</v>
      </c>
      <c r="Z103" s="25" t="s">
        <v>756</v>
      </c>
      <c r="AC103" s="119"/>
    </row>
    <row r="104" spans="1:29" x14ac:dyDescent="0.3">
      <c r="A104">
        <v>10</v>
      </c>
      <c r="B104" t="s">
        <v>419</v>
      </c>
      <c r="C104" t="s">
        <v>646</v>
      </c>
      <c r="D104" t="s">
        <v>639</v>
      </c>
      <c r="E104" t="s">
        <v>657</v>
      </c>
      <c r="F104">
        <v>1809</v>
      </c>
      <c r="G104" t="s">
        <v>8</v>
      </c>
      <c r="H104">
        <v>207</v>
      </c>
      <c r="I104">
        <v>76</v>
      </c>
      <c r="J104">
        <v>448</v>
      </c>
      <c r="K104">
        <v>198</v>
      </c>
      <c r="L104">
        <v>178</v>
      </c>
      <c r="M104">
        <v>0</v>
      </c>
      <c r="N104">
        <v>9</v>
      </c>
      <c r="O104">
        <v>202</v>
      </c>
      <c r="P104">
        <v>43</v>
      </c>
      <c r="Q104">
        <v>69</v>
      </c>
      <c r="R104" s="138">
        <v>194</v>
      </c>
      <c r="S104" s="6">
        <v>1.1499999999999999</v>
      </c>
      <c r="T104" s="6">
        <v>1.4</v>
      </c>
      <c r="U104" s="25">
        <v>1.25</v>
      </c>
      <c r="V104" s="25">
        <v>0</v>
      </c>
      <c r="W104" t="s">
        <v>1019</v>
      </c>
      <c r="X104" s="25" t="s">
        <v>756</v>
      </c>
      <c r="Y104" s="25" t="s">
        <v>756</v>
      </c>
      <c r="Z104" s="25" t="s">
        <v>756</v>
      </c>
    </row>
    <row r="105" spans="1:29" x14ac:dyDescent="0.3">
      <c r="A105">
        <v>9</v>
      </c>
      <c r="B105" t="s">
        <v>418</v>
      </c>
      <c r="C105" t="s">
        <v>646</v>
      </c>
      <c r="D105" t="s">
        <v>641</v>
      </c>
      <c r="E105" t="s">
        <v>657</v>
      </c>
      <c r="F105">
        <v>1724</v>
      </c>
      <c r="G105" t="s">
        <v>8</v>
      </c>
      <c r="H105">
        <v>196</v>
      </c>
      <c r="I105">
        <v>72</v>
      </c>
      <c r="J105">
        <v>429</v>
      </c>
      <c r="K105">
        <v>162</v>
      </c>
      <c r="L105">
        <v>171</v>
      </c>
      <c r="M105">
        <v>0</v>
      </c>
      <c r="N105">
        <v>7</v>
      </c>
      <c r="O105">
        <v>192</v>
      </c>
      <c r="P105">
        <v>43</v>
      </c>
      <c r="Q105">
        <v>69</v>
      </c>
      <c r="R105" s="138">
        <v>194</v>
      </c>
      <c r="S105" s="6">
        <v>1.1499999999999999</v>
      </c>
      <c r="T105" s="6">
        <v>1.35</v>
      </c>
      <c r="U105" s="25">
        <v>1.25</v>
      </c>
      <c r="V105" s="25">
        <v>0</v>
      </c>
      <c r="W105" t="s">
        <v>1019</v>
      </c>
      <c r="X105" s="25" t="s">
        <v>756</v>
      </c>
      <c r="Y105" s="25" t="s">
        <v>756</v>
      </c>
      <c r="Z105" s="25" t="s">
        <v>756</v>
      </c>
    </row>
    <row r="106" spans="1:29" x14ac:dyDescent="0.3">
      <c r="A106">
        <v>333</v>
      </c>
      <c r="B106" t="s">
        <v>475</v>
      </c>
      <c r="C106" t="s">
        <v>648</v>
      </c>
      <c r="D106" t="s">
        <v>640</v>
      </c>
      <c r="E106" t="s">
        <v>657</v>
      </c>
      <c r="F106">
        <v>1964</v>
      </c>
      <c r="G106" t="s">
        <v>8</v>
      </c>
      <c r="H106">
        <v>196</v>
      </c>
      <c r="I106">
        <v>62</v>
      </c>
      <c r="J106">
        <v>509</v>
      </c>
      <c r="K106">
        <v>191</v>
      </c>
      <c r="L106">
        <v>150</v>
      </c>
      <c r="M106">
        <v>0</v>
      </c>
      <c r="N106">
        <v>8</v>
      </c>
      <c r="O106">
        <v>189</v>
      </c>
      <c r="P106">
        <v>42</v>
      </c>
      <c r="Q106">
        <v>48</v>
      </c>
      <c r="R106" s="138">
        <v>184</v>
      </c>
      <c r="S106" s="6">
        <v>0.75</v>
      </c>
      <c r="T106" s="6">
        <v>1.5</v>
      </c>
      <c r="U106" s="25">
        <v>0.75</v>
      </c>
      <c r="V106" s="25">
        <v>0</v>
      </c>
      <c r="W106" t="s">
        <v>1051</v>
      </c>
      <c r="X106" s="25" t="s">
        <v>756</v>
      </c>
      <c r="Y106" s="25" t="s">
        <v>756</v>
      </c>
      <c r="Z106" s="25" t="s">
        <v>756</v>
      </c>
    </row>
    <row r="107" spans="1:29" x14ac:dyDescent="0.3">
      <c r="A107">
        <v>280</v>
      </c>
      <c r="B107" t="s">
        <v>461</v>
      </c>
      <c r="C107" t="s">
        <v>648</v>
      </c>
      <c r="D107" t="s">
        <v>641</v>
      </c>
      <c r="E107" t="s">
        <v>657</v>
      </c>
      <c r="F107">
        <v>1487</v>
      </c>
      <c r="G107" t="s">
        <v>8</v>
      </c>
      <c r="H107">
        <v>196</v>
      </c>
      <c r="I107">
        <v>59</v>
      </c>
      <c r="J107">
        <v>427</v>
      </c>
      <c r="K107">
        <v>193</v>
      </c>
      <c r="L107">
        <v>138</v>
      </c>
      <c r="M107">
        <v>0</v>
      </c>
      <c r="N107">
        <v>7</v>
      </c>
      <c r="O107">
        <v>182</v>
      </c>
      <c r="P107">
        <v>44</v>
      </c>
      <c r="Q107">
        <v>40</v>
      </c>
      <c r="R107" s="138">
        <v>178</v>
      </c>
      <c r="S107" s="6">
        <v>0.75</v>
      </c>
      <c r="T107" s="6">
        <v>1.45</v>
      </c>
      <c r="U107" s="25">
        <v>0.75</v>
      </c>
      <c r="V107" s="25">
        <v>0</v>
      </c>
      <c r="W107" s="25" t="s">
        <v>1048</v>
      </c>
      <c r="X107" s="25" t="s">
        <v>756</v>
      </c>
      <c r="Y107" s="25" t="s">
        <v>756</v>
      </c>
      <c r="Z107" s="25" t="s">
        <v>756</v>
      </c>
    </row>
    <row r="108" spans="1:29" x14ac:dyDescent="0.3">
      <c r="A108">
        <v>276</v>
      </c>
      <c r="B108" t="s">
        <v>458</v>
      </c>
      <c r="C108" t="s">
        <v>648</v>
      </c>
      <c r="D108" t="s">
        <v>641</v>
      </c>
      <c r="E108" t="s">
        <v>657</v>
      </c>
      <c r="F108">
        <v>1487</v>
      </c>
      <c r="G108" t="s">
        <v>8</v>
      </c>
      <c r="H108">
        <v>196</v>
      </c>
      <c r="I108">
        <v>59</v>
      </c>
      <c r="J108">
        <v>427</v>
      </c>
      <c r="K108">
        <v>193</v>
      </c>
      <c r="L108">
        <v>138</v>
      </c>
      <c r="M108">
        <v>0</v>
      </c>
      <c r="N108">
        <v>7</v>
      </c>
      <c r="O108">
        <v>168</v>
      </c>
      <c r="P108">
        <v>44</v>
      </c>
      <c r="Q108">
        <v>45</v>
      </c>
      <c r="R108" s="138">
        <v>178</v>
      </c>
      <c r="S108" s="6">
        <v>0.75</v>
      </c>
      <c r="T108" s="6">
        <v>1.45</v>
      </c>
      <c r="U108" s="25">
        <v>0.75</v>
      </c>
      <c r="V108" s="25">
        <v>0</v>
      </c>
      <c r="W108" s="25" t="s">
        <v>1048</v>
      </c>
      <c r="X108" s="25" t="s">
        <v>756</v>
      </c>
      <c r="Y108" s="25" t="s">
        <v>756</v>
      </c>
      <c r="Z108" s="25" t="s">
        <v>756</v>
      </c>
    </row>
    <row r="109" spans="1:29" x14ac:dyDescent="0.3">
      <c r="A109">
        <v>375</v>
      </c>
      <c r="B109" t="s">
        <v>486</v>
      </c>
      <c r="C109" t="s">
        <v>646</v>
      </c>
      <c r="D109" t="s">
        <v>639</v>
      </c>
      <c r="E109" t="s">
        <v>657</v>
      </c>
      <c r="F109">
        <v>2115</v>
      </c>
      <c r="G109" t="s">
        <v>8</v>
      </c>
      <c r="H109">
        <v>206</v>
      </c>
      <c r="I109">
        <v>90</v>
      </c>
      <c r="J109">
        <v>291</v>
      </c>
      <c r="K109">
        <v>160</v>
      </c>
      <c r="L109">
        <v>172</v>
      </c>
      <c r="M109">
        <v>0</v>
      </c>
      <c r="N109">
        <v>9</v>
      </c>
      <c r="O109">
        <v>212</v>
      </c>
      <c r="P109">
        <v>42</v>
      </c>
      <c r="Q109">
        <v>89</v>
      </c>
      <c r="R109" s="138">
        <v>197</v>
      </c>
      <c r="S109" s="6">
        <v>1.25</v>
      </c>
      <c r="T109" s="6">
        <v>1.3</v>
      </c>
      <c r="U109" s="25">
        <v>1.3</v>
      </c>
      <c r="V109" s="25">
        <v>0</v>
      </c>
      <c r="W109" s="25" t="s">
        <v>1020</v>
      </c>
      <c r="X109" s="25" t="s">
        <v>756</v>
      </c>
      <c r="Y109" s="25" t="s">
        <v>756</v>
      </c>
      <c r="Z109" s="25" t="s">
        <v>756</v>
      </c>
    </row>
    <row r="110" spans="1:29" x14ac:dyDescent="0.3">
      <c r="A110">
        <v>326</v>
      </c>
      <c r="B110" t="s">
        <v>472</v>
      </c>
      <c r="C110" t="s">
        <v>647</v>
      </c>
      <c r="D110" t="s">
        <v>639</v>
      </c>
      <c r="E110" t="s">
        <v>657</v>
      </c>
      <c r="F110">
        <v>1683</v>
      </c>
      <c r="G110" t="s">
        <v>8</v>
      </c>
      <c r="H110">
        <v>201</v>
      </c>
      <c r="I110">
        <v>76</v>
      </c>
      <c r="J110">
        <v>400</v>
      </c>
      <c r="K110">
        <v>210</v>
      </c>
      <c r="L110">
        <v>156</v>
      </c>
      <c r="M110">
        <v>0</v>
      </c>
      <c r="N110">
        <v>9</v>
      </c>
      <c r="O110">
        <v>223</v>
      </c>
      <c r="P110">
        <v>43</v>
      </c>
      <c r="Q110">
        <v>67</v>
      </c>
      <c r="R110" s="138">
        <v>178</v>
      </c>
      <c r="S110" s="6">
        <v>1.2</v>
      </c>
      <c r="T110" s="6">
        <v>1.45</v>
      </c>
      <c r="U110" s="25">
        <v>1</v>
      </c>
      <c r="V110" s="25">
        <v>0</v>
      </c>
      <c r="W110" t="s">
        <v>1050</v>
      </c>
      <c r="X110" s="25" t="s">
        <v>756</v>
      </c>
      <c r="Y110" s="25" t="s">
        <v>756</v>
      </c>
      <c r="Z110" s="25" t="s">
        <v>756</v>
      </c>
    </row>
    <row r="111" spans="1:29" x14ac:dyDescent="0.3">
      <c r="A111">
        <v>271</v>
      </c>
      <c r="B111" t="s">
        <v>405</v>
      </c>
      <c r="C111" t="s">
        <v>648</v>
      </c>
      <c r="D111" t="s">
        <v>641</v>
      </c>
      <c r="E111" t="s">
        <v>657</v>
      </c>
      <c r="F111">
        <v>1487</v>
      </c>
      <c r="G111" t="s">
        <v>8</v>
      </c>
      <c r="H111">
        <v>196</v>
      </c>
      <c r="I111">
        <v>59</v>
      </c>
      <c r="J111">
        <v>427</v>
      </c>
      <c r="K111">
        <v>193</v>
      </c>
      <c r="L111">
        <v>138</v>
      </c>
      <c r="M111">
        <v>0</v>
      </c>
      <c r="N111">
        <v>7</v>
      </c>
      <c r="O111">
        <v>181</v>
      </c>
      <c r="P111">
        <v>44</v>
      </c>
      <c r="Q111">
        <v>35</v>
      </c>
      <c r="R111" s="138">
        <v>178</v>
      </c>
      <c r="S111" s="6">
        <v>0.75</v>
      </c>
      <c r="T111" s="6">
        <v>1.45</v>
      </c>
      <c r="U111" s="25">
        <v>0.75</v>
      </c>
      <c r="V111" s="25">
        <v>0</v>
      </c>
      <c r="W111" s="25" t="s">
        <v>1048</v>
      </c>
      <c r="X111" s="25" t="s">
        <v>756</v>
      </c>
      <c r="Y111" s="25" t="s">
        <v>756</v>
      </c>
      <c r="Z111" s="25" t="s">
        <v>756</v>
      </c>
    </row>
    <row r="112" spans="1:29" x14ac:dyDescent="0.3">
      <c r="A112">
        <v>3271</v>
      </c>
      <c r="B112" t="s">
        <v>727</v>
      </c>
      <c r="C112" t="s">
        <v>648</v>
      </c>
      <c r="D112" t="s">
        <v>640</v>
      </c>
      <c r="E112" t="s">
        <v>657</v>
      </c>
      <c r="F112">
        <v>1652</v>
      </c>
      <c r="G112" t="s">
        <v>8</v>
      </c>
      <c r="H112">
        <v>216</v>
      </c>
      <c r="I112">
        <v>59</v>
      </c>
      <c r="J112">
        <v>462</v>
      </c>
      <c r="K112">
        <v>193</v>
      </c>
      <c r="L112">
        <v>173</v>
      </c>
      <c r="M112">
        <v>0</v>
      </c>
      <c r="N112">
        <v>7</v>
      </c>
      <c r="O112">
        <v>181</v>
      </c>
      <c r="P112">
        <v>47</v>
      </c>
      <c r="Q112">
        <v>35</v>
      </c>
      <c r="R112" s="138">
        <v>178</v>
      </c>
      <c r="S112" s="6">
        <v>0.75</v>
      </c>
      <c r="T112" s="6">
        <v>1.5</v>
      </c>
      <c r="U112" s="25">
        <v>0.8</v>
      </c>
      <c r="V112" s="25">
        <v>0</v>
      </c>
      <c r="W112" s="25" t="s">
        <v>1048</v>
      </c>
      <c r="X112" s="25" t="s">
        <v>756</v>
      </c>
      <c r="Y112" s="25" t="s">
        <v>756</v>
      </c>
      <c r="Z112" s="25" t="s">
        <v>756</v>
      </c>
    </row>
    <row r="113" spans="1:26" x14ac:dyDescent="0.3">
      <c r="A113">
        <v>278</v>
      </c>
      <c r="B113" t="s">
        <v>460</v>
      </c>
      <c r="C113" t="s">
        <v>648</v>
      </c>
      <c r="D113" t="s">
        <v>640</v>
      </c>
      <c r="E113" t="s">
        <v>657</v>
      </c>
      <c r="F113">
        <v>1516</v>
      </c>
      <c r="G113" t="s">
        <v>8</v>
      </c>
      <c r="H113">
        <v>201</v>
      </c>
      <c r="I113">
        <v>60</v>
      </c>
      <c r="J113">
        <v>438</v>
      </c>
      <c r="K113">
        <v>193</v>
      </c>
      <c r="L113">
        <v>128</v>
      </c>
      <c r="M113">
        <v>0</v>
      </c>
      <c r="N113">
        <v>8</v>
      </c>
      <c r="O113">
        <v>187</v>
      </c>
      <c r="P113">
        <v>44</v>
      </c>
      <c r="Q113">
        <v>35</v>
      </c>
      <c r="R113" s="138">
        <v>178</v>
      </c>
      <c r="S113" s="6">
        <v>0.75</v>
      </c>
      <c r="T113" s="6">
        <v>1.45</v>
      </c>
      <c r="U113" s="25">
        <v>0.75</v>
      </c>
      <c r="V113" s="25">
        <v>0</v>
      </c>
      <c r="W113" s="25" t="s">
        <v>1048</v>
      </c>
      <c r="X113" s="25" t="s">
        <v>756</v>
      </c>
      <c r="Y113" s="25" t="s">
        <v>756</v>
      </c>
      <c r="Z113" s="25" t="s">
        <v>756</v>
      </c>
    </row>
    <row r="114" spans="1:26" x14ac:dyDescent="0.3">
      <c r="A114" t="s">
        <v>340</v>
      </c>
      <c r="B114" t="s">
        <v>626</v>
      </c>
      <c r="C114" t="s">
        <v>655</v>
      </c>
      <c r="D114" t="s">
        <v>642</v>
      </c>
      <c r="E114" t="s">
        <v>657</v>
      </c>
      <c r="F114">
        <v>1941</v>
      </c>
      <c r="G114" t="s">
        <v>8</v>
      </c>
      <c r="H114">
        <v>199</v>
      </c>
      <c r="I114">
        <v>98</v>
      </c>
      <c r="J114">
        <v>356</v>
      </c>
      <c r="K114">
        <v>189</v>
      </c>
      <c r="L114">
        <v>210</v>
      </c>
      <c r="M114">
        <v>0</v>
      </c>
      <c r="N114">
        <v>10</v>
      </c>
      <c r="O114">
        <v>162</v>
      </c>
      <c r="P114">
        <v>39</v>
      </c>
      <c r="Q114">
        <v>52</v>
      </c>
      <c r="R114" s="138">
        <v>202</v>
      </c>
      <c r="S114" s="6">
        <v>0.85</v>
      </c>
      <c r="T114" s="6">
        <v>1.2</v>
      </c>
      <c r="U114" s="25">
        <v>0.65</v>
      </c>
      <c r="V114" s="25">
        <v>0</v>
      </c>
      <c r="W114" s="25" t="s">
        <v>756</v>
      </c>
      <c r="X114" t="s">
        <v>626</v>
      </c>
      <c r="Y114" s="25" t="s">
        <v>756</v>
      </c>
      <c r="Z114" s="25" t="s">
        <v>756</v>
      </c>
    </row>
    <row r="115" spans="1:26" x14ac:dyDescent="0.3">
      <c r="A115">
        <v>301</v>
      </c>
      <c r="B115" t="s">
        <v>406</v>
      </c>
      <c r="C115" t="s">
        <v>646</v>
      </c>
      <c r="D115" t="s">
        <v>639</v>
      </c>
      <c r="E115" t="s">
        <v>657</v>
      </c>
      <c r="F115">
        <v>2115</v>
      </c>
      <c r="G115" t="s">
        <v>8</v>
      </c>
      <c r="H115">
        <v>207</v>
      </c>
      <c r="I115">
        <v>87</v>
      </c>
      <c r="J115">
        <v>291</v>
      </c>
      <c r="K115">
        <v>160</v>
      </c>
      <c r="L115">
        <v>178</v>
      </c>
      <c r="M115">
        <v>0</v>
      </c>
      <c r="N115">
        <v>9</v>
      </c>
      <c r="O115">
        <v>212</v>
      </c>
      <c r="P115">
        <v>42</v>
      </c>
      <c r="Q115">
        <v>80</v>
      </c>
      <c r="R115" s="138">
        <v>197</v>
      </c>
      <c r="S115" s="6">
        <v>1.25</v>
      </c>
      <c r="T115" s="6">
        <v>1.3</v>
      </c>
      <c r="U115" s="25">
        <v>1.3</v>
      </c>
      <c r="V115" s="25">
        <v>0</v>
      </c>
      <c r="W115" s="27" t="s">
        <v>1020</v>
      </c>
      <c r="X115" s="25" t="s">
        <v>756</v>
      </c>
      <c r="Y115" s="25" t="s">
        <v>756</v>
      </c>
      <c r="Z115" s="25" t="s">
        <v>756</v>
      </c>
    </row>
    <row r="116" spans="1:26" x14ac:dyDescent="0.3">
      <c r="A116">
        <v>3301</v>
      </c>
      <c r="B116" t="s">
        <v>728</v>
      </c>
      <c r="C116" t="s">
        <v>646</v>
      </c>
      <c r="D116" t="s">
        <v>642</v>
      </c>
      <c r="E116" t="s">
        <v>657</v>
      </c>
      <c r="F116">
        <v>2280</v>
      </c>
      <c r="G116" t="s">
        <v>8</v>
      </c>
      <c r="H116">
        <v>207</v>
      </c>
      <c r="I116">
        <v>132</v>
      </c>
      <c r="J116">
        <v>356</v>
      </c>
      <c r="K116">
        <v>160</v>
      </c>
      <c r="L116">
        <v>233</v>
      </c>
      <c r="M116">
        <v>0</v>
      </c>
      <c r="N116">
        <v>9</v>
      </c>
      <c r="O116">
        <v>222</v>
      </c>
      <c r="P116">
        <v>42</v>
      </c>
      <c r="Q116">
        <v>80</v>
      </c>
      <c r="R116" s="138">
        <v>197</v>
      </c>
      <c r="S116" s="6">
        <v>1.4</v>
      </c>
      <c r="T116" s="6">
        <v>1.4</v>
      </c>
      <c r="U116" s="25">
        <v>1.3</v>
      </c>
      <c r="V116" s="25">
        <v>0</v>
      </c>
      <c r="W116" s="25" t="s">
        <v>1020</v>
      </c>
      <c r="X116" s="25" t="s">
        <v>756</v>
      </c>
      <c r="Y116" s="25" t="s">
        <v>756</v>
      </c>
      <c r="Z116" s="25" t="s">
        <v>756</v>
      </c>
    </row>
    <row r="117" spans="1:26" x14ac:dyDescent="0.3">
      <c r="A117">
        <v>295</v>
      </c>
      <c r="B117" t="s">
        <v>463</v>
      </c>
      <c r="C117" t="s">
        <v>648</v>
      </c>
      <c r="D117" t="s">
        <v>639</v>
      </c>
      <c r="E117" t="s">
        <v>657</v>
      </c>
      <c r="F117">
        <v>2445</v>
      </c>
      <c r="G117" t="s">
        <v>8</v>
      </c>
      <c r="H117">
        <v>210</v>
      </c>
      <c r="I117">
        <v>76</v>
      </c>
      <c r="J117">
        <v>370</v>
      </c>
      <c r="K117">
        <v>179</v>
      </c>
      <c r="L117">
        <v>193</v>
      </c>
      <c r="M117">
        <v>0</v>
      </c>
      <c r="N117">
        <v>9</v>
      </c>
      <c r="O117">
        <v>200</v>
      </c>
      <c r="P117">
        <v>39</v>
      </c>
      <c r="Q117">
        <v>32</v>
      </c>
      <c r="R117" s="138">
        <v>184</v>
      </c>
      <c r="S117" s="6">
        <v>1</v>
      </c>
      <c r="T117" s="6">
        <v>1.35</v>
      </c>
      <c r="U117" s="25">
        <v>1.35</v>
      </c>
      <c r="V117" s="25">
        <v>0</v>
      </c>
      <c r="W117" t="s">
        <v>1049</v>
      </c>
      <c r="X117" s="25" t="s">
        <v>756</v>
      </c>
      <c r="Y117" s="25" t="s">
        <v>756</v>
      </c>
      <c r="Z117" s="25" t="s">
        <v>756</v>
      </c>
    </row>
    <row r="118" spans="1:26" x14ac:dyDescent="0.3">
      <c r="A118">
        <v>170</v>
      </c>
      <c r="B118" t="s">
        <v>444</v>
      </c>
      <c r="C118" t="s">
        <v>648</v>
      </c>
      <c r="D118" t="s">
        <v>639</v>
      </c>
      <c r="E118" t="s">
        <v>657</v>
      </c>
      <c r="F118">
        <v>2145</v>
      </c>
      <c r="G118" t="s">
        <v>8</v>
      </c>
      <c r="H118">
        <v>210</v>
      </c>
      <c r="I118">
        <v>65</v>
      </c>
      <c r="J118">
        <v>526</v>
      </c>
      <c r="K118">
        <v>191</v>
      </c>
      <c r="L118">
        <v>154</v>
      </c>
      <c r="M118">
        <v>0</v>
      </c>
      <c r="N118">
        <v>9</v>
      </c>
      <c r="O118">
        <v>192</v>
      </c>
      <c r="P118">
        <v>42</v>
      </c>
      <c r="Q118">
        <v>72</v>
      </c>
      <c r="R118" s="138">
        <v>191</v>
      </c>
      <c r="S118" s="6">
        <v>0.8</v>
      </c>
      <c r="T118" s="6">
        <v>1.55</v>
      </c>
      <c r="U118" s="25">
        <v>0.75</v>
      </c>
      <c r="V118" s="25">
        <v>0</v>
      </c>
      <c r="W118" s="27" t="s">
        <v>1040</v>
      </c>
      <c r="X118" s="25" t="s">
        <v>756</v>
      </c>
      <c r="Y118" s="25" t="s">
        <v>756</v>
      </c>
      <c r="Z118" s="25" t="s">
        <v>756</v>
      </c>
    </row>
    <row r="119" spans="1:26" x14ac:dyDescent="0.3">
      <c r="A119">
        <v>332</v>
      </c>
      <c r="B119" t="s">
        <v>474</v>
      </c>
      <c r="C119" t="s">
        <v>648</v>
      </c>
      <c r="D119" t="s">
        <v>640</v>
      </c>
      <c r="E119" t="s">
        <v>657</v>
      </c>
      <c r="F119">
        <v>1937</v>
      </c>
      <c r="G119" t="s">
        <v>8</v>
      </c>
      <c r="H119">
        <v>196</v>
      </c>
      <c r="I119">
        <v>62</v>
      </c>
      <c r="J119">
        <v>509</v>
      </c>
      <c r="K119">
        <v>191</v>
      </c>
      <c r="L119">
        <v>150</v>
      </c>
      <c r="M119">
        <v>0</v>
      </c>
      <c r="N119">
        <v>8</v>
      </c>
      <c r="O119">
        <v>171</v>
      </c>
      <c r="P119">
        <v>42</v>
      </c>
      <c r="Q119">
        <v>40</v>
      </c>
      <c r="R119" s="138">
        <v>183</v>
      </c>
      <c r="S119" s="6">
        <v>0.75</v>
      </c>
      <c r="T119" s="6">
        <v>1.5</v>
      </c>
      <c r="U119" s="25">
        <v>0.75</v>
      </c>
      <c r="V119" s="25">
        <v>0</v>
      </c>
      <c r="W119" t="s">
        <v>1051</v>
      </c>
      <c r="X119" s="25" t="s">
        <v>756</v>
      </c>
      <c r="Y119" s="25" t="s">
        <v>756</v>
      </c>
      <c r="Z119" s="25" t="s">
        <v>756</v>
      </c>
    </row>
    <row r="120" spans="1:26" x14ac:dyDescent="0.3">
      <c r="A120">
        <v>178</v>
      </c>
      <c r="B120" t="s">
        <v>451</v>
      </c>
      <c r="C120" t="s">
        <v>648</v>
      </c>
      <c r="D120" t="s">
        <v>640</v>
      </c>
      <c r="E120" t="s">
        <v>657</v>
      </c>
      <c r="F120">
        <v>2083</v>
      </c>
      <c r="G120" t="s">
        <v>8</v>
      </c>
      <c r="H120">
        <v>201</v>
      </c>
      <c r="I120">
        <v>65</v>
      </c>
      <c r="J120">
        <v>512</v>
      </c>
      <c r="K120">
        <v>191</v>
      </c>
      <c r="L120">
        <v>150</v>
      </c>
      <c r="M120">
        <v>0</v>
      </c>
      <c r="N120">
        <v>8</v>
      </c>
      <c r="O120">
        <v>189</v>
      </c>
      <c r="P120">
        <v>42</v>
      </c>
      <c r="Q120">
        <v>34</v>
      </c>
      <c r="R120" s="138">
        <v>184</v>
      </c>
      <c r="S120" s="6">
        <v>0.75</v>
      </c>
      <c r="T120" s="6">
        <v>1.5</v>
      </c>
      <c r="U120" s="25">
        <v>0.75</v>
      </c>
      <c r="V120" s="25">
        <v>0</v>
      </c>
      <c r="W120" s="27" t="s">
        <v>1040</v>
      </c>
      <c r="X120" s="25" t="s">
        <v>756</v>
      </c>
      <c r="Y120" s="25" t="s">
        <v>756</v>
      </c>
      <c r="Z120" s="25" t="s">
        <v>756</v>
      </c>
    </row>
    <row r="121" spans="1:26" x14ac:dyDescent="0.3">
      <c r="A121">
        <v>299</v>
      </c>
      <c r="B121" t="s">
        <v>465</v>
      </c>
      <c r="C121" t="s">
        <v>646</v>
      </c>
      <c r="D121" t="s">
        <v>640</v>
      </c>
      <c r="E121" t="s">
        <v>657</v>
      </c>
      <c r="F121">
        <v>2054</v>
      </c>
      <c r="G121" t="s">
        <v>8</v>
      </c>
      <c r="H121">
        <v>201</v>
      </c>
      <c r="I121">
        <v>85</v>
      </c>
      <c r="J121">
        <v>283</v>
      </c>
      <c r="K121">
        <v>163</v>
      </c>
      <c r="L121">
        <v>172</v>
      </c>
      <c r="M121">
        <v>0</v>
      </c>
      <c r="N121">
        <v>8</v>
      </c>
      <c r="O121">
        <v>206</v>
      </c>
      <c r="P121">
        <v>45</v>
      </c>
      <c r="Q121">
        <v>80</v>
      </c>
      <c r="R121" s="138">
        <v>197</v>
      </c>
      <c r="S121" s="6">
        <v>1.2</v>
      </c>
      <c r="T121" s="6">
        <v>1.3</v>
      </c>
      <c r="U121" s="25">
        <v>1.3</v>
      </c>
      <c r="V121" s="25">
        <v>0</v>
      </c>
      <c r="W121" s="27" t="s">
        <v>1020</v>
      </c>
      <c r="X121" s="25" t="s">
        <v>756</v>
      </c>
      <c r="Y121" s="25" t="s">
        <v>756</v>
      </c>
      <c r="Z121" s="25" t="s">
        <v>756</v>
      </c>
    </row>
    <row r="122" spans="1:26" x14ac:dyDescent="0.3">
      <c r="A122">
        <v>165</v>
      </c>
      <c r="B122" t="s">
        <v>442</v>
      </c>
      <c r="C122" t="s">
        <v>648</v>
      </c>
      <c r="D122" t="s">
        <v>639</v>
      </c>
      <c r="E122" t="s">
        <v>657</v>
      </c>
      <c r="F122">
        <v>1763</v>
      </c>
      <c r="G122" t="s">
        <v>8</v>
      </c>
      <c r="H122">
        <v>212</v>
      </c>
      <c r="I122">
        <v>65</v>
      </c>
      <c r="J122">
        <v>524</v>
      </c>
      <c r="K122">
        <v>190</v>
      </c>
      <c r="L122">
        <v>150</v>
      </c>
      <c r="M122">
        <v>0</v>
      </c>
      <c r="N122">
        <v>9</v>
      </c>
      <c r="O122">
        <v>181</v>
      </c>
      <c r="P122">
        <v>40</v>
      </c>
      <c r="Q122">
        <v>84</v>
      </c>
      <c r="R122" s="138">
        <v>182</v>
      </c>
      <c r="S122" s="6">
        <v>0.75</v>
      </c>
      <c r="T122" s="6">
        <v>1.5</v>
      </c>
      <c r="U122" s="25">
        <v>0.75</v>
      </c>
      <c r="V122" s="25">
        <v>0</v>
      </c>
      <c r="W122" t="s">
        <v>1038</v>
      </c>
      <c r="X122" s="25" t="s">
        <v>756</v>
      </c>
      <c r="Y122" s="25" t="s">
        <v>756</v>
      </c>
      <c r="Z122" s="25" t="s">
        <v>756</v>
      </c>
    </row>
    <row r="123" spans="1:26" x14ac:dyDescent="0.3">
      <c r="A123">
        <v>168</v>
      </c>
      <c r="B123" t="s">
        <v>387</v>
      </c>
      <c r="C123" t="s">
        <v>648</v>
      </c>
      <c r="D123" t="s">
        <v>641</v>
      </c>
      <c r="E123" t="s">
        <v>657</v>
      </c>
      <c r="F123">
        <v>1848</v>
      </c>
      <c r="G123" t="s">
        <v>8</v>
      </c>
      <c r="H123">
        <v>196</v>
      </c>
      <c r="I123">
        <v>63</v>
      </c>
      <c r="J123">
        <v>502</v>
      </c>
      <c r="K123">
        <v>192</v>
      </c>
      <c r="L123">
        <v>145</v>
      </c>
      <c r="M123">
        <v>0</v>
      </c>
      <c r="N123">
        <v>7</v>
      </c>
      <c r="O123">
        <v>173</v>
      </c>
      <c r="P123">
        <v>42</v>
      </c>
      <c r="Q123">
        <v>25</v>
      </c>
      <c r="R123" s="138">
        <v>184</v>
      </c>
      <c r="S123" s="6">
        <v>0.75</v>
      </c>
      <c r="T123" s="6">
        <v>1.5</v>
      </c>
      <c r="U123" s="25">
        <v>0.75</v>
      </c>
      <c r="V123" s="25">
        <v>0</v>
      </c>
      <c r="W123" s="27" t="s">
        <v>1040</v>
      </c>
      <c r="X123" s="25" t="s">
        <v>756</v>
      </c>
      <c r="Y123" s="25" t="s">
        <v>756</v>
      </c>
      <c r="Z123" s="25" t="s">
        <v>756</v>
      </c>
    </row>
    <row r="124" spans="1:26" x14ac:dyDescent="0.3">
      <c r="A124">
        <v>3168</v>
      </c>
      <c r="B124" t="s">
        <v>723</v>
      </c>
      <c r="C124" t="s">
        <v>648</v>
      </c>
      <c r="D124" t="s">
        <v>640</v>
      </c>
      <c r="E124" t="s">
        <v>657</v>
      </c>
      <c r="F124">
        <v>1908</v>
      </c>
      <c r="G124" t="s">
        <v>8</v>
      </c>
      <c r="H124">
        <v>196</v>
      </c>
      <c r="I124">
        <v>73</v>
      </c>
      <c r="J124">
        <v>562</v>
      </c>
      <c r="K124">
        <v>212</v>
      </c>
      <c r="L124">
        <v>145</v>
      </c>
      <c r="M124">
        <v>0</v>
      </c>
      <c r="N124">
        <v>7</v>
      </c>
      <c r="O124">
        <v>173</v>
      </c>
      <c r="P124">
        <v>45</v>
      </c>
      <c r="Q124">
        <v>25</v>
      </c>
      <c r="R124" s="138">
        <v>184</v>
      </c>
      <c r="S124" s="6">
        <v>0.8</v>
      </c>
      <c r="T124" s="6">
        <v>1.65</v>
      </c>
      <c r="U124" s="25">
        <v>0.75</v>
      </c>
      <c r="V124" s="25">
        <v>0</v>
      </c>
      <c r="W124" s="25" t="s">
        <v>1040</v>
      </c>
      <c r="X124" s="25" t="s">
        <v>756</v>
      </c>
      <c r="Y124" s="25" t="s">
        <v>756</v>
      </c>
      <c r="Z124" s="25" t="s">
        <v>756</v>
      </c>
    </row>
    <row r="125" spans="1:26" x14ac:dyDescent="0.3">
      <c r="A125">
        <v>163</v>
      </c>
      <c r="B125" t="s">
        <v>440</v>
      </c>
      <c r="C125" t="s">
        <v>648</v>
      </c>
      <c r="D125" t="s">
        <v>640</v>
      </c>
      <c r="E125" t="s">
        <v>657</v>
      </c>
      <c r="F125">
        <v>1712</v>
      </c>
      <c r="G125" t="s">
        <v>8</v>
      </c>
      <c r="H125">
        <v>196</v>
      </c>
      <c r="I125">
        <v>65</v>
      </c>
      <c r="J125">
        <v>509</v>
      </c>
      <c r="K125">
        <v>190</v>
      </c>
      <c r="L125">
        <v>150</v>
      </c>
      <c r="M125">
        <v>0</v>
      </c>
      <c r="N125">
        <v>8</v>
      </c>
      <c r="O125">
        <v>165</v>
      </c>
      <c r="P125">
        <v>40</v>
      </c>
      <c r="Q125">
        <v>41</v>
      </c>
      <c r="R125" s="138">
        <v>182</v>
      </c>
      <c r="S125" s="6">
        <v>0.75</v>
      </c>
      <c r="T125" s="6">
        <v>1.5</v>
      </c>
      <c r="U125" s="25">
        <v>0.75</v>
      </c>
      <c r="V125" s="25">
        <v>0</v>
      </c>
      <c r="W125" t="s">
        <v>1038</v>
      </c>
      <c r="X125" s="25" t="s">
        <v>756</v>
      </c>
      <c r="Y125" s="25" t="s">
        <v>756</v>
      </c>
      <c r="Z125" s="25" t="s">
        <v>756</v>
      </c>
    </row>
    <row r="126" spans="1:26" x14ac:dyDescent="0.3">
      <c r="A126">
        <v>26</v>
      </c>
      <c r="B126" t="s">
        <v>427</v>
      </c>
      <c r="C126" t="s">
        <v>646</v>
      </c>
      <c r="D126" t="s">
        <v>640</v>
      </c>
      <c r="E126" t="s">
        <v>657</v>
      </c>
      <c r="F126">
        <v>1815</v>
      </c>
      <c r="G126" t="s">
        <v>8</v>
      </c>
      <c r="H126">
        <v>204</v>
      </c>
      <c r="I126">
        <v>81</v>
      </c>
      <c r="J126">
        <v>286</v>
      </c>
      <c r="K126">
        <v>160</v>
      </c>
      <c r="L126">
        <v>172</v>
      </c>
      <c r="M126">
        <v>0</v>
      </c>
      <c r="N126">
        <v>8</v>
      </c>
      <c r="O126">
        <v>208</v>
      </c>
      <c r="P126">
        <v>42</v>
      </c>
      <c r="Q126">
        <v>45</v>
      </c>
      <c r="R126" s="138">
        <v>178</v>
      </c>
      <c r="S126" s="6">
        <v>1.2</v>
      </c>
      <c r="T126" s="6">
        <v>1.3</v>
      </c>
      <c r="U126" s="25">
        <v>1.3</v>
      </c>
      <c r="V126" s="25">
        <v>0</v>
      </c>
      <c r="W126" t="s">
        <v>1023</v>
      </c>
      <c r="X126" s="25" t="s">
        <v>756</v>
      </c>
      <c r="Y126" s="25" t="s">
        <v>756</v>
      </c>
      <c r="Z126" s="25" t="s">
        <v>756</v>
      </c>
    </row>
    <row r="127" spans="1:26" x14ac:dyDescent="0.3">
      <c r="A127" s="24">
        <v>3026</v>
      </c>
      <c r="B127" s="24" t="s">
        <v>938</v>
      </c>
      <c r="C127" s="24" t="s">
        <v>646</v>
      </c>
      <c r="D127" s="24" t="s">
        <v>640</v>
      </c>
      <c r="E127" s="24" t="s">
        <v>157</v>
      </c>
      <c r="F127" s="24">
        <v>2025</v>
      </c>
      <c r="G127" s="24" t="s">
        <v>8</v>
      </c>
      <c r="H127" s="24">
        <v>219</v>
      </c>
      <c r="I127" s="24">
        <v>111</v>
      </c>
      <c r="J127" s="24">
        <v>286</v>
      </c>
      <c r="K127" s="24">
        <v>160</v>
      </c>
      <c r="L127" s="24">
        <v>262</v>
      </c>
      <c r="M127" s="24">
        <v>0</v>
      </c>
      <c r="N127" s="24">
        <v>8</v>
      </c>
      <c r="O127" s="24">
        <v>208</v>
      </c>
      <c r="P127" s="24">
        <v>45</v>
      </c>
      <c r="Q127" s="24">
        <v>45</v>
      </c>
      <c r="R127" s="138">
        <v>178</v>
      </c>
      <c r="S127" s="25">
        <v>1.25</v>
      </c>
      <c r="T127" s="25">
        <v>1.3</v>
      </c>
      <c r="U127" s="25">
        <v>1.35</v>
      </c>
      <c r="V127" s="25">
        <v>0</v>
      </c>
      <c r="W127" t="s">
        <v>1023</v>
      </c>
      <c r="X127" s="25" t="s">
        <v>756</v>
      </c>
      <c r="Y127" s="25" t="s">
        <v>756</v>
      </c>
      <c r="Z127" s="25" t="s">
        <v>756</v>
      </c>
    </row>
    <row r="128" spans="1:26" x14ac:dyDescent="0.3">
      <c r="A128">
        <v>17</v>
      </c>
      <c r="B128" t="s">
        <v>425</v>
      </c>
      <c r="C128" t="s">
        <v>646</v>
      </c>
      <c r="D128" t="s">
        <v>641</v>
      </c>
      <c r="E128" t="s">
        <v>657</v>
      </c>
      <c r="F128">
        <v>1998</v>
      </c>
      <c r="G128" t="s">
        <v>8</v>
      </c>
      <c r="H128">
        <v>196</v>
      </c>
      <c r="I128">
        <v>82</v>
      </c>
      <c r="J128">
        <v>279</v>
      </c>
      <c r="K128">
        <v>158</v>
      </c>
      <c r="L128">
        <v>171</v>
      </c>
      <c r="M128">
        <v>0</v>
      </c>
      <c r="N128">
        <v>7</v>
      </c>
      <c r="O128">
        <v>202</v>
      </c>
      <c r="P128">
        <v>42</v>
      </c>
      <c r="Q128">
        <v>20</v>
      </c>
      <c r="R128" s="138">
        <v>197</v>
      </c>
      <c r="S128" s="6">
        <v>1.2</v>
      </c>
      <c r="T128" s="6">
        <v>1.3</v>
      </c>
      <c r="U128" s="25">
        <v>1.3</v>
      </c>
      <c r="V128" s="25">
        <v>0</v>
      </c>
      <c r="W128" s="27" t="s">
        <v>1020</v>
      </c>
      <c r="X128" s="25" t="s">
        <v>756</v>
      </c>
      <c r="Y128" s="25" t="s">
        <v>756</v>
      </c>
      <c r="Z128" s="25" t="s">
        <v>756</v>
      </c>
    </row>
    <row r="129" spans="1:26" x14ac:dyDescent="0.3">
      <c r="A129">
        <v>256</v>
      </c>
      <c r="B129" t="s">
        <v>455</v>
      </c>
      <c r="C129" t="s">
        <v>650</v>
      </c>
      <c r="D129" t="s">
        <v>639</v>
      </c>
      <c r="E129" t="s">
        <v>657</v>
      </c>
      <c r="F129">
        <v>2277</v>
      </c>
      <c r="G129" t="s">
        <v>8</v>
      </c>
      <c r="H129">
        <v>199</v>
      </c>
      <c r="I129">
        <v>128</v>
      </c>
      <c r="J129">
        <v>229</v>
      </c>
      <c r="K129">
        <v>165</v>
      </c>
      <c r="L129">
        <v>174</v>
      </c>
      <c r="M129">
        <v>0</v>
      </c>
      <c r="N129">
        <v>9</v>
      </c>
      <c r="O129">
        <v>200</v>
      </c>
      <c r="P129">
        <v>45</v>
      </c>
      <c r="Q129">
        <v>71</v>
      </c>
      <c r="R129" s="138">
        <v>186</v>
      </c>
      <c r="S129" s="6">
        <v>1.55</v>
      </c>
      <c r="T129" s="6">
        <v>1</v>
      </c>
      <c r="U129" s="25">
        <v>1.05</v>
      </c>
      <c r="V129" s="25">
        <v>0</v>
      </c>
      <c r="W129" t="s">
        <v>1045</v>
      </c>
      <c r="X129" s="25" t="s">
        <v>756</v>
      </c>
      <c r="Y129" s="25" t="s">
        <v>756</v>
      </c>
      <c r="Z129" s="25" t="s">
        <v>756</v>
      </c>
    </row>
    <row r="130" spans="1:26" x14ac:dyDescent="0.3">
      <c r="A130">
        <v>319</v>
      </c>
      <c r="B130" t="s">
        <v>410</v>
      </c>
      <c r="C130" t="s">
        <v>648</v>
      </c>
      <c r="D130" t="s">
        <v>640</v>
      </c>
      <c r="E130" t="s">
        <v>657</v>
      </c>
      <c r="F130">
        <v>2083</v>
      </c>
      <c r="G130" t="s">
        <v>8</v>
      </c>
      <c r="H130">
        <v>196</v>
      </c>
      <c r="I130">
        <v>65</v>
      </c>
      <c r="J130">
        <v>512</v>
      </c>
      <c r="K130">
        <v>191</v>
      </c>
      <c r="L130">
        <v>154</v>
      </c>
      <c r="M130">
        <v>0</v>
      </c>
      <c r="N130">
        <v>8</v>
      </c>
      <c r="O130">
        <v>165</v>
      </c>
      <c r="P130">
        <v>42</v>
      </c>
      <c r="Q130">
        <v>52</v>
      </c>
      <c r="R130" s="138">
        <v>184</v>
      </c>
      <c r="S130" s="6">
        <v>0.75</v>
      </c>
      <c r="T130" s="6">
        <v>1.5</v>
      </c>
      <c r="U130" s="25">
        <v>0.75</v>
      </c>
      <c r="V130" s="25">
        <v>0</v>
      </c>
      <c r="W130" s="27" t="s">
        <v>1040</v>
      </c>
      <c r="X130" s="25" t="s">
        <v>756</v>
      </c>
      <c r="Y130" s="25" t="s">
        <v>756</v>
      </c>
      <c r="Z130" s="25" t="s">
        <v>756</v>
      </c>
    </row>
    <row r="131" spans="1:26" x14ac:dyDescent="0.3">
      <c r="A131">
        <v>3319</v>
      </c>
      <c r="B131" t="s">
        <v>730</v>
      </c>
      <c r="C131" t="s">
        <v>648</v>
      </c>
      <c r="D131" t="s">
        <v>639</v>
      </c>
      <c r="E131" t="s">
        <v>657</v>
      </c>
      <c r="F131">
        <v>2143</v>
      </c>
      <c r="G131" t="s">
        <v>8</v>
      </c>
      <c r="H131">
        <v>196</v>
      </c>
      <c r="I131">
        <v>75</v>
      </c>
      <c r="J131">
        <v>572</v>
      </c>
      <c r="K131">
        <v>211</v>
      </c>
      <c r="L131">
        <v>154</v>
      </c>
      <c r="M131">
        <v>0</v>
      </c>
      <c r="N131">
        <v>8</v>
      </c>
      <c r="O131">
        <v>165</v>
      </c>
      <c r="P131">
        <v>45</v>
      </c>
      <c r="Q131">
        <v>52</v>
      </c>
      <c r="R131" s="138">
        <v>184</v>
      </c>
      <c r="S131" s="6">
        <v>0.8</v>
      </c>
      <c r="T131" s="6">
        <v>1.65</v>
      </c>
      <c r="U131" s="25">
        <v>0.75</v>
      </c>
      <c r="V131" s="25">
        <v>0</v>
      </c>
      <c r="W131" s="25" t="s">
        <v>1040</v>
      </c>
      <c r="X131" s="25" t="s">
        <v>756</v>
      </c>
      <c r="Y131" s="25" t="s">
        <v>756</v>
      </c>
      <c r="Z131" s="25" t="s">
        <v>756</v>
      </c>
    </row>
    <row r="132" spans="1:26" x14ac:dyDescent="0.3">
      <c r="A132">
        <v>14</v>
      </c>
      <c r="B132" t="s">
        <v>422</v>
      </c>
      <c r="C132" t="s">
        <v>646</v>
      </c>
      <c r="D132" t="s">
        <v>640</v>
      </c>
      <c r="E132" t="s">
        <v>657</v>
      </c>
      <c r="F132">
        <v>2037</v>
      </c>
      <c r="G132" t="s">
        <v>8</v>
      </c>
      <c r="H132">
        <v>209</v>
      </c>
      <c r="I132">
        <v>85</v>
      </c>
      <c r="J132">
        <v>283</v>
      </c>
      <c r="K132">
        <v>158</v>
      </c>
      <c r="L132">
        <v>172</v>
      </c>
      <c r="M132">
        <v>0</v>
      </c>
      <c r="N132">
        <v>8</v>
      </c>
      <c r="O132">
        <v>206</v>
      </c>
      <c r="P132">
        <v>42</v>
      </c>
      <c r="Q132">
        <v>65</v>
      </c>
      <c r="R132" s="138">
        <v>197</v>
      </c>
      <c r="S132" s="6">
        <v>1.2</v>
      </c>
      <c r="T132" s="6">
        <v>1.3</v>
      </c>
      <c r="U132" s="25">
        <v>1.3</v>
      </c>
      <c r="V132" s="25">
        <v>0</v>
      </c>
      <c r="W132" s="27" t="s">
        <v>1020</v>
      </c>
      <c r="X132" s="25" t="s">
        <v>756</v>
      </c>
      <c r="Y132" s="25" t="s">
        <v>756</v>
      </c>
      <c r="Z132" s="25" t="s">
        <v>756</v>
      </c>
    </row>
    <row r="133" spans="1:26" x14ac:dyDescent="0.3">
      <c r="A133">
        <v>2</v>
      </c>
      <c r="B133" t="s">
        <v>415</v>
      </c>
      <c r="C133" t="s">
        <v>645</v>
      </c>
      <c r="D133" t="s">
        <v>642</v>
      </c>
      <c r="E133" t="s">
        <v>657</v>
      </c>
      <c r="F133">
        <v>245</v>
      </c>
      <c r="G133" t="s">
        <v>8</v>
      </c>
      <c r="H133">
        <v>122</v>
      </c>
      <c r="I133">
        <v>24</v>
      </c>
      <c r="J133">
        <v>24</v>
      </c>
      <c r="K133">
        <v>122</v>
      </c>
      <c r="L133">
        <v>24</v>
      </c>
      <c r="M133">
        <v>24</v>
      </c>
      <c r="N133">
        <v>3</v>
      </c>
      <c r="O133">
        <v>35</v>
      </c>
      <c r="P133">
        <v>35</v>
      </c>
      <c r="Q133">
        <v>100</v>
      </c>
      <c r="R133" s="138">
        <v>116</v>
      </c>
      <c r="S133" s="6">
        <v>1</v>
      </c>
      <c r="T133" s="6">
        <v>1</v>
      </c>
      <c r="U133" s="6">
        <v>1</v>
      </c>
      <c r="V133" s="6">
        <v>1</v>
      </c>
      <c r="W133" s="25" t="s">
        <v>756</v>
      </c>
      <c r="X133" s="25" t="s">
        <v>756</v>
      </c>
      <c r="Y133" s="25" t="s">
        <v>756</v>
      </c>
      <c r="Z133" s="25" t="s">
        <v>756</v>
      </c>
    </row>
    <row r="134" spans="1:26" x14ac:dyDescent="0.3">
      <c r="A134">
        <v>1</v>
      </c>
      <c r="B134" t="s">
        <v>414</v>
      </c>
      <c r="C134" t="s">
        <v>645</v>
      </c>
      <c r="D134" t="s">
        <v>639</v>
      </c>
      <c r="E134" t="s">
        <v>657</v>
      </c>
      <c r="F134">
        <v>245</v>
      </c>
      <c r="G134" t="s">
        <v>8</v>
      </c>
      <c r="H134">
        <v>122</v>
      </c>
      <c r="I134">
        <v>24</v>
      </c>
      <c r="J134">
        <v>24</v>
      </c>
      <c r="K134">
        <v>122</v>
      </c>
      <c r="L134">
        <v>24</v>
      </c>
      <c r="M134">
        <v>24</v>
      </c>
      <c r="N134">
        <v>3</v>
      </c>
      <c r="O134">
        <v>35</v>
      </c>
      <c r="P134">
        <v>35</v>
      </c>
      <c r="Q134">
        <v>100</v>
      </c>
      <c r="R134" s="138">
        <v>116</v>
      </c>
      <c r="S134" s="6">
        <v>1</v>
      </c>
      <c r="T134" s="6">
        <v>1</v>
      </c>
      <c r="U134" s="6">
        <v>1</v>
      </c>
      <c r="V134" s="6">
        <v>1</v>
      </c>
      <c r="W134" s="25" t="s">
        <v>756</v>
      </c>
      <c r="X134" s="25" t="s">
        <v>756</v>
      </c>
      <c r="Y134" s="25" t="s">
        <v>756</v>
      </c>
      <c r="Z134" s="25" t="s">
        <v>756</v>
      </c>
    </row>
    <row r="135" spans="1:26" x14ac:dyDescent="0.3">
      <c r="A135">
        <v>316</v>
      </c>
      <c r="B135" t="s">
        <v>469</v>
      </c>
      <c r="C135" t="s">
        <v>648</v>
      </c>
      <c r="D135" t="s">
        <v>640</v>
      </c>
      <c r="E135" t="s">
        <v>657</v>
      </c>
      <c r="F135">
        <v>2083</v>
      </c>
      <c r="G135" t="s">
        <v>8</v>
      </c>
      <c r="H135">
        <v>201</v>
      </c>
      <c r="I135">
        <v>63</v>
      </c>
      <c r="J135">
        <v>502</v>
      </c>
      <c r="K135">
        <v>191</v>
      </c>
      <c r="L135">
        <v>149</v>
      </c>
      <c r="M135">
        <v>0</v>
      </c>
      <c r="N135">
        <v>8</v>
      </c>
      <c r="O135">
        <v>165</v>
      </c>
      <c r="P135">
        <v>42</v>
      </c>
      <c r="Q135">
        <v>27</v>
      </c>
      <c r="R135" s="138">
        <v>183</v>
      </c>
      <c r="S135" s="6">
        <v>0.75</v>
      </c>
      <c r="T135" s="6">
        <v>1.5</v>
      </c>
      <c r="U135" s="25">
        <v>0.75</v>
      </c>
      <c r="V135" s="25">
        <v>0</v>
      </c>
      <c r="W135" s="27" t="s">
        <v>1040</v>
      </c>
      <c r="X135" s="25" t="s">
        <v>756</v>
      </c>
      <c r="Y135" s="25" t="s">
        <v>756</v>
      </c>
      <c r="Z135" s="25" t="s">
        <v>756</v>
      </c>
    </row>
    <row r="136" spans="1:26" x14ac:dyDescent="0.3">
      <c r="A136">
        <v>274</v>
      </c>
      <c r="B136" t="s">
        <v>457</v>
      </c>
      <c r="C136" t="s">
        <v>648</v>
      </c>
      <c r="D136" t="s">
        <v>641</v>
      </c>
      <c r="E136" t="s">
        <v>657</v>
      </c>
      <c r="F136">
        <v>1487</v>
      </c>
      <c r="G136" t="s">
        <v>8</v>
      </c>
      <c r="H136">
        <v>196</v>
      </c>
      <c r="I136">
        <v>59</v>
      </c>
      <c r="J136">
        <v>427</v>
      </c>
      <c r="K136">
        <v>193</v>
      </c>
      <c r="L136">
        <v>138</v>
      </c>
      <c r="M136">
        <v>0</v>
      </c>
      <c r="N136">
        <v>7</v>
      </c>
      <c r="O136">
        <v>181</v>
      </c>
      <c r="P136">
        <v>44</v>
      </c>
      <c r="Q136">
        <v>37</v>
      </c>
      <c r="R136" s="138">
        <v>178</v>
      </c>
      <c r="S136" s="6">
        <v>0.75</v>
      </c>
      <c r="T136" s="6">
        <v>1.45</v>
      </c>
      <c r="U136" s="25">
        <v>0.75</v>
      </c>
      <c r="V136" s="25">
        <v>0</v>
      </c>
      <c r="W136" s="25" t="s">
        <v>1048</v>
      </c>
      <c r="X136" s="25" t="s">
        <v>756</v>
      </c>
      <c r="Y136" s="25" t="s">
        <v>756</v>
      </c>
      <c r="Z136" s="25" t="s">
        <v>756</v>
      </c>
    </row>
    <row r="137" spans="1:26" x14ac:dyDescent="0.3">
      <c r="A137">
        <v>103</v>
      </c>
      <c r="B137" t="s">
        <v>435</v>
      </c>
      <c r="C137" t="s">
        <v>647</v>
      </c>
      <c r="D137" t="s">
        <v>639</v>
      </c>
      <c r="E137" t="s">
        <v>657</v>
      </c>
      <c r="F137">
        <v>1314</v>
      </c>
      <c r="G137" t="s">
        <v>8</v>
      </c>
      <c r="H137">
        <v>196</v>
      </c>
      <c r="I137">
        <v>71</v>
      </c>
      <c r="J137">
        <v>376</v>
      </c>
      <c r="K137">
        <v>195</v>
      </c>
      <c r="L137">
        <v>156</v>
      </c>
      <c r="M137">
        <v>0</v>
      </c>
      <c r="N137">
        <v>9</v>
      </c>
      <c r="O137">
        <v>207</v>
      </c>
      <c r="P137">
        <v>40</v>
      </c>
      <c r="Q137">
        <v>42</v>
      </c>
      <c r="R137" s="138">
        <v>167</v>
      </c>
      <c r="S137" s="6">
        <v>1.1499999999999999</v>
      </c>
      <c r="T137" s="6">
        <v>1.45</v>
      </c>
      <c r="U137" s="25">
        <v>1.05</v>
      </c>
      <c r="V137" s="25">
        <v>0</v>
      </c>
      <c r="W137" t="s">
        <v>1034</v>
      </c>
      <c r="X137" t="s">
        <v>1061</v>
      </c>
      <c r="Y137" s="25" t="s">
        <v>756</v>
      </c>
      <c r="Z137" s="25" t="s">
        <v>756</v>
      </c>
    </row>
    <row r="138" spans="1:26" x14ac:dyDescent="0.3">
      <c r="A138">
        <v>173</v>
      </c>
      <c r="B138" t="s">
        <v>446</v>
      </c>
      <c r="C138" t="s">
        <v>648</v>
      </c>
      <c r="D138" t="s">
        <v>640</v>
      </c>
      <c r="E138" t="s">
        <v>657</v>
      </c>
      <c r="F138">
        <v>1770</v>
      </c>
      <c r="G138" t="s">
        <v>8</v>
      </c>
      <c r="H138">
        <v>196</v>
      </c>
      <c r="I138">
        <v>59</v>
      </c>
      <c r="J138">
        <v>478</v>
      </c>
      <c r="K138">
        <v>192</v>
      </c>
      <c r="L138">
        <v>145</v>
      </c>
      <c r="M138">
        <v>0</v>
      </c>
      <c r="N138">
        <v>8</v>
      </c>
      <c r="O138">
        <v>189</v>
      </c>
      <c r="P138">
        <v>43</v>
      </c>
      <c r="Q138">
        <v>36</v>
      </c>
      <c r="R138" s="138">
        <v>180</v>
      </c>
      <c r="S138" s="6">
        <v>0.75</v>
      </c>
      <c r="T138" s="6">
        <v>1.5</v>
      </c>
      <c r="U138" s="25">
        <v>0.75</v>
      </c>
      <c r="V138" s="25">
        <v>0</v>
      </c>
      <c r="W138" s="27" t="s">
        <v>1041</v>
      </c>
      <c r="X138" s="25" t="s">
        <v>756</v>
      </c>
      <c r="Y138" s="25" t="s">
        <v>756</v>
      </c>
      <c r="Z138" s="25" t="s">
        <v>756</v>
      </c>
    </row>
    <row r="139" spans="1:26" x14ac:dyDescent="0.3">
      <c r="A139" t="s">
        <v>337</v>
      </c>
      <c r="B139" t="s">
        <v>623</v>
      </c>
      <c r="C139" t="s">
        <v>654</v>
      </c>
      <c r="D139" t="s">
        <v>642</v>
      </c>
      <c r="E139" t="s">
        <v>657</v>
      </c>
      <c r="F139">
        <v>1947</v>
      </c>
      <c r="G139" t="s">
        <v>8</v>
      </c>
      <c r="H139">
        <v>215</v>
      </c>
      <c r="I139">
        <v>74</v>
      </c>
      <c r="J139">
        <v>476</v>
      </c>
      <c r="K139">
        <v>178</v>
      </c>
      <c r="L139">
        <v>154</v>
      </c>
      <c r="M139">
        <v>0</v>
      </c>
      <c r="N139">
        <v>10</v>
      </c>
      <c r="O139">
        <v>206</v>
      </c>
      <c r="P139">
        <v>45</v>
      </c>
      <c r="Q139">
        <v>73</v>
      </c>
      <c r="R139" s="138">
        <v>189</v>
      </c>
      <c r="S139" s="6">
        <v>0.8</v>
      </c>
      <c r="T139" s="6">
        <v>1.5</v>
      </c>
      <c r="U139" s="25">
        <v>0.75</v>
      </c>
      <c r="V139" s="25">
        <v>0</v>
      </c>
      <c r="W139" s="25" t="s">
        <v>756</v>
      </c>
      <c r="X139" t="s">
        <v>1347</v>
      </c>
      <c r="Y139" t="s">
        <v>1348</v>
      </c>
      <c r="Z139" s="25" t="s">
        <v>756</v>
      </c>
    </row>
    <row r="140" spans="1:26" x14ac:dyDescent="0.3">
      <c r="A140">
        <v>297</v>
      </c>
      <c r="B140" t="s">
        <v>464</v>
      </c>
      <c r="C140" t="s">
        <v>648</v>
      </c>
      <c r="D140" t="s">
        <v>639</v>
      </c>
      <c r="E140" t="s">
        <v>657</v>
      </c>
      <c r="F140">
        <v>2445</v>
      </c>
      <c r="G140" t="s">
        <v>8</v>
      </c>
      <c r="H140">
        <v>210</v>
      </c>
      <c r="I140">
        <v>74</v>
      </c>
      <c r="J140">
        <v>363</v>
      </c>
      <c r="K140">
        <v>179</v>
      </c>
      <c r="L140">
        <v>199</v>
      </c>
      <c r="M140">
        <v>0</v>
      </c>
      <c r="N140">
        <v>9</v>
      </c>
      <c r="O140">
        <v>200</v>
      </c>
      <c r="P140">
        <v>39</v>
      </c>
      <c r="Q140">
        <v>61</v>
      </c>
      <c r="R140" s="138">
        <v>188</v>
      </c>
      <c r="S140" s="6">
        <v>1</v>
      </c>
      <c r="T140" s="6">
        <v>1.35</v>
      </c>
      <c r="U140" s="25">
        <v>1.35</v>
      </c>
      <c r="V140" s="25">
        <v>0</v>
      </c>
      <c r="W140" t="s">
        <v>1049</v>
      </c>
      <c r="X140" s="25" t="s">
        <v>756</v>
      </c>
      <c r="Y140" s="25" t="s">
        <v>756</v>
      </c>
      <c r="Z140" s="25" t="s">
        <v>756</v>
      </c>
    </row>
    <row r="141" spans="1:26" x14ac:dyDescent="0.3">
      <c r="A141">
        <v>166</v>
      </c>
      <c r="B141" t="s">
        <v>443</v>
      </c>
      <c r="C141" t="s">
        <v>648</v>
      </c>
      <c r="D141" t="s">
        <v>642</v>
      </c>
      <c r="E141" t="s">
        <v>657</v>
      </c>
      <c r="F141">
        <v>2226</v>
      </c>
      <c r="G141" t="s">
        <v>8</v>
      </c>
      <c r="H141">
        <v>223</v>
      </c>
      <c r="I141">
        <v>68</v>
      </c>
      <c r="J141">
        <v>526</v>
      </c>
      <c r="K141">
        <v>192</v>
      </c>
      <c r="L141">
        <v>161</v>
      </c>
      <c r="M141">
        <v>0</v>
      </c>
      <c r="N141">
        <v>10</v>
      </c>
      <c r="O141">
        <v>210</v>
      </c>
      <c r="P141">
        <v>42</v>
      </c>
      <c r="Q141">
        <v>93</v>
      </c>
      <c r="R141" s="138">
        <v>195</v>
      </c>
      <c r="S141" s="6">
        <v>0.75</v>
      </c>
      <c r="T141" s="6">
        <v>1.5</v>
      </c>
      <c r="U141" s="25">
        <v>0.75</v>
      </c>
      <c r="V141" s="25">
        <v>0</v>
      </c>
      <c r="W141" t="s">
        <v>1039</v>
      </c>
      <c r="X141" t="s">
        <v>1039</v>
      </c>
      <c r="Y141" s="25" t="s">
        <v>756</v>
      </c>
      <c r="Z141" s="25" t="s">
        <v>756</v>
      </c>
    </row>
    <row r="142" spans="1:26" x14ac:dyDescent="0.3">
      <c r="A142">
        <v>164</v>
      </c>
      <c r="B142" t="s">
        <v>441</v>
      </c>
      <c r="C142" t="s">
        <v>648</v>
      </c>
      <c r="D142" t="s">
        <v>642</v>
      </c>
      <c r="E142" t="s">
        <v>657</v>
      </c>
      <c r="F142">
        <v>1828</v>
      </c>
      <c r="G142" t="s">
        <v>8</v>
      </c>
      <c r="H142">
        <v>226</v>
      </c>
      <c r="I142">
        <v>70</v>
      </c>
      <c r="J142">
        <v>545</v>
      </c>
      <c r="K142">
        <v>190</v>
      </c>
      <c r="L142">
        <v>157</v>
      </c>
      <c r="M142">
        <v>0</v>
      </c>
      <c r="N142">
        <v>10</v>
      </c>
      <c r="O142">
        <v>200</v>
      </c>
      <c r="P142">
        <v>40</v>
      </c>
      <c r="Q142">
        <v>32</v>
      </c>
      <c r="R142" s="138">
        <v>191</v>
      </c>
      <c r="S142" s="6">
        <v>0.85</v>
      </c>
      <c r="T142" s="6">
        <v>1.5</v>
      </c>
      <c r="U142" s="25">
        <v>0.85</v>
      </c>
      <c r="V142" s="25">
        <v>0</v>
      </c>
      <c r="W142" t="s">
        <v>1321</v>
      </c>
      <c r="X142" t="s">
        <v>1322</v>
      </c>
      <c r="Y142" s="25" t="s">
        <v>756</v>
      </c>
      <c r="Z142" s="25" t="s">
        <v>756</v>
      </c>
    </row>
    <row r="143" spans="1:26" x14ac:dyDescent="0.3">
      <c r="A143">
        <v>176</v>
      </c>
      <c r="B143" t="s">
        <v>449</v>
      </c>
      <c r="C143" t="s">
        <v>648</v>
      </c>
      <c r="D143" t="s">
        <v>640</v>
      </c>
      <c r="E143" t="s">
        <v>657</v>
      </c>
      <c r="F143">
        <v>1619</v>
      </c>
      <c r="G143" t="s">
        <v>8</v>
      </c>
      <c r="H143">
        <v>196</v>
      </c>
      <c r="I143">
        <v>59</v>
      </c>
      <c r="J143">
        <v>478</v>
      </c>
      <c r="K143">
        <v>193</v>
      </c>
      <c r="L143">
        <v>145</v>
      </c>
      <c r="M143">
        <v>0</v>
      </c>
      <c r="N143">
        <v>8</v>
      </c>
      <c r="O143">
        <v>189</v>
      </c>
      <c r="P143">
        <v>44</v>
      </c>
      <c r="Q143">
        <v>32</v>
      </c>
      <c r="R143" s="138">
        <v>180</v>
      </c>
      <c r="S143" s="6">
        <v>0.75</v>
      </c>
      <c r="T143" s="6">
        <v>1.5</v>
      </c>
      <c r="U143" s="25">
        <v>0.75</v>
      </c>
      <c r="V143" s="25">
        <v>0</v>
      </c>
      <c r="W143" s="27" t="s">
        <v>1041</v>
      </c>
      <c r="X143" s="25" t="s">
        <v>756</v>
      </c>
      <c r="Y143" s="25" t="s">
        <v>756</v>
      </c>
      <c r="Z143" s="25" t="s">
        <v>756</v>
      </c>
    </row>
    <row r="144" spans="1:26" x14ac:dyDescent="0.3">
      <c r="A144">
        <v>233</v>
      </c>
      <c r="B144" t="s">
        <v>320</v>
      </c>
      <c r="C144" t="s">
        <v>649</v>
      </c>
      <c r="D144" t="s">
        <v>639</v>
      </c>
      <c r="E144" t="s">
        <v>657</v>
      </c>
      <c r="F144">
        <v>2053</v>
      </c>
      <c r="G144" t="s">
        <v>8</v>
      </c>
      <c r="H144">
        <v>207</v>
      </c>
      <c r="I144">
        <v>65</v>
      </c>
      <c r="J144">
        <v>450</v>
      </c>
      <c r="K144">
        <v>148</v>
      </c>
      <c r="L144">
        <v>154</v>
      </c>
      <c r="M144">
        <v>0</v>
      </c>
      <c r="N144">
        <v>9</v>
      </c>
      <c r="O144">
        <v>197</v>
      </c>
      <c r="P144">
        <v>41</v>
      </c>
      <c r="Q144">
        <v>40</v>
      </c>
      <c r="R144" s="138">
        <v>173</v>
      </c>
      <c r="S144" s="6">
        <v>1.25</v>
      </c>
      <c r="T144" s="6">
        <v>1.4</v>
      </c>
      <c r="U144" s="25">
        <v>0.75</v>
      </c>
      <c r="V144" s="25">
        <v>0</v>
      </c>
      <c r="W144" t="s">
        <v>1042</v>
      </c>
      <c r="X144" s="25" t="s">
        <v>756</v>
      </c>
      <c r="Y144" s="25" t="s">
        <v>756</v>
      </c>
      <c r="Z144" s="25" t="s">
        <v>756</v>
      </c>
    </row>
    <row r="145" spans="1:26" x14ac:dyDescent="0.3">
      <c r="A145" s="24"/>
      <c r="B145" s="24" t="s">
        <v>1003</v>
      </c>
      <c r="C145" s="24" t="s">
        <v>649</v>
      </c>
      <c r="D145" s="24" t="s">
        <v>642</v>
      </c>
      <c r="E145" s="24" t="s">
        <v>157</v>
      </c>
      <c r="F145" s="24">
        <v>2218</v>
      </c>
      <c r="G145" s="24" t="s">
        <v>8</v>
      </c>
      <c r="H145" s="24">
        <v>207</v>
      </c>
      <c r="I145" s="24">
        <v>85</v>
      </c>
      <c r="J145" s="24">
        <v>490</v>
      </c>
      <c r="K145" s="24">
        <v>153</v>
      </c>
      <c r="L145" s="24">
        <v>229</v>
      </c>
      <c r="M145" s="24">
        <v>0</v>
      </c>
      <c r="N145" s="24">
        <v>9</v>
      </c>
      <c r="O145" s="24">
        <v>197</v>
      </c>
      <c r="P145" s="24">
        <v>41</v>
      </c>
      <c r="Q145" s="24">
        <v>40</v>
      </c>
      <c r="R145" s="138">
        <v>173</v>
      </c>
      <c r="S145" s="25">
        <v>1.25</v>
      </c>
      <c r="T145" s="25">
        <v>1.55</v>
      </c>
      <c r="U145" s="25">
        <v>0.85</v>
      </c>
      <c r="V145" s="25">
        <v>0</v>
      </c>
      <c r="W145" t="s">
        <v>1042</v>
      </c>
      <c r="X145" t="s">
        <v>1003</v>
      </c>
      <c r="Y145" s="25" t="s">
        <v>756</v>
      </c>
      <c r="Z145" s="25" t="s">
        <v>756</v>
      </c>
    </row>
    <row r="146" spans="1:26" x14ac:dyDescent="0.3">
      <c r="A146">
        <v>346</v>
      </c>
      <c r="B146" t="s">
        <v>330</v>
      </c>
      <c r="C146" t="s">
        <v>649</v>
      </c>
      <c r="D146" t="s">
        <v>640</v>
      </c>
      <c r="E146" t="s">
        <v>657</v>
      </c>
      <c r="F146">
        <v>2033</v>
      </c>
      <c r="G146" t="s">
        <v>8</v>
      </c>
      <c r="H146">
        <v>201</v>
      </c>
      <c r="I146">
        <v>68</v>
      </c>
      <c r="J146">
        <v>440</v>
      </c>
      <c r="K146">
        <v>148</v>
      </c>
      <c r="L146">
        <v>149</v>
      </c>
      <c r="M146">
        <v>0</v>
      </c>
      <c r="N146">
        <v>8</v>
      </c>
      <c r="O146">
        <v>192</v>
      </c>
      <c r="P146">
        <v>43</v>
      </c>
      <c r="Q146">
        <v>38</v>
      </c>
      <c r="R146" s="138">
        <v>182</v>
      </c>
      <c r="S146" s="6">
        <v>1.1499999999999999</v>
      </c>
      <c r="T146" s="6">
        <v>1.4</v>
      </c>
      <c r="U146" s="25">
        <v>0.75</v>
      </c>
      <c r="V146" s="25">
        <v>0</v>
      </c>
      <c r="W146" t="s">
        <v>1046</v>
      </c>
      <c r="X146" s="25" t="s">
        <v>756</v>
      </c>
      <c r="Y146" s="25" t="s">
        <v>756</v>
      </c>
      <c r="Z146" s="25" t="s">
        <v>756</v>
      </c>
    </row>
    <row r="147" spans="1:26" x14ac:dyDescent="0.3">
      <c r="A147">
        <v>264</v>
      </c>
      <c r="B147" t="s">
        <v>322</v>
      </c>
      <c r="C147" t="s">
        <v>649</v>
      </c>
      <c r="D147" t="s">
        <v>640</v>
      </c>
      <c r="E147" t="s">
        <v>657</v>
      </c>
      <c r="F147">
        <v>2033</v>
      </c>
      <c r="G147" t="s">
        <v>8</v>
      </c>
      <c r="H147">
        <v>201</v>
      </c>
      <c r="I147">
        <v>68</v>
      </c>
      <c r="J147">
        <v>440</v>
      </c>
      <c r="K147">
        <v>148</v>
      </c>
      <c r="L147">
        <v>149</v>
      </c>
      <c r="M147">
        <v>0</v>
      </c>
      <c r="N147">
        <v>8</v>
      </c>
      <c r="O147">
        <v>192</v>
      </c>
      <c r="P147">
        <v>43</v>
      </c>
      <c r="Q147">
        <v>39</v>
      </c>
      <c r="R147" s="138">
        <v>182</v>
      </c>
      <c r="S147" s="6">
        <v>1.1499999999999999</v>
      </c>
      <c r="T147" s="6">
        <v>1.4</v>
      </c>
      <c r="U147" s="25">
        <v>0.75</v>
      </c>
      <c r="V147" s="25">
        <v>0</v>
      </c>
      <c r="W147" t="s">
        <v>1046</v>
      </c>
      <c r="X147" s="25" t="s">
        <v>756</v>
      </c>
      <c r="Y147" s="25" t="s">
        <v>756</v>
      </c>
      <c r="Z147" s="25" t="s">
        <v>756</v>
      </c>
    </row>
    <row r="148" spans="1:26" x14ac:dyDescent="0.3">
      <c r="A148">
        <v>379</v>
      </c>
      <c r="B148" t="s">
        <v>806</v>
      </c>
      <c r="C148" t="s">
        <v>649</v>
      </c>
      <c r="D148" t="s">
        <v>639</v>
      </c>
      <c r="E148" t="s">
        <v>157</v>
      </c>
      <c r="F148">
        <v>2053</v>
      </c>
      <c r="G148" t="s">
        <v>8</v>
      </c>
      <c r="H148">
        <v>206</v>
      </c>
      <c r="I148">
        <v>84</v>
      </c>
      <c r="J148">
        <v>433</v>
      </c>
      <c r="K148">
        <v>148</v>
      </c>
      <c r="L148">
        <v>154</v>
      </c>
      <c r="M148">
        <v>0</v>
      </c>
      <c r="N148">
        <v>8</v>
      </c>
      <c r="O148">
        <v>197</v>
      </c>
      <c r="P148">
        <v>43</v>
      </c>
      <c r="Q148">
        <v>44</v>
      </c>
      <c r="R148" s="138">
        <v>175</v>
      </c>
      <c r="S148" s="6">
        <v>1.25</v>
      </c>
      <c r="T148" s="6">
        <v>1.4</v>
      </c>
      <c r="U148" s="25">
        <v>0.75</v>
      </c>
      <c r="V148" s="25">
        <v>0</v>
      </c>
      <c r="W148" t="s">
        <v>1057</v>
      </c>
      <c r="X148" s="25" t="s">
        <v>756</v>
      </c>
      <c r="Y148" s="25" t="s">
        <v>756</v>
      </c>
      <c r="Z148" s="25" t="s">
        <v>756</v>
      </c>
    </row>
    <row r="149" spans="1:26" x14ac:dyDescent="0.3">
      <c r="A149">
        <v>265</v>
      </c>
      <c r="B149" t="s">
        <v>323</v>
      </c>
      <c r="C149" t="s">
        <v>649</v>
      </c>
      <c r="D149" t="s">
        <v>641</v>
      </c>
      <c r="E149" t="s">
        <v>657</v>
      </c>
      <c r="F149">
        <v>1993</v>
      </c>
      <c r="G149" t="s">
        <v>8</v>
      </c>
      <c r="H149">
        <v>196</v>
      </c>
      <c r="I149">
        <v>65</v>
      </c>
      <c r="J149">
        <v>433</v>
      </c>
      <c r="K149">
        <v>148</v>
      </c>
      <c r="L149">
        <v>145</v>
      </c>
      <c r="M149">
        <v>0</v>
      </c>
      <c r="N149">
        <v>7</v>
      </c>
      <c r="O149">
        <v>189</v>
      </c>
      <c r="P149">
        <v>43</v>
      </c>
      <c r="Q149">
        <v>71</v>
      </c>
      <c r="R149" s="138">
        <v>182</v>
      </c>
      <c r="S149" s="6">
        <v>1.1499999999999999</v>
      </c>
      <c r="T149" s="6">
        <v>1.4</v>
      </c>
      <c r="U149" s="25">
        <v>0.75</v>
      </c>
      <c r="V149" s="25">
        <v>0</v>
      </c>
      <c r="W149" t="s">
        <v>1046</v>
      </c>
      <c r="X149" s="25" t="s">
        <v>756</v>
      </c>
      <c r="Y149" s="25" t="s">
        <v>756</v>
      </c>
      <c r="Z149" s="25" t="s">
        <v>756</v>
      </c>
    </row>
    <row r="150" spans="1:26" x14ac:dyDescent="0.3">
      <c r="A150">
        <v>266</v>
      </c>
      <c r="B150" t="s">
        <v>324</v>
      </c>
      <c r="C150" t="s">
        <v>649</v>
      </c>
      <c r="D150" t="s">
        <v>641</v>
      </c>
      <c r="E150" t="s">
        <v>657</v>
      </c>
      <c r="F150">
        <v>1993</v>
      </c>
      <c r="G150" t="s">
        <v>8</v>
      </c>
      <c r="H150">
        <v>196</v>
      </c>
      <c r="I150">
        <v>65</v>
      </c>
      <c r="J150">
        <v>433</v>
      </c>
      <c r="K150">
        <v>148</v>
      </c>
      <c r="L150">
        <v>145</v>
      </c>
      <c r="M150">
        <v>0</v>
      </c>
      <c r="N150">
        <v>7</v>
      </c>
      <c r="O150">
        <v>190</v>
      </c>
      <c r="P150">
        <v>43</v>
      </c>
      <c r="Q150">
        <v>42</v>
      </c>
      <c r="R150" s="138">
        <v>182</v>
      </c>
      <c r="S150" s="6">
        <v>1.1499999999999999</v>
      </c>
      <c r="T150" s="6">
        <v>1.4</v>
      </c>
      <c r="U150" s="25">
        <v>0.75</v>
      </c>
      <c r="V150" s="25">
        <v>0</v>
      </c>
      <c r="W150" t="s">
        <v>1046</v>
      </c>
      <c r="X150" s="25" t="s">
        <v>756</v>
      </c>
      <c r="Y150" s="25" t="s">
        <v>756</v>
      </c>
      <c r="Z150" s="25" t="s">
        <v>756</v>
      </c>
    </row>
    <row r="151" spans="1:26" x14ac:dyDescent="0.3">
      <c r="A151">
        <v>236</v>
      </c>
      <c r="B151" t="s">
        <v>316</v>
      </c>
      <c r="C151" t="s">
        <v>649</v>
      </c>
      <c r="D151" t="s">
        <v>639</v>
      </c>
      <c r="E151" t="s">
        <v>657</v>
      </c>
      <c r="F151">
        <v>2125</v>
      </c>
      <c r="G151" t="s">
        <v>8</v>
      </c>
      <c r="H151">
        <v>199</v>
      </c>
      <c r="I151">
        <v>120</v>
      </c>
      <c r="J151">
        <v>327</v>
      </c>
      <c r="K151">
        <v>157</v>
      </c>
      <c r="L151">
        <v>150</v>
      </c>
      <c r="M151">
        <v>0</v>
      </c>
      <c r="N151">
        <v>9</v>
      </c>
      <c r="O151">
        <v>201</v>
      </c>
      <c r="P151">
        <v>42</v>
      </c>
      <c r="Q151">
        <v>65</v>
      </c>
      <c r="R151" s="138">
        <v>175</v>
      </c>
      <c r="S151" s="6">
        <v>1.6</v>
      </c>
      <c r="T151" s="6">
        <v>1.2</v>
      </c>
      <c r="U151" s="25">
        <v>0.75</v>
      </c>
      <c r="V151" s="25">
        <v>0</v>
      </c>
      <c r="W151" t="s">
        <v>1043</v>
      </c>
      <c r="X151" s="25" t="s">
        <v>756</v>
      </c>
      <c r="Y151" s="25" t="s">
        <v>756</v>
      </c>
      <c r="Z151" s="25" t="s">
        <v>756</v>
      </c>
    </row>
    <row r="152" spans="1:26" x14ac:dyDescent="0.3">
      <c r="A152">
        <v>3236</v>
      </c>
      <c r="B152" t="s">
        <v>675</v>
      </c>
      <c r="C152" t="s">
        <v>649</v>
      </c>
      <c r="D152" t="s">
        <v>642</v>
      </c>
      <c r="E152" t="s">
        <v>657</v>
      </c>
      <c r="F152">
        <v>2290</v>
      </c>
      <c r="G152" t="s">
        <v>8</v>
      </c>
      <c r="H152">
        <v>199</v>
      </c>
      <c r="I152">
        <v>170</v>
      </c>
      <c r="J152">
        <v>347</v>
      </c>
      <c r="K152">
        <v>162</v>
      </c>
      <c r="L152">
        <v>215</v>
      </c>
      <c r="M152">
        <v>0</v>
      </c>
      <c r="N152">
        <v>9</v>
      </c>
      <c r="O152">
        <v>221</v>
      </c>
      <c r="P152">
        <v>42</v>
      </c>
      <c r="Q152">
        <v>65</v>
      </c>
      <c r="R152" s="138">
        <v>175</v>
      </c>
      <c r="S152" s="6">
        <v>1.75</v>
      </c>
      <c r="T152" s="6">
        <v>1.2</v>
      </c>
      <c r="U152" s="25">
        <v>0.85</v>
      </c>
      <c r="V152" s="25">
        <v>0</v>
      </c>
      <c r="W152" t="s">
        <v>1043</v>
      </c>
      <c r="X152" t="s">
        <v>1345</v>
      </c>
      <c r="Y152" t="s">
        <v>1346</v>
      </c>
      <c r="Z152" s="25" t="s">
        <v>756</v>
      </c>
    </row>
    <row r="153" spans="1:26" x14ac:dyDescent="0.3">
      <c r="A153">
        <v>237</v>
      </c>
      <c r="B153" t="s">
        <v>321</v>
      </c>
      <c r="C153" t="s">
        <v>649</v>
      </c>
      <c r="D153" t="s">
        <v>639</v>
      </c>
      <c r="E153" t="s">
        <v>657</v>
      </c>
      <c r="F153">
        <v>2116</v>
      </c>
      <c r="G153" t="s">
        <v>8</v>
      </c>
      <c r="H153">
        <v>190</v>
      </c>
      <c r="I153">
        <v>120</v>
      </c>
      <c r="J153">
        <v>327</v>
      </c>
      <c r="K153">
        <v>156</v>
      </c>
      <c r="L153">
        <v>154</v>
      </c>
      <c r="M153">
        <v>0</v>
      </c>
      <c r="N153">
        <v>9</v>
      </c>
      <c r="O153">
        <v>201</v>
      </c>
      <c r="P153">
        <v>43</v>
      </c>
      <c r="Q153">
        <v>72</v>
      </c>
      <c r="R153" s="138">
        <v>169</v>
      </c>
      <c r="S153" s="6">
        <v>1.6</v>
      </c>
      <c r="T153" s="6">
        <v>1.2</v>
      </c>
      <c r="U153" s="25">
        <v>0.75</v>
      </c>
      <c r="V153" s="25">
        <v>0</v>
      </c>
      <c r="W153" t="s">
        <v>1044</v>
      </c>
      <c r="X153" s="25" t="s">
        <v>756</v>
      </c>
      <c r="Y153" s="25" t="s">
        <v>756</v>
      </c>
      <c r="Z153" s="25" t="s">
        <v>756</v>
      </c>
    </row>
    <row r="154" spans="1:26" x14ac:dyDescent="0.3">
      <c r="A154">
        <v>345</v>
      </c>
      <c r="B154" t="s">
        <v>329</v>
      </c>
      <c r="C154" t="s">
        <v>649</v>
      </c>
      <c r="D154" t="s">
        <v>639</v>
      </c>
      <c r="E154" t="s">
        <v>657</v>
      </c>
      <c r="F154">
        <v>2092</v>
      </c>
      <c r="G154" t="s">
        <v>8</v>
      </c>
      <c r="H154">
        <v>201</v>
      </c>
      <c r="I154">
        <v>80</v>
      </c>
      <c r="J154">
        <v>440</v>
      </c>
      <c r="K154">
        <v>159</v>
      </c>
      <c r="L154">
        <v>182</v>
      </c>
      <c r="M154">
        <v>0</v>
      </c>
      <c r="N154">
        <v>9</v>
      </c>
      <c r="O154">
        <v>202</v>
      </c>
      <c r="P154">
        <v>43</v>
      </c>
      <c r="Q154">
        <v>35</v>
      </c>
      <c r="R154" s="138">
        <v>181</v>
      </c>
      <c r="S154" s="6">
        <v>1.5</v>
      </c>
      <c r="T154" s="6">
        <v>1.2</v>
      </c>
      <c r="U154" s="25">
        <v>1.25</v>
      </c>
      <c r="V154" s="25">
        <v>0</v>
      </c>
      <c r="W154" t="s">
        <v>1052</v>
      </c>
      <c r="X154" s="25" t="s">
        <v>756</v>
      </c>
      <c r="Y154" s="25" t="s">
        <v>756</v>
      </c>
      <c r="Z154" s="25" t="s">
        <v>756</v>
      </c>
    </row>
    <row r="155" spans="1:26" x14ac:dyDescent="0.3">
      <c r="A155" s="24"/>
      <c r="B155" s="24" t="s">
        <v>996</v>
      </c>
      <c r="C155" s="24" t="s">
        <v>649</v>
      </c>
      <c r="D155" s="24" t="s">
        <v>642</v>
      </c>
      <c r="E155" s="24" t="s">
        <v>157</v>
      </c>
      <c r="F155" s="24">
        <v>2092</v>
      </c>
      <c r="G155" s="24" t="s">
        <v>8</v>
      </c>
      <c r="H155" s="24">
        <v>209</v>
      </c>
      <c r="I155" s="24">
        <v>82</v>
      </c>
      <c r="J155" s="24">
        <v>437</v>
      </c>
      <c r="K155" s="24">
        <v>159</v>
      </c>
      <c r="L155" s="24">
        <v>178</v>
      </c>
      <c r="M155" s="24">
        <v>0</v>
      </c>
      <c r="N155" s="24">
        <v>9</v>
      </c>
      <c r="O155" s="24">
        <v>200</v>
      </c>
      <c r="P155" s="24">
        <v>43</v>
      </c>
      <c r="Q155" s="24">
        <v>36</v>
      </c>
      <c r="R155" s="138">
        <v>186</v>
      </c>
      <c r="S155" s="25">
        <v>1.45</v>
      </c>
      <c r="T155" s="25">
        <v>1.25</v>
      </c>
      <c r="U155" s="25">
        <v>1.25</v>
      </c>
      <c r="V155" s="25">
        <v>0</v>
      </c>
      <c r="W155" t="s">
        <v>1052</v>
      </c>
      <c r="X155" t="s">
        <v>996</v>
      </c>
      <c r="Y155" s="25" t="s">
        <v>756</v>
      </c>
      <c r="Z155" s="25" t="s">
        <v>756</v>
      </c>
    </row>
    <row r="156" spans="1:26" x14ac:dyDescent="0.3">
      <c r="A156">
        <v>267</v>
      </c>
      <c r="B156" t="s">
        <v>325</v>
      </c>
      <c r="C156" t="s">
        <v>649</v>
      </c>
      <c r="D156" t="s">
        <v>642</v>
      </c>
      <c r="E156" t="s">
        <v>657</v>
      </c>
      <c r="F156">
        <v>2595</v>
      </c>
      <c r="G156" t="s">
        <v>8</v>
      </c>
      <c r="H156">
        <v>212</v>
      </c>
      <c r="I156">
        <v>90</v>
      </c>
      <c r="J156">
        <v>452</v>
      </c>
      <c r="K156">
        <v>151</v>
      </c>
      <c r="L156">
        <v>255</v>
      </c>
      <c r="M156">
        <v>0</v>
      </c>
      <c r="N156">
        <v>10</v>
      </c>
      <c r="O156">
        <v>210</v>
      </c>
      <c r="P156">
        <v>43</v>
      </c>
      <c r="Q156">
        <v>63</v>
      </c>
      <c r="R156" s="138">
        <v>180</v>
      </c>
      <c r="S156" s="6">
        <v>1.6</v>
      </c>
      <c r="T156" s="6">
        <v>1.2</v>
      </c>
      <c r="U156" s="25">
        <v>1.4</v>
      </c>
      <c r="V156" s="25">
        <v>0</v>
      </c>
      <c r="W156" t="s">
        <v>1319</v>
      </c>
      <c r="X156" t="s">
        <v>1320</v>
      </c>
      <c r="Y156" s="25" t="s">
        <v>756</v>
      </c>
      <c r="Z156" s="25" t="s">
        <v>756</v>
      </c>
    </row>
    <row r="157" spans="1:26" x14ac:dyDescent="0.3">
      <c r="Q157"/>
      <c r="R157"/>
      <c r="S157" s="6"/>
      <c r="T157" s="6"/>
    </row>
    <row r="158" spans="1:26" x14ac:dyDescent="0.3">
      <c r="A158" t="s">
        <v>351</v>
      </c>
      <c r="B158" t="s">
        <v>149</v>
      </c>
      <c r="C158" t="s">
        <v>192</v>
      </c>
      <c r="D158" t="s">
        <v>352</v>
      </c>
      <c r="E158" t="s">
        <v>150</v>
      </c>
      <c r="F158" t="s">
        <v>7</v>
      </c>
      <c r="G158" t="s">
        <v>353</v>
      </c>
      <c r="H158" t="s">
        <v>14</v>
      </c>
      <c r="I158" t="s">
        <v>9</v>
      </c>
      <c r="J158" t="s">
        <v>11</v>
      </c>
      <c r="K158" t="s">
        <v>294</v>
      </c>
      <c r="L158" t="s">
        <v>265</v>
      </c>
      <c r="M158" t="s">
        <v>293</v>
      </c>
      <c r="N158" t="s">
        <v>667</v>
      </c>
      <c r="O158" t="s">
        <v>666</v>
      </c>
      <c r="P158" t="s">
        <v>295</v>
      </c>
      <c r="Q158" t="s">
        <v>761</v>
      </c>
      <c r="R158" t="s">
        <v>762</v>
      </c>
      <c r="S158" s="6" t="s">
        <v>53</v>
      </c>
      <c r="T158" s="6" t="s">
        <v>668</v>
      </c>
      <c r="U158" s="26" t="s">
        <v>936</v>
      </c>
      <c r="V158" s="26" t="s">
        <v>937</v>
      </c>
      <c r="W158" s="26" t="s">
        <v>1016</v>
      </c>
      <c r="X158" s="26" t="s">
        <v>1017</v>
      </c>
      <c r="Y158" s="26" t="s">
        <v>1053</v>
      </c>
      <c r="Z158" s="26" t="s">
        <v>1054</v>
      </c>
    </row>
    <row r="159" spans="1:26" x14ac:dyDescent="0.3">
      <c r="A159">
        <v>187</v>
      </c>
      <c r="B159" t="s">
        <v>388</v>
      </c>
      <c r="C159" t="s">
        <v>648</v>
      </c>
      <c r="D159" t="s">
        <v>641</v>
      </c>
      <c r="E159" t="s">
        <v>658</v>
      </c>
      <c r="F159">
        <v>2891</v>
      </c>
      <c r="G159" t="s">
        <v>8</v>
      </c>
      <c r="H159">
        <v>173</v>
      </c>
      <c r="I159">
        <v>140</v>
      </c>
      <c r="J159">
        <v>279</v>
      </c>
      <c r="K159">
        <v>105</v>
      </c>
      <c r="L159">
        <v>278</v>
      </c>
      <c r="M159">
        <v>0</v>
      </c>
      <c r="N159">
        <v>8</v>
      </c>
      <c r="O159">
        <v>92</v>
      </c>
      <c r="P159">
        <v>36</v>
      </c>
      <c r="Q159">
        <v>43</v>
      </c>
      <c r="R159">
        <v>145</v>
      </c>
      <c r="S159" s="6">
        <v>1.1000000000000001</v>
      </c>
      <c r="T159" s="6">
        <v>1.6</v>
      </c>
      <c r="U159" s="25">
        <v>1.25</v>
      </c>
      <c r="V159" s="25">
        <v>0</v>
      </c>
      <c r="W159" t="s">
        <v>1074</v>
      </c>
      <c r="X159" s="25" t="s">
        <v>756</v>
      </c>
      <c r="Y159" s="25" t="s">
        <v>756</v>
      </c>
      <c r="Z159" s="25" t="s">
        <v>756</v>
      </c>
    </row>
    <row r="160" spans="1:26" x14ac:dyDescent="0.3">
      <c r="A160">
        <v>3187</v>
      </c>
      <c r="B160" t="s">
        <v>701</v>
      </c>
      <c r="C160" t="s">
        <v>648</v>
      </c>
      <c r="D160" t="s">
        <v>640</v>
      </c>
      <c r="E160" t="s">
        <v>658</v>
      </c>
      <c r="F160">
        <v>3131</v>
      </c>
      <c r="G160" t="s">
        <v>8</v>
      </c>
      <c r="H160">
        <v>178</v>
      </c>
      <c r="I160">
        <v>160</v>
      </c>
      <c r="J160">
        <v>344</v>
      </c>
      <c r="K160">
        <v>105</v>
      </c>
      <c r="L160">
        <v>278</v>
      </c>
      <c r="M160">
        <v>0</v>
      </c>
      <c r="N160">
        <v>8</v>
      </c>
      <c r="O160">
        <v>92</v>
      </c>
      <c r="P160">
        <v>36</v>
      </c>
      <c r="Q160">
        <v>43</v>
      </c>
      <c r="R160">
        <v>145</v>
      </c>
      <c r="S160" s="6">
        <v>1.1499999999999999</v>
      </c>
      <c r="T160" s="6">
        <v>1.75</v>
      </c>
      <c r="U160" s="25">
        <v>1.25</v>
      </c>
      <c r="V160" s="25">
        <v>0</v>
      </c>
      <c r="W160" t="s">
        <v>1074</v>
      </c>
      <c r="X160" s="25" t="s">
        <v>756</v>
      </c>
      <c r="Y160" s="25" t="s">
        <v>756</v>
      </c>
      <c r="Z160" s="25" t="s">
        <v>756</v>
      </c>
    </row>
    <row r="161" spans="1:26" x14ac:dyDescent="0.3">
      <c r="A161">
        <v>105</v>
      </c>
      <c r="B161" t="s">
        <v>379</v>
      </c>
      <c r="C161" t="s">
        <v>647</v>
      </c>
      <c r="D161" t="s">
        <v>640</v>
      </c>
      <c r="E161" t="s">
        <v>658</v>
      </c>
      <c r="F161">
        <v>2974</v>
      </c>
      <c r="G161" t="s">
        <v>8</v>
      </c>
      <c r="H161">
        <v>175</v>
      </c>
      <c r="I161">
        <v>163</v>
      </c>
      <c r="J161">
        <v>324</v>
      </c>
      <c r="K161">
        <v>97</v>
      </c>
      <c r="L161">
        <v>295</v>
      </c>
      <c r="M161">
        <v>0</v>
      </c>
      <c r="N161">
        <v>9</v>
      </c>
      <c r="O161">
        <v>128</v>
      </c>
      <c r="P161">
        <v>32</v>
      </c>
      <c r="Q161">
        <v>54</v>
      </c>
      <c r="R161">
        <v>148</v>
      </c>
      <c r="S161" s="6">
        <v>1.45</v>
      </c>
      <c r="T161" s="6">
        <v>1.55</v>
      </c>
      <c r="U161" s="25">
        <v>1</v>
      </c>
      <c r="V161" s="25">
        <v>0</v>
      </c>
      <c r="W161" t="s">
        <v>1068</v>
      </c>
      <c r="X161" s="25" t="s">
        <v>756</v>
      </c>
      <c r="Y161" s="25" t="s">
        <v>756</v>
      </c>
      <c r="Z161" s="25" t="s">
        <v>756</v>
      </c>
    </row>
    <row r="162" spans="1:26" x14ac:dyDescent="0.3">
      <c r="A162">
        <v>3105</v>
      </c>
      <c r="B162" t="s">
        <v>699</v>
      </c>
      <c r="C162" t="s">
        <v>647</v>
      </c>
      <c r="D162" t="s">
        <v>639</v>
      </c>
      <c r="E162" t="s">
        <v>658</v>
      </c>
      <c r="F162">
        <v>3214</v>
      </c>
      <c r="G162" t="s">
        <v>8</v>
      </c>
      <c r="H162">
        <v>180</v>
      </c>
      <c r="I162">
        <v>213</v>
      </c>
      <c r="J162">
        <v>359</v>
      </c>
      <c r="K162">
        <v>97</v>
      </c>
      <c r="L162">
        <v>295</v>
      </c>
      <c r="M162">
        <v>0</v>
      </c>
      <c r="N162">
        <v>9</v>
      </c>
      <c r="O162">
        <v>128</v>
      </c>
      <c r="P162">
        <v>32</v>
      </c>
      <c r="Q162">
        <v>54</v>
      </c>
      <c r="R162">
        <v>148</v>
      </c>
      <c r="S162" s="6">
        <v>1.6</v>
      </c>
      <c r="T162" s="6">
        <v>1.6</v>
      </c>
      <c r="U162" s="25">
        <v>1</v>
      </c>
      <c r="V162" s="25">
        <v>0</v>
      </c>
      <c r="W162" t="s">
        <v>1068</v>
      </c>
      <c r="X162" s="25" t="s">
        <v>756</v>
      </c>
      <c r="Y162" s="25" t="s">
        <v>756</v>
      </c>
      <c r="Z162" s="25" t="s">
        <v>756</v>
      </c>
    </row>
    <row r="163" spans="1:26" x14ac:dyDescent="0.3">
      <c r="A163">
        <v>321</v>
      </c>
      <c r="B163" t="s">
        <v>513</v>
      </c>
      <c r="C163" t="s">
        <v>648</v>
      </c>
      <c r="D163" t="s">
        <v>639</v>
      </c>
      <c r="E163" t="s">
        <v>658</v>
      </c>
      <c r="F163">
        <v>3159</v>
      </c>
      <c r="G163" t="s">
        <v>8</v>
      </c>
      <c r="H163">
        <v>168</v>
      </c>
      <c r="I163">
        <v>148</v>
      </c>
      <c r="J163">
        <v>353</v>
      </c>
      <c r="K163">
        <v>104</v>
      </c>
      <c r="L163">
        <v>323</v>
      </c>
      <c r="M163">
        <v>0</v>
      </c>
      <c r="N163">
        <v>10</v>
      </c>
      <c r="O163">
        <v>79</v>
      </c>
      <c r="P163">
        <v>35</v>
      </c>
      <c r="Q163">
        <v>21</v>
      </c>
      <c r="R163">
        <v>148</v>
      </c>
      <c r="S163" s="6">
        <v>1</v>
      </c>
      <c r="T163" s="6">
        <v>1.7</v>
      </c>
      <c r="U163" s="25">
        <v>1</v>
      </c>
      <c r="V163" s="25">
        <v>0</v>
      </c>
      <c r="W163" t="s">
        <v>1082</v>
      </c>
      <c r="X163" s="25" t="s">
        <v>756</v>
      </c>
      <c r="Y163" s="25" t="s">
        <v>756</v>
      </c>
      <c r="Z163" s="25" t="s">
        <v>756</v>
      </c>
    </row>
    <row r="164" spans="1:26" x14ac:dyDescent="0.3">
      <c r="A164">
        <v>106</v>
      </c>
      <c r="B164" t="s">
        <v>380</v>
      </c>
      <c r="C164" t="s">
        <v>647</v>
      </c>
      <c r="D164" t="s">
        <v>640</v>
      </c>
      <c r="E164" t="s">
        <v>658</v>
      </c>
      <c r="F164">
        <v>2974</v>
      </c>
      <c r="G164" t="s">
        <v>8</v>
      </c>
      <c r="H164">
        <v>175</v>
      </c>
      <c r="I164">
        <v>163</v>
      </c>
      <c r="J164">
        <v>324</v>
      </c>
      <c r="K164">
        <v>97</v>
      </c>
      <c r="L164">
        <v>295</v>
      </c>
      <c r="M164">
        <v>0</v>
      </c>
      <c r="N164">
        <v>9</v>
      </c>
      <c r="O164">
        <v>128</v>
      </c>
      <c r="P164">
        <v>32</v>
      </c>
      <c r="Q164">
        <v>74</v>
      </c>
      <c r="R164">
        <v>148</v>
      </c>
      <c r="S164" s="6">
        <v>1.45</v>
      </c>
      <c r="T164" s="6">
        <v>1.55</v>
      </c>
      <c r="U164" s="25">
        <v>1</v>
      </c>
      <c r="V164" s="25">
        <v>0</v>
      </c>
      <c r="W164" t="s">
        <v>1068</v>
      </c>
      <c r="X164" s="25" t="s">
        <v>756</v>
      </c>
      <c r="Y164" s="25" t="s">
        <v>756</v>
      </c>
      <c r="Z164" s="25" t="s">
        <v>756</v>
      </c>
    </row>
    <row r="165" spans="1:26" x14ac:dyDescent="0.3">
      <c r="A165">
        <v>3106</v>
      </c>
      <c r="B165" t="s">
        <v>700</v>
      </c>
      <c r="C165" t="s">
        <v>647</v>
      </c>
      <c r="D165" t="s">
        <v>639</v>
      </c>
      <c r="E165" t="s">
        <v>658</v>
      </c>
      <c r="F165">
        <v>3214</v>
      </c>
      <c r="G165" t="s">
        <v>8</v>
      </c>
      <c r="H165">
        <v>180</v>
      </c>
      <c r="I165">
        <v>213</v>
      </c>
      <c r="J165">
        <v>359</v>
      </c>
      <c r="K165">
        <v>97</v>
      </c>
      <c r="L165">
        <v>295</v>
      </c>
      <c r="M165">
        <v>0</v>
      </c>
      <c r="N165">
        <v>9</v>
      </c>
      <c r="O165">
        <v>128</v>
      </c>
      <c r="P165">
        <v>32</v>
      </c>
      <c r="Q165">
        <v>74</v>
      </c>
      <c r="R165">
        <v>148</v>
      </c>
      <c r="S165" s="6">
        <v>1.6</v>
      </c>
      <c r="T165" s="6">
        <v>1.6</v>
      </c>
      <c r="U165" s="25">
        <v>1</v>
      </c>
      <c r="V165" s="25">
        <v>0</v>
      </c>
      <c r="W165" t="s">
        <v>1068</v>
      </c>
      <c r="X165" s="25" t="s">
        <v>756</v>
      </c>
      <c r="Y165" s="25" t="s">
        <v>756</v>
      </c>
      <c r="Z165" s="25" t="s">
        <v>756</v>
      </c>
    </row>
    <row r="166" spans="1:26" x14ac:dyDescent="0.3">
      <c r="A166">
        <v>116</v>
      </c>
      <c r="B166" t="s">
        <v>499</v>
      </c>
      <c r="C166" t="s">
        <v>647</v>
      </c>
      <c r="D166" t="s">
        <v>640</v>
      </c>
      <c r="E166" t="s">
        <v>658</v>
      </c>
      <c r="F166">
        <v>2830</v>
      </c>
      <c r="G166" t="s">
        <v>8</v>
      </c>
      <c r="H166">
        <v>187</v>
      </c>
      <c r="I166">
        <v>156</v>
      </c>
      <c r="J166">
        <v>270</v>
      </c>
      <c r="K166">
        <v>100</v>
      </c>
      <c r="L166">
        <v>324</v>
      </c>
      <c r="M166">
        <v>0</v>
      </c>
      <c r="N166">
        <v>9</v>
      </c>
      <c r="O166">
        <v>115</v>
      </c>
      <c r="P166">
        <v>32</v>
      </c>
      <c r="Q166">
        <v>69</v>
      </c>
      <c r="R166">
        <v>170</v>
      </c>
      <c r="S166" s="6">
        <v>1.3</v>
      </c>
      <c r="T166" s="6">
        <v>1.55</v>
      </c>
      <c r="U166" s="25">
        <v>1.3</v>
      </c>
      <c r="V166" s="25">
        <v>0</v>
      </c>
      <c r="W166" t="s">
        <v>1072</v>
      </c>
      <c r="X166" s="25" t="s">
        <v>756</v>
      </c>
      <c r="Y166" s="25" t="s">
        <v>756</v>
      </c>
      <c r="Z166" s="25" t="s">
        <v>756</v>
      </c>
    </row>
    <row r="167" spans="1:26" x14ac:dyDescent="0.3">
      <c r="A167">
        <v>34</v>
      </c>
      <c r="B167" t="s">
        <v>492</v>
      </c>
      <c r="C167" t="s">
        <v>646</v>
      </c>
      <c r="D167" t="s">
        <v>640</v>
      </c>
      <c r="E167" t="s">
        <v>658</v>
      </c>
      <c r="F167">
        <v>3517</v>
      </c>
      <c r="G167" t="s">
        <v>8</v>
      </c>
      <c r="H167">
        <v>179</v>
      </c>
      <c r="I167">
        <v>129</v>
      </c>
      <c r="J167">
        <v>157</v>
      </c>
      <c r="K167">
        <v>95</v>
      </c>
      <c r="L167">
        <v>422</v>
      </c>
      <c r="M167">
        <v>0</v>
      </c>
      <c r="N167">
        <v>9</v>
      </c>
      <c r="O167">
        <v>187</v>
      </c>
      <c r="P167">
        <v>32</v>
      </c>
      <c r="Q167">
        <v>12</v>
      </c>
      <c r="R167">
        <v>168</v>
      </c>
      <c r="S167" s="6">
        <v>1.05</v>
      </c>
      <c r="T167" s="6">
        <v>1.35</v>
      </c>
      <c r="U167" s="25">
        <v>1.6</v>
      </c>
      <c r="V167" s="25">
        <v>0</v>
      </c>
      <c r="W167" t="s">
        <v>1066</v>
      </c>
      <c r="X167" s="25" t="s">
        <v>756</v>
      </c>
      <c r="Y167" s="25" t="s">
        <v>756</v>
      </c>
      <c r="Z167" s="25" t="s">
        <v>756</v>
      </c>
    </row>
    <row r="168" spans="1:26" x14ac:dyDescent="0.3">
      <c r="A168">
        <v>118</v>
      </c>
      <c r="B168" t="s">
        <v>501</v>
      </c>
      <c r="C168" t="s">
        <v>647</v>
      </c>
      <c r="D168" t="s">
        <v>639</v>
      </c>
      <c r="E168" t="s">
        <v>658</v>
      </c>
      <c r="F168">
        <v>2914</v>
      </c>
      <c r="G168" t="s">
        <v>8</v>
      </c>
      <c r="H168">
        <v>195</v>
      </c>
      <c r="I168">
        <v>162</v>
      </c>
      <c r="J168">
        <v>279</v>
      </c>
      <c r="K168">
        <v>100</v>
      </c>
      <c r="L168">
        <v>333</v>
      </c>
      <c r="M168">
        <v>0</v>
      </c>
      <c r="N168">
        <v>10</v>
      </c>
      <c r="O168">
        <v>109</v>
      </c>
      <c r="P168">
        <v>32</v>
      </c>
      <c r="Q168">
        <v>84</v>
      </c>
      <c r="R168">
        <v>172</v>
      </c>
      <c r="S168" s="6">
        <v>1.35</v>
      </c>
      <c r="T168" s="6">
        <v>1.55</v>
      </c>
      <c r="U168" s="25">
        <v>1.3</v>
      </c>
      <c r="V168" s="25">
        <v>0</v>
      </c>
      <c r="W168" t="s">
        <v>1072</v>
      </c>
      <c r="X168" s="25" t="s">
        <v>756</v>
      </c>
      <c r="Y168" s="25" t="s">
        <v>756</v>
      </c>
      <c r="Z168" s="25" t="s">
        <v>756</v>
      </c>
    </row>
    <row r="169" spans="1:26" x14ac:dyDescent="0.3">
      <c r="A169">
        <v>262</v>
      </c>
      <c r="B169" t="s">
        <v>508</v>
      </c>
      <c r="C169" t="s">
        <v>651</v>
      </c>
      <c r="D169" t="s">
        <v>642</v>
      </c>
      <c r="E169" t="s">
        <v>658</v>
      </c>
      <c r="F169">
        <v>3372</v>
      </c>
      <c r="G169" t="s">
        <v>10</v>
      </c>
      <c r="H169">
        <v>150</v>
      </c>
      <c r="I169">
        <v>104</v>
      </c>
      <c r="J169">
        <v>223</v>
      </c>
      <c r="K169">
        <v>79</v>
      </c>
      <c r="L169">
        <v>160</v>
      </c>
      <c r="M169">
        <v>0</v>
      </c>
      <c r="N169">
        <v>11</v>
      </c>
      <c r="O169">
        <v>57</v>
      </c>
      <c r="P169">
        <v>19</v>
      </c>
      <c r="Q169">
        <v>55</v>
      </c>
      <c r="R169">
        <v>130</v>
      </c>
      <c r="S169" s="6">
        <v>1.3</v>
      </c>
      <c r="T169" s="6">
        <v>1.25</v>
      </c>
      <c r="U169" s="25">
        <v>0.8</v>
      </c>
      <c r="V169" s="25">
        <v>0</v>
      </c>
      <c r="W169" t="s">
        <v>1080</v>
      </c>
      <c r="X169" s="25" t="s">
        <v>756</v>
      </c>
      <c r="Y169" s="25" t="s">
        <v>756</v>
      </c>
      <c r="Z169" s="25" t="s">
        <v>756</v>
      </c>
    </row>
    <row r="170" spans="1:26" x14ac:dyDescent="0.3">
      <c r="A170">
        <v>335</v>
      </c>
      <c r="B170" t="s">
        <v>518</v>
      </c>
      <c r="C170" t="s">
        <v>647</v>
      </c>
      <c r="D170" t="s">
        <v>639</v>
      </c>
      <c r="E170" t="s">
        <v>658</v>
      </c>
      <c r="F170">
        <v>3231</v>
      </c>
      <c r="G170" t="s">
        <v>8</v>
      </c>
      <c r="H170">
        <v>185</v>
      </c>
      <c r="I170">
        <v>159</v>
      </c>
      <c r="J170">
        <v>324</v>
      </c>
      <c r="K170">
        <v>96</v>
      </c>
      <c r="L170">
        <v>282</v>
      </c>
      <c r="M170">
        <v>0</v>
      </c>
      <c r="N170">
        <v>10</v>
      </c>
      <c r="O170">
        <v>147</v>
      </c>
      <c r="P170">
        <v>32</v>
      </c>
      <c r="Q170">
        <v>89</v>
      </c>
      <c r="R170">
        <v>160</v>
      </c>
      <c r="S170" s="6">
        <v>1.4</v>
      </c>
      <c r="T170" s="6">
        <v>1.5</v>
      </c>
      <c r="U170" s="25">
        <v>1</v>
      </c>
      <c r="V170" s="25">
        <v>0</v>
      </c>
      <c r="W170" t="s">
        <v>1070</v>
      </c>
      <c r="X170" s="25" t="s">
        <v>756</v>
      </c>
      <c r="Y170" s="25" t="s">
        <v>756</v>
      </c>
      <c r="Z170" s="25" t="s">
        <v>756</v>
      </c>
    </row>
    <row r="171" spans="1:26" x14ac:dyDescent="0.3">
      <c r="A171">
        <v>115</v>
      </c>
      <c r="B171" t="s">
        <v>498</v>
      </c>
      <c r="C171" t="s">
        <v>647</v>
      </c>
      <c r="D171" t="s">
        <v>642</v>
      </c>
      <c r="E171" t="s">
        <v>658</v>
      </c>
      <c r="F171">
        <v>3970</v>
      </c>
      <c r="G171" t="s">
        <v>8</v>
      </c>
      <c r="H171">
        <v>182</v>
      </c>
      <c r="I171">
        <v>179</v>
      </c>
      <c r="J171">
        <v>340</v>
      </c>
      <c r="K171">
        <v>96</v>
      </c>
      <c r="L171">
        <v>293</v>
      </c>
      <c r="M171">
        <v>0</v>
      </c>
      <c r="N171">
        <v>11</v>
      </c>
      <c r="O171">
        <v>144</v>
      </c>
      <c r="P171">
        <v>32</v>
      </c>
      <c r="Q171">
        <v>88</v>
      </c>
      <c r="R171">
        <v>160</v>
      </c>
      <c r="S171" s="6">
        <v>1.5</v>
      </c>
      <c r="T171" s="6">
        <v>1.55</v>
      </c>
      <c r="U171" s="25">
        <v>1</v>
      </c>
      <c r="V171" s="25">
        <v>0</v>
      </c>
      <c r="W171" t="s">
        <v>1071</v>
      </c>
      <c r="X171" s="25" t="s">
        <v>756</v>
      </c>
      <c r="Y171" s="25" t="s">
        <v>756</v>
      </c>
      <c r="Z171" s="25" t="s">
        <v>756</v>
      </c>
    </row>
    <row r="172" spans="1:26" x14ac:dyDescent="0.3">
      <c r="A172" s="24"/>
      <c r="B172" s="24" t="s">
        <v>1429</v>
      </c>
      <c r="C172" s="24" t="s">
        <v>646</v>
      </c>
      <c r="D172" s="24" t="s">
        <v>639</v>
      </c>
      <c r="E172" s="24" t="s">
        <v>658</v>
      </c>
      <c r="F172" s="24">
        <v>4189</v>
      </c>
      <c r="G172" s="24" t="s">
        <v>8</v>
      </c>
      <c r="H172" s="24">
        <v>185</v>
      </c>
      <c r="I172" s="24">
        <v>165</v>
      </c>
      <c r="J172" s="24">
        <v>0</v>
      </c>
      <c r="K172" s="24">
        <v>96</v>
      </c>
      <c r="L172" s="24">
        <v>321</v>
      </c>
      <c r="M172" s="24">
        <v>0</v>
      </c>
      <c r="N172" s="24">
        <v>9</v>
      </c>
      <c r="O172" s="24">
        <v>99</v>
      </c>
      <c r="P172" s="24">
        <v>32</v>
      </c>
      <c r="Q172" s="24">
        <v>48</v>
      </c>
      <c r="R172" s="24">
        <v>168</v>
      </c>
      <c r="S172" s="25">
        <v>1.3</v>
      </c>
      <c r="T172" s="25">
        <v>0.65</v>
      </c>
      <c r="U172" s="25">
        <v>1.3</v>
      </c>
      <c r="V172" s="25">
        <v>0</v>
      </c>
      <c r="W172" s="25" t="s">
        <v>1067</v>
      </c>
      <c r="X172" s="25" t="s">
        <v>756</v>
      </c>
      <c r="Y172" s="25" t="s">
        <v>756</v>
      </c>
      <c r="Z172" s="25" t="s">
        <v>756</v>
      </c>
    </row>
    <row r="173" spans="1:26" x14ac:dyDescent="0.3">
      <c r="A173">
        <v>31</v>
      </c>
      <c r="B173" t="s">
        <v>489</v>
      </c>
      <c r="C173" t="s">
        <v>646</v>
      </c>
      <c r="D173" t="s">
        <v>640</v>
      </c>
      <c r="E173" t="s">
        <v>658</v>
      </c>
      <c r="F173">
        <v>3470</v>
      </c>
      <c r="G173" t="s">
        <v>8</v>
      </c>
      <c r="H173">
        <v>181</v>
      </c>
      <c r="I173">
        <v>164</v>
      </c>
      <c r="J173">
        <v>0</v>
      </c>
      <c r="K173">
        <v>90</v>
      </c>
      <c r="L173">
        <v>307</v>
      </c>
      <c r="M173">
        <v>0</v>
      </c>
      <c r="N173">
        <v>9</v>
      </c>
      <c r="O173">
        <v>99</v>
      </c>
      <c r="P173">
        <v>32</v>
      </c>
      <c r="Q173">
        <v>55</v>
      </c>
      <c r="R173">
        <v>158</v>
      </c>
      <c r="S173" s="6">
        <v>1.35</v>
      </c>
      <c r="T173" s="6">
        <v>0.65</v>
      </c>
      <c r="U173" s="25">
        <v>1</v>
      </c>
      <c r="V173" s="25">
        <v>0</v>
      </c>
      <c r="W173" s="25" t="s">
        <v>1065</v>
      </c>
      <c r="X173" s="25" t="s">
        <v>756</v>
      </c>
      <c r="Y173" s="25" t="s">
        <v>756</v>
      </c>
      <c r="Z173" s="25" t="s">
        <v>756</v>
      </c>
    </row>
    <row r="174" spans="1:26" x14ac:dyDescent="0.3">
      <c r="A174">
        <v>37</v>
      </c>
      <c r="B174" t="s">
        <v>494</v>
      </c>
      <c r="C174" t="s">
        <v>646</v>
      </c>
      <c r="D174" t="s">
        <v>639</v>
      </c>
      <c r="E174" t="s">
        <v>658</v>
      </c>
      <c r="F174">
        <v>4307</v>
      </c>
      <c r="G174" t="s">
        <v>8</v>
      </c>
      <c r="H174">
        <v>189</v>
      </c>
      <c r="I174">
        <v>165</v>
      </c>
      <c r="J174">
        <v>0</v>
      </c>
      <c r="K174">
        <v>92</v>
      </c>
      <c r="L174">
        <v>323</v>
      </c>
      <c r="M174">
        <v>0</v>
      </c>
      <c r="N174">
        <v>10</v>
      </c>
      <c r="O174">
        <v>100</v>
      </c>
      <c r="P174">
        <v>32</v>
      </c>
      <c r="Q174">
        <v>71</v>
      </c>
      <c r="R174">
        <v>163</v>
      </c>
      <c r="S174" s="6">
        <v>1.3</v>
      </c>
      <c r="T174" s="6">
        <v>0.7</v>
      </c>
      <c r="U174" s="25">
        <v>1.2</v>
      </c>
      <c r="V174" s="25">
        <v>0</v>
      </c>
      <c r="W174" s="25" t="s">
        <v>1067</v>
      </c>
      <c r="X174" s="25" t="s">
        <v>756</v>
      </c>
      <c r="Y174" s="25" t="s">
        <v>756</v>
      </c>
      <c r="Z174" s="25" t="s">
        <v>756</v>
      </c>
    </row>
    <row r="175" spans="1:26" x14ac:dyDescent="0.3">
      <c r="A175">
        <v>38</v>
      </c>
      <c r="B175" t="s">
        <v>495</v>
      </c>
      <c r="C175" t="s">
        <v>646</v>
      </c>
      <c r="D175" t="s">
        <v>639</v>
      </c>
      <c r="E175" t="s">
        <v>658</v>
      </c>
      <c r="F175">
        <v>4307</v>
      </c>
      <c r="G175" t="s">
        <v>8</v>
      </c>
      <c r="H175">
        <v>187</v>
      </c>
      <c r="I175">
        <v>168</v>
      </c>
      <c r="J175">
        <v>0</v>
      </c>
      <c r="K175">
        <v>92</v>
      </c>
      <c r="L175">
        <v>323</v>
      </c>
      <c r="M175">
        <v>0</v>
      </c>
      <c r="N175">
        <v>10</v>
      </c>
      <c r="O175">
        <v>100</v>
      </c>
      <c r="P175">
        <v>32</v>
      </c>
      <c r="Q175">
        <v>70</v>
      </c>
      <c r="R175">
        <v>163</v>
      </c>
      <c r="S175" s="6">
        <v>1.3</v>
      </c>
      <c r="T175" s="6">
        <v>0.7</v>
      </c>
      <c r="U175" s="25">
        <v>1.2</v>
      </c>
      <c r="V175" s="25">
        <v>0</v>
      </c>
      <c r="W175" s="25" t="s">
        <v>1067</v>
      </c>
      <c r="X175" s="25" t="s">
        <v>756</v>
      </c>
      <c r="Y175" s="25" t="s">
        <v>756</v>
      </c>
      <c r="Z175" s="25" t="s">
        <v>756</v>
      </c>
    </row>
    <row r="176" spans="1:26" x14ac:dyDescent="0.3">
      <c r="A176">
        <v>366</v>
      </c>
      <c r="B176" t="s">
        <v>521</v>
      </c>
      <c r="C176" t="s">
        <v>646</v>
      </c>
      <c r="D176" t="s">
        <v>640</v>
      </c>
      <c r="E176" t="s">
        <v>658</v>
      </c>
      <c r="F176">
        <v>3301</v>
      </c>
      <c r="G176" t="s">
        <v>8</v>
      </c>
      <c r="H176">
        <v>185</v>
      </c>
      <c r="I176">
        <v>146</v>
      </c>
      <c r="J176">
        <v>215</v>
      </c>
      <c r="K176">
        <v>101</v>
      </c>
      <c r="L176">
        <v>295</v>
      </c>
      <c r="M176">
        <v>0</v>
      </c>
      <c r="N176">
        <v>9</v>
      </c>
      <c r="O176">
        <v>82</v>
      </c>
      <c r="P176">
        <v>35</v>
      </c>
      <c r="Q176">
        <v>67</v>
      </c>
      <c r="R176">
        <v>151</v>
      </c>
      <c r="S176" s="6">
        <v>1.25</v>
      </c>
      <c r="T176" s="6">
        <v>1.5</v>
      </c>
      <c r="U176" s="25">
        <v>1.3</v>
      </c>
      <c r="V176" s="25">
        <v>0</v>
      </c>
      <c r="W176" s="25" t="s">
        <v>1064</v>
      </c>
      <c r="X176" s="25" t="s">
        <v>756</v>
      </c>
      <c r="Y176" s="25" t="s">
        <v>756</v>
      </c>
      <c r="Z176" s="25" t="s">
        <v>756</v>
      </c>
    </row>
    <row r="177" spans="1:26" x14ac:dyDescent="0.3">
      <c r="A177">
        <v>372</v>
      </c>
      <c r="B177" t="s">
        <v>523</v>
      </c>
      <c r="C177" t="s">
        <v>647</v>
      </c>
      <c r="D177" t="s">
        <v>640</v>
      </c>
      <c r="E177" t="s">
        <v>658</v>
      </c>
      <c r="F177">
        <v>2981</v>
      </c>
      <c r="G177" t="s">
        <v>8</v>
      </c>
      <c r="H177">
        <v>182</v>
      </c>
      <c r="I177">
        <v>134</v>
      </c>
      <c r="J177">
        <v>0</v>
      </c>
      <c r="K177">
        <v>92</v>
      </c>
      <c r="L177">
        <v>154</v>
      </c>
      <c r="M177">
        <v>0</v>
      </c>
      <c r="N177">
        <v>9</v>
      </c>
      <c r="O177">
        <v>53</v>
      </c>
      <c r="P177">
        <v>29</v>
      </c>
      <c r="Q177">
        <v>24</v>
      </c>
      <c r="R177">
        <v>168</v>
      </c>
      <c r="S177" s="6">
        <v>1.1499999999999999</v>
      </c>
      <c r="T177" s="6">
        <v>0.8</v>
      </c>
      <c r="U177" s="25">
        <v>0.8</v>
      </c>
      <c r="V177" s="25">
        <v>0</v>
      </c>
      <c r="W177" t="s">
        <v>1086</v>
      </c>
      <c r="X177" s="25" t="s">
        <v>756</v>
      </c>
      <c r="Y177" s="25" t="s">
        <v>756</v>
      </c>
      <c r="Z177" s="25" t="s">
        <v>756</v>
      </c>
    </row>
    <row r="178" spans="1:26" x14ac:dyDescent="0.3">
      <c r="A178" s="24"/>
      <c r="B178" s="24" t="s">
        <v>1008</v>
      </c>
      <c r="C178" s="24" t="s">
        <v>647</v>
      </c>
      <c r="D178" s="24" t="s">
        <v>639</v>
      </c>
      <c r="E178" s="24" t="s">
        <v>658</v>
      </c>
      <c r="F178" s="24">
        <v>3221</v>
      </c>
      <c r="G178" s="24" t="s">
        <v>8</v>
      </c>
      <c r="H178" s="24">
        <v>182</v>
      </c>
      <c r="I178" s="24">
        <v>174</v>
      </c>
      <c r="J178" s="24">
        <v>0</v>
      </c>
      <c r="K178" s="24">
        <v>92</v>
      </c>
      <c r="L178" s="24">
        <v>199</v>
      </c>
      <c r="M178" s="24">
        <v>0</v>
      </c>
      <c r="N178" s="24">
        <v>9</v>
      </c>
      <c r="O178" s="24">
        <v>53</v>
      </c>
      <c r="P178" s="24">
        <v>29</v>
      </c>
      <c r="Q178" s="24">
        <v>24</v>
      </c>
      <c r="R178" s="24">
        <v>173</v>
      </c>
      <c r="S178" s="25">
        <v>1.2</v>
      </c>
      <c r="T178" s="25">
        <v>0</v>
      </c>
      <c r="U178" s="25">
        <v>0.9</v>
      </c>
      <c r="V178" s="25">
        <v>0.9</v>
      </c>
      <c r="W178" t="s">
        <v>1086</v>
      </c>
      <c r="X178" s="25" t="s">
        <v>756</v>
      </c>
      <c r="Y178" s="25" t="s">
        <v>756</v>
      </c>
      <c r="Z178" s="25" t="s">
        <v>756</v>
      </c>
    </row>
    <row r="179" spans="1:26" x14ac:dyDescent="0.3">
      <c r="A179">
        <v>373</v>
      </c>
      <c r="B179" t="s">
        <v>524</v>
      </c>
      <c r="C179" t="s">
        <v>647</v>
      </c>
      <c r="D179" t="s">
        <v>640</v>
      </c>
      <c r="E179" t="s">
        <v>658</v>
      </c>
      <c r="F179">
        <v>2789</v>
      </c>
      <c r="G179" t="s">
        <v>8</v>
      </c>
      <c r="H179">
        <v>190</v>
      </c>
      <c r="I179">
        <v>128</v>
      </c>
      <c r="J179">
        <v>0</v>
      </c>
      <c r="K179">
        <v>92</v>
      </c>
      <c r="L179">
        <v>178</v>
      </c>
      <c r="M179">
        <v>0</v>
      </c>
      <c r="N179">
        <v>9</v>
      </c>
      <c r="O179">
        <v>53</v>
      </c>
      <c r="P179">
        <v>29</v>
      </c>
      <c r="Q179">
        <v>45</v>
      </c>
      <c r="R179">
        <v>166</v>
      </c>
      <c r="S179" s="6">
        <v>1.1499999999999999</v>
      </c>
      <c r="T179" s="6">
        <v>0.8</v>
      </c>
      <c r="U179" s="25">
        <v>0.8</v>
      </c>
      <c r="V179" s="25">
        <v>0</v>
      </c>
      <c r="W179" t="s">
        <v>1086</v>
      </c>
      <c r="X179" s="25" t="s">
        <v>756</v>
      </c>
      <c r="Y179" s="25" t="s">
        <v>756</v>
      </c>
      <c r="Z179" s="25" t="s">
        <v>756</v>
      </c>
    </row>
    <row r="180" spans="1:26" x14ac:dyDescent="0.3">
      <c r="A180" s="24"/>
      <c r="B180" s="24" t="s">
        <v>1007</v>
      </c>
      <c r="C180" s="24" t="s">
        <v>647</v>
      </c>
      <c r="D180" s="24" t="s">
        <v>639</v>
      </c>
      <c r="E180" s="24" t="s">
        <v>658</v>
      </c>
      <c r="F180" s="24">
        <v>3029</v>
      </c>
      <c r="G180" s="24" t="s">
        <v>8</v>
      </c>
      <c r="H180" s="24">
        <v>190</v>
      </c>
      <c r="I180" s="24">
        <v>168</v>
      </c>
      <c r="J180" s="24">
        <v>0</v>
      </c>
      <c r="K180" s="24">
        <v>92</v>
      </c>
      <c r="L180" s="24">
        <v>223</v>
      </c>
      <c r="M180" s="24">
        <v>0</v>
      </c>
      <c r="N180" s="24">
        <v>9</v>
      </c>
      <c r="O180" s="24">
        <v>53</v>
      </c>
      <c r="P180" s="24">
        <v>29</v>
      </c>
      <c r="Q180" s="24">
        <v>45</v>
      </c>
      <c r="R180" s="24">
        <v>171</v>
      </c>
      <c r="S180" s="25">
        <v>1.1499999999999999</v>
      </c>
      <c r="T180" s="25">
        <v>0</v>
      </c>
      <c r="U180" s="25">
        <v>0.9</v>
      </c>
      <c r="V180" s="25">
        <v>0.9</v>
      </c>
      <c r="W180" t="s">
        <v>1086</v>
      </c>
      <c r="X180" s="25" t="s">
        <v>756</v>
      </c>
      <c r="Y180" s="25" t="s">
        <v>756</v>
      </c>
      <c r="Z180" s="25" t="s">
        <v>756</v>
      </c>
    </row>
    <row r="181" spans="1:26" x14ac:dyDescent="0.3">
      <c r="A181">
        <v>330</v>
      </c>
      <c r="B181" t="s">
        <v>517</v>
      </c>
      <c r="C181" t="s">
        <v>646</v>
      </c>
      <c r="D181" t="s">
        <v>639</v>
      </c>
      <c r="E181" t="s">
        <v>658</v>
      </c>
      <c r="F181">
        <v>4307</v>
      </c>
      <c r="G181" t="s">
        <v>8</v>
      </c>
      <c r="H181">
        <v>185</v>
      </c>
      <c r="I181">
        <v>157</v>
      </c>
      <c r="J181">
        <v>0</v>
      </c>
      <c r="K181">
        <v>92</v>
      </c>
      <c r="L181">
        <v>321</v>
      </c>
      <c r="M181">
        <v>0</v>
      </c>
      <c r="N181">
        <v>10</v>
      </c>
      <c r="O181">
        <v>100</v>
      </c>
      <c r="P181">
        <v>32</v>
      </c>
      <c r="Q181">
        <v>69</v>
      </c>
      <c r="R181">
        <v>161</v>
      </c>
      <c r="S181" s="6">
        <v>1.3</v>
      </c>
      <c r="T181" s="6">
        <v>0.75</v>
      </c>
      <c r="U181" s="25">
        <v>1.2</v>
      </c>
      <c r="V181" s="25">
        <v>0</v>
      </c>
      <c r="W181" s="25" t="s">
        <v>1067</v>
      </c>
      <c r="X181" s="25" t="s">
        <v>756</v>
      </c>
      <c r="Y181" s="25" t="s">
        <v>756</v>
      </c>
      <c r="Z181" s="25" t="s">
        <v>756</v>
      </c>
    </row>
    <row r="182" spans="1:26" x14ac:dyDescent="0.3">
      <c r="A182">
        <v>114</v>
      </c>
      <c r="B182" t="s">
        <v>497</v>
      </c>
      <c r="C182" t="s">
        <v>647</v>
      </c>
      <c r="D182" t="s">
        <v>639</v>
      </c>
      <c r="E182" t="s">
        <v>658</v>
      </c>
      <c r="F182">
        <v>4486</v>
      </c>
      <c r="G182" t="s">
        <v>8</v>
      </c>
      <c r="H182">
        <v>176</v>
      </c>
      <c r="I182">
        <v>157</v>
      </c>
      <c r="J182">
        <v>280</v>
      </c>
      <c r="K182">
        <v>100</v>
      </c>
      <c r="L182">
        <v>313</v>
      </c>
      <c r="M182">
        <v>0</v>
      </c>
      <c r="N182">
        <v>10</v>
      </c>
      <c r="O182">
        <v>101</v>
      </c>
      <c r="P182">
        <v>32</v>
      </c>
      <c r="Q182">
        <v>37</v>
      </c>
      <c r="R182">
        <v>160</v>
      </c>
      <c r="S182" s="6">
        <v>1.5</v>
      </c>
      <c r="T182" s="6">
        <v>1.55</v>
      </c>
      <c r="U182" s="25">
        <v>1</v>
      </c>
      <c r="V182" s="25">
        <v>0</v>
      </c>
      <c r="W182" t="s">
        <v>1070</v>
      </c>
      <c r="X182" s="25" t="s">
        <v>756</v>
      </c>
      <c r="Y182" s="25" t="s">
        <v>756</v>
      </c>
      <c r="Z182" s="25" t="s">
        <v>756</v>
      </c>
    </row>
    <row r="183" spans="1:26" x14ac:dyDescent="0.3">
      <c r="A183">
        <v>349</v>
      </c>
      <c r="B183" t="s">
        <v>519</v>
      </c>
      <c r="C183" t="s">
        <v>652</v>
      </c>
      <c r="D183" t="s">
        <v>639</v>
      </c>
      <c r="E183" t="s">
        <v>658</v>
      </c>
      <c r="F183">
        <v>3185</v>
      </c>
      <c r="G183" t="s">
        <v>8</v>
      </c>
      <c r="H183">
        <v>173</v>
      </c>
      <c r="I183">
        <v>161</v>
      </c>
      <c r="J183">
        <v>273</v>
      </c>
      <c r="K183">
        <v>117</v>
      </c>
      <c r="L183">
        <v>272</v>
      </c>
      <c r="M183">
        <v>0</v>
      </c>
      <c r="N183">
        <v>10</v>
      </c>
      <c r="O183">
        <v>144</v>
      </c>
      <c r="P183">
        <v>34</v>
      </c>
      <c r="Q183">
        <v>67</v>
      </c>
      <c r="R183">
        <v>170</v>
      </c>
      <c r="S183" s="6">
        <v>1.4</v>
      </c>
      <c r="T183" s="6">
        <v>1.55</v>
      </c>
      <c r="U183" s="25">
        <v>1</v>
      </c>
      <c r="V183" s="25">
        <v>0</v>
      </c>
      <c r="W183" t="s">
        <v>1084</v>
      </c>
      <c r="X183" s="25" t="s">
        <v>756</v>
      </c>
      <c r="Y183" s="25" t="s">
        <v>756</v>
      </c>
      <c r="Z183" s="25" t="s">
        <v>756</v>
      </c>
    </row>
    <row r="184" spans="1:26" x14ac:dyDescent="0.3">
      <c r="B184" t="s">
        <v>1014</v>
      </c>
      <c r="C184" t="s">
        <v>652</v>
      </c>
      <c r="D184" t="s">
        <v>642</v>
      </c>
      <c r="E184" t="s">
        <v>658</v>
      </c>
      <c r="F184">
        <v>3425</v>
      </c>
      <c r="G184" t="s">
        <v>8</v>
      </c>
      <c r="H184">
        <v>178</v>
      </c>
      <c r="I184">
        <v>191</v>
      </c>
      <c r="J184">
        <v>298</v>
      </c>
      <c r="K184">
        <v>117</v>
      </c>
      <c r="L184">
        <v>327</v>
      </c>
      <c r="M184">
        <v>0</v>
      </c>
      <c r="N184">
        <v>9</v>
      </c>
      <c r="O184">
        <v>144</v>
      </c>
      <c r="P184">
        <v>34</v>
      </c>
      <c r="Q184">
        <v>67</v>
      </c>
      <c r="R184">
        <v>175</v>
      </c>
      <c r="S184" s="6">
        <v>1.45</v>
      </c>
      <c r="T184" s="6">
        <v>1.55</v>
      </c>
      <c r="U184" s="6">
        <v>1.1499999999999999</v>
      </c>
      <c r="V184" s="6">
        <v>0</v>
      </c>
      <c r="W184" t="s">
        <v>1084</v>
      </c>
      <c r="X184" t="s">
        <v>1353</v>
      </c>
      <c r="Y184" t="s">
        <v>1354</v>
      </c>
      <c r="Z184" s="25" t="s">
        <v>756</v>
      </c>
    </row>
    <row r="185" spans="1:26" x14ac:dyDescent="0.3">
      <c r="A185">
        <v>327</v>
      </c>
      <c r="B185" t="s">
        <v>514</v>
      </c>
      <c r="C185" t="s">
        <v>647</v>
      </c>
      <c r="D185" t="s">
        <v>640</v>
      </c>
      <c r="E185" t="s">
        <v>658</v>
      </c>
      <c r="F185">
        <v>3586</v>
      </c>
      <c r="G185" t="s">
        <v>8</v>
      </c>
      <c r="H185">
        <v>182</v>
      </c>
      <c r="I185">
        <v>159</v>
      </c>
      <c r="J185">
        <v>268</v>
      </c>
      <c r="K185">
        <v>100</v>
      </c>
      <c r="L185">
        <v>255</v>
      </c>
      <c r="M185">
        <v>0</v>
      </c>
      <c r="N185">
        <v>9</v>
      </c>
      <c r="O185">
        <v>117</v>
      </c>
      <c r="P185">
        <v>32</v>
      </c>
      <c r="Q185">
        <v>11</v>
      </c>
      <c r="R185">
        <v>172</v>
      </c>
      <c r="S185" s="6">
        <v>1.4</v>
      </c>
      <c r="T185" s="6">
        <v>1.55</v>
      </c>
      <c r="U185" s="25">
        <v>1.1000000000000001</v>
      </c>
      <c r="V185" s="25">
        <v>0</v>
      </c>
      <c r="W185" t="s">
        <v>1083</v>
      </c>
      <c r="X185" s="25" t="s">
        <v>756</v>
      </c>
      <c r="Y185" s="25" t="s">
        <v>756</v>
      </c>
      <c r="Z185" s="25" t="s">
        <v>756</v>
      </c>
    </row>
    <row r="186" spans="1:26" x14ac:dyDescent="0.3">
      <c r="A186">
        <v>117</v>
      </c>
      <c r="B186" t="s">
        <v>500</v>
      </c>
      <c r="C186" t="s">
        <v>647</v>
      </c>
      <c r="D186" t="s">
        <v>640</v>
      </c>
      <c r="E186" t="s">
        <v>658</v>
      </c>
      <c r="F186">
        <v>2830</v>
      </c>
      <c r="G186" t="s">
        <v>8</v>
      </c>
      <c r="H186">
        <v>187</v>
      </c>
      <c r="I186">
        <v>156</v>
      </c>
      <c r="J186">
        <v>270</v>
      </c>
      <c r="K186">
        <v>100</v>
      </c>
      <c r="L186">
        <v>324</v>
      </c>
      <c r="M186">
        <v>0</v>
      </c>
      <c r="N186">
        <v>9</v>
      </c>
      <c r="O186">
        <v>92</v>
      </c>
      <c r="P186">
        <v>32</v>
      </c>
      <c r="Q186">
        <v>26</v>
      </c>
      <c r="R186">
        <v>170</v>
      </c>
      <c r="S186" s="6">
        <v>1.3</v>
      </c>
      <c r="T186" s="6">
        <v>1.55</v>
      </c>
      <c r="U186" s="25">
        <v>1.3</v>
      </c>
      <c r="V186" s="25">
        <v>0</v>
      </c>
      <c r="W186" t="s">
        <v>1072</v>
      </c>
      <c r="X186" s="25" t="s">
        <v>756</v>
      </c>
      <c r="Y186" s="25" t="s">
        <v>756</v>
      </c>
      <c r="Z186" s="25" t="s">
        <v>756</v>
      </c>
    </row>
    <row r="187" spans="1:26" x14ac:dyDescent="0.3">
      <c r="A187" t="s">
        <v>331</v>
      </c>
      <c r="B187" t="s">
        <v>617</v>
      </c>
      <c r="C187" t="s">
        <v>654</v>
      </c>
      <c r="D187" t="s">
        <v>639</v>
      </c>
      <c r="E187" t="s">
        <v>658</v>
      </c>
      <c r="F187">
        <v>3430</v>
      </c>
      <c r="G187" t="s">
        <v>8</v>
      </c>
      <c r="H187">
        <v>171</v>
      </c>
      <c r="I187">
        <v>153</v>
      </c>
      <c r="J187">
        <v>289</v>
      </c>
      <c r="K187">
        <v>100</v>
      </c>
      <c r="L187">
        <v>303</v>
      </c>
      <c r="M187">
        <v>0</v>
      </c>
      <c r="N187">
        <v>10</v>
      </c>
      <c r="O187">
        <v>122</v>
      </c>
      <c r="P187">
        <v>31</v>
      </c>
      <c r="Q187">
        <v>73</v>
      </c>
      <c r="R187">
        <v>154</v>
      </c>
      <c r="S187" s="6">
        <v>1.4</v>
      </c>
      <c r="T187" s="6">
        <v>1.5</v>
      </c>
      <c r="U187" s="25">
        <v>1</v>
      </c>
      <c r="V187" s="25">
        <v>0</v>
      </c>
      <c r="W187" s="25" t="s">
        <v>756</v>
      </c>
      <c r="X187" s="25" t="s">
        <v>756</v>
      </c>
      <c r="Y187" s="25" t="s">
        <v>756</v>
      </c>
      <c r="Z187" s="25" t="s">
        <v>756</v>
      </c>
    </row>
    <row r="188" spans="1:26" x14ac:dyDescent="0.3">
      <c r="A188">
        <v>33</v>
      </c>
      <c r="B188" t="s">
        <v>491</v>
      </c>
      <c r="C188" t="s">
        <v>646</v>
      </c>
      <c r="D188" t="s">
        <v>639</v>
      </c>
      <c r="E188" t="s">
        <v>658</v>
      </c>
      <c r="F188">
        <v>3604</v>
      </c>
      <c r="G188" t="s">
        <v>8</v>
      </c>
      <c r="H188">
        <v>185</v>
      </c>
      <c r="I188">
        <v>171</v>
      </c>
      <c r="J188">
        <v>0</v>
      </c>
      <c r="K188">
        <v>90</v>
      </c>
      <c r="L188">
        <v>316</v>
      </c>
      <c r="M188">
        <v>0</v>
      </c>
      <c r="N188">
        <v>10</v>
      </c>
      <c r="O188">
        <v>109</v>
      </c>
      <c r="P188">
        <v>32</v>
      </c>
      <c r="Q188">
        <v>33</v>
      </c>
      <c r="R188">
        <v>175</v>
      </c>
      <c r="S188" s="6">
        <v>1.35</v>
      </c>
      <c r="T188" s="6">
        <v>0.65</v>
      </c>
      <c r="U188" s="25">
        <v>1</v>
      </c>
      <c r="V188" s="25">
        <v>0</v>
      </c>
      <c r="W188" s="25" t="s">
        <v>1065</v>
      </c>
      <c r="X188" s="25" t="s">
        <v>756</v>
      </c>
      <c r="Y188" s="25" t="s">
        <v>756</v>
      </c>
      <c r="Z188" s="25" t="s">
        <v>756</v>
      </c>
    </row>
    <row r="189" spans="1:26" x14ac:dyDescent="0.3">
      <c r="A189" t="s">
        <v>345</v>
      </c>
      <c r="B189" t="s">
        <v>631</v>
      </c>
      <c r="C189" t="s">
        <v>647</v>
      </c>
      <c r="D189" t="s">
        <v>643</v>
      </c>
      <c r="E189" t="s">
        <v>658</v>
      </c>
      <c r="F189">
        <v>4637</v>
      </c>
      <c r="G189" t="s">
        <v>8</v>
      </c>
      <c r="H189">
        <v>164</v>
      </c>
      <c r="I189">
        <v>172</v>
      </c>
      <c r="J189">
        <v>352</v>
      </c>
      <c r="K189">
        <v>98</v>
      </c>
      <c r="L189">
        <v>363</v>
      </c>
      <c r="M189">
        <v>0</v>
      </c>
      <c r="N189">
        <v>12</v>
      </c>
      <c r="O189">
        <v>152</v>
      </c>
      <c r="P189">
        <v>33</v>
      </c>
      <c r="Q189">
        <v>0</v>
      </c>
      <c r="R189">
        <v>158</v>
      </c>
      <c r="S189" s="6">
        <v>1.5</v>
      </c>
      <c r="T189" s="6">
        <v>1.6</v>
      </c>
      <c r="U189" s="25">
        <v>1</v>
      </c>
      <c r="V189" s="25">
        <v>0</v>
      </c>
      <c r="W189" t="s">
        <v>1088</v>
      </c>
      <c r="X189" s="25" t="s">
        <v>756</v>
      </c>
      <c r="Y189" s="25" t="s">
        <v>756</v>
      </c>
      <c r="Z189" s="25" t="s">
        <v>756</v>
      </c>
    </row>
    <row r="190" spans="1:26" x14ac:dyDescent="0.3">
      <c r="A190">
        <v>304</v>
      </c>
      <c r="B190" t="s">
        <v>510</v>
      </c>
      <c r="C190" t="s">
        <v>646</v>
      </c>
      <c r="D190" t="s">
        <v>640</v>
      </c>
      <c r="E190" t="s">
        <v>658</v>
      </c>
      <c r="F190">
        <v>3470</v>
      </c>
      <c r="G190" t="s">
        <v>8</v>
      </c>
      <c r="H190">
        <v>181</v>
      </c>
      <c r="I190">
        <v>164</v>
      </c>
      <c r="J190">
        <v>0</v>
      </c>
      <c r="K190">
        <v>90</v>
      </c>
      <c r="L190">
        <v>307</v>
      </c>
      <c r="M190">
        <v>0</v>
      </c>
      <c r="N190">
        <v>9</v>
      </c>
      <c r="O190">
        <v>99</v>
      </c>
      <c r="P190">
        <v>32</v>
      </c>
      <c r="Q190">
        <v>50</v>
      </c>
      <c r="R190">
        <v>158</v>
      </c>
      <c r="S190" s="6">
        <v>1.35</v>
      </c>
      <c r="T190" s="6">
        <v>0.65</v>
      </c>
      <c r="U190" s="25">
        <v>1</v>
      </c>
      <c r="V190" s="25">
        <v>0</v>
      </c>
      <c r="W190" s="25" t="s">
        <v>1065</v>
      </c>
      <c r="X190" s="25" t="s">
        <v>756</v>
      </c>
      <c r="Y190" s="25" t="s">
        <v>756</v>
      </c>
      <c r="Z190" s="25" t="s">
        <v>756</v>
      </c>
    </row>
    <row r="191" spans="1:26" x14ac:dyDescent="0.3">
      <c r="A191">
        <v>183</v>
      </c>
      <c r="B191" t="s">
        <v>504</v>
      </c>
      <c r="C191" t="s">
        <v>648</v>
      </c>
      <c r="D191" t="s">
        <v>640</v>
      </c>
      <c r="E191" t="s">
        <v>658</v>
      </c>
      <c r="F191">
        <v>3214</v>
      </c>
      <c r="G191" t="s">
        <v>8</v>
      </c>
      <c r="H191">
        <v>176</v>
      </c>
      <c r="I191">
        <v>120</v>
      </c>
      <c r="J191">
        <v>220</v>
      </c>
      <c r="K191">
        <v>100</v>
      </c>
      <c r="L191">
        <v>343</v>
      </c>
      <c r="M191">
        <v>0</v>
      </c>
      <c r="N191">
        <v>9</v>
      </c>
      <c r="O191">
        <v>99</v>
      </c>
      <c r="P191">
        <v>36</v>
      </c>
      <c r="Q191">
        <v>33</v>
      </c>
      <c r="R191">
        <v>145</v>
      </c>
      <c r="S191" s="6">
        <v>1.05</v>
      </c>
      <c r="T191" s="6">
        <v>1.4</v>
      </c>
      <c r="U191" s="25">
        <v>1.6</v>
      </c>
      <c r="V191" s="25">
        <v>0</v>
      </c>
      <c r="W191" t="s">
        <v>1074</v>
      </c>
      <c r="X191" s="25" t="s">
        <v>756</v>
      </c>
      <c r="Y191" s="25" t="s">
        <v>756</v>
      </c>
      <c r="Z191" s="25" t="s">
        <v>756</v>
      </c>
    </row>
    <row r="192" spans="1:26" x14ac:dyDescent="0.3">
      <c r="A192">
        <v>328</v>
      </c>
      <c r="B192" t="s">
        <v>515</v>
      </c>
      <c r="C192" t="s">
        <v>647</v>
      </c>
      <c r="D192" t="s">
        <v>640</v>
      </c>
      <c r="E192" t="s">
        <v>658</v>
      </c>
      <c r="F192">
        <v>3636</v>
      </c>
      <c r="G192" t="s">
        <v>8</v>
      </c>
      <c r="H192">
        <v>182</v>
      </c>
      <c r="I192">
        <v>157</v>
      </c>
      <c r="J192">
        <v>269</v>
      </c>
      <c r="K192">
        <v>100</v>
      </c>
      <c r="L192">
        <v>329</v>
      </c>
      <c r="M192">
        <v>0</v>
      </c>
      <c r="N192">
        <v>9</v>
      </c>
      <c r="O192">
        <v>123</v>
      </c>
      <c r="P192">
        <v>32</v>
      </c>
      <c r="Q192">
        <v>67</v>
      </c>
      <c r="R192">
        <v>170</v>
      </c>
      <c r="S192" s="6">
        <v>1.4</v>
      </c>
      <c r="T192" s="6">
        <v>1.55</v>
      </c>
      <c r="U192" s="25">
        <v>1.1000000000000001</v>
      </c>
      <c r="V192" s="25">
        <v>0</v>
      </c>
      <c r="W192" t="s">
        <v>1083</v>
      </c>
      <c r="X192" s="25" t="s">
        <v>756</v>
      </c>
      <c r="Y192" s="25" t="s">
        <v>756</v>
      </c>
      <c r="Z192" s="25" t="s">
        <v>756</v>
      </c>
    </row>
    <row r="193" spans="1:26" x14ac:dyDescent="0.3">
      <c r="A193">
        <v>309</v>
      </c>
      <c r="B193" t="s">
        <v>408</v>
      </c>
      <c r="C193" t="s">
        <v>648</v>
      </c>
      <c r="D193" t="s">
        <v>639</v>
      </c>
      <c r="E193" t="s">
        <v>658</v>
      </c>
      <c r="F193">
        <v>2615</v>
      </c>
      <c r="G193" t="s">
        <v>8</v>
      </c>
      <c r="H193">
        <v>192</v>
      </c>
      <c r="I193">
        <v>156</v>
      </c>
      <c r="J193">
        <v>337</v>
      </c>
      <c r="K193">
        <v>108</v>
      </c>
      <c r="L193">
        <v>285</v>
      </c>
      <c r="M193">
        <v>0</v>
      </c>
      <c r="N193">
        <v>10</v>
      </c>
      <c r="O193">
        <v>99</v>
      </c>
      <c r="P193">
        <v>35</v>
      </c>
      <c r="Q193">
        <v>38</v>
      </c>
      <c r="R193">
        <v>151</v>
      </c>
      <c r="S193" s="6">
        <v>1.2</v>
      </c>
      <c r="T193" s="6">
        <v>1.65</v>
      </c>
      <c r="U193" s="25">
        <v>1.1499999999999999</v>
      </c>
      <c r="V193" s="25">
        <v>0</v>
      </c>
      <c r="W193" t="s">
        <v>1081</v>
      </c>
      <c r="X193" s="25" t="s">
        <v>756</v>
      </c>
      <c r="Y193" s="25" t="s">
        <v>756</v>
      </c>
      <c r="Z193" s="25" t="s">
        <v>756</v>
      </c>
    </row>
    <row r="194" spans="1:26" x14ac:dyDescent="0.3">
      <c r="A194">
        <v>3309</v>
      </c>
      <c r="B194" t="s">
        <v>707</v>
      </c>
      <c r="C194" t="s">
        <v>648</v>
      </c>
      <c r="D194" t="s">
        <v>642</v>
      </c>
      <c r="E194" t="s">
        <v>658</v>
      </c>
      <c r="F194">
        <v>2855</v>
      </c>
      <c r="G194" t="s">
        <v>8</v>
      </c>
      <c r="H194">
        <v>197</v>
      </c>
      <c r="I194">
        <v>176</v>
      </c>
      <c r="J194">
        <v>402</v>
      </c>
      <c r="K194">
        <v>108</v>
      </c>
      <c r="L194">
        <v>300</v>
      </c>
      <c r="M194">
        <v>0</v>
      </c>
      <c r="N194">
        <v>0</v>
      </c>
      <c r="O194">
        <v>99</v>
      </c>
      <c r="P194">
        <v>35</v>
      </c>
      <c r="Q194">
        <v>38</v>
      </c>
      <c r="R194">
        <v>151</v>
      </c>
      <c r="S194" s="6">
        <v>1.25</v>
      </c>
      <c r="T194" s="6">
        <v>1.8</v>
      </c>
      <c r="U194" s="25">
        <v>1.1499999999999999</v>
      </c>
      <c r="V194" s="25">
        <v>0</v>
      </c>
      <c r="W194" t="s">
        <v>1081</v>
      </c>
      <c r="X194" s="25" t="s">
        <v>756</v>
      </c>
      <c r="Y194" s="25" t="s">
        <v>756</v>
      </c>
      <c r="Z194" s="25" t="s">
        <v>756</v>
      </c>
    </row>
    <row r="195" spans="1:26" x14ac:dyDescent="0.3">
      <c r="A195">
        <v>35</v>
      </c>
      <c r="B195" t="s">
        <v>493</v>
      </c>
      <c r="C195" t="s">
        <v>646</v>
      </c>
      <c r="D195" t="s">
        <v>640</v>
      </c>
      <c r="E195" t="s">
        <v>658</v>
      </c>
      <c r="F195">
        <v>3517</v>
      </c>
      <c r="G195" t="s">
        <v>8</v>
      </c>
      <c r="H195">
        <v>179</v>
      </c>
      <c r="I195">
        <v>129</v>
      </c>
      <c r="J195">
        <v>157</v>
      </c>
      <c r="K195">
        <v>95</v>
      </c>
      <c r="L195">
        <v>422</v>
      </c>
      <c r="M195">
        <v>0</v>
      </c>
      <c r="N195">
        <v>9</v>
      </c>
      <c r="O195">
        <v>187</v>
      </c>
      <c r="P195">
        <v>32</v>
      </c>
      <c r="Q195">
        <v>18</v>
      </c>
      <c r="R195">
        <v>168</v>
      </c>
      <c r="S195" s="6">
        <v>1.05</v>
      </c>
      <c r="T195" s="6">
        <v>1.35</v>
      </c>
      <c r="U195" s="25">
        <v>1.6</v>
      </c>
      <c r="V195" s="25">
        <v>0</v>
      </c>
      <c r="W195" t="s">
        <v>1066</v>
      </c>
      <c r="X195" s="25" t="s">
        <v>756</v>
      </c>
      <c r="Y195" s="25" t="s">
        <v>756</v>
      </c>
      <c r="Z195" s="25" t="s">
        <v>756</v>
      </c>
    </row>
    <row r="196" spans="1:26" x14ac:dyDescent="0.3">
      <c r="A196">
        <v>239</v>
      </c>
      <c r="B196" t="s">
        <v>399</v>
      </c>
      <c r="C196" t="s">
        <v>649</v>
      </c>
      <c r="D196" t="s">
        <v>641</v>
      </c>
      <c r="E196" t="s">
        <v>658</v>
      </c>
      <c r="F196">
        <v>3372</v>
      </c>
      <c r="G196" t="s">
        <v>8</v>
      </c>
      <c r="H196">
        <v>175</v>
      </c>
      <c r="I196">
        <v>152</v>
      </c>
      <c r="J196">
        <v>273</v>
      </c>
      <c r="K196">
        <v>100</v>
      </c>
      <c r="L196">
        <v>333</v>
      </c>
      <c r="M196">
        <v>0</v>
      </c>
      <c r="N196">
        <v>8</v>
      </c>
      <c r="O196">
        <v>87</v>
      </c>
      <c r="P196">
        <v>32</v>
      </c>
      <c r="Q196">
        <v>39</v>
      </c>
      <c r="R196">
        <v>153</v>
      </c>
      <c r="S196" s="6">
        <v>1.2</v>
      </c>
      <c r="T196" s="6">
        <v>1.55</v>
      </c>
      <c r="U196" s="25">
        <v>1.3</v>
      </c>
      <c r="V196" s="25">
        <v>0</v>
      </c>
      <c r="W196" t="s">
        <v>1076</v>
      </c>
      <c r="X196" s="25" t="s">
        <v>756</v>
      </c>
      <c r="Y196" s="25" t="s">
        <v>756</v>
      </c>
      <c r="Z196" s="25" t="s">
        <v>756</v>
      </c>
    </row>
    <row r="197" spans="1:26" x14ac:dyDescent="0.3">
      <c r="A197">
        <v>3239</v>
      </c>
      <c r="B197" t="s">
        <v>703</v>
      </c>
      <c r="C197" t="s">
        <v>649</v>
      </c>
      <c r="D197" t="s">
        <v>640</v>
      </c>
      <c r="E197" t="s">
        <v>658</v>
      </c>
      <c r="F197">
        <v>3612</v>
      </c>
      <c r="G197" t="s">
        <v>8</v>
      </c>
      <c r="H197">
        <v>180</v>
      </c>
      <c r="I197">
        <v>172</v>
      </c>
      <c r="J197">
        <v>318</v>
      </c>
      <c r="K197">
        <v>100</v>
      </c>
      <c r="L197">
        <v>348</v>
      </c>
      <c r="M197">
        <v>0</v>
      </c>
      <c r="N197">
        <v>8</v>
      </c>
      <c r="O197">
        <v>87</v>
      </c>
      <c r="P197">
        <v>32</v>
      </c>
      <c r="Q197">
        <v>39</v>
      </c>
      <c r="R197">
        <v>153</v>
      </c>
      <c r="S197" s="6">
        <v>1.2</v>
      </c>
      <c r="T197" s="6">
        <v>1.7</v>
      </c>
      <c r="U197" s="25">
        <v>1.35</v>
      </c>
      <c r="V197" s="25">
        <v>0</v>
      </c>
      <c r="W197" t="s">
        <v>1076</v>
      </c>
      <c r="X197" s="25" t="s">
        <v>756</v>
      </c>
      <c r="Y197" s="25" t="s">
        <v>756</v>
      </c>
      <c r="Z197" s="25" t="s">
        <v>756</v>
      </c>
    </row>
    <row r="198" spans="1:26" x14ac:dyDescent="0.3">
      <c r="A198">
        <v>240</v>
      </c>
      <c r="B198" t="s">
        <v>735</v>
      </c>
      <c r="C198" t="s">
        <v>649</v>
      </c>
      <c r="D198" t="s">
        <v>641</v>
      </c>
      <c r="E198" t="s">
        <v>658</v>
      </c>
      <c r="F198">
        <v>3372</v>
      </c>
      <c r="G198" t="s">
        <v>8</v>
      </c>
      <c r="H198">
        <v>175</v>
      </c>
      <c r="I198">
        <v>152</v>
      </c>
      <c r="J198">
        <v>273</v>
      </c>
      <c r="K198">
        <v>100</v>
      </c>
      <c r="L198">
        <v>333</v>
      </c>
      <c r="M198">
        <v>0</v>
      </c>
      <c r="N198">
        <v>8</v>
      </c>
      <c r="O198">
        <v>105</v>
      </c>
      <c r="P198">
        <v>32</v>
      </c>
      <c r="Q198">
        <v>62</v>
      </c>
      <c r="R198">
        <v>153</v>
      </c>
      <c r="S198" s="6">
        <v>1.2</v>
      </c>
      <c r="T198" s="6">
        <v>1.55</v>
      </c>
      <c r="U198" s="25">
        <v>1.3</v>
      </c>
      <c r="V198" s="25">
        <v>0</v>
      </c>
      <c r="W198" t="s">
        <v>1076</v>
      </c>
      <c r="X198" s="25" t="s">
        <v>756</v>
      </c>
      <c r="Y198" s="25" t="s">
        <v>756</v>
      </c>
      <c r="Z198" s="25" t="s">
        <v>756</v>
      </c>
    </row>
    <row r="199" spans="1:26" x14ac:dyDescent="0.3">
      <c r="A199" s="24"/>
      <c r="B199" s="24" t="s">
        <v>1090</v>
      </c>
      <c r="C199" s="24" t="s">
        <v>649</v>
      </c>
      <c r="D199" s="24" t="s">
        <v>640</v>
      </c>
      <c r="E199" s="24" t="s">
        <v>658</v>
      </c>
      <c r="F199" s="24">
        <v>3612</v>
      </c>
      <c r="G199" s="24" t="s">
        <v>8</v>
      </c>
      <c r="H199" s="24">
        <v>180</v>
      </c>
      <c r="I199" s="24">
        <v>172</v>
      </c>
      <c r="J199" s="24">
        <v>318</v>
      </c>
      <c r="K199" s="24">
        <v>100</v>
      </c>
      <c r="L199" s="24">
        <v>348</v>
      </c>
      <c r="M199" s="24">
        <v>0</v>
      </c>
      <c r="N199" s="24">
        <v>8</v>
      </c>
      <c r="O199" s="24">
        <v>105</v>
      </c>
      <c r="P199" s="24">
        <v>32</v>
      </c>
      <c r="Q199" s="24">
        <v>62</v>
      </c>
      <c r="R199" s="24">
        <v>153</v>
      </c>
      <c r="S199" s="25">
        <v>1.2</v>
      </c>
      <c r="T199" s="25">
        <v>1.7</v>
      </c>
      <c r="U199" s="25">
        <v>1.35</v>
      </c>
      <c r="V199" s="25">
        <v>0</v>
      </c>
      <c r="W199" s="25" t="s">
        <v>1076</v>
      </c>
      <c r="X199" s="25" t="s">
        <v>756</v>
      </c>
      <c r="Y199" s="25" t="s">
        <v>756</v>
      </c>
      <c r="Z199" s="25" t="s">
        <v>756</v>
      </c>
    </row>
    <row r="200" spans="1:26" x14ac:dyDescent="0.3">
      <c r="A200">
        <v>238</v>
      </c>
      <c r="B200" t="s">
        <v>734</v>
      </c>
      <c r="C200" t="s">
        <v>649</v>
      </c>
      <c r="D200" t="s">
        <v>641</v>
      </c>
      <c r="E200" t="s">
        <v>658</v>
      </c>
      <c r="F200">
        <v>3372</v>
      </c>
      <c r="G200" t="s">
        <v>8</v>
      </c>
      <c r="H200">
        <v>175</v>
      </c>
      <c r="I200">
        <v>152</v>
      </c>
      <c r="J200">
        <v>273</v>
      </c>
      <c r="K200">
        <v>100</v>
      </c>
      <c r="L200">
        <v>333</v>
      </c>
      <c r="M200">
        <v>0</v>
      </c>
      <c r="N200">
        <v>8</v>
      </c>
      <c r="O200">
        <v>104</v>
      </c>
      <c r="P200">
        <v>32</v>
      </c>
      <c r="Q200">
        <v>42</v>
      </c>
      <c r="R200">
        <v>153</v>
      </c>
      <c r="S200" s="6">
        <v>1.2</v>
      </c>
      <c r="T200" s="6">
        <v>1.55</v>
      </c>
      <c r="U200" s="25">
        <v>1.3</v>
      </c>
      <c r="V200" s="25">
        <v>0</v>
      </c>
      <c r="W200" t="s">
        <v>1076</v>
      </c>
      <c r="X200" s="25" t="s">
        <v>756</v>
      </c>
      <c r="Y200" s="25" t="s">
        <v>756</v>
      </c>
      <c r="Z200" s="25" t="s">
        <v>756</v>
      </c>
    </row>
    <row r="201" spans="1:26" x14ac:dyDescent="0.3">
      <c r="A201">
        <v>104</v>
      </c>
      <c r="B201" t="s">
        <v>378</v>
      </c>
      <c r="C201" t="s">
        <v>647</v>
      </c>
      <c r="D201" t="s">
        <v>641</v>
      </c>
      <c r="E201" t="s">
        <v>658</v>
      </c>
      <c r="F201">
        <v>3246</v>
      </c>
      <c r="G201" t="s">
        <v>8</v>
      </c>
      <c r="H201">
        <v>171</v>
      </c>
      <c r="I201">
        <v>146</v>
      </c>
      <c r="J201">
        <v>270</v>
      </c>
      <c r="K201">
        <v>102</v>
      </c>
      <c r="L201">
        <v>321</v>
      </c>
      <c r="M201">
        <v>0</v>
      </c>
      <c r="N201">
        <v>8</v>
      </c>
      <c r="O201">
        <v>125</v>
      </c>
      <c r="P201">
        <v>32</v>
      </c>
      <c r="Q201">
        <v>44</v>
      </c>
      <c r="R201">
        <v>145</v>
      </c>
      <c r="S201" s="6">
        <v>1.2</v>
      </c>
      <c r="T201" s="6">
        <v>1.6</v>
      </c>
      <c r="U201" s="25">
        <v>1.3</v>
      </c>
      <c r="V201" s="25">
        <v>0</v>
      </c>
      <c r="W201" t="s">
        <v>1068</v>
      </c>
      <c r="X201" s="25" t="s">
        <v>756</v>
      </c>
      <c r="Y201" s="25" t="s">
        <v>756</v>
      </c>
      <c r="Z201" s="25" t="s">
        <v>756</v>
      </c>
    </row>
    <row r="202" spans="1:26" x14ac:dyDescent="0.3">
      <c r="A202">
        <v>3104</v>
      </c>
      <c r="B202" t="s">
        <v>698</v>
      </c>
      <c r="C202" t="s">
        <v>647</v>
      </c>
      <c r="D202" t="s">
        <v>640</v>
      </c>
      <c r="E202" t="s">
        <v>658</v>
      </c>
      <c r="F202">
        <v>3486</v>
      </c>
      <c r="G202" t="s">
        <v>8</v>
      </c>
      <c r="H202">
        <v>176</v>
      </c>
      <c r="I202">
        <v>196</v>
      </c>
      <c r="J202">
        <v>305</v>
      </c>
      <c r="K202">
        <v>102</v>
      </c>
      <c r="L202">
        <v>321</v>
      </c>
      <c r="M202">
        <v>0</v>
      </c>
      <c r="N202">
        <v>8</v>
      </c>
      <c r="O202">
        <v>125</v>
      </c>
      <c r="P202">
        <v>32</v>
      </c>
      <c r="Q202">
        <v>44</v>
      </c>
      <c r="R202">
        <v>145</v>
      </c>
      <c r="S202" s="6">
        <v>1.35</v>
      </c>
      <c r="T202" s="6">
        <v>1.65</v>
      </c>
      <c r="U202" s="25">
        <v>1.3</v>
      </c>
      <c r="V202" s="25">
        <v>0</v>
      </c>
      <c r="W202" t="s">
        <v>1068</v>
      </c>
      <c r="X202" s="25" t="s">
        <v>756</v>
      </c>
      <c r="Y202" s="25" t="s">
        <v>756</v>
      </c>
      <c r="Z202" s="25" t="s">
        <v>756</v>
      </c>
    </row>
    <row r="203" spans="1:26" x14ac:dyDescent="0.3">
      <c r="A203">
        <v>241</v>
      </c>
      <c r="B203" t="s">
        <v>506</v>
      </c>
      <c r="C203" t="s">
        <v>649</v>
      </c>
      <c r="D203" t="s">
        <v>640</v>
      </c>
      <c r="E203" t="s">
        <v>658</v>
      </c>
      <c r="F203">
        <v>3494</v>
      </c>
      <c r="G203" t="s">
        <v>8</v>
      </c>
      <c r="H203">
        <v>185</v>
      </c>
      <c r="I203">
        <v>148</v>
      </c>
      <c r="J203">
        <v>270</v>
      </c>
      <c r="K203">
        <v>102</v>
      </c>
      <c r="L203">
        <v>347</v>
      </c>
      <c r="M203">
        <v>0</v>
      </c>
      <c r="N203">
        <v>9</v>
      </c>
      <c r="O203">
        <v>99</v>
      </c>
      <c r="P203">
        <v>32</v>
      </c>
      <c r="Q203">
        <v>67</v>
      </c>
      <c r="R203">
        <v>158</v>
      </c>
      <c r="S203" s="6">
        <v>1.25</v>
      </c>
      <c r="T203" s="6">
        <v>1.6</v>
      </c>
      <c r="U203" s="25">
        <v>1.3</v>
      </c>
      <c r="V203" s="25">
        <v>0</v>
      </c>
      <c r="W203" t="s">
        <v>1077</v>
      </c>
      <c r="X203" s="25" t="s">
        <v>756</v>
      </c>
      <c r="Y203" s="25" t="s">
        <v>756</v>
      </c>
      <c r="Z203" s="25" t="s">
        <v>756</v>
      </c>
    </row>
    <row r="204" spans="1:26" x14ac:dyDescent="0.3">
      <c r="A204" s="24"/>
      <c r="B204" s="24" t="s">
        <v>1004</v>
      </c>
      <c r="C204" s="24" t="s">
        <v>649</v>
      </c>
      <c r="D204" s="24" t="s">
        <v>639</v>
      </c>
      <c r="E204" s="24" t="s">
        <v>658</v>
      </c>
      <c r="F204" s="24">
        <v>3724</v>
      </c>
      <c r="G204" s="24" t="s">
        <v>8</v>
      </c>
      <c r="H204" s="24">
        <v>190</v>
      </c>
      <c r="I204" s="24">
        <v>168</v>
      </c>
      <c r="J204" s="24">
        <v>325</v>
      </c>
      <c r="K204" s="24">
        <v>102</v>
      </c>
      <c r="L204" s="24">
        <v>387</v>
      </c>
      <c r="M204" s="24">
        <v>0</v>
      </c>
      <c r="N204" s="24">
        <v>9</v>
      </c>
      <c r="O204" s="24">
        <v>99</v>
      </c>
      <c r="P204" s="24">
        <v>32</v>
      </c>
      <c r="Q204" s="24">
        <v>67</v>
      </c>
      <c r="R204" s="24">
        <v>158</v>
      </c>
      <c r="S204" s="25">
        <v>1.25</v>
      </c>
      <c r="T204" s="25">
        <v>1.75</v>
      </c>
      <c r="U204" s="25">
        <v>1.35</v>
      </c>
      <c r="V204" s="25">
        <v>0</v>
      </c>
      <c r="W204" t="s">
        <v>1077</v>
      </c>
      <c r="X204" s="25" t="s">
        <v>756</v>
      </c>
      <c r="Y204" s="25" t="s">
        <v>756</v>
      </c>
      <c r="Z204" s="25" t="s">
        <v>756</v>
      </c>
    </row>
    <row r="205" spans="1:26" x14ac:dyDescent="0.3">
      <c r="A205" s="24"/>
      <c r="B205" s="24" t="s">
        <v>1001</v>
      </c>
      <c r="C205" s="24" t="s">
        <v>646</v>
      </c>
      <c r="D205" s="24" t="s">
        <v>639</v>
      </c>
      <c r="E205" t="s">
        <v>658</v>
      </c>
      <c r="F205" s="24">
        <v>3246</v>
      </c>
      <c r="G205" s="24" t="s">
        <v>8</v>
      </c>
      <c r="H205" s="24">
        <v>185</v>
      </c>
      <c r="I205" s="24">
        <v>167</v>
      </c>
      <c r="J205" s="24">
        <v>0</v>
      </c>
      <c r="K205" s="24">
        <v>91</v>
      </c>
      <c r="L205" s="24">
        <v>316</v>
      </c>
      <c r="M205" s="24">
        <v>0</v>
      </c>
      <c r="N205" s="24">
        <v>10</v>
      </c>
      <c r="O205" s="24">
        <v>107</v>
      </c>
      <c r="P205" s="24">
        <v>32</v>
      </c>
      <c r="Q205" s="24">
        <v>33</v>
      </c>
      <c r="R205" s="24">
        <v>172</v>
      </c>
      <c r="S205" s="25">
        <v>1.35</v>
      </c>
      <c r="T205" s="25">
        <v>0.65</v>
      </c>
      <c r="U205" s="25">
        <v>1.2</v>
      </c>
      <c r="V205" s="25">
        <v>0</v>
      </c>
      <c r="W205" s="25" t="s">
        <v>1065</v>
      </c>
      <c r="X205" s="25" t="s">
        <v>756</v>
      </c>
      <c r="Y205" s="25" t="s">
        <v>756</v>
      </c>
      <c r="Z205" s="25" t="s">
        <v>756</v>
      </c>
    </row>
    <row r="206" spans="1:26" x14ac:dyDescent="0.3">
      <c r="A206">
        <v>360</v>
      </c>
      <c r="B206" t="s">
        <v>520</v>
      </c>
      <c r="C206" t="s">
        <v>646</v>
      </c>
      <c r="D206" t="s">
        <v>640</v>
      </c>
      <c r="E206" t="s">
        <v>658</v>
      </c>
      <c r="F206">
        <v>3301</v>
      </c>
      <c r="G206" t="s">
        <v>8</v>
      </c>
      <c r="H206">
        <v>185</v>
      </c>
      <c r="I206">
        <v>146</v>
      </c>
      <c r="J206">
        <v>212</v>
      </c>
      <c r="K206">
        <v>101</v>
      </c>
      <c r="L206">
        <v>295</v>
      </c>
      <c r="M206">
        <v>0</v>
      </c>
      <c r="N206">
        <v>9</v>
      </c>
      <c r="O206">
        <v>82</v>
      </c>
      <c r="P206">
        <v>35</v>
      </c>
      <c r="Q206">
        <v>67</v>
      </c>
      <c r="R206">
        <v>151</v>
      </c>
      <c r="S206" s="6">
        <v>1.25</v>
      </c>
      <c r="T206" s="6">
        <v>1.55</v>
      </c>
      <c r="U206" s="25">
        <v>1.25</v>
      </c>
      <c r="V206" s="25">
        <v>0</v>
      </c>
      <c r="W206" s="25" t="s">
        <v>1064</v>
      </c>
      <c r="X206" s="25" t="s">
        <v>756</v>
      </c>
      <c r="Y206" s="25" t="s">
        <v>756</v>
      </c>
      <c r="Z206" s="25" t="s">
        <v>756</v>
      </c>
    </row>
    <row r="207" spans="1:26" x14ac:dyDescent="0.3">
      <c r="A207">
        <v>189</v>
      </c>
      <c r="B207" t="s">
        <v>505</v>
      </c>
      <c r="C207" t="s">
        <v>648</v>
      </c>
      <c r="D207" t="s">
        <v>639</v>
      </c>
      <c r="E207" t="s">
        <v>658</v>
      </c>
      <c r="F207">
        <v>4015</v>
      </c>
      <c r="G207" t="s">
        <v>10</v>
      </c>
      <c r="H207">
        <v>189</v>
      </c>
      <c r="I207">
        <v>201</v>
      </c>
      <c r="J207">
        <v>187</v>
      </c>
      <c r="K207">
        <v>82</v>
      </c>
      <c r="L207">
        <v>186</v>
      </c>
      <c r="M207">
        <v>0</v>
      </c>
      <c r="N207">
        <v>11</v>
      </c>
      <c r="O207">
        <v>45</v>
      </c>
      <c r="P207">
        <v>29</v>
      </c>
      <c r="Q207">
        <v>13</v>
      </c>
      <c r="R207">
        <v>149</v>
      </c>
      <c r="S207" s="6">
        <v>1.1000000000000001</v>
      </c>
      <c r="T207" s="6">
        <v>1.6</v>
      </c>
      <c r="U207" s="25">
        <v>1</v>
      </c>
      <c r="V207" s="25">
        <v>0</v>
      </c>
      <c r="W207" t="s">
        <v>1075</v>
      </c>
      <c r="X207" s="25" t="s">
        <v>756</v>
      </c>
      <c r="Y207" s="25" t="s">
        <v>756</v>
      </c>
      <c r="Z207" s="25" t="s">
        <v>756</v>
      </c>
    </row>
    <row r="208" spans="1:26" x14ac:dyDescent="0.3">
      <c r="A208">
        <v>188</v>
      </c>
      <c r="B208" t="s">
        <v>389</v>
      </c>
      <c r="C208" t="s">
        <v>648</v>
      </c>
      <c r="D208" t="s">
        <v>639</v>
      </c>
      <c r="E208" t="s">
        <v>658</v>
      </c>
      <c r="F208">
        <v>4015</v>
      </c>
      <c r="G208" t="s">
        <v>10</v>
      </c>
      <c r="H208">
        <v>189</v>
      </c>
      <c r="I208">
        <v>201</v>
      </c>
      <c r="J208">
        <v>185</v>
      </c>
      <c r="K208">
        <v>82</v>
      </c>
      <c r="L208">
        <v>186</v>
      </c>
      <c r="M208">
        <v>0</v>
      </c>
      <c r="N208">
        <v>11</v>
      </c>
      <c r="O208">
        <v>45</v>
      </c>
      <c r="P208">
        <v>29</v>
      </c>
      <c r="Q208">
        <v>14</v>
      </c>
      <c r="R208">
        <v>149</v>
      </c>
      <c r="S208" s="6">
        <v>1.1000000000000001</v>
      </c>
      <c r="T208" s="6">
        <v>1.6</v>
      </c>
      <c r="U208" s="25">
        <v>1.05</v>
      </c>
      <c r="V208" s="25">
        <v>0</v>
      </c>
      <c r="W208" t="s">
        <v>1075</v>
      </c>
      <c r="X208" s="25" t="s">
        <v>756</v>
      </c>
      <c r="Y208" s="25" t="s">
        <v>756</v>
      </c>
      <c r="Z208" s="25" t="s">
        <v>756</v>
      </c>
    </row>
    <row r="209" spans="1:26" x14ac:dyDescent="0.3">
      <c r="A209">
        <v>329</v>
      </c>
      <c r="B209" t="s">
        <v>516</v>
      </c>
      <c r="C209" t="s">
        <v>646</v>
      </c>
      <c r="D209" t="s">
        <v>642</v>
      </c>
      <c r="E209" t="s">
        <v>658</v>
      </c>
      <c r="F209">
        <v>4361</v>
      </c>
      <c r="G209" t="s">
        <v>8</v>
      </c>
      <c r="H209">
        <v>193</v>
      </c>
      <c r="I209">
        <v>170</v>
      </c>
      <c r="J209">
        <v>0</v>
      </c>
      <c r="K209">
        <v>92</v>
      </c>
      <c r="L209">
        <v>333</v>
      </c>
      <c r="M209">
        <v>0</v>
      </c>
      <c r="N209">
        <v>11</v>
      </c>
      <c r="O209">
        <v>104</v>
      </c>
      <c r="P209">
        <v>32</v>
      </c>
      <c r="Q209">
        <v>72</v>
      </c>
      <c r="R209">
        <v>163</v>
      </c>
      <c r="S209" s="6">
        <v>1.3</v>
      </c>
      <c r="T209" s="6">
        <v>0.7</v>
      </c>
      <c r="U209" s="25">
        <v>1.2</v>
      </c>
      <c r="V209" s="25">
        <v>0</v>
      </c>
      <c r="W209" s="25" t="s">
        <v>1067</v>
      </c>
      <c r="X209" s="25" t="s">
        <v>756</v>
      </c>
      <c r="Y209" s="25" t="s">
        <v>756</v>
      </c>
      <c r="Z209" s="25" t="s">
        <v>756</v>
      </c>
    </row>
    <row r="210" spans="1:26" x14ac:dyDescent="0.3">
      <c r="A210">
        <v>182</v>
      </c>
      <c r="B210" t="s">
        <v>503</v>
      </c>
      <c r="C210" t="s">
        <v>648</v>
      </c>
      <c r="D210" t="s">
        <v>641</v>
      </c>
      <c r="E210" t="s">
        <v>658</v>
      </c>
      <c r="F210">
        <v>2891</v>
      </c>
      <c r="G210" t="s">
        <v>8</v>
      </c>
      <c r="H210">
        <v>173</v>
      </c>
      <c r="I210">
        <v>140</v>
      </c>
      <c r="J210">
        <v>279</v>
      </c>
      <c r="K210">
        <v>105</v>
      </c>
      <c r="L210">
        <v>278</v>
      </c>
      <c r="M210">
        <v>0</v>
      </c>
      <c r="N210">
        <v>8</v>
      </c>
      <c r="O210">
        <v>84</v>
      </c>
      <c r="P210">
        <v>36</v>
      </c>
      <c r="Q210">
        <v>36</v>
      </c>
      <c r="R210">
        <v>145</v>
      </c>
      <c r="S210" s="6">
        <v>1.1000000000000001</v>
      </c>
      <c r="T210" s="6">
        <v>1.6</v>
      </c>
      <c r="U210" s="25">
        <v>1.25</v>
      </c>
      <c r="V210" s="25">
        <v>0</v>
      </c>
      <c r="W210" t="s">
        <v>1074</v>
      </c>
      <c r="X210" s="25" t="s">
        <v>756</v>
      </c>
      <c r="Y210" s="25" t="s">
        <v>756</v>
      </c>
      <c r="Z210" s="25" t="s">
        <v>756</v>
      </c>
    </row>
    <row r="211" spans="1:26" x14ac:dyDescent="0.3">
      <c r="A211">
        <v>310</v>
      </c>
      <c r="B211" t="s">
        <v>512</v>
      </c>
      <c r="C211" t="s">
        <v>648</v>
      </c>
      <c r="D211" t="s">
        <v>640</v>
      </c>
      <c r="E211" t="s">
        <v>658</v>
      </c>
      <c r="F211">
        <v>2540</v>
      </c>
      <c r="G211" t="s">
        <v>8</v>
      </c>
      <c r="H211">
        <v>185</v>
      </c>
      <c r="I211">
        <v>151</v>
      </c>
      <c r="J211">
        <v>337</v>
      </c>
      <c r="K211">
        <v>108</v>
      </c>
      <c r="L211">
        <v>286</v>
      </c>
      <c r="M211">
        <v>0</v>
      </c>
      <c r="N211">
        <v>9</v>
      </c>
      <c r="O211">
        <v>104</v>
      </c>
      <c r="P211">
        <v>35</v>
      </c>
      <c r="Q211">
        <v>53</v>
      </c>
      <c r="R211">
        <v>151</v>
      </c>
      <c r="S211" s="6">
        <v>1.2</v>
      </c>
      <c r="T211" s="6">
        <v>1.65</v>
      </c>
      <c r="U211" s="25">
        <v>1.1499999999999999</v>
      </c>
      <c r="V211" s="25">
        <v>0</v>
      </c>
      <c r="W211" t="s">
        <v>1081</v>
      </c>
      <c r="X211" s="25" t="s">
        <v>756</v>
      </c>
      <c r="Y211" s="25" t="s">
        <v>756</v>
      </c>
      <c r="Z211" s="25" t="s">
        <v>756</v>
      </c>
    </row>
    <row r="212" spans="1:26" x14ac:dyDescent="0.3">
      <c r="A212">
        <v>361</v>
      </c>
      <c r="B212" t="s">
        <v>413</v>
      </c>
      <c r="C212" t="s">
        <v>647</v>
      </c>
      <c r="D212" t="s">
        <v>640</v>
      </c>
      <c r="E212" t="s">
        <v>658</v>
      </c>
      <c r="F212">
        <v>3688</v>
      </c>
      <c r="G212" t="s">
        <v>8</v>
      </c>
      <c r="H212">
        <v>179</v>
      </c>
      <c r="I212">
        <v>145</v>
      </c>
      <c r="J212">
        <v>285</v>
      </c>
      <c r="K212">
        <v>100</v>
      </c>
      <c r="L212">
        <v>347</v>
      </c>
      <c r="M212">
        <v>0</v>
      </c>
      <c r="N212">
        <v>9</v>
      </c>
      <c r="O212">
        <v>84</v>
      </c>
      <c r="P212">
        <v>32</v>
      </c>
      <c r="Q212">
        <v>78</v>
      </c>
      <c r="R212">
        <v>160</v>
      </c>
      <c r="S212" s="6">
        <v>1.4</v>
      </c>
      <c r="T212" s="6">
        <v>1.25</v>
      </c>
      <c r="U212" s="25">
        <v>1.45</v>
      </c>
      <c r="V212" s="25">
        <v>0</v>
      </c>
      <c r="W212" t="s">
        <v>1069</v>
      </c>
      <c r="X212" s="25" t="s">
        <v>756</v>
      </c>
      <c r="Y212" s="25" t="s">
        <v>756</v>
      </c>
      <c r="Z212" s="25" t="s">
        <v>756</v>
      </c>
    </row>
    <row r="213" spans="1:26" x14ac:dyDescent="0.3">
      <c r="A213">
        <v>3361</v>
      </c>
      <c r="B213" t="s">
        <v>708</v>
      </c>
      <c r="C213" t="s">
        <v>647</v>
      </c>
      <c r="D213" t="s">
        <v>639</v>
      </c>
      <c r="E213" t="s">
        <v>658</v>
      </c>
      <c r="F213">
        <v>3928</v>
      </c>
      <c r="G213" t="s">
        <v>8</v>
      </c>
      <c r="H213">
        <v>194</v>
      </c>
      <c r="I213">
        <v>175</v>
      </c>
      <c r="J213">
        <v>285</v>
      </c>
      <c r="K213">
        <v>100</v>
      </c>
      <c r="L213">
        <v>387</v>
      </c>
      <c r="M213">
        <v>0</v>
      </c>
      <c r="N213">
        <v>9</v>
      </c>
      <c r="O213">
        <v>84</v>
      </c>
      <c r="P213">
        <v>32</v>
      </c>
      <c r="Q213">
        <v>78</v>
      </c>
      <c r="R213">
        <v>165</v>
      </c>
      <c r="S213" s="6">
        <v>1.55</v>
      </c>
      <c r="T213" s="6">
        <v>1.25</v>
      </c>
      <c r="U213" s="25">
        <v>1.45</v>
      </c>
      <c r="V213" s="25">
        <v>0</v>
      </c>
      <c r="W213" t="s">
        <v>1069</v>
      </c>
      <c r="X213" s="25" t="s">
        <v>756</v>
      </c>
      <c r="Y213" s="25" t="s">
        <v>756</v>
      </c>
      <c r="Z213" s="25" t="s">
        <v>756</v>
      </c>
    </row>
    <row r="214" spans="1:26" x14ac:dyDescent="0.3">
      <c r="A214">
        <v>258</v>
      </c>
      <c r="B214" t="s">
        <v>400</v>
      </c>
      <c r="C214" t="s">
        <v>650</v>
      </c>
      <c r="D214" t="s">
        <v>639</v>
      </c>
      <c r="E214" t="s">
        <v>658</v>
      </c>
      <c r="F214">
        <v>1982</v>
      </c>
      <c r="G214" t="s">
        <v>8</v>
      </c>
      <c r="H214">
        <v>182</v>
      </c>
      <c r="I214">
        <v>146</v>
      </c>
      <c r="J214">
        <v>234</v>
      </c>
      <c r="K214">
        <v>75</v>
      </c>
      <c r="L214">
        <v>289</v>
      </c>
      <c r="M214">
        <v>0</v>
      </c>
      <c r="N214">
        <v>10</v>
      </c>
      <c r="O214">
        <v>75</v>
      </c>
      <c r="P214">
        <v>23</v>
      </c>
      <c r="Q214">
        <v>51</v>
      </c>
      <c r="R214">
        <v>152</v>
      </c>
      <c r="S214" s="6">
        <v>1.3</v>
      </c>
      <c r="T214" s="6">
        <v>1.55</v>
      </c>
      <c r="U214" s="25">
        <v>1.3</v>
      </c>
      <c r="V214" s="25">
        <v>0</v>
      </c>
      <c r="W214" t="s">
        <v>1079</v>
      </c>
      <c r="X214" s="25" t="s">
        <v>756</v>
      </c>
      <c r="Y214" s="25" t="s">
        <v>756</v>
      </c>
      <c r="Z214" s="25" t="s">
        <v>756</v>
      </c>
    </row>
    <row r="215" spans="1:26" x14ac:dyDescent="0.3">
      <c r="A215">
        <v>3258</v>
      </c>
      <c r="B215" t="s">
        <v>704</v>
      </c>
      <c r="C215" t="s">
        <v>650</v>
      </c>
      <c r="D215" t="s">
        <v>642</v>
      </c>
      <c r="E215" t="s">
        <v>658</v>
      </c>
      <c r="F215">
        <v>2192</v>
      </c>
      <c r="G215" t="s">
        <v>8</v>
      </c>
      <c r="H215">
        <v>187</v>
      </c>
      <c r="I215">
        <v>201</v>
      </c>
      <c r="J215">
        <v>234</v>
      </c>
      <c r="K215">
        <v>110</v>
      </c>
      <c r="L215">
        <v>304</v>
      </c>
      <c r="M215">
        <v>0</v>
      </c>
      <c r="N215">
        <v>10</v>
      </c>
      <c r="O215">
        <v>75</v>
      </c>
      <c r="P215">
        <v>23</v>
      </c>
      <c r="Q215">
        <v>51</v>
      </c>
      <c r="R215">
        <v>152</v>
      </c>
      <c r="S215" s="6">
        <v>1.45</v>
      </c>
      <c r="T215" s="6">
        <v>1.55</v>
      </c>
      <c r="U215" s="25">
        <v>1.35</v>
      </c>
      <c r="V215" s="25">
        <v>0</v>
      </c>
      <c r="W215" t="s">
        <v>1079</v>
      </c>
      <c r="X215" s="25" t="s">
        <v>756</v>
      </c>
      <c r="Y215" s="25" t="s">
        <v>756</v>
      </c>
      <c r="Z215" s="25" t="s">
        <v>756</v>
      </c>
    </row>
    <row r="216" spans="1:26" x14ac:dyDescent="0.3">
      <c r="A216">
        <v>29</v>
      </c>
      <c r="B216" t="s">
        <v>487</v>
      </c>
      <c r="C216" t="s">
        <v>646</v>
      </c>
      <c r="D216" t="s">
        <v>641</v>
      </c>
      <c r="E216" t="s">
        <v>658</v>
      </c>
      <c r="F216">
        <v>3237</v>
      </c>
      <c r="G216" t="s">
        <v>8</v>
      </c>
      <c r="H216">
        <v>182</v>
      </c>
      <c r="I216">
        <v>142</v>
      </c>
      <c r="J216">
        <v>207</v>
      </c>
      <c r="K216">
        <v>101</v>
      </c>
      <c r="L216">
        <v>281</v>
      </c>
      <c r="M216">
        <v>0</v>
      </c>
      <c r="N216">
        <v>8</v>
      </c>
      <c r="O216">
        <v>80</v>
      </c>
      <c r="P216">
        <v>35</v>
      </c>
      <c r="Q216">
        <v>67</v>
      </c>
      <c r="R216">
        <v>151</v>
      </c>
      <c r="S216" s="6">
        <v>1.2</v>
      </c>
      <c r="T216" s="6">
        <v>1.55</v>
      </c>
      <c r="U216" s="25">
        <v>1.3</v>
      </c>
      <c r="V216" s="25">
        <v>0</v>
      </c>
      <c r="W216" s="25" t="s">
        <v>1064</v>
      </c>
      <c r="X216" s="25" t="s">
        <v>756</v>
      </c>
      <c r="Y216" s="25" t="s">
        <v>756</v>
      </c>
      <c r="Z216" s="25" t="s">
        <v>756</v>
      </c>
    </row>
    <row r="217" spans="1:26" x14ac:dyDescent="0.3">
      <c r="A217">
        <v>32</v>
      </c>
      <c r="B217" t="s">
        <v>490</v>
      </c>
      <c r="C217" t="s">
        <v>646</v>
      </c>
      <c r="D217" t="s">
        <v>640</v>
      </c>
      <c r="E217" t="s">
        <v>658</v>
      </c>
      <c r="F217">
        <v>3470</v>
      </c>
      <c r="G217" t="s">
        <v>8</v>
      </c>
      <c r="H217">
        <v>181</v>
      </c>
      <c r="I217">
        <v>164</v>
      </c>
      <c r="J217">
        <v>0</v>
      </c>
      <c r="K217">
        <v>90</v>
      </c>
      <c r="L217">
        <v>307</v>
      </c>
      <c r="M217">
        <v>0</v>
      </c>
      <c r="N217">
        <v>9</v>
      </c>
      <c r="O217">
        <v>95</v>
      </c>
      <c r="P217">
        <v>32</v>
      </c>
      <c r="Q217">
        <v>88</v>
      </c>
      <c r="R217">
        <v>158</v>
      </c>
      <c r="S217" s="6">
        <v>1.35</v>
      </c>
      <c r="T217" s="6">
        <v>0.65</v>
      </c>
      <c r="U217" s="25">
        <v>1</v>
      </c>
      <c r="V217" s="25">
        <v>0</v>
      </c>
      <c r="W217" s="25" t="s">
        <v>1065</v>
      </c>
      <c r="X217" s="25" t="s">
        <v>756</v>
      </c>
      <c r="Y217" s="25" t="s">
        <v>756</v>
      </c>
      <c r="Z217" s="25" t="s">
        <v>756</v>
      </c>
    </row>
    <row r="218" spans="1:26" x14ac:dyDescent="0.3">
      <c r="A218">
        <v>259</v>
      </c>
      <c r="B218" t="s">
        <v>401</v>
      </c>
      <c r="C218" t="s">
        <v>650</v>
      </c>
      <c r="D218" t="s">
        <v>639</v>
      </c>
      <c r="E218" t="s">
        <v>658</v>
      </c>
      <c r="F218">
        <v>1950</v>
      </c>
      <c r="G218" t="s">
        <v>8</v>
      </c>
      <c r="H218">
        <v>182</v>
      </c>
      <c r="I218">
        <v>146</v>
      </c>
      <c r="J218">
        <v>234</v>
      </c>
      <c r="K218">
        <v>72</v>
      </c>
      <c r="L218">
        <v>257</v>
      </c>
      <c r="M218">
        <v>0</v>
      </c>
      <c r="N218">
        <v>10</v>
      </c>
      <c r="O218">
        <v>75</v>
      </c>
      <c r="P218">
        <v>21</v>
      </c>
      <c r="Q218">
        <v>47</v>
      </c>
      <c r="R218">
        <v>155</v>
      </c>
      <c r="S218" s="6">
        <v>1.3</v>
      </c>
      <c r="T218" s="6">
        <v>1.55</v>
      </c>
      <c r="U218" s="25">
        <v>1.3</v>
      </c>
      <c r="V218" s="25">
        <v>0</v>
      </c>
      <c r="W218" t="s">
        <v>1079</v>
      </c>
      <c r="X218" s="25" t="s">
        <v>756</v>
      </c>
      <c r="Y218" s="25" t="s">
        <v>756</v>
      </c>
      <c r="Z218" s="25" t="s">
        <v>756</v>
      </c>
    </row>
    <row r="219" spans="1:26" x14ac:dyDescent="0.3">
      <c r="A219">
        <v>3259</v>
      </c>
      <c r="B219" t="s">
        <v>705</v>
      </c>
      <c r="C219" t="s">
        <v>650</v>
      </c>
      <c r="D219" t="s">
        <v>642</v>
      </c>
      <c r="E219" t="s">
        <v>658</v>
      </c>
      <c r="F219">
        <v>2160</v>
      </c>
      <c r="G219" t="s">
        <v>8</v>
      </c>
      <c r="H219">
        <v>187</v>
      </c>
      <c r="I219">
        <v>201</v>
      </c>
      <c r="J219">
        <v>234</v>
      </c>
      <c r="K219">
        <v>107</v>
      </c>
      <c r="L219">
        <v>272</v>
      </c>
      <c r="M219">
        <v>0</v>
      </c>
      <c r="N219">
        <v>10</v>
      </c>
      <c r="O219">
        <v>75</v>
      </c>
      <c r="P219">
        <v>21</v>
      </c>
      <c r="Q219">
        <v>47</v>
      </c>
      <c r="R219">
        <v>155</v>
      </c>
      <c r="S219" s="6">
        <v>1.45</v>
      </c>
      <c r="T219" s="6">
        <v>1.55</v>
      </c>
      <c r="U219" s="25">
        <v>1.35</v>
      </c>
      <c r="V219" s="25">
        <v>0</v>
      </c>
      <c r="W219" t="s">
        <v>1079</v>
      </c>
      <c r="X219" s="25" t="s">
        <v>756</v>
      </c>
      <c r="Y219" s="25" t="s">
        <v>756</v>
      </c>
      <c r="Z219" s="25" t="s">
        <v>756</v>
      </c>
    </row>
    <row r="220" spans="1:26" x14ac:dyDescent="0.3">
      <c r="A220" t="s">
        <v>335</v>
      </c>
      <c r="B220" t="s">
        <v>621</v>
      </c>
      <c r="C220" t="s">
        <v>654</v>
      </c>
      <c r="D220" t="s">
        <v>642</v>
      </c>
      <c r="E220" t="s">
        <v>658</v>
      </c>
      <c r="F220">
        <v>3695</v>
      </c>
      <c r="G220" t="s">
        <v>8</v>
      </c>
      <c r="H220">
        <v>179</v>
      </c>
      <c r="I220">
        <v>167</v>
      </c>
      <c r="J220">
        <v>310</v>
      </c>
      <c r="K220">
        <v>102</v>
      </c>
      <c r="L220">
        <v>313</v>
      </c>
      <c r="M220">
        <v>0</v>
      </c>
      <c r="N220">
        <v>11</v>
      </c>
      <c r="O220">
        <v>128</v>
      </c>
      <c r="P220">
        <v>31</v>
      </c>
      <c r="Q220">
        <v>87</v>
      </c>
      <c r="R220">
        <v>155</v>
      </c>
      <c r="S220" s="6">
        <v>1.45</v>
      </c>
      <c r="T220" s="6">
        <v>1.5</v>
      </c>
      <c r="U220" s="25">
        <v>1</v>
      </c>
      <c r="V220" s="25">
        <v>0</v>
      </c>
      <c r="W220" t="s">
        <v>1091</v>
      </c>
      <c r="X220" t="s">
        <v>1351</v>
      </c>
      <c r="Y220" t="s">
        <v>1352</v>
      </c>
      <c r="Z220" s="25" t="s">
        <v>756</v>
      </c>
    </row>
    <row r="221" spans="1:26" x14ac:dyDescent="0.3">
      <c r="A221">
        <v>30</v>
      </c>
      <c r="B221" t="s">
        <v>488</v>
      </c>
      <c r="C221" t="s">
        <v>646</v>
      </c>
      <c r="D221" t="s">
        <v>641</v>
      </c>
      <c r="E221" t="s">
        <v>658</v>
      </c>
      <c r="F221">
        <v>3237</v>
      </c>
      <c r="G221" t="s">
        <v>8</v>
      </c>
      <c r="H221">
        <v>182</v>
      </c>
      <c r="I221">
        <v>142</v>
      </c>
      <c r="J221">
        <v>207</v>
      </c>
      <c r="K221">
        <v>101</v>
      </c>
      <c r="L221">
        <v>281</v>
      </c>
      <c r="M221">
        <v>0</v>
      </c>
      <c r="N221">
        <v>8</v>
      </c>
      <c r="O221">
        <v>80</v>
      </c>
      <c r="P221">
        <v>35</v>
      </c>
      <c r="Q221">
        <v>82</v>
      </c>
      <c r="R221">
        <v>151</v>
      </c>
      <c r="S221" s="6">
        <v>1.2</v>
      </c>
      <c r="T221" s="6">
        <v>1.55</v>
      </c>
      <c r="U221" s="25">
        <v>1.3</v>
      </c>
      <c r="V221" s="25">
        <v>0</v>
      </c>
      <c r="W221" s="25" t="s">
        <v>1064</v>
      </c>
      <c r="X221" s="25" t="s">
        <v>756</v>
      </c>
      <c r="Y221" s="25" t="s">
        <v>756</v>
      </c>
      <c r="Z221" s="25" t="s">
        <v>756</v>
      </c>
    </row>
    <row r="222" spans="1:26" x14ac:dyDescent="0.3">
      <c r="A222">
        <v>303</v>
      </c>
      <c r="B222" t="s">
        <v>509</v>
      </c>
      <c r="C222" t="s">
        <v>646</v>
      </c>
      <c r="D222" t="s">
        <v>641</v>
      </c>
      <c r="E222" t="s">
        <v>658</v>
      </c>
      <c r="F222">
        <v>3237</v>
      </c>
      <c r="G222" t="s">
        <v>8</v>
      </c>
      <c r="H222">
        <v>182</v>
      </c>
      <c r="I222">
        <v>142</v>
      </c>
      <c r="J222">
        <v>207</v>
      </c>
      <c r="K222">
        <v>101</v>
      </c>
      <c r="L222">
        <v>281</v>
      </c>
      <c r="M222">
        <v>0</v>
      </c>
      <c r="N222">
        <v>8</v>
      </c>
      <c r="O222">
        <v>92</v>
      </c>
      <c r="P222">
        <v>35</v>
      </c>
      <c r="Q222">
        <v>69</v>
      </c>
      <c r="R222">
        <v>151</v>
      </c>
      <c r="S222" s="6">
        <v>1.2</v>
      </c>
      <c r="T222" s="6">
        <v>1.55</v>
      </c>
      <c r="U222" s="25">
        <v>1.3</v>
      </c>
      <c r="V222" s="25">
        <v>0</v>
      </c>
      <c r="W222" s="25" t="s">
        <v>1064</v>
      </c>
      <c r="X222" s="25" t="s">
        <v>756</v>
      </c>
      <c r="Y222" s="25" t="s">
        <v>756</v>
      </c>
      <c r="Z222" s="25" t="s">
        <v>756</v>
      </c>
    </row>
    <row r="223" spans="1:26" x14ac:dyDescent="0.3">
      <c r="A223" t="s">
        <v>341</v>
      </c>
      <c r="B223" t="s">
        <v>627</v>
      </c>
      <c r="C223" t="s">
        <v>655</v>
      </c>
      <c r="D223" t="s">
        <v>642</v>
      </c>
      <c r="E223" t="s">
        <v>658</v>
      </c>
      <c r="F223">
        <v>4106</v>
      </c>
      <c r="G223" t="s">
        <v>8</v>
      </c>
      <c r="H223">
        <v>170</v>
      </c>
      <c r="I223">
        <v>151</v>
      </c>
      <c r="J223">
        <v>248</v>
      </c>
      <c r="K223">
        <v>88</v>
      </c>
      <c r="L223">
        <v>274</v>
      </c>
      <c r="M223">
        <v>0</v>
      </c>
      <c r="N223">
        <v>11</v>
      </c>
      <c r="O223">
        <v>105</v>
      </c>
      <c r="P223">
        <v>32</v>
      </c>
      <c r="Q223">
        <v>66</v>
      </c>
      <c r="R223">
        <v>160</v>
      </c>
      <c r="S223" s="6">
        <v>1.1000000000000001</v>
      </c>
      <c r="T223" s="6">
        <v>1.4</v>
      </c>
      <c r="U223" s="25">
        <v>0.6</v>
      </c>
      <c r="V223" s="25">
        <v>0</v>
      </c>
      <c r="W223" t="s">
        <v>1092</v>
      </c>
      <c r="X223" t="s">
        <v>1092</v>
      </c>
      <c r="Y223" t="s">
        <v>1092</v>
      </c>
      <c r="Z223" t="s">
        <v>1092</v>
      </c>
    </row>
    <row r="224" spans="1:26" x14ac:dyDescent="0.3">
      <c r="A224">
        <v>36</v>
      </c>
      <c r="B224" t="s">
        <v>358</v>
      </c>
      <c r="C224" t="s">
        <v>646</v>
      </c>
      <c r="D224" t="s">
        <v>642</v>
      </c>
      <c r="E224" t="s">
        <v>658</v>
      </c>
      <c r="F224">
        <v>3755</v>
      </c>
      <c r="G224" t="s">
        <v>8</v>
      </c>
      <c r="H224">
        <v>190</v>
      </c>
      <c r="I224">
        <v>137</v>
      </c>
      <c r="J224">
        <v>168</v>
      </c>
      <c r="K224">
        <v>95</v>
      </c>
      <c r="L224">
        <v>449</v>
      </c>
      <c r="M224">
        <v>0</v>
      </c>
      <c r="N224">
        <v>11</v>
      </c>
      <c r="O224">
        <v>201</v>
      </c>
      <c r="P224">
        <v>32</v>
      </c>
      <c r="Q224">
        <v>85</v>
      </c>
      <c r="R224">
        <v>168</v>
      </c>
      <c r="S224" s="6">
        <v>1.05</v>
      </c>
      <c r="T224" s="6">
        <v>1.35</v>
      </c>
      <c r="U224" s="25">
        <v>1.7</v>
      </c>
      <c r="V224" s="25">
        <v>0</v>
      </c>
      <c r="W224" t="s">
        <v>1066</v>
      </c>
      <c r="X224" s="25" t="s">
        <v>756</v>
      </c>
      <c r="Y224" s="25" t="s">
        <v>756</v>
      </c>
      <c r="Z224" s="25" t="s">
        <v>756</v>
      </c>
    </row>
    <row r="225" spans="1:26" x14ac:dyDescent="0.3">
      <c r="A225">
        <v>3036</v>
      </c>
      <c r="B225" t="s">
        <v>697</v>
      </c>
      <c r="C225" t="s">
        <v>646</v>
      </c>
      <c r="D225" t="s">
        <v>644</v>
      </c>
      <c r="E225" t="s">
        <v>658</v>
      </c>
      <c r="F225">
        <v>3995</v>
      </c>
      <c r="G225" t="s">
        <v>8</v>
      </c>
      <c r="H225">
        <v>210</v>
      </c>
      <c r="I225">
        <v>182</v>
      </c>
      <c r="J225">
        <v>168</v>
      </c>
      <c r="K225">
        <v>95</v>
      </c>
      <c r="L225">
        <v>559</v>
      </c>
      <c r="M225">
        <v>0</v>
      </c>
      <c r="N225">
        <v>11</v>
      </c>
      <c r="O225">
        <v>201</v>
      </c>
      <c r="P225">
        <v>32</v>
      </c>
      <c r="Q225">
        <v>85</v>
      </c>
      <c r="R225">
        <v>168</v>
      </c>
      <c r="S225" s="6">
        <v>1.1499999999999999</v>
      </c>
      <c r="T225" s="6">
        <v>1.35</v>
      </c>
      <c r="U225" s="25">
        <v>1.85</v>
      </c>
      <c r="V225" s="25">
        <v>0</v>
      </c>
      <c r="W225" t="s">
        <v>1087</v>
      </c>
      <c r="X225" t="s">
        <v>1267</v>
      </c>
      <c r="Y225" s="25" t="s">
        <v>756</v>
      </c>
      <c r="Z225" s="25" t="s">
        <v>756</v>
      </c>
    </row>
    <row r="226" spans="1:26" x14ac:dyDescent="0.3">
      <c r="A226" s="24"/>
      <c r="B226" s="24" t="s">
        <v>1428</v>
      </c>
      <c r="C226" s="24" t="s">
        <v>646</v>
      </c>
      <c r="D226" s="24" t="s">
        <v>640</v>
      </c>
      <c r="E226" s="24" t="s">
        <v>658</v>
      </c>
      <c r="F226" s="24">
        <v>3517</v>
      </c>
      <c r="G226" s="24" t="s">
        <v>8</v>
      </c>
      <c r="H226" s="24">
        <v>179</v>
      </c>
      <c r="I226" s="24">
        <v>129</v>
      </c>
      <c r="J226" s="24">
        <v>157</v>
      </c>
      <c r="K226" s="24">
        <v>95</v>
      </c>
      <c r="L226" s="24">
        <v>429</v>
      </c>
      <c r="M226" s="24">
        <v>0</v>
      </c>
      <c r="N226" s="24">
        <v>8</v>
      </c>
      <c r="O226" s="24">
        <v>186</v>
      </c>
      <c r="P226" s="24">
        <v>32</v>
      </c>
      <c r="Q226" s="24">
        <v>77</v>
      </c>
      <c r="R226" s="24">
        <v>168</v>
      </c>
      <c r="S226" s="25">
        <v>1.05</v>
      </c>
      <c r="T226" s="25">
        <v>1.35</v>
      </c>
      <c r="U226" s="25">
        <v>1.6</v>
      </c>
      <c r="V226" s="25">
        <v>0</v>
      </c>
      <c r="W226" s="25" t="s">
        <v>1066</v>
      </c>
      <c r="X226" s="25" t="s">
        <v>756</v>
      </c>
      <c r="Y226" s="25" t="s">
        <v>756</v>
      </c>
      <c r="Z226" s="25" t="s">
        <v>756</v>
      </c>
    </row>
    <row r="227" spans="1:26" x14ac:dyDescent="0.3">
      <c r="A227" s="24"/>
      <c r="B227" s="24" t="s">
        <v>1000</v>
      </c>
      <c r="C227" s="24" t="s">
        <v>646</v>
      </c>
      <c r="D227" s="24" t="s">
        <v>639</v>
      </c>
      <c r="E227" t="s">
        <v>658</v>
      </c>
      <c r="F227" s="24">
        <v>3226</v>
      </c>
      <c r="G227" s="24" t="s">
        <v>8</v>
      </c>
      <c r="H227" s="24">
        <v>182</v>
      </c>
      <c r="I227" s="24">
        <v>131</v>
      </c>
      <c r="J227" s="24">
        <v>161</v>
      </c>
      <c r="K227" s="24">
        <v>95</v>
      </c>
      <c r="L227" s="24">
        <v>434</v>
      </c>
      <c r="M227" s="24">
        <v>0</v>
      </c>
      <c r="N227" s="24">
        <v>10</v>
      </c>
      <c r="O227" s="24">
        <v>192</v>
      </c>
      <c r="P227" s="24">
        <v>32</v>
      </c>
      <c r="Q227" s="24">
        <v>85</v>
      </c>
      <c r="R227" s="24">
        <v>168</v>
      </c>
      <c r="S227" s="25">
        <v>1</v>
      </c>
      <c r="T227" s="25">
        <v>1.1499999999999999</v>
      </c>
      <c r="U227" s="25">
        <v>1.65</v>
      </c>
      <c r="V227" s="25">
        <v>0</v>
      </c>
      <c r="W227" t="s">
        <v>1066</v>
      </c>
      <c r="X227" s="25" t="s">
        <v>756</v>
      </c>
      <c r="Y227" s="25" t="s">
        <v>756</v>
      </c>
      <c r="Z227" s="25" t="s">
        <v>756</v>
      </c>
    </row>
    <row r="228" spans="1:26" x14ac:dyDescent="0.3">
      <c r="A228" s="24" t="s">
        <v>940</v>
      </c>
      <c r="B228" s="24" t="s">
        <v>932</v>
      </c>
      <c r="C228" s="24" t="s">
        <v>646</v>
      </c>
      <c r="D228" s="24" t="s">
        <v>643</v>
      </c>
      <c r="E228" t="s">
        <v>658</v>
      </c>
      <c r="F228" s="24">
        <v>5257</v>
      </c>
      <c r="G228" s="24" t="s">
        <v>8</v>
      </c>
      <c r="H228" s="24">
        <v>156</v>
      </c>
      <c r="I228" s="24">
        <v>178</v>
      </c>
      <c r="J228" s="24">
        <v>0</v>
      </c>
      <c r="K228" s="24">
        <v>97</v>
      </c>
      <c r="L228" s="24">
        <v>365</v>
      </c>
      <c r="M228" s="24">
        <v>0</v>
      </c>
      <c r="N228" s="24">
        <v>12</v>
      </c>
      <c r="O228" s="24">
        <v>154</v>
      </c>
      <c r="P228" s="24">
        <v>33</v>
      </c>
      <c r="Q228" s="24">
        <v>0</v>
      </c>
      <c r="R228" s="24">
        <v>157</v>
      </c>
      <c r="S228" s="25">
        <v>1.45</v>
      </c>
      <c r="T228" s="25">
        <v>0.65</v>
      </c>
      <c r="U228" s="25">
        <v>1.3</v>
      </c>
      <c r="V228" s="25">
        <v>0.65</v>
      </c>
      <c r="W228" t="s">
        <v>1089</v>
      </c>
      <c r="X228" s="25" t="s">
        <v>756</v>
      </c>
      <c r="Y228" s="25" t="s">
        <v>756</v>
      </c>
      <c r="Z228" s="25" t="s">
        <v>756</v>
      </c>
    </row>
    <row r="229" spans="1:26" x14ac:dyDescent="0.3">
      <c r="A229">
        <v>308</v>
      </c>
      <c r="B229" t="s">
        <v>407</v>
      </c>
      <c r="C229" t="s">
        <v>648</v>
      </c>
      <c r="D229" t="s">
        <v>640</v>
      </c>
      <c r="E229" t="s">
        <v>658</v>
      </c>
      <c r="F229">
        <v>2540</v>
      </c>
      <c r="G229" t="s">
        <v>8</v>
      </c>
      <c r="H229">
        <v>185</v>
      </c>
      <c r="I229">
        <v>150</v>
      </c>
      <c r="J229">
        <v>326</v>
      </c>
      <c r="K229">
        <v>108</v>
      </c>
      <c r="L229">
        <v>276</v>
      </c>
      <c r="M229">
        <v>0</v>
      </c>
      <c r="N229">
        <v>8</v>
      </c>
      <c r="O229">
        <v>107</v>
      </c>
      <c r="P229">
        <v>35</v>
      </c>
      <c r="Q229">
        <v>42</v>
      </c>
      <c r="R229">
        <v>151</v>
      </c>
      <c r="S229" s="6">
        <v>1.2</v>
      </c>
      <c r="T229" s="6">
        <v>1.65</v>
      </c>
      <c r="U229" s="25">
        <v>1.1499999999999999</v>
      </c>
      <c r="V229" s="25">
        <v>0</v>
      </c>
      <c r="W229" t="s">
        <v>1081</v>
      </c>
      <c r="X229" s="25" t="s">
        <v>756</v>
      </c>
      <c r="Y229" s="25" t="s">
        <v>756</v>
      </c>
      <c r="Z229" s="25" t="s">
        <v>756</v>
      </c>
    </row>
    <row r="230" spans="1:26" x14ac:dyDescent="0.3">
      <c r="A230">
        <v>3308</v>
      </c>
      <c r="B230" t="s">
        <v>706</v>
      </c>
      <c r="C230" t="s">
        <v>648</v>
      </c>
      <c r="D230" t="s">
        <v>639</v>
      </c>
      <c r="E230" t="s">
        <v>658</v>
      </c>
      <c r="F230">
        <v>2780</v>
      </c>
      <c r="G230" t="s">
        <v>8</v>
      </c>
      <c r="H230">
        <v>190</v>
      </c>
      <c r="I230">
        <v>170</v>
      </c>
      <c r="J230">
        <v>391</v>
      </c>
      <c r="K230">
        <v>108</v>
      </c>
      <c r="L230">
        <v>276</v>
      </c>
      <c r="M230">
        <v>0</v>
      </c>
      <c r="N230">
        <v>9</v>
      </c>
      <c r="O230">
        <v>107</v>
      </c>
      <c r="P230">
        <v>35</v>
      </c>
      <c r="Q230">
        <v>42</v>
      </c>
      <c r="R230">
        <v>151</v>
      </c>
      <c r="S230" s="6">
        <v>1.25</v>
      </c>
      <c r="T230" s="6">
        <v>1.8</v>
      </c>
      <c r="U230" s="25">
        <v>1.1499999999999999</v>
      </c>
      <c r="V230" s="25">
        <v>0</v>
      </c>
      <c r="W230" t="s">
        <v>1081</v>
      </c>
      <c r="X230" s="25" t="s">
        <v>756</v>
      </c>
      <c r="Y230" s="25" t="s">
        <v>756</v>
      </c>
      <c r="Z230" s="25" t="s">
        <v>756</v>
      </c>
    </row>
    <row r="231" spans="1:26" x14ac:dyDescent="0.3">
      <c r="A231">
        <v>111</v>
      </c>
      <c r="B231" t="s">
        <v>496</v>
      </c>
      <c r="C231" t="s">
        <v>647</v>
      </c>
      <c r="D231" t="s">
        <v>639</v>
      </c>
      <c r="E231" t="s">
        <v>658</v>
      </c>
      <c r="F231">
        <v>3796</v>
      </c>
      <c r="G231" t="s">
        <v>8</v>
      </c>
      <c r="H231">
        <v>182</v>
      </c>
      <c r="I231">
        <v>156</v>
      </c>
      <c r="J231">
        <v>295</v>
      </c>
      <c r="K231">
        <v>100</v>
      </c>
      <c r="L231">
        <v>351</v>
      </c>
      <c r="M231">
        <v>0</v>
      </c>
      <c r="N231">
        <v>10</v>
      </c>
      <c r="O231">
        <v>87</v>
      </c>
      <c r="P231">
        <v>32</v>
      </c>
      <c r="Q231">
        <v>78</v>
      </c>
      <c r="R231">
        <v>160</v>
      </c>
      <c r="S231" s="6">
        <v>1.5</v>
      </c>
      <c r="T231" s="6">
        <v>1.5</v>
      </c>
      <c r="U231" s="25">
        <v>1.1000000000000001</v>
      </c>
      <c r="V231" s="25">
        <v>0</v>
      </c>
      <c r="W231" s="25" t="s">
        <v>1069</v>
      </c>
      <c r="X231" s="25" t="s">
        <v>756</v>
      </c>
      <c r="Y231" s="25" t="s">
        <v>756</v>
      </c>
      <c r="Z231" s="25" t="s">
        <v>756</v>
      </c>
    </row>
    <row r="232" spans="1:26" x14ac:dyDescent="0.3">
      <c r="A232">
        <v>371</v>
      </c>
      <c r="B232" t="s">
        <v>522</v>
      </c>
      <c r="C232" t="s">
        <v>647</v>
      </c>
      <c r="D232" t="s">
        <v>642</v>
      </c>
      <c r="E232" t="s">
        <v>658</v>
      </c>
      <c r="F232">
        <v>3744</v>
      </c>
      <c r="G232" t="s">
        <v>8</v>
      </c>
      <c r="H232">
        <v>182</v>
      </c>
      <c r="I232">
        <v>151</v>
      </c>
      <c r="J232">
        <v>161</v>
      </c>
      <c r="K232">
        <v>97</v>
      </c>
      <c r="L232">
        <v>385</v>
      </c>
      <c r="M232">
        <v>0</v>
      </c>
      <c r="N232">
        <v>11</v>
      </c>
      <c r="O232">
        <v>164</v>
      </c>
      <c r="P232">
        <v>32</v>
      </c>
      <c r="Q232">
        <v>70</v>
      </c>
      <c r="R232">
        <v>169</v>
      </c>
      <c r="S232" s="6">
        <v>1.3</v>
      </c>
      <c r="T232" s="6">
        <v>1.3</v>
      </c>
      <c r="U232" s="25">
        <v>1.3</v>
      </c>
      <c r="V232" s="25">
        <v>0</v>
      </c>
      <c r="W232" t="s">
        <v>1085</v>
      </c>
      <c r="X232" s="25" t="s">
        <v>756</v>
      </c>
      <c r="Y232" s="25" t="s">
        <v>756</v>
      </c>
      <c r="Z232" s="25" t="s">
        <v>756</v>
      </c>
    </row>
    <row r="233" spans="1:26" x14ac:dyDescent="0.3">
      <c r="A233" s="24"/>
      <c r="B233" s="24" t="s">
        <v>1002</v>
      </c>
      <c r="C233" s="24" t="s">
        <v>646</v>
      </c>
      <c r="D233" s="24" t="s">
        <v>639</v>
      </c>
      <c r="E233" t="s">
        <v>658</v>
      </c>
      <c r="F233" s="24">
        <v>3601</v>
      </c>
      <c r="G233" s="24" t="s">
        <v>8</v>
      </c>
      <c r="H233" s="24">
        <v>181</v>
      </c>
      <c r="I233" s="24">
        <v>162</v>
      </c>
      <c r="J233" s="24">
        <v>0</v>
      </c>
      <c r="K233" s="24">
        <v>94</v>
      </c>
      <c r="L233" s="24">
        <v>323</v>
      </c>
      <c r="M233" s="24">
        <v>0</v>
      </c>
      <c r="N233" s="24">
        <v>10</v>
      </c>
      <c r="O233" s="24">
        <v>100</v>
      </c>
      <c r="P233" s="24">
        <v>32</v>
      </c>
      <c r="Q233" s="24">
        <v>71</v>
      </c>
      <c r="R233" s="24">
        <v>158</v>
      </c>
      <c r="S233" s="25">
        <v>1.2</v>
      </c>
      <c r="T233" s="25">
        <v>0.65</v>
      </c>
      <c r="U233" s="25">
        <v>1.2</v>
      </c>
      <c r="V233" s="25">
        <v>0</v>
      </c>
      <c r="W233" s="25" t="s">
        <v>1067</v>
      </c>
      <c r="X233" s="25" t="s">
        <v>756</v>
      </c>
      <c r="Y233" s="25" t="s">
        <v>756</v>
      </c>
      <c r="Z233" s="25" t="s">
        <v>756</v>
      </c>
    </row>
    <row r="234" spans="1:26" x14ac:dyDescent="0.3">
      <c r="A234" s="24"/>
      <c r="B234" s="24" t="s">
        <v>1006</v>
      </c>
      <c r="C234" s="24" t="s">
        <v>647</v>
      </c>
      <c r="D234" s="24" t="s">
        <v>640</v>
      </c>
      <c r="E234" s="24" t="s">
        <v>658</v>
      </c>
      <c r="F234" s="24">
        <v>3688</v>
      </c>
      <c r="G234" s="24" t="s">
        <v>8</v>
      </c>
      <c r="H234" s="24">
        <v>171</v>
      </c>
      <c r="I234" s="24">
        <v>151</v>
      </c>
      <c r="J234" s="24">
        <v>273</v>
      </c>
      <c r="K234" s="24">
        <v>100</v>
      </c>
      <c r="L234" s="24">
        <v>307</v>
      </c>
      <c r="M234" s="24">
        <v>0</v>
      </c>
      <c r="N234" s="24">
        <v>9</v>
      </c>
      <c r="O234" s="24">
        <v>103</v>
      </c>
      <c r="P234" s="24">
        <v>32</v>
      </c>
      <c r="Q234" s="24">
        <v>32</v>
      </c>
      <c r="R234" s="24">
        <v>157</v>
      </c>
      <c r="S234" s="25">
        <v>1.35</v>
      </c>
      <c r="T234" s="25">
        <v>1.3</v>
      </c>
      <c r="U234" s="25">
        <v>1.1000000000000001</v>
      </c>
      <c r="V234" s="25">
        <v>0</v>
      </c>
      <c r="W234" t="s">
        <v>1069</v>
      </c>
      <c r="X234" s="25" t="s">
        <v>756</v>
      </c>
      <c r="Y234" s="25" t="s">
        <v>756</v>
      </c>
      <c r="Z234" s="25" t="s">
        <v>756</v>
      </c>
    </row>
    <row r="235" spans="1:26" x14ac:dyDescent="0.3">
      <c r="A235">
        <v>305</v>
      </c>
      <c r="B235" t="s">
        <v>511</v>
      </c>
      <c r="C235" t="s">
        <v>646</v>
      </c>
      <c r="D235" t="s">
        <v>639</v>
      </c>
      <c r="E235" t="s">
        <v>658</v>
      </c>
      <c r="F235">
        <v>3604</v>
      </c>
      <c r="G235" t="s">
        <v>8</v>
      </c>
      <c r="H235">
        <v>185</v>
      </c>
      <c r="I235">
        <v>171</v>
      </c>
      <c r="J235">
        <v>0</v>
      </c>
      <c r="K235">
        <v>90</v>
      </c>
      <c r="L235">
        <v>316</v>
      </c>
      <c r="M235">
        <v>0</v>
      </c>
      <c r="N235">
        <v>10</v>
      </c>
      <c r="O235">
        <v>101</v>
      </c>
      <c r="P235">
        <v>32</v>
      </c>
      <c r="Q235">
        <v>65</v>
      </c>
      <c r="R235">
        <v>166</v>
      </c>
      <c r="S235" s="6">
        <v>1.35</v>
      </c>
      <c r="T235" s="6">
        <v>0.65</v>
      </c>
      <c r="U235" s="25">
        <v>1</v>
      </c>
      <c r="V235" s="25">
        <v>0</v>
      </c>
      <c r="W235" s="25" t="s">
        <v>1065</v>
      </c>
      <c r="X235" s="25" t="s">
        <v>756</v>
      </c>
      <c r="Y235" s="25" t="s">
        <v>756</v>
      </c>
      <c r="Z235" s="25" t="s">
        <v>756</v>
      </c>
    </row>
    <row r="236" spans="1:26" x14ac:dyDescent="0.3">
      <c r="A236" s="24"/>
      <c r="B236" s="24" t="s">
        <v>1005</v>
      </c>
      <c r="C236" s="24" t="s">
        <v>647</v>
      </c>
      <c r="D236" s="24" t="s">
        <v>642</v>
      </c>
      <c r="E236" s="24" t="s">
        <v>658</v>
      </c>
      <c r="F236" s="24">
        <v>3796</v>
      </c>
      <c r="G236" s="24" t="s">
        <v>8</v>
      </c>
      <c r="H236" s="24">
        <v>190</v>
      </c>
      <c r="I236" s="24">
        <v>163</v>
      </c>
      <c r="J236" s="24">
        <v>364</v>
      </c>
      <c r="K236" s="24">
        <v>96</v>
      </c>
      <c r="L236" s="24">
        <v>304</v>
      </c>
      <c r="M236" s="24">
        <v>0</v>
      </c>
      <c r="N236" s="24">
        <v>11</v>
      </c>
      <c r="O236" s="24">
        <v>148</v>
      </c>
      <c r="P236" s="24">
        <v>32</v>
      </c>
      <c r="Q236" s="24">
        <v>44</v>
      </c>
      <c r="R236" s="24">
        <v>163</v>
      </c>
      <c r="S236" s="25">
        <v>1.55</v>
      </c>
      <c r="T236" s="25">
        <v>1.55</v>
      </c>
      <c r="U236" s="25">
        <v>1.1000000000000001</v>
      </c>
      <c r="V236" s="25">
        <v>0</v>
      </c>
      <c r="W236" s="25" t="s">
        <v>1111</v>
      </c>
      <c r="X236" s="25" t="s">
        <v>756</v>
      </c>
      <c r="Y236" s="25" t="s">
        <v>756</v>
      </c>
      <c r="Z236" s="25" t="s">
        <v>756</v>
      </c>
    </row>
    <row r="237" spans="1:26" x14ac:dyDescent="0.3">
      <c r="A237">
        <v>257</v>
      </c>
      <c r="B237" t="s">
        <v>507</v>
      </c>
      <c r="C237" t="s">
        <v>650</v>
      </c>
      <c r="D237" t="s">
        <v>639</v>
      </c>
      <c r="E237" t="s">
        <v>658</v>
      </c>
      <c r="F237">
        <v>1884</v>
      </c>
      <c r="G237" t="s">
        <v>8</v>
      </c>
      <c r="H237">
        <v>182</v>
      </c>
      <c r="I237">
        <v>120</v>
      </c>
      <c r="J237">
        <v>0</v>
      </c>
      <c r="K237">
        <v>79</v>
      </c>
      <c r="L237">
        <v>347</v>
      </c>
      <c r="M237">
        <v>0</v>
      </c>
      <c r="N237">
        <v>10</v>
      </c>
      <c r="O237">
        <v>55</v>
      </c>
      <c r="P237">
        <v>19</v>
      </c>
      <c r="Q237">
        <v>64</v>
      </c>
      <c r="R237">
        <v>146</v>
      </c>
      <c r="S237" s="6">
        <v>1.3</v>
      </c>
      <c r="T237" s="6">
        <v>1.2</v>
      </c>
      <c r="U237" s="25">
        <v>0.8</v>
      </c>
      <c r="V237" s="25">
        <v>0</v>
      </c>
      <c r="W237" t="s">
        <v>1078</v>
      </c>
      <c r="X237" s="25" t="s">
        <v>756</v>
      </c>
      <c r="Y237" s="25" t="s">
        <v>756</v>
      </c>
      <c r="Z237" s="25" t="s">
        <v>756</v>
      </c>
    </row>
    <row r="238" spans="1:26" x14ac:dyDescent="0.3">
      <c r="A238">
        <v>179</v>
      </c>
      <c r="B238" t="s">
        <v>502</v>
      </c>
      <c r="C238" t="s">
        <v>648</v>
      </c>
      <c r="D238" t="s">
        <v>639</v>
      </c>
      <c r="E238" t="s">
        <v>658</v>
      </c>
      <c r="F238">
        <v>2177</v>
      </c>
      <c r="G238" t="s">
        <v>8</v>
      </c>
      <c r="H238">
        <v>182</v>
      </c>
      <c r="I238">
        <v>131</v>
      </c>
      <c r="J238">
        <v>276</v>
      </c>
      <c r="K238">
        <v>105</v>
      </c>
      <c r="L238">
        <v>307</v>
      </c>
      <c r="M238">
        <v>0</v>
      </c>
      <c r="N238">
        <v>8</v>
      </c>
      <c r="O238">
        <v>84</v>
      </c>
      <c r="P238">
        <v>35</v>
      </c>
      <c r="Q238">
        <v>53</v>
      </c>
      <c r="R238">
        <v>140</v>
      </c>
      <c r="S238" s="6">
        <v>1.1000000000000001</v>
      </c>
      <c r="T238" s="6">
        <v>1.6</v>
      </c>
      <c r="U238" s="25">
        <v>1.25</v>
      </c>
      <c r="V238" s="25">
        <v>0</v>
      </c>
      <c r="W238" t="s">
        <v>1073</v>
      </c>
      <c r="X238" s="25" t="s">
        <v>756</v>
      </c>
      <c r="Y238" s="25" t="s">
        <v>756</v>
      </c>
      <c r="Z238" s="25" t="s">
        <v>756</v>
      </c>
    </row>
    <row r="239" spans="1:26" x14ac:dyDescent="0.3">
      <c r="A239">
        <v>3179</v>
      </c>
      <c r="B239" t="s">
        <v>877</v>
      </c>
      <c r="C239" t="s">
        <v>648</v>
      </c>
      <c r="D239" t="s">
        <v>642</v>
      </c>
      <c r="E239" t="s">
        <v>658</v>
      </c>
      <c r="F239">
        <v>2342</v>
      </c>
      <c r="G239" t="s">
        <v>8</v>
      </c>
      <c r="H239">
        <v>202</v>
      </c>
      <c r="I239">
        <v>161</v>
      </c>
      <c r="J239">
        <v>286</v>
      </c>
      <c r="K239">
        <v>105</v>
      </c>
      <c r="L239">
        <v>332</v>
      </c>
      <c r="M239">
        <v>0</v>
      </c>
      <c r="N239">
        <v>9</v>
      </c>
      <c r="O239">
        <v>84</v>
      </c>
      <c r="P239">
        <v>35</v>
      </c>
      <c r="Q239">
        <v>53</v>
      </c>
      <c r="R239">
        <v>160</v>
      </c>
      <c r="S239" s="6">
        <v>1.25</v>
      </c>
      <c r="T239" s="6">
        <v>1.65</v>
      </c>
      <c r="U239" s="25">
        <v>1.25</v>
      </c>
      <c r="V239" s="25">
        <v>0</v>
      </c>
      <c r="W239" t="s">
        <v>1073</v>
      </c>
      <c r="X239" s="25" t="s">
        <v>756</v>
      </c>
      <c r="Y239" s="25" t="s">
        <v>756</v>
      </c>
      <c r="Z239" s="25" t="s">
        <v>756</v>
      </c>
    </row>
    <row r="240" spans="1:26" x14ac:dyDescent="0.3">
      <c r="Q240"/>
      <c r="R240"/>
      <c r="S240" s="6"/>
      <c r="T240" s="6"/>
    </row>
    <row r="241" spans="1:26" x14ac:dyDescent="0.3">
      <c r="A241" t="s">
        <v>351</v>
      </c>
      <c r="B241" t="s">
        <v>149</v>
      </c>
      <c r="C241" t="s">
        <v>192</v>
      </c>
      <c r="D241" t="s">
        <v>352</v>
      </c>
      <c r="E241" t="s">
        <v>150</v>
      </c>
      <c r="F241" t="s">
        <v>7</v>
      </c>
      <c r="G241" t="s">
        <v>353</v>
      </c>
      <c r="H241" t="s">
        <v>14</v>
      </c>
      <c r="I241" t="s">
        <v>9</v>
      </c>
      <c r="J241" t="s">
        <v>11</v>
      </c>
      <c r="K241" t="s">
        <v>294</v>
      </c>
      <c r="L241" t="s">
        <v>265</v>
      </c>
      <c r="M241" t="s">
        <v>293</v>
      </c>
      <c r="N241" t="s">
        <v>667</v>
      </c>
      <c r="O241" t="s">
        <v>666</v>
      </c>
      <c r="P241" t="s">
        <v>295</v>
      </c>
      <c r="Q241" t="s">
        <v>761</v>
      </c>
      <c r="R241" t="s">
        <v>762</v>
      </c>
      <c r="S241" s="6" t="s">
        <v>53</v>
      </c>
      <c r="T241" s="6" t="s">
        <v>668</v>
      </c>
      <c r="U241" s="26" t="s">
        <v>936</v>
      </c>
      <c r="V241" s="26" t="s">
        <v>937</v>
      </c>
      <c r="W241" s="26" t="s">
        <v>1016</v>
      </c>
      <c r="X241" s="26" t="s">
        <v>1017</v>
      </c>
      <c r="Y241" s="26" t="s">
        <v>1053</v>
      </c>
      <c r="Z241" s="26" t="s">
        <v>1054</v>
      </c>
    </row>
    <row r="242" spans="1:26" x14ac:dyDescent="0.3">
      <c r="A242">
        <v>246</v>
      </c>
      <c r="B242" t="s">
        <v>552</v>
      </c>
      <c r="C242" t="s">
        <v>649</v>
      </c>
      <c r="D242" t="s">
        <v>639</v>
      </c>
      <c r="E242" t="s">
        <v>659</v>
      </c>
      <c r="F242">
        <v>4361</v>
      </c>
      <c r="G242" t="s">
        <v>10</v>
      </c>
      <c r="H242">
        <v>174</v>
      </c>
      <c r="I242">
        <v>298</v>
      </c>
      <c r="J242">
        <v>216</v>
      </c>
      <c r="K242">
        <v>54</v>
      </c>
      <c r="L242">
        <v>154</v>
      </c>
      <c r="M242">
        <v>0</v>
      </c>
      <c r="N242">
        <v>11</v>
      </c>
      <c r="O242">
        <v>0</v>
      </c>
      <c r="P242">
        <v>22</v>
      </c>
      <c r="Q242">
        <v>36</v>
      </c>
      <c r="R242">
        <v>125</v>
      </c>
      <c r="S242" s="6">
        <v>1.4</v>
      </c>
      <c r="T242" s="6">
        <v>1.3</v>
      </c>
      <c r="U242" s="25">
        <v>1</v>
      </c>
      <c r="V242" s="25">
        <v>0</v>
      </c>
      <c r="W242" t="s">
        <v>1333</v>
      </c>
      <c r="X242" t="s">
        <v>1334</v>
      </c>
      <c r="Y242" s="25" t="s">
        <v>756</v>
      </c>
      <c r="Z242" s="25" t="s">
        <v>756</v>
      </c>
    </row>
    <row r="243" spans="1:26" x14ac:dyDescent="0.3">
      <c r="A243">
        <v>242</v>
      </c>
      <c r="B243" t="s">
        <v>549</v>
      </c>
      <c r="C243" t="s">
        <v>649</v>
      </c>
      <c r="D243" t="s">
        <v>639</v>
      </c>
      <c r="E243" t="s">
        <v>659</v>
      </c>
      <c r="F243">
        <v>4970</v>
      </c>
      <c r="G243" t="s">
        <v>10</v>
      </c>
      <c r="H243">
        <v>176</v>
      </c>
      <c r="I243">
        <v>251</v>
      </c>
      <c r="J243">
        <v>190</v>
      </c>
      <c r="K243">
        <v>61</v>
      </c>
      <c r="L243">
        <v>189</v>
      </c>
      <c r="M243">
        <v>0</v>
      </c>
      <c r="N243">
        <v>11</v>
      </c>
      <c r="O243">
        <v>0</v>
      </c>
      <c r="P243">
        <v>25</v>
      </c>
      <c r="Q243">
        <v>66</v>
      </c>
      <c r="R243">
        <v>128</v>
      </c>
      <c r="S243" s="6">
        <v>1.3</v>
      </c>
      <c r="T243" s="6">
        <v>1.6</v>
      </c>
      <c r="U243" s="25">
        <v>1</v>
      </c>
      <c r="V243" s="25">
        <v>0</v>
      </c>
      <c r="W243" t="s">
        <v>1106</v>
      </c>
      <c r="X243" s="25" t="s">
        <v>756</v>
      </c>
      <c r="Y243" s="25" t="s">
        <v>756</v>
      </c>
      <c r="Z243" s="25" t="s">
        <v>756</v>
      </c>
    </row>
    <row r="244" spans="1:26" x14ac:dyDescent="0.3">
      <c r="A244">
        <v>192</v>
      </c>
      <c r="B244" t="s">
        <v>540</v>
      </c>
      <c r="C244" t="s">
        <v>648</v>
      </c>
      <c r="D244" t="s">
        <v>641</v>
      </c>
      <c r="E244" t="s">
        <v>659</v>
      </c>
      <c r="F244">
        <v>3527</v>
      </c>
      <c r="G244" t="s">
        <v>10</v>
      </c>
      <c r="H244">
        <v>163</v>
      </c>
      <c r="I244">
        <v>215</v>
      </c>
      <c r="J244">
        <v>190</v>
      </c>
      <c r="K244">
        <v>76</v>
      </c>
      <c r="L244">
        <v>167</v>
      </c>
      <c r="M244">
        <v>0</v>
      </c>
      <c r="N244">
        <v>9</v>
      </c>
      <c r="O244">
        <v>0</v>
      </c>
      <c r="P244">
        <v>32</v>
      </c>
      <c r="Q244">
        <v>52</v>
      </c>
      <c r="R244">
        <v>111</v>
      </c>
      <c r="S244" s="6">
        <v>1.3</v>
      </c>
      <c r="T244" s="6">
        <v>1.65</v>
      </c>
      <c r="U244" s="25">
        <v>1</v>
      </c>
      <c r="V244" s="25">
        <v>0</v>
      </c>
      <c r="W244" t="s">
        <v>1103</v>
      </c>
      <c r="X244" s="25" t="s">
        <v>756</v>
      </c>
      <c r="Y244" s="25" t="s">
        <v>756</v>
      </c>
      <c r="Z244" s="25" t="s">
        <v>756</v>
      </c>
    </row>
    <row r="245" spans="1:26" x14ac:dyDescent="0.3">
      <c r="A245">
        <v>198</v>
      </c>
      <c r="B245" t="s">
        <v>544</v>
      </c>
      <c r="C245" t="s">
        <v>648</v>
      </c>
      <c r="D245" t="s">
        <v>639</v>
      </c>
      <c r="E245" t="s">
        <v>659</v>
      </c>
      <c r="F245">
        <v>4162</v>
      </c>
      <c r="G245" t="s">
        <v>10</v>
      </c>
      <c r="H245">
        <v>168</v>
      </c>
      <c r="I245">
        <v>234</v>
      </c>
      <c r="J245">
        <v>223</v>
      </c>
      <c r="K245">
        <v>75</v>
      </c>
      <c r="L245">
        <v>171</v>
      </c>
      <c r="M245">
        <v>0</v>
      </c>
      <c r="N245">
        <v>11</v>
      </c>
      <c r="O245">
        <v>0</v>
      </c>
      <c r="P245">
        <v>28</v>
      </c>
      <c r="Q245">
        <v>60</v>
      </c>
      <c r="R245">
        <v>125</v>
      </c>
      <c r="S245" s="6">
        <v>1.3</v>
      </c>
      <c r="T245" s="6">
        <v>1.65</v>
      </c>
      <c r="U245" s="25">
        <v>1</v>
      </c>
      <c r="V245" s="25">
        <v>0</v>
      </c>
      <c r="W245" t="s">
        <v>1104</v>
      </c>
      <c r="X245" s="25" t="s">
        <v>756</v>
      </c>
      <c r="Y245" s="25" t="s">
        <v>756</v>
      </c>
      <c r="Z245" s="25" t="s">
        <v>756</v>
      </c>
    </row>
    <row r="246" spans="1:26" x14ac:dyDescent="0.3">
      <c r="A246">
        <v>46</v>
      </c>
      <c r="B246" t="s">
        <v>531</v>
      </c>
      <c r="C246" t="s">
        <v>646</v>
      </c>
      <c r="D246" t="s">
        <v>639</v>
      </c>
      <c r="E246" t="s">
        <v>659</v>
      </c>
      <c r="F246">
        <v>3881</v>
      </c>
      <c r="G246" t="s">
        <v>10</v>
      </c>
      <c r="H246">
        <v>161</v>
      </c>
      <c r="I246">
        <v>218</v>
      </c>
      <c r="J246">
        <v>0</v>
      </c>
      <c r="K246">
        <v>57</v>
      </c>
      <c r="L246">
        <v>226</v>
      </c>
      <c r="M246">
        <v>0</v>
      </c>
      <c r="N246">
        <v>11</v>
      </c>
      <c r="O246">
        <v>0</v>
      </c>
      <c r="P246">
        <v>26</v>
      </c>
      <c r="Q246">
        <v>15</v>
      </c>
      <c r="R246">
        <v>122</v>
      </c>
      <c r="S246" s="6">
        <v>1.1499999999999999</v>
      </c>
      <c r="T246" s="6">
        <v>0.6</v>
      </c>
      <c r="U246" s="25">
        <v>1.3</v>
      </c>
      <c r="V246" s="25">
        <v>0</v>
      </c>
      <c r="W246" t="s">
        <v>1096</v>
      </c>
      <c r="X246" s="25" t="s">
        <v>756</v>
      </c>
      <c r="Y246" s="25" t="s">
        <v>756</v>
      </c>
      <c r="Z246" s="25" t="s">
        <v>756</v>
      </c>
    </row>
    <row r="247" spans="1:26" x14ac:dyDescent="0.3">
      <c r="A247">
        <v>201</v>
      </c>
      <c r="B247" t="s">
        <v>546</v>
      </c>
      <c r="C247" t="s">
        <v>648</v>
      </c>
      <c r="D247" t="s">
        <v>642</v>
      </c>
      <c r="E247" t="s">
        <v>659</v>
      </c>
      <c r="F247">
        <v>4295</v>
      </c>
      <c r="G247" t="s">
        <v>10</v>
      </c>
      <c r="H247">
        <v>175</v>
      </c>
      <c r="I247">
        <v>270</v>
      </c>
      <c r="J247">
        <v>245</v>
      </c>
      <c r="K247">
        <v>79</v>
      </c>
      <c r="L247">
        <v>178</v>
      </c>
      <c r="M247">
        <v>0</v>
      </c>
      <c r="N247">
        <v>12</v>
      </c>
      <c r="O247">
        <v>0</v>
      </c>
      <c r="P247">
        <v>31</v>
      </c>
      <c r="Q247">
        <v>48</v>
      </c>
      <c r="R247">
        <v>134</v>
      </c>
      <c r="S247" s="6">
        <v>1.35</v>
      </c>
      <c r="T247" s="6">
        <v>1.7</v>
      </c>
      <c r="U247" s="25">
        <v>1</v>
      </c>
      <c r="V247" s="25">
        <v>0</v>
      </c>
      <c r="W247" t="s">
        <v>1105</v>
      </c>
      <c r="X247" s="25" t="s">
        <v>756</v>
      </c>
      <c r="Y247" s="25" t="s">
        <v>756</v>
      </c>
      <c r="Z247" s="25" t="s">
        <v>756</v>
      </c>
    </row>
    <row r="248" spans="1:26" x14ac:dyDescent="0.3">
      <c r="A248" s="24" t="s">
        <v>945</v>
      </c>
      <c r="B248" s="24" t="s">
        <v>929</v>
      </c>
      <c r="C248" s="24" t="s">
        <v>648</v>
      </c>
      <c r="D248" s="24" t="s">
        <v>643</v>
      </c>
      <c r="E248" s="24" t="s">
        <v>941</v>
      </c>
      <c r="F248" s="24">
        <v>7541</v>
      </c>
      <c r="G248" t="s">
        <v>10</v>
      </c>
      <c r="H248" s="24">
        <v>170</v>
      </c>
      <c r="I248" s="24">
        <v>307</v>
      </c>
      <c r="J248" s="24">
        <v>0</v>
      </c>
      <c r="K248" s="24">
        <v>50</v>
      </c>
      <c r="L248" s="24">
        <v>226</v>
      </c>
      <c r="M248" s="24">
        <v>0</v>
      </c>
      <c r="N248" s="24">
        <v>16</v>
      </c>
      <c r="O248" s="24">
        <v>0</v>
      </c>
      <c r="P248" s="24">
        <v>27</v>
      </c>
      <c r="Q248" s="24">
        <v>0</v>
      </c>
      <c r="R248" s="24">
        <v>123</v>
      </c>
      <c r="S248" s="25">
        <v>1</v>
      </c>
      <c r="T248" s="25">
        <v>0.6</v>
      </c>
      <c r="U248" s="25">
        <v>1.1000000000000001</v>
      </c>
      <c r="V248" s="25">
        <v>0</v>
      </c>
      <c r="W248" t="s">
        <v>1358</v>
      </c>
      <c r="X248" t="s">
        <v>1114</v>
      </c>
      <c r="Y248" t="s">
        <v>1115</v>
      </c>
      <c r="Z248" s="25" t="s">
        <v>756</v>
      </c>
    </row>
    <row r="249" spans="1:26" x14ac:dyDescent="0.3">
      <c r="A249" s="24"/>
      <c r="B249" s="24" t="s">
        <v>1418</v>
      </c>
      <c r="C249" s="24" t="s">
        <v>646</v>
      </c>
      <c r="D249" s="24" t="s">
        <v>642</v>
      </c>
      <c r="E249" s="24" t="s">
        <v>184</v>
      </c>
      <c r="F249" s="24">
        <v>4591</v>
      </c>
      <c r="G249" s="24" t="s">
        <v>10</v>
      </c>
      <c r="H249" s="24">
        <v>185</v>
      </c>
      <c r="I249" s="24">
        <v>270</v>
      </c>
      <c r="J249" s="24">
        <v>0</v>
      </c>
      <c r="K249" s="24">
        <v>57</v>
      </c>
      <c r="L249" s="24">
        <v>260</v>
      </c>
      <c r="M249" s="24">
        <v>0</v>
      </c>
      <c r="N249" s="24">
        <v>11</v>
      </c>
      <c r="O249" s="24">
        <v>0</v>
      </c>
      <c r="P249" s="24">
        <v>26</v>
      </c>
      <c r="Q249" s="24">
        <v>56</v>
      </c>
      <c r="R249" s="24">
        <v>136</v>
      </c>
      <c r="S249" s="25">
        <v>1.3</v>
      </c>
      <c r="T249" s="25">
        <v>0.75</v>
      </c>
      <c r="U249" s="25">
        <v>1.35</v>
      </c>
      <c r="V249" s="25">
        <v>0</v>
      </c>
      <c r="W249" s="25" t="s">
        <v>1419</v>
      </c>
      <c r="X249" s="25" t="s">
        <v>756</v>
      </c>
      <c r="Y249" s="25" t="s">
        <v>756</v>
      </c>
      <c r="Z249" s="25" t="s">
        <v>756</v>
      </c>
    </row>
    <row r="250" spans="1:26" x14ac:dyDescent="0.3">
      <c r="A250" t="s">
        <v>336</v>
      </c>
      <c r="B250" t="s">
        <v>622</v>
      </c>
      <c r="C250" t="s">
        <v>654</v>
      </c>
      <c r="D250" t="s">
        <v>642</v>
      </c>
      <c r="E250" t="s">
        <v>659</v>
      </c>
      <c r="F250">
        <v>4062</v>
      </c>
      <c r="G250" t="s">
        <v>10</v>
      </c>
      <c r="H250">
        <v>170</v>
      </c>
      <c r="I250">
        <v>251</v>
      </c>
      <c r="J250">
        <v>218</v>
      </c>
      <c r="K250">
        <v>68</v>
      </c>
      <c r="L250">
        <v>193</v>
      </c>
      <c r="M250">
        <v>0</v>
      </c>
      <c r="N250">
        <v>12</v>
      </c>
      <c r="O250">
        <v>0</v>
      </c>
      <c r="P250">
        <v>27</v>
      </c>
      <c r="Q250">
        <v>83</v>
      </c>
      <c r="R250">
        <v>126</v>
      </c>
      <c r="S250" s="6">
        <v>1.3</v>
      </c>
      <c r="T250" s="6">
        <v>1.65</v>
      </c>
      <c r="U250" s="25">
        <v>1.1000000000000001</v>
      </c>
      <c r="V250" s="25">
        <v>0</v>
      </c>
      <c r="W250" s="27" t="s">
        <v>1355</v>
      </c>
      <c r="X250" s="27" t="s">
        <v>1356</v>
      </c>
      <c r="Y250" s="27" t="s">
        <v>1357</v>
      </c>
      <c r="Z250" s="25" t="s">
        <v>756</v>
      </c>
    </row>
    <row r="251" spans="1:26" x14ac:dyDescent="0.3">
      <c r="A251">
        <v>42</v>
      </c>
      <c r="B251" t="s">
        <v>528</v>
      </c>
      <c r="C251" t="s">
        <v>646</v>
      </c>
      <c r="D251" t="s">
        <v>640</v>
      </c>
      <c r="E251" t="s">
        <v>659</v>
      </c>
      <c r="F251">
        <v>3393</v>
      </c>
      <c r="G251" t="s">
        <v>8</v>
      </c>
      <c r="H251">
        <v>167</v>
      </c>
      <c r="I251">
        <v>240</v>
      </c>
      <c r="J251">
        <v>0</v>
      </c>
      <c r="K251">
        <v>53</v>
      </c>
      <c r="L251">
        <v>204</v>
      </c>
      <c r="M251">
        <v>0</v>
      </c>
      <c r="N251">
        <v>10</v>
      </c>
      <c r="O251">
        <v>0</v>
      </c>
      <c r="P251">
        <v>26</v>
      </c>
      <c r="Q251">
        <v>32</v>
      </c>
      <c r="R251">
        <v>121</v>
      </c>
      <c r="S251" s="6">
        <v>1.2</v>
      </c>
      <c r="T251" s="6">
        <v>0.55000000000000004</v>
      </c>
      <c r="U251" s="25">
        <v>1.05</v>
      </c>
      <c r="V251" s="25">
        <v>0</v>
      </c>
      <c r="W251" t="s">
        <v>1094</v>
      </c>
      <c r="X251" s="25" t="s">
        <v>756</v>
      </c>
      <c r="Y251" s="25" t="s">
        <v>756</v>
      </c>
      <c r="Z251" s="25" t="s">
        <v>756</v>
      </c>
    </row>
    <row r="252" spans="1:26" x14ac:dyDescent="0.3">
      <c r="A252">
        <v>203</v>
      </c>
      <c r="B252" t="s">
        <v>548</v>
      </c>
      <c r="C252" t="s">
        <v>648</v>
      </c>
      <c r="D252" t="s">
        <v>642</v>
      </c>
      <c r="E252" t="s">
        <v>659</v>
      </c>
      <c r="F252">
        <v>4295</v>
      </c>
      <c r="G252" t="s">
        <v>10</v>
      </c>
      <c r="H252">
        <v>175</v>
      </c>
      <c r="I252">
        <v>261</v>
      </c>
      <c r="J252">
        <v>221</v>
      </c>
      <c r="K252">
        <v>79</v>
      </c>
      <c r="L252">
        <v>178</v>
      </c>
      <c r="M252">
        <v>0</v>
      </c>
      <c r="N252">
        <v>12</v>
      </c>
      <c r="O252">
        <v>0</v>
      </c>
      <c r="P252">
        <v>31</v>
      </c>
      <c r="Q252">
        <v>50</v>
      </c>
      <c r="R252">
        <v>134</v>
      </c>
      <c r="S252" s="6">
        <v>1.25</v>
      </c>
      <c r="T252" s="6">
        <v>1.3</v>
      </c>
      <c r="U252" s="25">
        <v>1.1000000000000001</v>
      </c>
      <c r="V252" s="25">
        <v>0</v>
      </c>
      <c r="W252" t="s">
        <v>1105</v>
      </c>
      <c r="X252" s="25" t="s">
        <v>756</v>
      </c>
      <c r="Y252" s="25" t="s">
        <v>756</v>
      </c>
      <c r="Z252" s="25" t="s">
        <v>756</v>
      </c>
    </row>
    <row r="253" spans="1:26" x14ac:dyDescent="0.3">
      <c r="A253">
        <v>245</v>
      </c>
      <c r="B253" t="s">
        <v>551</v>
      </c>
      <c r="C253" t="s">
        <v>649</v>
      </c>
      <c r="D253" t="s">
        <v>639</v>
      </c>
      <c r="E253" t="s">
        <v>659</v>
      </c>
      <c r="F253">
        <v>4018</v>
      </c>
      <c r="G253" t="s">
        <v>10</v>
      </c>
      <c r="H253">
        <v>176</v>
      </c>
      <c r="I253">
        <v>301</v>
      </c>
      <c r="J253">
        <v>220</v>
      </c>
      <c r="K253">
        <v>53</v>
      </c>
      <c r="L253">
        <v>154</v>
      </c>
      <c r="M253">
        <v>0</v>
      </c>
      <c r="N253">
        <v>11</v>
      </c>
      <c r="O253">
        <v>0</v>
      </c>
      <c r="P253">
        <v>22</v>
      </c>
      <c r="Q253">
        <v>72</v>
      </c>
      <c r="R253">
        <v>131</v>
      </c>
      <c r="S253" s="6">
        <v>1.4</v>
      </c>
      <c r="T253" s="6">
        <v>1.3</v>
      </c>
      <c r="U253" s="25">
        <v>1</v>
      </c>
      <c r="V253" s="25">
        <v>0</v>
      </c>
      <c r="W253" t="s">
        <v>1333</v>
      </c>
      <c r="X253" t="s">
        <v>1334</v>
      </c>
      <c r="Y253" s="25" t="s">
        <v>756</v>
      </c>
      <c r="Z253" s="25" t="s">
        <v>756</v>
      </c>
    </row>
    <row r="254" spans="1:26" x14ac:dyDescent="0.3">
      <c r="A254">
        <v>124</v>
      </c>
      <c r="B254" t="s">
        <v>539</v>
      </c>
      <c r="C254" t="s">
        <v>647</v>
      </c>
      <c r="D254" t="s">
        <v>639</v>
      </c>
      <c r="E254" t="s">
        <v>659</v>
      </c>
      <c r="F254">
        <v>4755</v>
      </c>
      <c r="G254" t="s">
        <v>10</v>
      </c>
      <c r="H254">
        <v>165</v>
      </c>
      <c r="I254">
        <v>182</v>
      </c>
      <c r="J254">
        <v>245</v>
      </c>
      <c r="K254">
        <v>68</v>
      </c>
      <c r="L254">
        <v>249</v>
      </c>
      <c r="M254">
        <v>0</v>
      </c>
      <c r="N254">
        <v>10</v>
      </c>
      <c r="O254">
        <v>0</v>
      </c>
      <c r="P254">
        <v>25</v>
      </c>
      <c r="Q254">
        <v>33</v>
      </c>
      <c r="R254">
        <v>116</v>
      </c>
      <c r="S254" s="6">
        <v>1.25</v>
      </c>
      <c r="T254" s="6">
        <v>1.5</v>
      </c>
      <c r="U254" s="25">
        <v>1.2</v>
      </c>
      <c r="V254" s="25">
        <v>0</v>
      </c>
      <c r="W254" t="s">
        <v>1100</v>
      </c>
      <c r="X254" s="25" t="s">
        <v>756</v>
      </c>
      <c r="Y254" s="25" t="s">
        <v>756</v>
      </c>
      <c r="Z254" s="25" t="s">
        <v>756</v>
      </c>
    </row>
    <row r="255" spans="1:26" x14ac:dyDescent="0.3">
      <c r="A255" s="24"/>
      <c r="B255" s="24" t="s">
        <v>968</v>
      </c>
      <c r="C255" s="24" t="s">
        <v>975</v>
      </c>
      <c r="D255" s="24" t="s">
        <v>642</v>
      </c>
      <c r="E255" s="24" t="s">
        <v>184</v>
      </c>
      <c r="F255" s="24">
        <v>5020</v>
      </c>
      <c r="G255" s="24" t="s">
        <v>10</v>
      </c>
      <c r="H255" s="24">
        <v>175</v>
      </c>
      <c r="I255" s="24">
        <v>255</v>
      </c>
      <c r="J255" s="24">
        <v>0</v>
      </c>
      <c r="K255" s="24">
        <v>53</v>
      </c>
      <c r="L255" s="24">
        <v>225</v>
      </c>
      <c r="M255" s="24">
        <v>0</v>
      </c>
      <c r="N255" s="24">
        <v>12</v>
      </c>
      <c r="O255" s="24">
        <v>0</v>
      </c>
      <c r="P255" s="24">
        <v>28</v>
      </c>
      <c r="Q255" s="24">
        <v>66</v>
      </c>
      <c r="R255" s="24">
        <v>131</v>
      </c>
      <c r="S255" s="25">
        <v>1.1000000000000001</v>
      </c>
      <c r="T255" s="25">
        <v>0.55000000000000004</v>
      </c>
      <c r="U255" s="25">
        <v>1.25</v>
      </c>
      <c r="V255" s="25">
        <v>0</v>
      </c>
      <c r="W255" s="25" t="s">
        <v>756</v>
      </c>
      <c r="X255" s="25" t="s">
        <v>756</v>
      </c>
      <c r="Y255" s="25" t="s">
        <v>756</v>
      </c>
      <c r="Z255" s="25" t="s">
        <v>756</v>
      </c>
    </row>
    <row r="256" spans="1:26" x14ac:dyDescent="0.3">
      <c r="A256">
        <v>126</v>
      </c>
      <c r="B256" t="s">
        <v>383</v>
      </c>
      <c r="C256" t="s">
        <v>647</v>
      </c>
      <c r="D256" t="s">
        <v>639</v>
      </c>
      <c r="E256" t="s">
        <v>659</v>
      </c>
      <c r="F256">
        <v>3705</v>
      </c>
      <c r="G256" t="s">
        <v>10</v>
      </c>
      <c r="H256">
        <v>176</v>
      </c>
      <c r="I256">
        <v>226</v>
      </c>
      <c r="J256">
        <v>193</v>
      </c>
      <c r="K256">
        <v>72</v>
      </c>
      <c r="L256">
        <v>243</v>
      </c>
      <c r="M256">
        <v>0</v>
      </c>
      <c r="N256">
        <v>11</v>
      </c>
      <c r="O256">
        <v>0</v>
      </c>
      <c r="P256">
        <v>25</v>
      </c>
      <c r="Q256">
        <v>49</v>
      </c>
      <c r="R256">
        <v>125</v>
      </c>
      <c r="S256" s="6">
        <v>1.4</v>
      </c>
      <c r="T256" s="6">
        <v>1.65</v>
      </c>
      <c r="U256" s="25">
        <v>1</v>
      </c>
      <c r="V256" s="25">
        <v>0</v>
      </c>
      <c r="W256" t="s">
        <v>1101</v>
      </c>
      <c r="X256" s="25" t="s">
        <v>756</v>
      </c>
      <c r="Y256" s="25" t="s">
        <v>756</v>
      </c>
      <c r="Z256" s="25" t="s">
        <v>756</v>
      </c>
    </row>
    <row r="257" spans="1:26" x14ac:dyDescent="0.3">
      <c r="A257">
        <v>3126</v>
      </c>
      <c r="B257" t="s">
        <v>694</v>
      </c>
      <c r="C257" t="s">
        <v>647</v>
      </c>
      <c r="D257" t="s">
        <v>642</v>
      </c>
      <c r="E257" t="s">
        <v>659</v>
      </c>
      <c r="F257">
        <v>3945</v>
      </c>
      <c r="G257" t="s">
        <v>10</v>
      </c>
      <c r="H257">
        <v>191</v>
      </c>
      <c r="I257">
        <v>266</v>
      </c>
      <c r="J257">
        <v>193</v>
      </c>
      <c r="K257">
        <v>72</v>
      </c>
      <c r="L257">
        <v>258</v>
      </c>
      <c r="M257">
        <v>0</v>
      </c>
      <c r="N257">
        <v>11</v>
      </c>
      <c r="O257">
        <v>0</v>
      </c>
      <c r="P257">
        <v>25</v>
      </c>
      <c r="Q257">
        <v>49</v>
      </c>
      <c r="R257">
        <v>150</v>
      </c>
      <c r="S257" s="6">
        <v>1.45</v>
      </c>
      <c r="T257" s="6">
        <v>1.65</v>
      </c>
      <c r="U257" s="25">
        <v>1.1499999999999999</v>
      </c>
      <c r="V257" s="25">
        <v>0</v>
      </c>
      <c r="W257" t="s">
        <v>1101</v>
      </c>
      <c r="X257" s="25" t="s">
        <v>756</v>
      </c>
      <c r="Y257" s="25" t="s">
        <v>756</v>
      </c>
      <c r="Z257" s="25" t="s">
        <v>756</v>
      </c>
    </row>
    <row r="258" spans="1:26" x14ac:dyDescent="0.3">
      <c r="A258">
        <v>190</v>
      </c>
      <c r="B258" t="s">
        <v>390</v>
      </c>
      <c r="C258" t="s">
        <v>648</v>
      </c>
      <c r="D258" t="s">
        <v>641</v>
      </c>
      <c r="E258" t="s">
        <v>659</v>
      </c>
      <c r="F258">
        <v>3439</v>
      </c>
      <c r="G258" t="s">
        <v>10</v>
      </c>
      <c r="H258">
        <v>163</v>
      </c>
      <c r="I258">
        <v>215</v>
      </c>
      <c r="J258">
        <v>190</v>
      </c>
      <c r="K258">
        <v>75</v>
      </c>
      <c r="L258">
        <v>161</v>
      </c>
      <c r="M258">
        <v>0</v>
      </c>
      <c r="N258">
        <v>9</v>
      </c>
      <c r="O258">
        <v>0</v>
      </c>
      <c r="P258">
        <v>31</v>
      </c>
      <c r="Q258">
        <v>34</v>
      </c>
      <c r="R258">
        <v>111</v>
      </c>
      <c r="S258" s="6">
        <v>1.25</v>
      </c>
      <c r="T258" s="6">
        <v>1.7</v>
      </c>
      <c r="U258" s="25">
        <v>1</v>
      </c>
      <c r="V258" s="25">
        <v>0</v>
      </c>
      <c r="W258" t="s">
        <v>1102</v>
      </c>
      <c r="X258" s="25" t="s">
        <v>756</v>
      </c>
      <c r="Y258" s="25" t="s">
        <v>756</v>
      </c>
      <c r="Z258" s="25" t="s">
        <v>756</v>
      </c>
    </row>
    <row r="259" spans="1:26" x14ac:dyDescent="0.3">
      <c r="A259">
        <v>3190</v>
      </c>
      <c r="B259" t="s">
        <v>695</v>
      </c>
      <c r="C259" t="s">
        <v>648</v>
      </c>
      <c r="D259" t="s">
        <v>640</v>
      </c>
      <c r="E259" t="s">
        <v>659</v>
      </c>
      <c r="F259">
        <v>3719</v>
      </c>
      <c r="G259" t="s">
        <v>10</v>
      </c>
      <c r="H259">
        <v>168</v>
      </c>
      <c r="I259">
        <v>245</v>
      </c>
      <c r="J259">
        <v>235</v>
      </c>
      <c r="K259">
        <v>75</v>
      </c>
      <c r="L259">
        <v>176</v>
      </c>
      <c r="M259">
        <v>0</v>
      </c>
      <c r="N259">
        <v>9</v>
      </c>
      <c r="O259">
        <v>0</v>
      </c>
      <c r="P259">
        <v>31</v>
      </c>
      <c r="Q259">
        <v>34</v>
      </c>
      <c r="R259">
        <v>111</v>
      </c>
      <c r="S259" s="6">
        <v>1.3</v>
      </c>
      <c r="T259" s="6">
        <v>1.8</v>
      </c>
      <c r="U259" s="25">
        <v>1.05</v>
      </c>
      <c r="V259" s="25">
        <v>0</v>
      </c>
      <c r="W259" t="s">
        <v>1102</v>
      </c>
      <c r="X259" s="25" t="s">
        <v>756</v>
      </c>
      <c r="Y259" s="25" t="s">
        <v>756</v>
      </c>
      <c r="Z259" s="25" t="s">
        <v>756</v>
      </c>
    </row>
    <row r="260" spans="1:26" x14ac:dyDescent="0.3">
      <c r="A260">
        <v>43</v>
      </c>
      <c r="B260" t="s">
        <v>529</v>
      </c>
      <c r="C260" t="s">
        <v>646</v>
      </c>
      <c r="D260" t="s">
        <v>639</v>
      </c>
      <c r="E260" t="s">
        <v>659</v>
      </c>
      <c r="F260">
        <v>3445</v>
      </c>
      <c r="G260" t="s">
        <v>8</v>
      </c>
      <c r="H260">
        <v>171</v>
      </c>
      <c r="I260">
        <v>246</v>
      </c>
      <c r="J260">
        <v>0</v>
      </c>
      <c r="K260">
        <v>53</v>
      </c>
      <c r="L260">
        <v>210</v>
      </c>
      <c r="M260">
        <v>0</v>
      </c>
      <c r="N260">
        <v>11</v>
      </c>
      <c r="O260">
        <v>0</v>
      </c>
      <c r="P260">
        <v>26</v>
      </c>
      <c r="Q260">
        <v>49</v>
      </c>
      <c r="R260">
        <v>121</v>
      </c>
      <c r="S260" s="6">
        <v>1.2</v>
      </c>
      <c r="T260" s="6">
        <v>0.55000000000000004</v>
      </c>
      <c r="U260" s="25">
        <v>1.05</v>
      </c>
      <c r="V260" s="25">
        <v>0</v>
      </c>
      <c r="W260" t="s">
        <v>1094</v>
      </c>
      <c r="X260" s="25" t="s">
        <v>756</v>
      </c>
      <c r="Y260" s="25" t="s">
        <v>756</v>
      </c>
      <c r="Z260" s="25" t="s">
        <v>756</v>
      </c>
    </row>
    <row r="261" spans="1:26" x14ac:dyDescent="0.3">
      <c r="A261" t="s">
        <v>347</v>
      </c>
      <c r="B261" t="s">
        <v>633</v>
      </c>
      <c r="C261" t="s">
        <v>648</v>
      </c>
      <c r="D261" t="s">
        <v>643</v>
      </c>
      <c r="E261" t="s">
        <v>659</v>
      </c>
      <c r="F261">
        <v>4793</v>
      </c>
      <c r="G261" t="s">
        <v>10</v>
      </c>
      <c r="H261">
        <v>187</v>
      </c>
      <c r="I261">
        <v>270</v>
      </c>
      <c r="J261">
        <v>289</v>
      </c>
      <c r="K261">
        <v>86</v>
      </c>
      <c r="L261">
        <v>194</v>
      </c>
      <c r="M261">
        <v>0</v>
      </c>
      <c r="N261">
        <v>13</v>
      </c>
      <c r="O261">
        <v>0</v>
      </c>
      <c r="P261">
        <v>28</v>
      </c>
      <c r="Q261">
        <v>0</v>
      </c>
      <c r="R261">
        <v>136</v>
      </c>
      <c r="S261" s="6">
        <v>1.4</v>
      </c>
      <c r="T261" s="6">
        <v>1.85</v>
      </c>
      <c r="U261" s="25">
        <v>1.1000000000000001</v>
      </c>
      <c r="V261" s="25">
        <v>0</v>
      </c>
      <c r="W261" t="s">
        <v>1109</v>
      </c>
      <c r="X261" t="s">
        <v>1112</v>
      </c>
      <c r="Y261" s="25" t="s">
        <v>756</v>
      </c>
      <c r="Z261" s="25" t="s">
        <v>756</v>
      </c>
    </row>
    <row r="262" spans="1:26" x14ac:dyDescent="0.3">
      <c r="A262">
        <v>45</v>
      </c>
      <c r="B262" t="s">
        <v>530</v>
      </c>
      <c r="C262" t="s">
        <v>646</v>
      </c>
      <c r="D262" t="s">
        <v>639</v>
      </c>
      <c r="E262" t="s">
        <v>659</v>
      </c>
      <c r="F262">
        <v>4734</v>
      </c>
      <c r="G262" t="s">
        <v>10</v>
      </c>
      <c r="H262">
        <v>174</v>
      </c>
      <c r="I262">
        <v>210</v>
      </c>
      <c r="J262">
        <v>0</v>
      </c>
      <c r="K262">
        <v>58</v>
      </c>
      <c r="L262">
        <v>252</v>
      </c>
      <c r="M262">
        <v>0</v>
      </c>
      <c r="N262">
        <v>11</v>
      </c>
      <c r="O262">
        <v>0</v>
      </c>
      <c r="P262">
        <v>26</v>
      </c>
      <c r="Q262">
        <v>23</v>
      </c>
      <c r="R262">
        <v>125</v>
      </c>
      <c r="S262" s="6">
        <v>1.1000000000000001</v>
      </c>
      <c r="T262" s="6">
        <v>0.6</v>
      </c>
      <c r="U262" s="25">
        <v>1.3</v>
      </c>
      <c r="V262" s="25">
        <v>0</v>
      </c>
      <c r="W262" t="s">
        <v>1095</v>
      </c>
      <c r="X262" s="25" t="s">
        <v>756</v>
      </c>
      <c r="Y262" s="25" t="s">
        <v>756</v>
      </c>
      <c r="Z262" s="25" t="s">
        <v>756</v>
      </c>
    </row>
    <row r="263" spans="1:26" x14ac:dyDescent="0.3">
      <c r="A263">
        <v>191</v>
      </c>
      <c r="B263" t="s">
        <v>391</v>
      </c>
      <c r="C263" t="s">
        <v>648</v>
      </c>
      <c r="D263" t="s">
        <v>641</v>
      </c>
      <c r="E263" t="s">
        <v>659</v>
      </c>
      <c r="F263">
        <v>3439</v>
      </c>
      <c r="G263" t="s">
        <v>10</v>
      </c>
      <c r="H263">
        <v>163</v>
      </c>
      <c r="I263">
        <v>215</v>
      </c>
      <c r="J263">
        <v>190</v>
      </c>
      <c r="K263">
        <v>75</v>
      </c>
      <c r="L263">
        <v>161</v>
      </c>
      <c r="M263">
        <v>0</v>
      </c>
      <c r="N263">
        <v>9</v>
      </c>
      <c r="O263">
        <v>0</v>
      </c>
      <c r="P263">
        <v>31</v>
      </c>
      <c r="Q263">
        <v>34</v>
      </c>
      <c r="R263">
        <v>111</v>
      </c>
      <c r="S263" s="6">
        <v>1.25</v>
      </c>
      <c r="T263" s="6">
        <v>1.7</v>
      </c>
      <c r="U263" s="25">
        <v>1</v>
      </c>
      <c r="V263" s="25">
        <v>0</v>
      </c>
      <c r="W263" t="s">
        <v>1102</v>
      </c>
      <c r="X263" s="25" t="s">
        <v>756</v>
      </c>
      <c r="Y263" s="25" t="s">
        <v>756</v>
      </c>
      <c r="Z263" s="25" t="s">
        <v>756</v>
      </c>
    </row>
    <row r="264" spans="1:26" x14ac:dyDescent="0.3">
      <c r="A264">
        <v>3191</v>
      </c>
      <c r="B264" t="s">
        <v>696</v>
      </c>
      <c r="C264" t="s">
        <v>648</v>
      </c>
      <c r="D264" t="s">
        <v>640</v>
      </c>
      <c r="E264" t="s">
        <v>659</v>
      </c>
      <c r="F264">
        <v>3719</v>
      </c>
      <c r="G264" t="s">
        <v>10</v>
      </c>
      <c r="H264">
        <v>168</v>
      </c>
      <c r="I264">
        <v>245</v>
      </c>
      <c r="J264">
        <v>235</v>
      </c>
      <c r="K264">
        <v>75</v>
      </c>
      <c r="L264">
        <v>176</v>
      </c>
      <c r="M264">
        <v>0</v>
      </c>
      <c r="N264">
        <v>9</v>
      </c>
      <c r="O264">
        <v>0</v>
      </c>
      <c r="P264">
        <v>31</v>
      </c>
      <c r="Q264">
        <v>34</v>
      </c>
      <c r="R264">
        <v>111</v>
      </c>
      <c r="S264" s="6">
        <v>1.3</v>
      </c>
      <c r="T264" s="6">
        <v>1.8</v>
      </c>
      <c r="U264" s="25">
        <v>1.05</v>
      </c>
      <c r="V264" s="25">
        <v>0</v>
      </c>
      <c r="W264" t="s">
        <v>1102</v>
      </c>
      <c r="X264" s="25" t="s">
        <v>756</v>
      </c>
      <c r="Y264" s="25" t="s">
        <v>756</v>
      </c>
      <c r="Z264" s="25" t="s">
        <v>756</v>
      </c>
    </row>
    <row r="265" spans="1:26" x14ac:dyDescent="0.3">
      <c r="A265">
        <v>121</v>
      </c>
      <c r="B265" t="s">
        <v>537</v>
      </c>
      <c r="C265" t="s">
        <v>647</v>
      </c>
      <c r="D265" t="s">
        <v>640</v>
      </c>
      <c r="E265" t="s">
        <v>659</v>
      </c>
      <c r="F265">
        <v>3508</v>
      </c>
      <c r="G265" t="s">
        <v>8</v>
      </c>
      <c r="H265">
        <v>160</v>
      </c>
      <c r="I265">
        <v>218</v>
      </c>
      <c r="J265">
        <v>215</v>
      </c>
      <c r="K265">
        <v>65</v>
      </c>
      <c r="L265">
        <v>208</v>
      </c>
      <c r="M265">
        <v>0</v>
      </c>
      <c r="N265">
        <v>10</v>
      </c>
      <c r="O265">
        <v>0</v>
      </c>
      <c r="P265">
        <v>25</v>
      </c>
      <c r="Q265">
        <v>71</v>
      </c>
      <c r="R265">
        <v>116</v>
      </c>
      <c r="S265" s="6">
        <v>1.45</v>
      </c>
      <c r="T265" s="6">
        <v>1.6</v>
      </c>
      <c r="U265" s="25">
        <v>1</v>
      </c>
      <c r="V265" s="25">
        <v>0</v>
      </c>
      <c r="W265" t="s">
        <v>1099</v>
      </c>
      <c r="X265" s="25" t="s">
        <v>756</v>
      </c>
      <c r="Y265" s="25" t="s">
        <v>756</v>
      </c>
      <c r="Z265" s="25" t="s">
        <v>756</v>
      </c>
    </row>
    <row r="266" spans="1:26" x14ac:dyDescent="0.3">
      <c r="A266">
        <v>193</v>
      </c>
      <c r="B266" t="s">
        <v>541</v>
      </c>
      <c r="C266" t="s">
        <v>648</v>
      </c>
      <c r="D266" t="s">
        <v>641</v>
      </c>
      <c r="E266" t="s">
        <v>659</v>
      </c>
      <c r="F266">
        <v>3527</v>
      </c>
      <c r="G266" t="s">
        <v>10</v>
      </c>
      <c r="H266">
        <v>163</v>
      </c>
      <c r="I266">
        <v>215</v>
      </c>
      <c r="J266">
        <v>190</v>
      </c>
      <c r="K266">
        <v>76</v>
      </c>
      <c r="L266">
        <v>167</v>
      </c>
      <c r="M266">
        <v>0</v>
      </c>
      <c r="N266">
        <v>9</v>
      </c>
      <c r="O266">
        <v>0</v>
      </c>
      <c r="P266">
        <v>32</v>
      </c>
      <c r="Q266">
        <v>65</v>
      </c>
      <c r="R266">
        <v>111</v>
      </c>
      <c r="S266" s="6">
        <v>1.3</v>
      </c>
      <c r="T266" s="6">
        <v>1.65</v>
      </c>
      <c r="U266" s="25">
        <v>1</v>
      </c>
      <c r="V266" s="25">
        <v>0</v>
      </c>
      <c r="W266" t="s">
        <v>1103</v>
      </c>
      <c r="X266" s="25" t="s">
        <v>756</v>
      </c>
      <c r="Y266" s="25" t="s">
        <v>756</v>
      </c>
      <c r="Z266" s="25" t="s">
        <v>756</v>
      </c>
    </row>
    <row r="267" spans="1:26" x14ac:dyDescent="0.3">
      <c r="A267" t="s">
        <v>339</v>
      </c>
      <c r="B267" t="s">
        <v>625</v>
      </c>
      <c r="C267" t="s">
        <v>655</v>
      </c>
      <c r="D267" t="s">
        <v>642</v>
      </c>
      <c r="E267" t="s">
        <v>659</v>
      </c>
      <c r="F267">
        <v>4138</v>
      </c>
      <c r="G267" t="s">
        <v>10</v>
      </c>
      <c r="H267">
        <v>161</v>
      </c>
      <c r="I267">
        <v>237</v>
      </c>
      <c r="J267">
        <v>198</v>
      </c>
      <c r="K267">
        <v>54</v>
      </c>
      <c r="L267">
        <v>175</v>
      </c>
      <c r="M267">
        <v>0</v>
      </c>
      <c r="N267">
        <v>12</v>
      </c>
      <c r="O267">
        <v>0</v>
      </c>
      <c r="P267">
        <v>28</v>
      </c>
      <c r="Q267">
        <v>90</v>
      </c>
      <c r="R267">
        <v>131</v>
      </c>
      <c r="S267" s="6">
        <v>1.1000000000000001</v>
      </c>
      <c r="T267" s="6">
        <v>1.05</v>
      </c>
      <c r="U267" s="25">
        <v>0.75</v>
      </c>
      <c r="V267" s="25">
        <v>0</v>
      </c>
      <c r="W267" t="s">
        <v>1113</v>
      </c>
      <c r="X267" s="25" t="s">
        <v>756</v>
      </c>
      <c r="Y267" s="25" t="s">
        <v>756</v>
      </c>
      <c r="Z267" s="25" t="s">
        <v>756</v>
      </c>
    </row>
    <row r="268" spans="1:26" x14ac:dyDescent="0.3">
      <c r="A268">
        <v>119</v>
      </c>
      <c r="B268" t="s">
        <v>535</v>
      </c>
      <c r="C268" t="s">
        <v>647</v>
      </c>
      <c r="D268" t="s">
        <v>639</v>
      </c>
      <c r="E268" t="s">
        <v>659</v>
      </c>
      <c r="F268">
        <v>3561</v>
      </c>
      <c r="G268" t="s">
        <v>8</v>
      </c>
      <c r="H268">
        <v>165</v>
      </c>
      <c r="I268">
        <v>223</v>
      </c>
      <c r="J268">
        <v>223</v>
      </c>
      <c r="K268">
        <v>67</v>
      </c>
      <c r="L268">
        <v>212</v>
      </c>
      <c r="M268">
        <v>0</v>
      </c>
      <c r="N268">
        <v>11</v>
      </c>
      <c r="O268">
        <v>0</v>
      </c>
      <c r="P268">
        <v>25</v>
      </c>
      <c r="Q268">
        <v>62</v>
      </c>
      <c r="R268">
        <v>116</v>
      </c>
      <c r="S268" s="6">
        <v>1.45</v>
      </c>
      <c r="T268" s="6">
        <v>1.6</v>
      </c>
      <c r="U268" s="25">
        <v>1</v>
      </c>
      <c r="V268" s="25">
        <v>0</v>
      </c>
      <c r="W268" t="s">
        <v>1098</v>
      </c>
      <c r="X268" s="25" t="s">
        <v>756</v>
      </c>
      <c r="Y268" s="25" t="s">
        <v>756</v>
      </c>
      <c r="Z268" s="25" t="s">
        <v>756</v>
      </c>
    </row>
    <row r="269" spans="1:26" x14ac:dyDescent="0.3">
      <c r="A269" s="24"/>
      <c r="B269" s="24" t="s">
        <v>1406</v>
      </c>
      <c r="C269" s="24" t="s">
        <v>647</v>
      </c>
      <c r="D269" s="24" t="s">
        <v>642</v>
      </c>
      <c r="E269" s="24" t="s">
        <v>184</v>
      </c>
      <c r="F269" s="24">
        <v>3841</v>
      </c>
      <c r="G269" s="24" t="s">
        <v>8</v>
      </c>
      <c r="H269" s="24">
        <v>165</v>
      </c>
      <c r="I269" s="24">
        <v>233</v>
      </c>
      <c r="J269" s="24">
        <v>223</v>
      </c>
      <c r="K269" s="24">
        <v>82</v>
      </c>
      <c r="L269" s="24">
        <v>297</v>
      </c>
      <c r="M269" s="24">
        <v>0</v>
      </c>
      <c r="N269" s="24">
        <v>11</v>
      </c>
      <c r="O269" s="24">
        <v>0</v>
      </c>
      <c r="P269" s="24">
        <v>25</v>
      </c>
      <c r="Q269" s="24">
        <v>62</v>
      </c>
      <c r="R269" s="24">
        <v>136</v>
      </c>
      <c r="S269" s="25">
        <v>1.5</v>
      </c>
      <c r="T269" s="25">
        <v>1.6</v>
      </c>
      <c r="U269" s="25">
        <v>1.1499999999999999</v>
      </c>
      <c r="V269" s="25">
        <v>0</v>
      </c>
      <c r="W269" t="s">
        <v>1098</v>
      </c>
      <c r="X269" s="25" t="s">
        <v>756</v>
      </c>
      <c r="Y269" s="25" t="s">
        <v>756</v>
      </c>
      <c r="Z269" s="25" t="s">
        <v>756</v>
      </c>
    </row>
    <row r="270" spans="1:26" x14ac:dyDescent="0.3">
      <c r="A270">
        <v>202</v>
      </c>
      <c r="B270" t="s">
        <v>547</v>
      </c>
      <c r="C270" t="s">
        <v>648</v>
      </c>
      <c r="D270" t="s">
        <v>642</v>
      </c>
      <c r="E270" t="s">
        <v>659</v>
      </c>
      <c r="F270">
        <v>4295</v>
      </c>
      <c r="G270" t="s">
        <v>10</v>
      </c>
      <c r="H270">
        <v>175</v>
      </c>
      <c r="I270">
        <v>270</v>
      </c>
      <c r="J270">
        <v>245</v>
      </c>
      <c r="K270">
        <v>79</v>
      </c>
      <c r="L270">
        <v>178</v>
      </c>
      <c r="M270">
        <v>0</v>
      </c>
      <c r="N270">
        <v>12</v>
      </c>
      <c r="O270">
        <v>0</v>
      </c>
      <c r="P270">
        <v>31</v>
      </c>
      <c r="Q270">
        <v>48</v>
      </c>
      <c r="R270">
        <v>134</v>
      </c>
      <c r="S270" s="6">
        <v>1.25</v>
      </c>
      <c r="T270" s="6">
        <v>1.7</v>
      </c>
      <c r="U270" s="25">
        <v>1.2</v>
      </c>
      <c r="V270" s="25">
        <v>0</v>
      </c>
      <c r="W270" t="s">
        <v>1105</v>
      </c>
      <c r="X270" s="25" t="s">
        <v>756</v>
      </c>
      <c r="Y270" s="25" t="s">
        <v>756</v>
      </c>
      <c r="Z270" s="25" t="s">
        <v>756</v>
      </c>
    </row>
    <row r="271" spans="1:26" x14ac:dyDescent="0.3">
      <c r="A271">
        <v>364</v>
      </c>
      <c r="B271" t="s">
        <v>554</v>
      </c>
      <c r="C271" t="s">
        <v>646</v>
      </c>
      <c r="D271" t="s">
        <v>642</v>
      </c>
      <c r="E271" t="s">
        <v>659</v>
      </c>
      <c r="F271">
        <v>4152</v>
      </c>
      <c r="G271" t="s">
        <v>10</v>
      </c>
      <c r="H271">
        <v>182</v>
      </c>
      <c r="I271">
        <v>258</v>
      </c>
      <c r="J271">
        <v>0</v>
      </c>
      <c r="K271">
        <v>57</v>
      </c>
      <c r="L271">
        <v>248</v>
      </c>
      <c r="M271">
        <v>0</v>
      </c>
      <c r="N271">
        <v>12</v>
      </c>
      <c r="O271">
        <v>0</v>
      </c>
      <c r="P271">
        <v>26</v>
      </c>
      <c r="Q271">
        <v>76</v>
      </c>
      <c r="R271">
        <v>128</v>
      </c>
      <c r="S271" s="6">
        <v>1.25</v>
      </c>
      <c r="T271" s="6">
        <v>0.7</v>
      </c>
      <c r="U271" s="25">
        <v>1.25</v>
      </c>
      <c r="V271" s="25">
        <v>0</v>
      </c>
      <c r="W271" t="s">
        <v>1096</v>
      </c>
      <c r="X271" s="25" t="s">
        <v>756</v>
      </c>
      <c r="Y271" s="25" t="s">
        <v>756</v>
      </c>
      <c r="Z271" s="25" t="s">
        <v>756</v>
      </c>
    </row>
    <row r="272" spans="1:26" x14ac:dyDescent="0.3">
      <c r="A272">
        <v>3188</v>
      </c>
      <c r="B272" t="s">
        <v>702</v>
      </c>
      <c r="C272" t="s">
        <v>648</v>
      </c>
      <c r="D272" t="s">
        <v>642</v>
      </c>
      <c r="E272" t="s">
        <v>184</v>
      </c>
      <c r="F272">
        <v>4623</v>
      </c>
      <c r="G272" t="s">
        <v>10</v>
      </c>
      <c r="H272">
        <v>188</v>
      </c>
      <c r="I272">
        <v>264</v>
      </c>
      <c r="J272">
        <v>202</v>
      </c>
      <c r="K272">
        <v>80</v>
      </c>
      <c r="L272">
        <v>233</v>
      </c>
      <c r="M272">
        <v>0</v>
      </c>
      <c r="N272">
        <v>11</v>
      </c>
      <c r="O272">
        <v>0</v>
      </c>
      <c r="P272">
        <v>28</v>
      </c>
      <c r="Q272">
        <v>14</v>
      </c>
      <c r="R272">
        <v>129</v>
      </c>
      <c r="S272" s="6">
        <v>1.25</v>
      </c>
      <c r="T272" s="6">
        <v>1.6</v>
      </c>
      <c r="U272" s="25">
        <v>1.05</v>
      </c>
      <c r="V272" s="25">
        <v>0</v>
      </c>
      <c r="W272" t="s">
        <v>1108</v>
      </c>
      <c r="X272" s="25" t="s">
        <v>756</v>
      </c>
      <c r="Y272" s="25" t="s">
        <v>756</v>
      </c>
      <c r="Z272" s="25" t="s">
        <v>756</v>
      </c>
    </row>
    <row r="273" spans="1:26" x14ac:dyDescent="0.3">
      <c r="A273">
        <v>196</v>
      </c>
      <c r="B273" t="s">
        <v>542</v>
      </c>
      <c r="C273" t="s">
        <v>648</v>
      </c>
      <c r="D273" t="s">
        <v>640</v>
      </c>
      <c r="E273" t="s">
        <v>659</v>
      </c>
      <c r="F273">
        <v>5220</v>
      </c>
      <c r="G273" t="s">
        <v>10</v>
      </c>
      <c r="H273">
        <v>163</v>
      </c>
      <c r="I273">
        <v>196</v>
      </c>
      <c r="J273">
        <v>150</v>
      </c>
      <c r="K273">
        <v>78</v>
      </c>
      <c r="L273">
        <v>193</v>
      </c>
      <c r="M273">
        <v>0</v>
      </c>
      <c r="N273">
        <v>10</v>
      </c>
      <c r="O273">
        <v>0</v>
      </c>
      <c r="P273">
        <v>32</v>
      </c>
      <c r="Q273">
        <v>62</v>
      </c>
      <c r="R273">
        <v>125</v>
      </c>
      <c r="S273" s="6">
        <v>1.3</v>
      </c>
      <c r="T273" s="6">
        <v>1.65</v>
      </c>
      <c r="U273" s="25">
        <v>1</v>
      </c>
      <c r="V273" s="25">
        <v>0</v>
      </c>
      <c r="W273" t="s">
        <v>1104</v>
      </c>
      <c r="X273" s="25" t="s">
        <v>756</v>
      </c>
      <c r="Y273" s="25" t="s">
        <v>756</v>
      </c>
      <c r="Z273" s="25" t="s">
        <v>756</v>
      </c>
    </row>
    <row r="274" spans="1:26" x14ac:dyDescent="0.3">
      <c r="A274">
        <v>197</v>
      </c>
      <c r="B274" t="s">
        <v>543</v>
      </c>
      <c r="C274" t="s">
        <v>648</v>
      </c>
      <c r="D274" t="s">
        <v>640</v>
      </c>
      <c r="E274" t="s">
        <v>659</v>
      </c>
      <c r="F274">
        <v>5220</v>
      </c>
      <c r="G274" t="s">
        <v>10</v>
      </c>
      <c r="H274">
        <v>163</v>
      </c>
      <c r="I274">
        <v>196</v>
      </c>
      <c r="J274">
        <v>150</v>
      </c>
      <c r="K274">
        <v>78</v>
      </c>
      <c r="L274">
        <v>193</v>
      </c>
      <c r="M274">
        <v>0</v>
      </c>
      <c r="N274">
        <v>10</v>
      </c>
      <c r="O274">
        <v>0</v>
      </c>
      <c r="P274">
        <v>32</v>
      </c>
      <c r="Q274">
        <v>58</v>
      </c>
      <c r="R274">
        <v>125</v>
      </c>
      <c r="S274" s="6">
        <v>1.3</v>
      </c>
      <c r="T274" s="6">
        <v>1.65</v>
      </c>
      <c r="U274" s="25">
        <v>1</v>
      </c>
      <c r="V274" s="25">
        <v>0</v>
      </c>
      <c r="W274" t="s">
        <v>1104</v>
      </c>
      <c r="X274" s="25" t="s">
        <v>756</v>
      </c>
      <c r="Y274" s="25" t="s">
        <v>756</v>
      </c>
      <c r="Z274" s="25" t="s">
        <v>756</v>
      </c>
    </row>
    <row r="275" spans="1:26" x14ac:dyDescent="0.3">
      <c r="A275" t="s">
        <v>332</v>
      </c>
      <c r="B275" t="s">
        <v>618</v>
      </c>
      <c r="C275" t="s">
        <v>654</v>
      </c>
      <c r="D275" t="s">
        <v>639</v>
      </c>
      <c r="E275" t="s">
        <v>659</v>
      </c>
      <c r="F275">
        <v>3828</v>
      </c>
      <c r="G275" t="s">
        <v>10</v>
      </c>
      <c r="H275">
        <v>165</v>
      </c>
      <c r="I275">
        <v>237</v>
      </c>
      <c r="J275">
        <v>199</v>
      </c>
      <c r="K275">
        <v>65</v>
      </c>
      <c r="L275">
        <v>178</v>
      </c>
      <c r="M275">
        <v>0</v>
      </c>
      <c r="N275">
        <v>11</v>
      </c>
      <c r="O275">
        <v>0</v>
      </c>
      <c r="P275">
        <v>27</v>
      </c>
      <c r="Q275">
        <v>83</v>
      </c>
      <c r="R275">
        <v>126</v>
      </c>
      <c r="S275" s="6">
        <v>1.25</v>
      </c>
      <c r="T275" s="6">
        <v>1.65</v>
      </c>
      <c r="U275" s="25">
        <v>1.1000000000000001</v>
      </c>
      <c r="V275" s="25">
        <v>0</v>
      </c>
      <c r="W275" s="25" t="s">
        <v>756</v>
      </c>
      <c r="X275" s="25" t="s">
        <v>756</v>
      </c>
      <c r="Y275" s="25" t="s">
        <v>756</v>
      </c>
      <c r="Z275" s="25" t="s">
        <v>756</v>
      </c>
    </row>
    <row r="276" spans="1:26" x14ac:dyDescent="0.3">
      <c r="A276">
        <v>123</v>
      </c>
      <c r="B276" t="s">
        <v>538</v>
      </c>
      <c r="C276" t="s">
        <v>647</v>
      </c>
      <c r="D276" t="s">
        <v>640</v>
      </c>
      <c r="E276" t="s">
        <v>659</v>
      </c>
      <c r="F276">
        <v>4621</v>
      </c>
      <c r="G276" t="s">
        <v>10</v>
      </c>
      <c r="H276">
        <v>160</v>
      </c>
      <c r="I276">
        <v>178</v>
      </c>
      <c r="J276">
        <v>141</v>
      </c>
      <c r="K276">
        <v>68</v>
      </c>
      <c r="L276">
        <v>241</v>
      </c>
      <c r="M276">
        <v>0</v>
      </c>
      <c r="N276">
        <v>10</v>
      </c>
      <c r="O276">
        <v>0</v>
      </c>
      <c r="P276">
        <v>25</v>
      </c>
      <c r="Q276">
        <v>69</v>
      </c>
      <c r="R276">
        <v>116</v>
      </c>
      <c r="S276" s="6">
        <v>1.25</v>
      </c>
      <c r="T276" s="6">
        <v>1.6</v>
      </c>
      <c r="U276" s="25">
        <v>1.2</v>
      </c>
      <c r="V276" s="25">
        <v>0</v>
      </c>
      <c r="W276" t="s">
        <v>1100</v>
      </c>
      <c r="X276" s="25" t="s">
        <v>756</v>
      </c>
      <c r="Y276" s="25" t="s">
        <v>756</v>
      </c>
      <c r="Z276" s="25" t="s">
        <v>756</v>
      </c>
    </row>
    <row r="277" spans="1:26" x14ac:dyDescent="0.3">
      <c r="A277">
        <v>41</v>
      </c>
      <c r="B277" t="s">
        <v>527</v>
      </c>
      <c r="C277" t="s">
        <v>646</v>
      </c>
      <c r="D277" t="s">
        <v>640</v>
      </c>
      <c r="E277" t="s">
        <v>659</v>
      </c>
      <c r="F277">
        <v>3346</v>
      </c>
      <c r="G277" t="s">
        <v>8</v>
      </c>
      <c r="H277">
        <v>167</v>
      </c>
      <c r="I277">
        <v>240</v>
      </c>
      <c r="J277">
        <v>0</v>
      </c>
      <c r="K277">
        <v>53</v>
      </c>
      <c r="L277">
        <v>204</v>
      </c>
      <c r="M277">
        <v>0</v>
      </c>
      <c r="N277">
        <v>10</v>
      </c>
      <c r="O277">
        <v>0</v>
      </c>
      <c r="P277">
        <v>26</v>
      </c>
      <c r="Q277">
        <v>27</v>
      </c>
      <c r="R277">
        <v>121</v>
      </c>
      <c r="S277" s="6">
        <v>1.2</v>
      </c>
      <c r="T277" s="6">
        <v>0.55000000000000004</v>
      </c>
      <c r="U277" s="25">
        <v>1.05</v>
      </c>
      <c r="V277" s="25">
        <v>0</v>
      </c>
      <c r="W277" t="s">
        <v>1094</v>
      </c>
      <c r="X277" s="25" t="s">
        <v>756</v>
      </c>
      <c r="Y277" s="25" t="s">
        <v>756</v>
      </c>
      <c r="Z277" s="25" t="s">
        <v>756</v>
      </c>
    </row>
    <row r="278" spans="1:26" x14ac:dyDescent="0.3">
      <c r="A278">
        <v>39</v>
      </c>
      <c r="B278" t="s">
        <v>525</v>
      </c>
      <c r="C278" t="s">
        <v>646</v>
      </c>
      <c r="D278" t="s">
        <v>641</v>
      </c>
      <c r="E278" t="s">
        <v>659</v>
      </c>
      <c r="F278">
        <v>3290</v>
      </c>
      <c r="G278" t="s">
        <v>8</v>
      </c>
      <c r="H278">
        <v>160</v>
      </c>
      <c r="I278">
        <v>232</v>
      </c>
      <c r="J278">
        <v>0</v>
      </c>
      <c r="K278">
        <v>55</v>
      </c>
      <c r="L278">
        <v>198</v>
      </c>
      <c r="M278">
        <v>0</v>
      </c>
      <c r="N278">
        <v>9</v>
      </c>
      <c r="O278">
        <v>0</v>
      </c>
      <c r="P278">
        <v>26</v>
      </c>
      <c r="Q278">
        <v>75</v>
      </c>
      <c r="R278">
        <v>118</v>
      </c>
      <c r="S278" s="6">
        <v>1.2</v>
      </c>
      <c r="T278" s="6">
        <v>0.45</v>
      </c>
      <c r="U278" s="25">
        <v>1.05</v>
      </c>
      <c r="V278" s="25">
        <v>0</v>
      </c>
      <c r="W278" t="s">
        <v>1093</v>
      </c>
      <c r="X278" s="25" t="s">
        <v>756</v>
      </c>
      <c r="Y278" s="25" t="s">
        <v>756</v>
      </c>
      <c r="Z278" s="25" t="s">
        <v>756</v>
      </c>
    </row>
    <row r="279" spans="1:26" x14ac:dyDescent="0.3">
      <c r="A279">
        <v>44</v>
      </c>
      <c r="B279" t="s">
        <v>359</v>
      </c>
      <c r="C279" t="s">
        <v>646</v>
      </c>
      <c r="D279" t="s">
        <v>640</v>
      </c>
      <c r="E279" t="s">
        <v>659</v>
      </c>
      <c r="F279">
        <v>4565</v>
      </c>
      <c r="G279" t="s">
        <v>10</v>
      </c>
      <c r="H279">
        <v>170</v>
      </c>
      <c r="I279">
        <v>204</v>
      </c>
      <c r="J279">
        <v>0</v>
      </c>
      <c r="K279">
        <v>58</v>
      </c>
      <c r="L279">
        <v>245</v>
      </c>
      <c r="M279">
        <v>0</v>
      </c>
      <c r="N279">
        <v>10</v>
      </c>
      <c r="O279">
        <v>0</v>
      </c>
      <c r="P279">
        <v>26</v>
      </c>
      <c r="Q279">
        <v>78</v>
      </c>
      <c r="R279">
        <v>125</v>
      </c>
      <c r="S279" s="6">
        <v>1.1000000000000001</v>
      </c>
      <c r="T279" s="6">
        <v>0.6</v>
      </c>
      <c r="U279" s="25">
        <v>1.3</v>
      </c>
      <c r="V279" s="25">
        <v>0</v>
      </c>
      <c r="W279" t="s">
        <v>1095</v>
      </c>
      <c r="X279" s="25" t="s">
        <v>756</v>
      </c>
      <c r="Y279" s="25" t="s">
        <v>756</v>
      </c>
      <c r="Z279" s="25" t="s">
        <v>756</v>
      </c>
    </row>
    <row r="280" spans="1:26" x14ac:dyDescent="0.3">
      <c r="A280">
        <v>3044</v>
      </c>
      <c r="B280" t="s">
        <v>691</v>
      </c>
      <c r="C280" t="s">
        <v>646</v>
      </c>
      <c r="D280" t="s">
        <v>639</v>
      </c>
      <c r="E280" t="s">
        <v>659</v>
      </c>
      <c r="F280">
        <v>5355</v>
      </c>
      <c r="G280" t="s">
        <v>10</v>
      </c>
      <c r="H280">
        <v>170</v>
      </c>
      <c r="I280">
        <v>234</v>
      </c>
      <c r="J280">
        <v>0</v>
      </c>
      <c r="K280">
        <v>78</v>
      </c>
      <c r="L280">
        <v>260</v>
      </c>
      <c r="M280">
        <v>0</v>
      </c>
      <c r="N280">
        <v>10</v>
      </c>
      <c r="O280">
        <v>0</v>
      </c>
      <c r="P280">
        <v>26</v>
      </c>
      <c r="Q280">
        <v>78</v>
      </c>
      <c r="R280">
        <v>125</v>
      </c>
      <c r="S280" s="6">
        <v>1.1499999999999999</v>
      </c>
      <c r="T280" s="6">
        <v>0.65</v>
      </c>
      <c r="U280" s="25">
        <v>1.35</v>
      </c>
      <c r="V280" s="25">
        <v>0</v>
      </c>
      <c r="W280" t="s">
        <v>1095</v>
      </c>
      <c r="X280" s="25" t="s">
        <v>756</v>
      </c>
      <c r="Y280" s="25" t="s">
        <v>756</v>
      </c>
      <c r="Z280" s="25" t="s">
        <v>756</v>
      </c>
    </row>
    <row r="281" spans="1:26" x14ac:dyDescent="0.3">
      <c r="A281">
        <v>244</v>
      </c>
      <c r="B281" t="s">
        <v>550</v>
      </c>
      <c r="C281" t="s">
        <v>649</v>
      </c>
      <c r="D281" t="s">
        <v>642</v>
      </c>
      <c r="E281" t="s">
        <v>659</v>
      </c>
      <c r="F281">
        <v>6252</v>
      </c>
      <c r="G281" t="s">
        <v>10</v>
      </c>
      <c r="H281">
        <v>182</v>
      </c>
      <c r="I281">
        <v>226</v>
      </c>
      <c r="J281">
        <v>153</v>
      </c>
      <c r="K281">
        <v>62</v>
      </c>
      <c r="L281">
        <v>205</v>
      </c>
      <c r="M281">
        <v>0</v>
      </c>
      <c r="N281">
        <v>12</v>
      </c>
      <c r="O281">
        <v>0</v>
      </c>
      <c r="P281">
        <v>25</v>
      </c>
      <c r="Q281">
        <v>78</v>
      </c>
      <c r="R281">
        <v>128</v>
      </c>
      <c r="S281" s="6">
        <v>1.25</v>
      </c>
      <c r="T281" s="6">
        <v>1.6</v>
      </c>
      <c r="U281" s="25">
        <v>1.2</v>
      </c>
      <c r="V281" s="25">
        <v>0</v>
      </c>
      <c r="W281" t="s">
        <v>1106</v>
      </c>
      <c r="X281" s="25" t="s">
        <v>756</v>
      </c>
      <c r="Y281" s="25" t="s">
        <v>756</v>
      </c>
      <c r="Z281" s="25" t="s">
        <v>756</v>
      </c>
    </row>
    <row r="282" spans="1:26" x14ac:dyDescent="0.3">
      <c r="A282">
        <v>47</v>
      </c>
      <c r="B282" t="s">
        <v>532</v>
      </c>
      <c r="C282" t="s">
        <v>646</v>
      </c>
      <c r="D282" t="s">
        <v>639</v>
      </c>
      <c r="E282" t="s">
        <v>659</v>
      </c>
      <c r="F282">
        <v>4015</v>
      </c>
      <c r="G282" t="s">
        <v>10</v>
      </c>
      <c r="H282">
        <v>161</v>
      </c>
      <c r="I282">
        <v>218</v>
      </c>
      <c r="J282">
        <v>0</v>
      </c>
      <c r="K282">
        <v>57</v>
      </c>
      <c r="L282">
        <v>230</v>
      </c>
      <c r="M282">
        <v>0</v>
      </c>
      <c r="N282">
        <v>11</v>
      </c>
      <c r="O282">
        <v>0</v>
      </c>
      <c r="P282">
        <v>26</v>
      </c>
      <c r="Q282">
        <v>9</v>
      </c>
      <c r="R282">
        <v>125</v>
      </c>
      <c r="S282" s="6">
        <v>1.1499999999999999</v>
      </c>
      <c r="T282" s="6">
        <v>0.6</v>
      </c>
      <c r="U282" s="25">
        <v>1.3</v>
      </c>
      <c r="V282" s="25">
        <v>0</v>
      </c>
      <c r="W282" t="s">
        <v>1096</v>
      </c>
      <c r="X282" s="25" t="s">
        <v>756</v>
      </c>
      <c r="Y282" s="25" t="s">
        <v>756</v>
      </c>
      <c r="Z282" s="25" t="s">
        <v>756</v>
      </c>
    </row>
    <row r="283" spans="1:26" x14ac:dyDescent="0.3">
      <c r="A283" t="s">
        <v>349</v>
      </c>
      <c r="B283" t="s">
        <v>635</v>
      </c>
      <c r="C283" t="s">
        <v>649</v>
      </c>
      <c r="D283" t="s">
        <v>643</v>
      </c>
      <c r="E283" t="s">
        <v>659</v>
      </c>
      <c r="F283">
        <v>5920</v>
      </c>
      <c r="G283" t="s">
        <v>10</v>
      </c>
      <c r="H283">
        <v>171</v>
      </c>
      <c r="I283">
        <v>283</v>
      </c>
      <c r="J283">
        <v>215</v>
      </c>
      <c r="K283">
        <v>78</v>
      </c>
      <c r="L283">
        <v>233</v>
      </c>
      <c r="M283">
        <v>0</v>
      </c>
      <c r="N283">
        <v>13</v>
      </c>
      <c r="O283">
        <v>0</v>
      </c>
      <c r="P283">
        <v>26</v>
      </c>
      <c r="Q283">
        <v>0</v>
      </c>
      <c r="R283">
        <v>125</v>
      </c>
      <c r="S283" s="6">
        <v>1.3</v>
      </c>
      <c r="T283" s="6">
        <v>1.1000000000000001</v>
      </c>
      <c r="U283" s="25">
        <v>1.1000000000000001</v>
      </c>
      <c r="V283" s="25">
        <v>0</v>
      </c>
      <c r="W283" t="s">
        <v>1335</v>
      </c>
      <c r="X283" t="s">
        <v>1336</v>
      </c>
      <c r="Y283" s="25" t="s">
        <v>756</v>
      </c>
      <c r="Z283" s="25" t="s">
        <v>756</v>
      </c>
    </row>
    <row r="284" spans="1:26" x14ac:dyDescent="0.3">
      <c r="A284" t="s">
        <v>350</v>
      </c>
      <c r="B284" t="s">
        <v>636</v>
      </c>
      <c r="C284" t="s">
        <v>652</v>
      </c>
      <c r="D284" t="s">
        <v>643</v>
      </c>
      <c r="E284" t="s">
        <v>659</v>
      </c>
      <c r="F284">
        <v>5363</v>
      </c>
      <c r="G284" t="s">
        <v>10</v>
      </c>
      <c r="H284">
        <v>190</v>
      </c>
      <c r="I284">
        <v>276</v>
      </c>
      <c r="J284">
        <v>226</v>
      </c>
      <c r="K284">
        <v>80</v>
      </c>
      <c r="L284">
        <v>248</v>
      </c>
      <c r="M284">
        <v>0</v>
      </c>
      <c r="N284">
        <v>13</v>
      </c>
      <c r="O284">
        <v>0</v>
      </c>
      <c r="P284">
        <v>26</v>
      </c>
      <c r="Q284">
        <v>0</v>
      </c>
      <c r="R284">
        <v>137</v>
      </c>
      <c r="S284" s="6">
        <v>1.3</v>
      </c>
      <c r="T284" s="6">
        <v>1.2</v>
      </c>
      <c r="U284" s="25">
        <v>1.25</v>
      </c>
      <c r="V284" s="25">
        <v>0</v>
      </c>
      <c r="W284" t="s">
        <v>1110</v>
      </c>
      <c r="X284" s="25" t="s">
        <v>756</v>
      </c>
      <c r="Y284" s="25" t="s">
        <v>756</v>
      </c>
      <c r="Z284" s="25" t="s">
        <v>756</v>
      </c>
    </row>
    <row r="285" spans="1:26" x14ac:dyDescent="0.3">
      <c r="A285">
        <v>40</v>
      </c>
      <c r="B285" t="s">
        <v>526</v>
      </c>
      <c r="C285" t="s">
        <v>646</v>
      </c>
      <c r="D285" t="s">
        <v>641</v>
      </c>
      <c r="E285" t="s">
        <v>659</v>
      </c>
      <c r="F285">
        <v>3290</v>
      </c>
      <c r="G285" t="s">
        <v>8</v>
      </c>
      <c r="H285">
        <v>160</v>
      </c>
      <c r="I285">
        <v>232</v>
      </c>
      <c r="J285">
        <v>0</v>
      </c>
      <c r="K285">
        <v>55</v>
      </c>
      <c r="L285">
        <v>198</v>
      </c>
      <c r="M285">
        <v>0</v>
      </c>
      <c r="N285">
        <v>9</v>
      </c>
      <c r="O285">
        <v>0</v>
      </c>
      <c r="P285">
        <v>26</v>
      </c>
      <c r="Q285">
        <v>71</v>
      </c>
      <c r="R285">
        <v>118</v>
      </c>
      <c r="S285" s="6">
        <v>1.2</v>
      </c>
      <c r="T285" s="6">
        <v>0.45</v>
      </c>
      <c r="U285" s="25">
        <v>1.05</v>
      </c>
      <c r="V285" s="25">
        <v>0</v>
      </c>
      <c r="W285" t="s">
        <v>1093</v>
      </c>
      <c r="X285" s="25" t="s">
        <v>756</v>
      </c>
      <c r="Y285" s="25" t="s">
        <v>756</v>
      </c>
      <c r="Z285" s="25" t="s">
        <v>756</v>
      </c>
    </row>
    <row r="286" spans="1:26" x14ac:dyDescent="0.3">
      <c r="A286">
        <v>120</v>
      </c>
      <c r="B286" t="s">
        <v>536</v>
      </c>
      <c r="C286" t="s">
        <v>647</v>
      </c>
      <c r="D286" t="s">
        <v>640</v>
      </c>
      <c r="E286" t="s">
        <v>659</v>
      </c>
      <c r="F286">
        <v>3461</v>
      </c>
      <c r="G286" t="s">
        <v>8</v>
      </c>
      <c r="H286">
        <v>160</v>
      </c>
      <c r="I286">
        <v>218</v>
      </c>
      <c r="J286">
        <v>215</v>
      </c>
      <c r="K286">
        <v>67</v>
      </c>
      <c r="L286">
        <v>208</v>
      </c>
      <c r="M286">
        <v>0</v>
      </c>
      <c r="N286">
        <v>10</v>
      </c>
      <c r="O286">
        <v>0</v>
      </c>
      <c r="P286">
        <v>25</v>
      </c>
      <c r="Q286">
        <v>75</v>
      </c>
      <c r="R286">
        <v>116</v>
      </c>
      <c r="S286" s="6">
        <v>1.45</v>
      </c>
      <c r="T286" s="6">
        <v>1.6</v>
      </c>
      <c r="U286" s="25">
        <v>1</v>
      </c>
      <c r="V286" s="25">
        <v>0</v>
      </c>
      <c r="W286" t="s">
        <v>1098</v>
      </c>
      <c r="X286" s="25" t="s">
        <v>756</v>
      </c>
      <c r="Y286" s="25" t="s">
        <v>756</v>
      </c>
      <c r="Z286" s="25" t="s">
        <v>756</v>
      </c>
    </row>
    <row r="287" spans="1:26" x14ac:dyDescent="0.3">
      <c r="A287">
        <v>122</v>
      </c>
      <c r="B287" t="s">
        <v>381</v>
      </c>
      <c r="C287" t="s">
        <v>647</v>
      </c>
      <c r="D287" t="s">
        <v>640</v>
      </c>
      <c r="E287" t="s">
        <v>659</v>
      </c>
      <c r="F287">
        <v>3474</v>
      </c>
      <c r="G287" t="s">
        <v>8</v>
      </c>
      <c r="H287">
        <v>160</v>
      </c>
      <c r="I287">
        <v>218</v>
      </c>
      <c r="J287">
        <v>215</v>
      </c>
      <c r="K287">
        <v>65</v>
      </c>
      <c r="L287">
        <v>208</v>
      </c>
      <c r="M287">
        <v>0</v>
      </c>
      <c r="N287">
        <v>10</v>
      </c>
      <c r="O287">
        <v>0</v>
      </c>
      <c r="P287">
        <v>25</v>
      </c>
      <c r="Q287">
        <v>72</v>
      </c>
      <c r="R287">
        <v>116</v>
      </c>
      <c r="S287" s="6">
        <v>1.45</v>
      </c>
      <c r="T287" s="6">
        <v>1.6</v>
      </c>
      <c r="U287" s="25">
        <v>1</v>
      </c>
      <c r="V287" s="25">
        <v>0</v>
      </c>
      <c r="W287" t="s">
        <v>1099</v>
      </c>
      <c r="X287" s="25" t="s">
        <v>756</v>
      </c>
      <c r="Y287" s="25" t="s">
        <v>756</v>
      </c>
      <c r="Z287" s="25" t="s">
        <v>756</v>
      </c>
    </row>
    <row r="288" spans="1:26" x14ac:dyDescent="0.3">
      <c r="A288">
        <v>3122</v>
      </c>
      <c r="B288" t="s">
        <v>692</v>
      </c>
      <c r="C288" t="s">
        <v>647</v>
      </c>
      <c r="D288" t="s">
        <v>639</v>
      </c>
      <c r="E288" t="s">
        <v>659</v>
      </c>
      <c r="F288">
        <v>3754</v>
      </c>
      <c r="G288" t="s">
        <v>8</v>
      </c>
      <c r="H288">
        <v>165</v>
      </c>
      <c r="I288">
        <v>273</v>
      </c>
      <c r="J288">
        <v>245</v>
      </c>
      <c r="K288">
        <v>65</v>
      </c>
      <c r="L288">
        <v>208</v>
      </c>
      <c r="M288">
        <v>0</v>
      </c>
      <c r="N288">
        <v>10</v>
      </c>
      <c r="O288">
        <v>0</v>
      </c>
      <c r="P288">
        <v>25</v>
      </c>
      <c r="Q288">
        <v>72</v>
      </c>
      <c r="R288">
        <v>116</v>
      </c>
      <c r="S288" s="6">
        <v>1.6</v>
      </c>
      <c r="T288" s="6">
        <v>1.65</v>
      </c>
      <c r="U288" s="25">
        <v>1</v>
      </c>
      <c r="V288" s="25">
        <v>0</v>
      </c>
      <c r="W288" t="s">
        <v>1099</v>
      </c>
      <c r="X288" s="25" t="s">
        <v>756</v>
      </c>
      <c r="Y288" s="25" t="s">
        <v>756</v>
      </c>
      <c r="Z288" s="25" t="s">
        <v>756</v>
      </c>
    </row>
    <row r="289" spans="1:32" x14ac:dyDescent="0.3">
      <c r="A289">
        <v>337</v>
      </c>
      <c r="B289" t="s">
        <v>553</v>
      </c>
      <c r="C289" t="s">
        <v>647</v>
      </c>
      <c r="D289" t="s">
        <v>640</v>
      </c>
      <c r="E289" t="s">
        <v>659</v>
      </c>
      <c r="F289">
        <v>3461</v>
      </c>
      <c r="G289" t="s">
        <v>8</v>
      </c>
      <c r="H289">
        <v>160</v>
      </c>
      <c r="I289">
        <v>203</v>
      </c>
      <c r="J289">
        <v>215</v>
      </c>
      <c r="K289">
        <v>71</v>
      </c>
      <c r="L289">
        <v>255</v>
      </c>
      <c r="M289">
        <v>0</v>
      </c>
      <c r="N289">
        <v>10</v>
      </c>
      <c r="O289">
        <v>0</v>
      </c>
      <c r="P289">
        <v>25</v>
      </c>
      <c r="Q289">
        <v>68</v>
      </c>
      <c r="R289">
        <v>116</v>
      </c>
      <c r="S289" s="6">
        <v>1.45</v>
      </c>
      <c r="T289" s="6">
        <v>1.6</v>
      </c>
      <c r="U289" s="25">
        <v>1</v>
      </c>
      <c r="V289" s="25">
        <v>0</v>
      </c>
      <c r="W289" t="s">
        <v>1098</v>
      </c>
      <c r="X289" s="25" t="s">
        <v>756</v>
      </c>
      <c r="Y289" s="25" t="s">
        <v>756</v>
      </c>
      <c r="Z289" s="25" t="s">
        <v>756</v>
      </c>
    </row>
    <row r="290" spans="1:32" x14ac:dyDescent="0.3">
      <c r="A290">
        <v>382</v>
      </c>
      <c r="B290" t="s">
        <v>873</v>
      </c>
      <c r="C290" t="s">
        <v>648</v>
      </c>
      <c r="D290" t="s">
        <v>639</v>
      </c>
      <c r="E290" t="s">
        <v>184</v>
      </c>
      <c r="F290">
        <v>4176</v>
      </c>
      <c r="G290" t="s">
        <v>10</v>
      </c>
      <c r="H290">
        <v>179</v>
      </c>
      <c r="I290">
        <v>237</v>
      </c>
      <c r="J290">
        <v>212</v>
      </c>
      <c r="K290">
        <v>80</v>
      </c>
      <c r="L290">
        <v>209</v>
      </c>
      <c r="M290">
        <v>0</v>
      </c>
      <c r="N290">
        <v>11</v>
      </c>
      <c r="O290">
        <v>0</v>
      </c>
      <c r="P290">
        <v>28</v>
      </c>
      <c r="Q290">
        <v>15</v>
      </c>
      <c r="R290">
        <v>129</v>
      </c>
      <c r="S290" s="6">
        <v>1.35</v>
      </c>
      <c r="T290" s="6">
        <v>1.45</v>
      </c>
      <c r="U290" s="25">
        <v>1.1000000000000001</v>
      </c>
      <c r="V290" s="25">
        <v>0</v>
      </c>
      <c r="W290" t="s">
        <v>1107</v>
      </c>
      <c r="X290" t="s">
        <v>1338</v>
      </c>
      <c r="Y290" t="s">
        <v>1337</v>
      </c>
      <c r="Z290" s="25" t="s">
        <v>756</v>
      </c>
    </row>
    <row r="291" spans="1:32" x14ac:dyDescent="0.3">
      <c r="A291">
        <v>200</v>
      </c>
      <c r="B291" t="s">
        <v>545</v>
      </c>
      <c r="C291" t="s">
        <v>648</v>
      </c>
      <c r="D291" t="s">
        <v>642</v>
      </c>
      <c r="E291" t="s">
        <v>659</v>
      </c>
      <c r="F291">
        <v>4295</v>
      </c>
      <c r="G291" t="s">
        <v>10</v>
      </c>
      <c r="H291">
        <v>175</v>
      </c>
      <c r="I291">
        <v>270</v>
      </c>
      <c r="J291">
        <v>245</v>
      </c>
      <c r="K291">
        <v>79</v>
      </c>
      <c r="L291">
        <v>178</v>
      </c>
      <c r="M291">
        <v>0</v>
      </c>
      <c r="N291">
        <v>12</v>
      </c>
      <c r="O291">
        <v>0</v>
      </c>
      <c r="P291">
        <v>31</v>
      </c>
      <c r="Q291">
        <v>65</v>
      </c>
      <c r="R291">
        <v>134</v>
      </c>
      <c r="S291" s="6">
        <v>1.25</v>
      </c>
      <c r="T291" s="6">
        <v>1.75</v>
      </c>
      <c r="U291" s="25">
        <v>1</v>
      </c>
      <c r="V291" s="25">
        <v>0</v>
      </c>
      <c r="W291" t="s">
        <v>1105</v>
      </c>
      <c r="X291" s="25" t="s">
        <v>756</v>
      </c>
      <c r="Y291" s="25" t="s">
        <v>756</v>
      </c>
      <c r="Z291" s="25" t="s">
        <v>756</v>
      </c>
    </row>
    <row r="292" spans="1:32" x14ac:dyDescent="0.3">
      <c r="A292">
        <v>48</v>
      </c>
      <c r="B292" t="s">
        <v>533</v>
      </c>
      <c r="C292" t="s">
        <v>646</v>
      </c>
      <c r="D292" t="s">
        <v>639</v>
      </c>
      <c r="E292" t="s">
        <v>659</v>
      </c>
      <c r="F292">
        <v>4015</v>
      </c>
      <c r="G292" t="s">
        <v>10</v>
      </c>
      <c r="H292">
        <v>161</v>
      </c>
      <c r="I292">
        <v>218</v>
      </c>
      <c r="J292">
        <v>0</v>
      </c>
      <c r="K292">
        <v>57</v>
      </c>
      <c r="L292">
        <v>230</v>
      </c>
      <c r="M292">
        <v>0</v>
      </c>
      <c r="N292">
        <v>11</v>
      </c>
      <c r="O292">
        <v>0</v>
      </c>
      <c r="P292">
        <v>26</v>
      </c>
      <c r="Q292">
        <v>12</v>
      </c>
      <c r="R292">
        <v>122</v>
      </c>
      <c r="S292" s="6">
        <v>1.1499999999999999</v>
      </c>
      <c r="T292" s="6">
        <v>0.6</v>
      </c>
      <c r="U292" s="25">
        <v>1.3</v>
      </c>
      <c r="V292" s="25">
        <v>0</v>
      </c>
      <c r="W292" t="s">
        <v>1096</v>
      </c>
      <c r="X292" s="25" t="s">
        <v>756</v>
      </c>
      <c r="Y292" s="25" t="s">
        <v>756</v>
      </c>
      <c r="Z292" s="25" t="s">
        <v>756</v>
      </c>
    </row>
    <row r="293" spans="1:32" x14ac:dyDescent="0.3">
      <c r="A293">
        <v>49</v>
      </c>
      <c r="B293" t="s">
        <v>534</v>
      </c>
      <c r="C293" t="s">
        <v>646</v>
      </c>
      <c r="D293" t="s">
        <v>639</v>
      </c>
      <c r="E293" t="s">
        <v>659</v>
      </c>
      <c r="F293">
        <v>3709</v>
      </c>
      <c r="G293" t="s">
        <v>8</v>
      </c>
      <c r="H293">
        <v>179</v>
      </c>
      <c r="I293">
        <v>267</v>
      </c>
      <c r="J293">
        <v>0</v>
      </c>
      <c r="K293">
        <v>50</v>
      </c>
      <c r="L293">
        <v>222</v>
      </c>
      <c r="M293">
        <v>0</v>
      </c>
      <c r="N293">
        <v>11</v>
      </c>
      <c r="O293">
        <v>0</v>
      </c>
      <c r="P293">
        <v>26</v>
      </c>
      <c r="Q293">
        <v>70</v>
      </c>
      <c r="R293">
        <v>131</v>
      </c>
      <c r="S293" s="6">
        <v>1.3</v>
      </c>
      <c r="T293" s="6">
        <v>0.55000000000000004</v>
      </c>
      <c r="U293" s="25">
        <v>1.05</v>
      </c>
      <c r="V293" s="25">
        <v>0</v>
      </c>
      <c r="W293" t="s">
        <v>1097</v>
      </c>
      <c r="X293" s="25" t="s">
        <v>756</v>
      </c>
      <c r="Y293" s="25" t="s">
        <v>756</v>
      </c>
      <c r="Z293" s="25" t="s">
        <v>756</v>
      </c>
    </row>
    <row r="294" spans="1:32" x14ac:dyDescent="0.3">
      <c r="A294">
        <v>125</v>
      </c>
      <c r="B294" t="s">
        <v>382</v>
      </c>
      <c r="C294" t="s">
        <v>647</v>
      </c>
      <c r="D294" t="s">
        <v>639</v>
      </c>
      <c r="E294" t="s">
        <v>659</v>
      </c>
      <c r="F294">
        <v>3676</v>
      </c>
      <c r="G294" t="s">
        <v>10</v>
      </c>
      <c r="H294">
        <v>176</v>
      </c>
      <c r="I294">
        <v>226</v>
      </c>
      <c r="J294">
        <v>193</v>
      </c>
      <c r="K294">
        <v>72</v>
      </c>
      <c r="L294">
        <v>243</v>
      </c>
      <c r="M294">
        <v>0</v>
      </c>
      <c r="N294">
        <v>11</v>
      </c>
      <c r="O294">
        <v>0</v>
      </c>
      <c r="P294">
        <v>25</v>
      </c>
      <c r="Q294">
        <v>15</v>
      </c>
      <c r="R294">
        <v>130</v>
      </c>
      <c r="S294" s="6">
        <v>1.4</v>
      </c>
      <c r="T294" s="6">
        <v>1.65</v>
      </c>
      <c r="U294" s="25">
        <v>1</v>
      </c>
      <c r="V294" s="25">
        <v>0</v>
      </c>
      <c r="W294" t="s">
        <v>1101</v>
      </c>
      <c r="X294" s="25" t="s">
        <v>756</v>
      </c>
      <c r="Y294" s="25" t="s">
        <v>756</v>
      </c>
      <c r="Z294" s="25" t="s">
        <v>756</v>
      </c>
    </row>
    <row r="295" spans="1:32" x14ac:dyDescent="0.3">
      <c r="A295">
        <v>3125</v>
      </c>
      <c r="B295" t="s">
        <v>693</v>
      </c>
      <c r="C295" t="s">
        <v>647</v>
      </c>
      <c r="D295" t="s">
        <v>642</v>
      </c>
      <c r="E295" t="s">
        <v>659</v>
      </c>
      <c r="F295">
        <v>3916</v>
      </c>
      <c r="G295" t="s">
        <v>10</v>
      </c>
      <c r="H295">
        <v>191</v>
      </c>
      <c r="I295">
        <v>286</v>
      </c>
      <c r="J295">
        <v>193</v>
      </c>
      <c r="K295">
        <v>92</v>
      </c>
      <c r="L295">
        <v>258</v>
      </c>
      <c r="M295">
        <v>0</v>
      </c>
      <c r="N295">
        <v>11</v>
      </c>
      <c r="O295">
        <v>0</v>
      </c>
      <c r="P295">
        <v>25</v>
      </c>
      <c r="Q295">
        <v>15</v>
      </c>
      <c r="R295">
        <v>130</v>
      </c>
      <c r="S295" s="6">
        <v>1.55</v>
      </c>
      <c r="T295" s="6">
        <v>1.65</v>
      </c>
      <c r="U295" s="25">
        <v>1.05</v>
      </c>
      <c r="V295" s="25">
        <v>0</v>
      </c>
      <c r="W295" t="s">
        <v>1101</v>
      </c>
      <c r="X295" s="25" t="s">
        <v>756</v>
      </c>
      <c r="Y295" s="25" t="s">
        <v>756</v>
      </c>
      <c r="Z295" s="25" t="s">
        <v>756</v>
      </c>
    </row>
    <row r="296" spans="1:32" x14ac:dyDescent="0.3">
      <c r="A296" s="28"/>
      <c r="B296" s="28"/>
      <c r="C296" s="28"/>
      <c r="D296" s="28"/>
      <c r="E296" s="28"/>
      <c r="F296" s="28"/>
      <c r="G296" s="28"/>
      <c r="H296" s="28"/>
      <c r="I296" s="28"/>
      <c r="J296" s="28"/>
      <c r="K296" s="28"/>
      <c r="L296" s="28"/>
      <c r="M296" s="28"/>
      <c r="N296" s="28"/>
      <c r="O296" s="28"/>
      <c r="P296" s="28"/>
      <c r="Q296" s="28"/>
      <c r="R296" s="28"/>
      <c r="S296" s="29"/>
      <c r="T296" s="29"/>
      <c r="U296" s="29"/>
      <c r="V296" s="30"/>
      <c r="W296" s="30"/>
      <c r="X296" s="30"/>
      <c r="Y296" s="30"/>
      <c r="Z296" s="30"/>
    </row>
    <row r="297" spans="1:32" x14ac:dyDescent="0.3">
      <c r="A297" t="s">
        <v>351</v>
      </c>
      <c r="B297" t="s">
        <v>149</v>
      </c>
      <c r="C297" t="s">
        <v>192</v>
      </c>
      <c r="D297" t="s">
        <v>352</v>
      </c>
      <c r="E297" t="s">
        <v>150</v>
      </c>
      <c r="F297" t="s">
        <v>7</v>
      </c>
      <c r="G297" t="s">
        <v>353</v>
      </c>
      <c r="H297" t="s">
        <v>14</v>
      </c>
      <c r="I297" t="s">
        <v>9</v>
      </c>
      <c r="J297" t="s">
        <v>11</v>
      </c>
      <c r="K297" t="s">
        <v>294</v>
      </c>
      <c r="L297" t="s">
        <v>265</v>
      </c>
      <c r="M297" t="s">
        <v>293</v>
      </c>
      <c r="N297" t="s">
        <v>667</v>
      </c>
      <c r="O297" t="s">
        <v>666</v>
      </c>
      <c r="P297" t="s">
        <v>295</v>
      </c>
      <c r="Q297" t="s">
        <v>761</v>
      </c>
      <c r="R297" t="s">
        <v>762</v>
      </c>
      <c r="S297" s="6" t="s">
        <v>53</v>
      </c>
      <c r="T297" s="6" t="s">
        <v>668</v>
      </c>
      <c r="U297" s="6" t="s">
        <v>752</v>
      </c>
      <c r="V297" s="17" t="s">
        <v>753</v>
      </c>
      <c r="W297" s="17" t="s">
        <v>754</v>
      </c>
      <c r="X297" s="17" t="s">
        <v>750</v>
      </c>
      <c r="Y297" s="26" t="s">
        <v>936</v>
      </c>
      <c r="Z297" s="26" t="s">
        <v>937</v>
      </c>
      <c r="AA297" s="26" t="s">
        <v>1016</v>
      </c>
      <c r="AB297" s="26" t="s">
        <v>1017</v>
      </c>
      <c r="AC297" s="26" t="s">
        <v>1053</v>
      </c>
      <c r="AD297" s="26" t="s">
        <v>1054</v>
      </c>
    </row>
    <row r="298" spans="1:32" x14ac:dyDescent="0.3">
      <c r="A298">
        <v>336</v>
      </c>
      <c r="B298" t="s">
        <v>590</v>
      </c>
      <c r="C298" t="s">
        <v>647</v>
      </c>
      <c r="D298" t="s">
        <v>639</v>
      </c>
      <c r="E298" t="s">
        <v>660</v>
      </c>
      <c r="F298">
        <v>3777</v>
      </c>
      <c r="G298" t="s">
        <v>8</v>
      </c>
      <c r="H298">
        <v>148</v>
      </c>
      <c r="I298">
        <v>286</v>
      </c>
      <c r="J298">
        <v>0</v>
      </c>
      <c r="K298">
        <v>61</v>
      </c>
      <c r="L298">
        <v>182</v>
      </c>
      <c r="M298">
        <v>0</v>
      </c>
      <c r="N298">
        <v>10</v>
      </c>
      <c r="O298">
        <v>0</v>
      </c>
      <c r="P298">
        <v>12</v>
      </c>
      <c r="Q298">
        <v>38</v>
      </c>
      <c r="R298" s="123">
        <v>81</v>
      </c>
      <c r="S298" s="6">
        <v>1.2</v>
      </c>
      <c r="T298" s="6">
        <v>2.0499999999999998</v>
      </c>
      <c r="U298" s="6" t="s">
        <v>756</v>
      </c>
      <c r="V298" t="s">
        <v>756</v>
      </c>
      <c r="W298" t="s">
        <v>756</v>
      </c>
      <c r="X298" t="s">
        <v>756</v>
      </c>
      <c r="Y298" s="25">
        <v>1</v>
      </c>
      <c r="Z298" s="25">
        <v>0</v>
      </c>
      <c r="AA298" t="s">
        <v>1139</v>
      </c>
      <c r="AB298" t="s">
        <v>1139</v>
      </c>
      <c r="AC298" s="25" t="s">
        <v>756</v>
      </c>
      <c r="AD298" s="25" t="s">
        <v>756</v>
      </c>
    </row>
    <row r="299" spans="1:32" x14ac:dyDescent="0.3">
      <c r="A299" s="24"/>
      <c r="B299" s="24" t="s">
        <v>1420</v>
      </c>
      <c r="C299" s="24" t="s">
        <v>646</v>
      </c>
      <c r="D299" s="24" t="s">
        <v>642</v>
      </c>
      <c r="E299" s="24" t="s">
        <v>189</v>
      </c>
      <c r="F299" s="24">
        <v>7783</v>
      </c>
      <c r="G299" s="24" t="s">
        <v>12</v>
      </c>
      <c r="H299" s="24">
        <v>154</v>
      </c>
      <c r="I299" s="24">
        <v>417</v>
      </c>
      <c r="J299" s="24">
        <v>0</v>
      </c>
      <c r="K299" s="24">
        <v>33</v>
      </c>
      <c r="L299" s="24">
        <v>400</v>
      </c>
      <c r="M299" s="24">
        <v>0</v>
      </c>
      <c r="N299" s="24">
        <v>15</v>
      </c>
      <c r="O299" s="24">
        <v>0</v>
      </c>
      <c r="P299" s="24">
        <v>27</v>
      </c>
      <c r="Q299" s="24">
        <v>86</v>
      </c>
      <c r="R299" s="24">
        <v>64</v>
      </c>
      <c r="S299" s="25">
        <v>1.3</v>
      </c>
      <c r="T299" s="25">
        <v>2</v>
      </c>
      <c r="U299" s="6" t="s">
        <v>756</v>
      </c>
      <c r="V299" s="6" t="s">
        <v>756</v>
      </c>
      <c r="W299" s="6" t="s">
        <v>756</v>
      </c>
      <c r="X299" s="6" t="s">
        <v>756</v>
      </c>
      <c r="Y299" s="25">
        <v>1</v>
      </c>
      <c r="Z299" s="25">
        <v>0</v>
      </c>
      <c r="AA299" s="24" t="s">
        <v>1421</v>
      </c>
      <c r="AB299" s="24" t="s">
        <v>1425</v>
      </c>
      <c r="AC299" s="25" t="s">
        <v>756</v>
      </c>
      <c r="AD299" s="25" t="s">
        <v>756</v>
      </c>
      <c r="AF299" s="122"/>
    </row>
    <row r="300" spans="1:32" x14ac:dyDescent="0.3">
      <c r="A300">
        <v>367</v>
      </c>
      <c r="B300" t="s">
        <v>587</v>
      </c>
      <c r="C300" t="s">
        <v>648</v>
      </c>
      <c r="D300" t="s">
        <v>642</v>
      </c>
      <c r="E300" t="s">
        <v>660</v>
      </c>
      <c r="F300">
        <v>7654</v>
      </c>
      <c r="G300" t="s">
        <v>10</v>
      </c>
      <c r="H300">
        <v>148</v>
      </c>
      <c r="I300">
        <v>421</v>
      </c>
      <c r="J300">
        <v>213</v>
      </c>
      <c r="K300">
        <v>41</v>
      </c>
      <c r="L300">
        <v>187</v>
      </c>
      <c r="M300">
        <v>0</v>
      </c>
      <c r="N300">
        <v>15</v>
      </c>
      <c r="O300">
        <v>0</v>
      </c>
      <c r="P300">
        <v>30</v>
      </c>
      <c r="Q300">
        <v>23</v>
      </c>
      <c r="R300" s="123">
        <v>68</v>
      </c>
      <c r="S300" s="6">
        <v>1.35</v>
      </c>
      <c r="T300" s="6">
        <v>1.8</v>
      </c>
      <c r="U300" s="6" t="s">
        <v>756</v>
      </c>
      <c r="V300" t="s">
        <v>756</v>
      </c>
      <c r="W300" t="s">
        <v>756</v>
      </c>
      <c r="X300" t="s">
        <v>756</v>
      </c>
      <c r="Y300" s="25">
        <v>0.9</v>
      </c>
      <c r="Z300" s="25">
        <v>0</v>
      </c>
      <c r="AA300" t="s">
        <v>1360</v>
      </c>
      <c r="AB300" t="s">
        <v>1361</v>
      </c>
      <c r="AC300" t="s">
        <v>1362</v>
      </c>
      <c r="AD300" t="s">
        <v>1363</v>
      </c>
    </row>
    <row r="301" spans="1:32" x14ac:dyDescent="0.3">
      <c r="A301">
        <v>55</v>
      </c>
      <c r="B301" t="s">
        <v>556</v>
      </c>
      <c r="C301" t="s">
        <v>646</v>
      </c>
      <c r="D301" t="s">
        <v>639</v>
      </c>
      <c r="E301" t="s">
        <v>660</v>
      </c>
      <c r="F301">
        <v>7137</v>
      </c>
      <c r="G301" t="s">
        <v>12</v>
      </c>
      <c r="H301">
        <v>139</v>
      </c>
      <c r="I301">
        <v>399</v>
      </c>
      <c r="J301">
        <v>0</v>
      </c>
      <c r="K301">
        <v>27</v>
      </c>
      <c r="L301">
        <v>219</v>
      </c>
      <c r="M301">
        <v>0</v>
      </c>
      <c r="N301">
        <v>14</v>
      </c>
      <c r="O301">
        <v>0</v>
      </c>
      <c r="P301">
        <v>21</v>
      </c>
      <c r="Q301">
        <v>17</v>
      </c>
      <c r="R301" s="123">
        <v>70</v>
      </c>
      <c r="S301" s="6">
        <v>1.3</v>
      </c>
      <c r="T301" s="6">
        <v>2</v>
      </c>
      <c r="U301" s="6" t="s">
        <v>756</v>
      </c>
      <c r="V301" t="s">
        <v>756</v>
      </c>
      <c r="W301" t="s">
        <v>756</v>
      </c>
      <c r="X301" t="s">
        <v>756</v>
      </c>
      <c r="Y301" s="25">
        <v>1</v>
      </c>
      <c r="Z301" s="25">
        <v>0</v>
      </c>
      <c r="AA301" s="25" t="s">
        <v>756</v>
      </c>
      <c r="AB301" s="25" t="s">
        <v>756</v>
      </c>
      <c r="AC301" s="25" t="s">
        <v>756</v>
      </c>
      <c r="AD301" s="25" t="s">
        <v>756</v>
      </c>
    </row>
    <row r="302" spans="1:32" x14ac:dyDescent="0.3">
      <c r="A302" s="24"/>
      <c r="B302" s="24" t="s">
        <v>992</v>
      </c>
      <c r="C302" s="24" t="s">
        <v>649</v>
      </c>
      <c r="D302" s="24" t="s">
        <v>642</v>
      </c>
      <c r="E302" s="24" t="s">
        <v>189</v>
      </c>
      <c r="F302" s="24">
        <v>8762</v>
      </c>
      <c r="G302" s="24" t="s">
        <v>12</v>
      </c>
      <c r="H302" s="24">
        <v>152</v>
      </c>
      <c r="I302" s="24">
        <v>423</v>
      </c>
      <c r="J302" s="24">
        <v>0</v>
      </c>
      <c r="K302" s="24">
        <v>33</v>
      </c>
      <c r="L302" s="24">
        <v>208</v>
      </c>
      <c r="M302" s="24">
        <v>0</v>
      </c>
      <c r="N302" s="24">
        <v>15</v>
      </c>
      <c r="O302" s="24">
        <v>0</v>
      </c>
      <c r="P302" s="24">
        <v>30</v>
      </c>
      <c r="Q302" s="24">
        <v>32</v>
      </c>
      <c r="R302" s="123">
        <v>73</v>
      </c>
      <c r="S302" s="25">
        <v>1.3</v>
      </c>
      <c r="T302" s="25">
        <v>1.8</v>
      </c>
      <c r="U302" s="6" t="s">
        <v>756</v>
      </c>
      <c r="V302" s="24" t="s">
        <v>756</v>
      </c>
      <c r="W302" s="24" t="s">
        <v>756</v>
      </c>
      <c r="X302" s="24" t="s">
        <v>756</v>
      </c>
      <c r="Y302" s="25">
        <v>0.9</v>
      </c>
      <c r="Z302" s="25">
        <v>0</v>
      </c>
      <c r="AA302" t="s">
        <v>1136</v>
      </c>
      <c r="AB302" t="s">
        <v>1376</v>
      </c>
      <c r="AC302" s="25" t="s">
        <v>756</v>
      </c>
      <c r="AD302" s="25" t="s">
        <v>756</v>
      </c>
    </row>
    <row r="303" spans="1:32" x14ac:dyDescent="0.3">
      <c r="A303">
        <v>59</v>
      </c>
      <c r="B303" t="s">
        <v>558</v>
      </c>
      <c r="C303" t="s">
        <v>646</v>
      </c>
      <c r="D303" t="s">
        <v>640</v>
      </c>
      <c r="E303" t="s">
        <v>660</v>
      </c>
      <c r="F303">
        <v>7385</v>
      </c>
      <c r="G303" t="s">
        <v>12</v>
      </c>
      <c r="H303">
        <v>139</v>
      </c>
      <c r="I303">
        <v>391</v>
      </c>
      <c r="J303">
        <v>0</v>
      </c>
      <c r="K303">
        <v>28</v>
      </c>
      <c r="L303">
        <v>211</v>
      </c>
      <c r="M303">
        <v>0</v>
      </c>
      <c r="N303">
        <v>13</v>
      </c>
      <c r="O303">
        <v>0</v>
      </c>
      <c r="P303">
        <v>21</v>
      </c>
      <c r="Q303">
        <v>36</v>
      </c>
      <c r="R303" s="123">
        <v>69</v>
      </c>
      <c r="S303" s="6">
        <v>1.3</v>
      </c>
      <c r="T303" s="6">
        <v>2</v>
      </c>
      <c r="U303" s="6" t="s">
        <v>756</v>
      </c>
      <c r="V303" t="s">
        <v>756</v>
      </c>
      <c r="W303" t="s">
        <v>756</v>
      </c>
      <c r="X303" t="s">
        <v>756</v>
      </c>
      <c r="Y303" s="25">
        <v>1</v>
      </c>
      <c r="Z303" s="25">
        <v>0</v>
      </c>
      <c r="AA303" s="25" t="s">
        <v>756</v>
      </c>
      <c r="AB303" s="25" t="s">
        <v>756</v>
      </c>
      <c r="AC303" s="25" t="s">
        <v>756</v>
      </c>
      <c r="AD303" s="25" t="s">
        <v>756</v>
      </c>
    </row>
    <row r="304" spans="1:32" x14ac:dyDescent="0.3">
      <c r="A304">
        <v>60</v>
      </c>
      <c r="B304" t="s">
        <v>559</v>
      </c>
      <c r="C304" t="s">
        <v>646</v>
      </c>
      <c r="D304" t="s">
        <v>639</v>
      </c>
      <c r="E304" t="s">
        <v>660</v>
      </c>
      <c r="F304">
        <v>7456</v>
      </c>
      <c r="G304" t="s">
        <v>12</v>
      </c>
      <c r="H304">
        <v>149</v>
      </c>
      <c r="I304">
        <v>409</v>
      </c>
      <c r="J304">
        <v>0</v>
      </c>
      <c r="K304">
        <v>30</v>
      </c>
      <c r="L304">
        <v>216</v>
      </c>
      <c r="M304">
        <v>0</v>
      </c>
      <c r="N304">
        <v>14</v>
      </c>
      <c r="O304">
        <v>0</v>
      </c>
      <c r="P304">
        <v>21</v>
      </c>
      <c r="Q304">
        <v>67</v>
      </c>
      <c r="R304" s="123">
        <v>69</v>
      </c>
      <c r="S304" s="6">
        <v>1.3</v>
      </c>
      <c r="T304" s="6">
        <v>2</v>
      </c>
      <c r="U304" s="6" t="s">
        <v>756</v>
      </c>
      <c r="V304" t="s">
        <v>756</v>
      </c>
      <c r="W304" t="s">
        <v>756</v>
      </c>
      <c r="X304" t="s">
        <v>756</v>
      </c>
      <c r="Y304" s="25">
        <v>1</v>
      </c>
      <c r="Z304" s="25">
        <v>0</v>
      </c>
      <c r="AA304" s="24" t="s">
        <v>1123</v>
      </c>
      <c r="AB304" s="25" t="s">
        <v>756</v>
      </c>
      <c r="AC304" s="25" t="s">
        <v>756</v>
      </c>
      <c r="AD304" s="25" t="s">
        <v>756</v>
      </c>
    </row>
    <row r="305" spans="1:30" x14ac:dyDescent="0.3">
      <c r="A305">
        <v>136</v>
      </c>
      <c r="B305" t="s">
        <v>569</v>
      </c>
      <c r="C305" t="s">
        <v>647</v>
      </c>
      <c r="D305" t="s">
        <v>642</v>
      </c>
      <c r="E305" t="s">
        <v>660</v>
      </c>
      <c r="F305">
        <v>7967</v>
      </c>
      <c r="G305" t="s">
        <v>12</v>
      </c>
      <c r="H305">
        <v>153</v>
      </c>
      <c r="I305">
        <v>421</v>
      </c>
      <c r="J305">
        <v>0</v>
      </c>
      <c r="K305">
        <v>35</v>
      </c>
      <c r="L305">
        <v>225</v>
      </c>
      <c r="M305">
        <v>0</v>
      </c>
      <c r="N305">
        <v>15</v>
      </c>
      <c r="O305">
        <v>0</v>
      </c>
      <c r="P305">
        <v>28</v>
      </c>
      <c r="Q305">
        <v>73</v>
      </c>
      <c r="R305" s="123">
        <v>70</v>
      </c>
      <c r="S305" s="6">
        <v>1.35</v>
      </c>
      <c r="T305" s="6">
        <v>2</v>
      </c>
      <c r="U305" s="6" t="s">
        <v>756</v>
      </c>
      <c r="V305" t="s">
        <v>756</v>
      </c>
      <c r="W305" t="s">
        <v>756</v>
      </c>
      <c r="X305" t="s">
        <v>756</v>
      </c>
      <c r="Y305" s="25">
        <v>1</v>
      </c>
      <c r="Z305" s="25">
        <v>0</v>
      </c>
      <c r="AA305" t="s">
        <v>1128</v>
      </c>
      <c r="AB305" s="25" t="s">
        <v>756</v>
      </c>
      <c r="AC305" s="25" t="s">
        <v>756</v>
      </c>
      <c r="AD305" s="25" t="s">
        <v>756</v>
      </c>
    </row>
    <row r="306" spans="1:30" x14ac:dyDescent="0.3">
      <c r="A306">
        <v>352</v>
      </c>
      <c r="B306" t="s">
        <v>586</v>
      </c>
      <c r="C306" t="s">
        <v>653</v>
      </c>
      <c r="D306" t="s">
        <v>639</v>
      </c>
      <c r="E306" t="s">
        <v>660</v>
      </c>
      <c r="F306">
        <v>6788</v>
      </c>
      <c r="G306" t="s">
        <v>10</v>
      </c>
      <c r="H306">
        <v>163</v>
      </c>
      <c r="I306">
        <v>357</v>
      </c>
      <c r="J306">
        <v>0</v>
      </c>
      <c r="K306">
        <v>41</v>
      </c>
      <c r="L306">
        <v>227</v>
      </c>
      <c r="M306">
        <v>0</v>
      </c>
      <c r="N306">
        <v>13</v>
      </c>
      <c r="O306">
        <v>0</v>
      </c>
      <c r="P306">
        <v>31</v>
      </c>
      <c r="Q306">
        <v>35</v>
      </c>
      <c r="R306" s="123">
        <v>71</v>
      </c>
      <c r="S306" s="6">
        <v>1.7</v>
      </c>
      <c r="T306" s="6">
        <v>1.5</v>
      </c>
      <c r="U306" s="6" t="s">
        <v>756</v>
      </c>
      <c r="V306" t="s">
        <v>756</v>
      </c>
      <c r="W306" t="s">
        <v>756</v>
      </c>
      <c r="X306" t="s">
        <v>756</v>
      </c>
      <c r="Y306" s="25">
        <v>0.7</v>
      </c>
      <c r="Z306" s="25">
        <v>0</v>
      </c>
      <c r="AA306" t="s">
        <v>1121</v>
      </c>
      <c r="AB306" t="s">
        <v>1359</v>
      </c>
      <c r="AC306" s="25" t="s">
        <v>756</v>
      </c>
      <c r="AD306" s="25" t="s">
        <v>756</v>
      </c>
    </row>
    <row r="307" spans="1:30" x14ac:dyDescent="0.3">
      <c r="A307">
        <v>149</v>
      </c>
      <c r="B307" t="s">
        <v>588</v>
      </c>
      <c r="C307" t="s">
        <v>647</v>
      </c>
      <c r="D307" t="s">
        <v>639</v>
      </c>
      <c r="E307" t="s">
        <v>660</v>
      </c>
      <c r="F307">
        <v>3642</v>
      </c>
      <c r="G307" t="s">
        <v>8</v>
      </c>
      <c r="H307">
        <v>145</v>
      </c>
      <c r="I307">
        <v>282</v>
      </c>
      <c r="J307">
        <v>0</v>
      </c>
      <c r="K307">
        <v>61</v>
      </c>
      <c r="L307">
        <v>171</v>
      </c>
      <c r="M307">
        <v>0</v>
      </c>
      <c r="N307">
        <v>10</v>
      </c>
      <c r="O307">
        <v>0</v>
      </c>
      <c r="P307">
        <v>12</v>
      </c>
      <c r="Q307">
        <v>91</v>
      </c>
      <c r="R307" s="123">
        <v>81</v>
      </c>
      <c r="S307" s="6">
        <v>1.2</v>
      </c>
      <c r="T307" s="6">
        <v>2</v>
      </c>
      <c r="U307" s="6" t="s">
        <v>756</v>
      </c>
      <c r="V307" t="s">
        <v>756</v>
      </c>
      <c r="W307" t="s">
        <v>756</v>
      </c>
      <c r="X307" t="s">
        <v>756</v>
      </c>
      <c r="Y307" s="25">
        <v>1</v>
      </c>
      <c r="Z307" s="25">
        <v>0</v>
      </c>
      <c r="AA307" s="24" t="s">
        <v>1378</v>
      </c>
      <c r="AB307" s="24" t="s">
        <v>1379</v>
      </c>
      <c r="AC307" s="25" t="s">
        <v>756</v>
      </c>
      <c r="AD307" s="25" t="s">
        <v>756</v>
      </c>
    </row>
    <row r="308" spans="1:30" x14ac:dyDescent="0.3">
      <c r="A308" s="24" t="s">
        <v>944</v>
      </c>
      <c r="B308" s="24" t="s">
        <v>927</v>
      </c>
      <c r="C308" s="24" t="s">
        <v>649</v>
      </c>
      <c r="D308" s="24" t="s">
        <v>933</v>
      </c>
      <c r="E308" t="s">
        <v>660</v>
      </c>
      <c r="F308" s="24">
        <v>9886</v>
      </c>
      <c r="G308" t="s">
        <v>12</v>
      </c>
      <c r="H308" s="24">
        <v>157</v>
      </c>
      <c r="I308" s="24">
        <v>449</v>
      </c>
      <c r="J308" s="24">
        <v>0</v>
      </c>
      <c r="K308" s="24">
        <v>27</v>
      </c>
      <c r="L308" s="24">
        <v>241</v>
      </c>
      <c r="M308">
        <v>0</v>
      </c>
      <c r="N308">
        <v>19</v>
      </c>
      <c r="O308">
        <v>0</v>
      </c>
      <c r="P308" s="24">
        <v>30</v>
      </c>
      <c r="Q308" s="24">
        <v>0</v>
      </c>
      <c r="R308" s="123">
        <v>65</v>
      </c>
      <c r="S308" s="25">
        <v>1.6</v>
      </c>
      <c r="T308" s="25">
        <v>2.2000000000000002</v>
      </c>
      <c r="U308" s="6" t="s">
        <v>756</v>
      </c>
      <c r="V308" s="6" t="s">
        <v>756</v>
      </c>
      <c r="W308" t="s">
        <v>756</v>
      </c>
      <c r="X308" t="s">
        <v>756</v>
      </c>
      <c r="Y308" s="25">
        <v>1</v>
      </c>
      <c r="Z308" s="25">
        <v>0</v>
      </c>
      <c r="AA308" t="s">
        <v>1133</v>
      </c>
      <c r="AB308" t="s">
        <v>1374</v>
      </c>
      <c r="AC308" s="25" t="s">
        <v>756</v>
      </c>
      <c r="AD308" s="25" t="s">
        <v>756</v>
      </c>
    </row>
    <row r="309" spans="1:30" x14ac:dyDescent="0.3">
      <c r="A309">
        <v>208</v>
      </c>
      <c r="B309" t="s">
        <v>392</v>
      </c>
      <c r="C309" t="s">
        <v>648</v>
      </c>
      <c r="D309" t="s">
        <v>640</v>
      </c>
      <c r="E309" t="s">
        <v>660</v>
      </c>
      <c r="F309">
        <v>6916</v>
      </c>
      <c r="G309" t="s">
        <v>12</v>
      </c>
      <c r="H309">
        <v>142</v>
      </c>
      <c r="I309">
        <v>416</v>
      </c>
      <c r="J309">
        <v>0</v>
      </c>
      <c r="K309">
        <v>31</v>
      </c>
      <c r="L309">
        <v>222</v>
      </c>
      <c r="M309">
        <v>0</v>
      </c>
      <c r="N309">
        <v>0</v>
      </c>
      <c r="O309">
        <v>0</v>
      </c>
      <c r="P309">
        <v>23</v>
      </c>
      <c r="Q309">
        <v>13</v>
      </c>
      <c r="R309" s="123">
        <v>66</v>
      </c>
      <c r="S309" s="6">
        <v>1.45</v>
      </c>
      <c r="T309" s="6">
        <v>2</v>
      </c>
      <c r="U309" s="6" t="s">
        <v>756</v>
      </c>
      <c r="V309" t="s">
        <v>756</v>
      </c>
      <c r="W309" t="s">
        <v>756</v>
      </c>
      <c r="X309" t="s">
        <v>756</v>
      </c>
      <c r="Y309" s="25">
        <v>0.8</v>
      </c>
      <c r="Z309" s="25">
        <v>0</v>
      </c>
      <c r="AA309" s="25" t="s">
        <v>756</v>
      </c>
      <c r="AB309" s="25" t="s">
        <v>756</v>
      </c>
      <c r="AC309" s="25" t="s">
        <v>756</v>
      </c>
      <c r="AD309" s="25" t="s">
        <v>756</v>
      </c>
    </row>
    <row r="310" spans="1:30" x14ac:dyDescent="0.3">
      <c r="A310">
        <v>3208</v>
      </c>
      <c r="B310" t="s">
        <v>687</v>
      </c>
      <c r="C310" t="s">
        <v>648</v>
      </c>
      <c r="D310" t="s">
        <v>639</v>
      </c>
      <c r="E310" t="s">
        <v>834</v>
      </c>
      <c r="F310">
        <v>7266</v>
      </c>
      <c r="G310" t="s">
        <v>12</v>
      </c>
      <c r="H310">
        <v>134</v>
      </c>
      <c r="I310">
        <v>390</v>
      </c>
      <c r="J310">
        <v>0</v>
      </c>
      <c r="K310">
        <v>31</v>
      </c>
      <c r="L310">
        <v>303</v>
      </c>
      <c r="M310">
        <v>202</v>
      </c>
      <c r="N310">
        <v>13</v>
      </c>
      <c r="O310">
        <v>0</v>
      </c>
      <c r="P310">
        <v>23</v>
      </c>
      <c r="Q310">
        <v>13</v>
      </c>
      <c r="R310" s="123">
        <v>77</v>
      </c>
      <c r="S310" s="6">
        <v>1.65</v>
      </c>
      <c r="T310" s="6">
        <v>2</v>
      </c>
      <c r="U310" s="6" t="s">
        <v>756</v>
      </c>
      <c r="V310" t="s">
        <v>106</v>
      </c>
      <c r="W310" t="s">
        <v>756</v>
      </c>
      <c r="X310">
        <v>3</v>
      </c>
      <c r="Y310" s="25">
        <v>0.85</v>
      </c>
      <c r="Z310" s="25">
        <v>0</v>
      </c>
      <c r="AA310" t="s">
        <v>1140</v>
      </c>
      <c r="AB310" s="25" t="s">
        <v>756</v>
      </c>
      <c r="AC310" s="25" t="s">
        <v>756</v>
      </c>
      <c r="AD310" s="25" t="s">
        <v>756</v>
      </c>
    </row>
    <row r="311" spans="1:30" x14ac:dyDescent="0.3">
      <c r="A311" s="24" t="s">
        <v>942</v>
      </c>
      <c r="B311" s="24" t="s">
        <v>931</v>
      </c>
      <c r="C311" s="24" t="s">
        <v>653</v>
      </c>
      <c r="D311" t="s">
        <v>643</v>
      </c>
      <c r="E311" t="s">
        <v>660</v>
      </c>
      <c r="F311" s="24">
        <v>7863</v>
      </c>
      <c r="G311" t="s">
        <v>12</v>
      </c>
      <c r="H311" s="24">
        <v>168</v>
      </c>
      <c r="I311" s="24">
        <v>430</v>
      </c>
      <c r="J311" s="24">
        <v>0</v>
      </c>
      <c r="K311" s="24">
        <v>36</v>
      </c>
      <c r="L311" s="24">
        <v>241</v>
      </c>
      <c r="M311">
        <v>0</v>
      </c>
      <c r="N311">
        <v>16</v>
      </c>
      <c r="O311">
        <v>0</v>
      </c>
      <c r="P311" s="24">
        <v>32</v>
      </c>
      <c r="Q311" s="24">
        <v>0</v>
      </c>
      <c r="R311" s="123">
        <v>71</v>
      </c>
      <c r="S311" s="25">
        <v>1.8</v>
      </c>
      <c r="T311" s="25">
        <v>2</v>
      </c>
      <c r="U311" s="6" t="s">
        <v>756</v>
      </c>
      <c r="V311" s="6" t="s">
        <v>756</v>
      </c>
      <c r="W311" t="s">
        <v>756</v>
      </c>
      <c r="X311" t="s">
        <v>756</v>
      </c>
      <c r="Y311" s="25">
        <v>0.8</v>
      </c>
      <c r="Z311" s="25">
        <v>0</v>
      </c>
      <c r="AA311" t="s">
        <v>1371</v>
      </c>
      <c r="AB311" t="s">
        <v>1372</v>
      </c>
      <c r="AC311" t="s">
        <v>1373</v>
      </c>
      <c r="AD311" s="25" t="s">
        <v>756</v>
      </c>
    </row>
    <row r="312" spans="1:30" x14ac:dyDescent="0.3">
      <c r="A312" s="24" t="s">
        <v>943</v>
      </c>
      <c r="B312" s="24" t="s">
        <v>928</v>
      </c>
      <c r="C312" s="24" t="s">
        <v>646</v>
      </c>
      <c r="D312" t="s">
        <v>643</v>
      </c>
      <c r="E312" t="s">
        <v>660</v>
      </c>
      <c r="F312" s="24">
        <v>8297</v>
      </c>
      <c r="G312" t="s">
        <v>12</v>
      </c>
      <c r="H312" s="24">
        <v>163</v>
      </c>
      <c r="I312" s="24">
        <v>436</v>
      </c>
      <c r="J312" s="24">
        <v>0</v>
      </c>
      <c r="K312" s="24">
        <v>30</v>
      </c>
      <c r="L312" s="24">
        <v>409</v>
      </c>
      <c r="M312">
        <v>0</v>
      </c>
      <c r="N312">
        <v>16</v>
      </c>
      <c r="O312">
        <v>0</v>
      </c>
      <c r="P312" s="24">
        <v>33</v>
      </c>
      <c r="Q312" s="24">
        <v>0</v>
      </c>
      <c r="R312" s="123">
        <v>73</v>
      </c>
      <c r="S312" s="25">
        <v>1.65</v>
      </c>
      <c r="T312" s="25">
        <v>2</v>
      </c>
      <c r="U312" s="6" t="s">
        <v>756</v>
      </c>
      <c r="V312" s="6" t="s">
        <v>756</v>
      </c>
      <c r="W312" t="s">
        <v>756</v>
      </c>
      <c r="X312" t="s">
        <v>756</v>
      </c>
      <c r="Y312" s="25">
        <v>1.1000000000000001</v>
      </c>
      <c r="Z312" s="25">
        <v>0</v>
      </c>
      <c r="AA312" t="s">
        <v>1132</v>
      </c>
      <c r="AB312" t="s">
        <v>1370</v>
      </c>
      <c r="AC312" s="25" t="s">
        <v>756</v>
      </c>
      <c r="AD312" s="25" t="s">
        <v>756</v>
      </c>
    </row>
    <row r="313" spans="1:30" x14ac:dyDescent="0.3">
      <c r="A313">
        <v>249</v>
      </c>
      <c r="B313" t="s">
        <v>585</v>
      </c>
      <c r="C313" t="s">
        <v>649</v>
      </c>
      <c r="D313" t="s">
        <v>639</v>
      </c>
      <c r="E313" t="s">
        <v>660</v>
      </c>
      <c r="F313">
        <v>7455</v>
      </c>
      <c r="G313" t="s">
        <v>10</v>
      </c>
      <c r="H313">
        <v>157</v>
      </c>
      <c r="I313">
        <v>366</v>
      </c>
      <c r="J313">
        <v>154</v>
      </c>
      <c r="K313">
        <v>38</v>
      </c>
      <c r="L313">
        <v>248</v>
      </c>
      <c r="M313">
        <v>0</v>
      </c>
      <c r="N313">
        <v>13</v>
      </c>
      <c r="O313">
        <v>0</v>
      </c>
      <c r="P313">
        <v>31</v>
      </c>
      <c r="Q313">
        <v>64</v>
      </c>
      <c r="R313" s="123">
        <v>66</v>
      </c>
      <c r="S313" s="6">
        <v>1.35</v>
      </c>
      <c r="T313" s="6">
        <v>1.5</v>
      </c>
      <c r="U313" s="6" t="s">
        <v>756</v>
      </c>
      <c r="V313" t="s">
        <v>756</v>
      </c>
      <c r="W313" t="s">
        <v>756</v>
      </c>
      <c r="X313" t="s">
        <v>756</v>
      </c>
      <c r="Y313" s="25">
        <v>0.7</v>
      </c>
      <c r="Z313" s="25">
        <v>0</v>
      </c>
      <c r="AA313" t="s">
        <v>1120</v>
      </c>
      <c r="AB313" s="25" t="s">
        <v>756</v>
      </c>
      <c r="AC313" s="25" t="s">
        <v>756</v>
      </c>
      <c r="AD313" s="25" t="s">
        <v>756</v>
      </c>
    </row>
    <row r="314" spans="1:30" x14ac:dyDescent="0.3">
      <c r="A314">
        <v>206</v>
      </c>
      <c r="B314" t="s">
        <v>582</v>
      </c>
      <c r="C314" t="s">
        <v>648</v>
      </c>
      <c r="D314" t="s">
        <v>639</v>
      </c>
      <c r="E314" t="s">
        <v>660</v>
      </c>
      <c r="F314">
        <v>6604</v>
      </c>
      <c r="G314" t="s">
        <v>10</v>
      </c>
      <c r="H314">
        <v>159</v>
      </c>
      <c r="I314">
        <v>360</v>
      </c>
      <c r="J314">
        <v>0</v>
      </c>
      <c r="K314">
        <v>37</v>
      </c>
      <c r="L314">
        <v>273</v>
      </c>
      <c r="M314">
        <v>0</v>
      </c>
      <c r="N314">
        <v>14</v>
      </c>
      <c r="O314">
        <v>0</v>
      </c>
      <c r="P314">
        <v>30</v>
      </c>
      <c r="Q314">
        <v>47</v>
      </c>
      <c r="R314" s="123">
        <v>68</v>
      </c>
      <c r="S314" s="6">
        <v>1.45</v>
      </c>
      <c r="T314" s="6">
        <v>1.5</v>
      </c>
      <c r="U314" s="6" t="s">
        <v>756</v>
      </c>
      <c r="V314" t="s">
        <v>756</v>
      </c>
      <c r="W314" t="s">
        <v>756</v>
      </c>
      <c r="X314" t="s">
        <v>756</v>
      </c>
      <c r="Y314" s="25">
        <v>0.9</v>
      </c>
      <c r="Z314" s="25">
        <v>0</v>
      </c>
      <c r="AA314" s="25" t="s">
        <v>756</v>
      </c>
      <c r="AB314" s="25" t="s">
        <v>756</v>
      </c>
      <c r="AC314" s="25" t="s">
        <v>756</v>
      </c>
      <c r="AD314" s="25" t="s">
        <v>756</v>
      </c>
    </row>
    <row r="315" spans="1:30" x14ac:dyDescent="0.3">
      <c r="A315">
        <v>205</v>
      </c>
      <c r="B315" t="s">
        <v>581</v>
      </c>
      <c r="C315" t="s">
        <v>648</v>
      </c>
      <c r="D315" t="s">
        <v>639</v>
      </c>
      <c r="E315" t="s">
        <v>660</v>
      </c>
      <c r="F315">
        <v>6604</v>
      </c>
      <c r="G315" t="s">
        <v>10</v>
      </c>
      <c r="H315">
        <v>160</v>
      </c>
      <c r="I315">
        <v>367</v>
      </c>
      <c r="J315">
        <v>0</v>
      </c>
      <c r="K315">
        <v>37</v>
      </c>
      <c r="L315">
        <v>273</v>
      </c>
      <c r="M315">
        <v>0</v>
      </c>
      <c r="N315">
        <v>14</v>
      </c>
      <c r="O315">
        <v>0</v>
      </c>
      <c r="P315">
        <v>30</v>
      </c>
      <c r="Q315">
        <v>37</v>
      </c>
      <c r="R315" s="123">
        <v>68</v>
      </c>
      <c r="S315" s="6">
        <v>1.35</v>
      </c>
      <c r="T315" s="6">
        <v>1.5</v>
      </c>
      <c r="U315" s="6" t="s">
        <v>756</v>
      </c>
      <c r="V315" t="s">
        <v>756</v>
      </c>
      <c r="W315" t="s">
        <v>756</v>
      </c>
      <c r="X315" t="s">
        <v>756</v>
      </c>
      <c r="Y315" s="25">
        <v>0.9</v>
      </c>
      <c r="Z315" s="25">
        <v>0</v>
      </c>
      <c r="AA315" s="25" t="s">
        <v>756</v>
      </c>
      <c r="AB315" s="25" t="s">
        <v>756</v>
      </c>
      <c r="AC315" s="25" t="s">
        <v>756</v>
      </c>
      <c r="AD315" s="25" t="s">
        <v>756</v>
      </c>
    </row>
    <row r="316" spans="1:30" x14ac:dyDescent="0.3">
      <c r="A316">
        <v>129</v>
      </c>
      <c r="B316" t="s">
        <v>579</v>
      </c>
      <c r="C316" t="s">
        <v>647</v>
      </c>
      <c r="D316" t="s">
        <v>642</v>
      </c>
      <c r="E316" t="s">
        <v>660</v>
      </c>
      <c r="F316">
        <v>8445</v>
      </c>
      <c r="G316" t="s">
        <v>10</v>
      </c>
      <c r="H316">
        <v>159</v>
      </c>
      <c r="I316">
        <v>343</v>
      </c>
      <c r="J316">
        <v>0</v>
      </c>
      <c r="K316">
        <v>37</v>
      </c>
      <c r="L316">
        <v>323</v>
      </c>
      <c r="M316">
        <v>0</v>
      </c>
      <c r="N316">
        <v>14</v>
      </c>
      <c r="O316">
        <v>0</v>
      </c>
      <c r="P316">
        <v>31</v>
      </c>
      <c r="Q316">
        <v>38</v>
      </c>
      <c r="R316" s="123">
        <v>68</v>
      </c>
      <c r="S316" s="6">
        <v>1.4</v>
      </c>
      <c r="T316" s="6">
        <v>1.5</v>
      </c>
      <c r="U316" s="6" t="s">
        <v>756</v>
      </c>
      <c r="V316" t="s">
        <v>756</v>
      </c>
      <c r="W316" t="s">
        <v>756</v>
      </c>
      <c r="X316" t="s">
        <v>756</v>
      </c>
      <c r="Y316" s="25">
        <v>1</v>
      </c>
      <c r="Z316" s="25">
        <v>0</v>
      </c>
      <c r="AA316" t="s">
        <v>1118</v>
      </c>
      <c r="AB316" s="24"/>
      <c r="AC316" s="25" t="s">
        <v>756</v>
      </c>
      <c r="AD316" s="25" t="s">
        <v>756</v>
      </c>
    </row>
    <row r="317" spans="1:30" x14ac:dyDescent="0.3">
      <c r="A317">
        <v>211</v>
      </c>
      <c r="B317" t="s">
        <v>395</v>
      </c>
      <c r="C317" t="s">
        <v>648</v>
      </c>
      <c r="D317" t="s">
        <v>640</v>
      </c>
      <c r="E317" t="s">
        <v>660</v>
      </c>
      <c r="F317">
        <v>7124</v>
      </c>
      <c r="G317" t="s">
        <v>12</v>
      </c>
      <c r="H317">
        <v>141</v>
      </c>
      <c r="I317">
        <v>398</v>
      </c>
      <c r="J317">
        <v>0</v>
      </c>
      <c r="K317">
        <v>31</v>
      </c>
      <c r="L317">
        <v>229</v>
      </c>
      <c r="M317">
        <v>0</v>
      </c>
      <c r="N317">
        <v>13</v>
      </c>
      <c r="O317">
        <v>0</v>
      </c>
      <c r="P317">
        <v>23</v>
      </c>
      <c r="Q317">
        <v>60</v>
      </c>
      <c r="R317" s="123">
        <v>68</v>
      </c>
      <c r="S317" s="6">
        <v>1.35</v>
      </c>
      <c r="T317" s="6">
        <v>1.8</v>
      </c>
      <c r="U317" s="6" t="s">
        <v>756</v>
      </c>
      <c r="V317" t="s">
        <v>756</v>
      </c>
      <c r="W317" t="s">
        <v>756</v>
      </c>
      <c r="X317" t="s">
        <v>756</v>
      </c>
      <c r="Y317" s="25">
        <v>0.8</v>
      </c>
      <c r="Z317" s="25">
        <v>0</v>
      </c>
      <c r="AA317" s="25" t="s">
        <v>756</v>
      </c>
      <c r="AB317" s="25" t="s">
        <v>756</v>
      </c>
      <c r="AC317" s="25" t="s">
        <v>756</v>
      </c>
      <c r="AD317" s="25" t="s">
        <v>756</v>
      </c>
    </row>
    <row r="318" spans="1:30" x14ac:dyDescent="0.3">
      <c r="A318">
        <v>3211</v>
      </c>
      <c r="B318" t="s">
        <v>690</v>
      </c>
      <c r="C318" t="s">
        <v>648</v>
      </c>
      <c r="D318" t="s">
        <v>639</v>
      </c>
      <c r="E318" t="s">
        <v>834</v>
      </c>
      <c r="F318">
        <v>7243</v>
      </c>
      <c r="G318" t="s">
        <v>12</v>
      </c>
      <c r="H318">
        <v>132</v>
      </c>
      <c r="I318">
        <v>389</v>
      </c>
      <c r="J318">
        <v>0</v>
      </c>
      <c r="K318">
        <v>31</v>
      </c>
      <c r="L318">
        <v>373</v>
      </c>
      <c r="M318">
        <v>275</v>
      </c>
      <c r="N318">
        <v>13</v>
      </c>
      <c r="O318">
        <v>0</v>
      </c>
      <c r="P318">
        <v>23</v>
      </c>
      <c r="Q318">
        <v>60</v>
      </c>
      <c r="R318" s="123">
        <v>70</v>
      </c>
      <c r="S318" s="6">
        <v>1.75</v>
      </c>
      <c r="T318" s="6">
        <v>2</v>
      </c>
      <c r="U318" s="6" t="s">
        <v>756</v>
      </c>
      <c r="V318" t="s">
        <v>106</v>
      </c>
      <c r="W318" t="s">
        <v>756</v>
      </c>
      <c r="X318">
        <v>3</v>
      </c>
      <c r="Y318" s="25">
        <v>0.95</v>
      </c>
      <c r="Z318" s="25">
        <v>0</v>
      </c>
      <c r="AA318" t="s">
        <v>1141</v>
      </c>
      <c r="AB318" s="25" t="s">
        <v>756</v>
      </c>
      <c r="AC318" s="25" t="s">
        <v>756</v>
      </c>
      <c r="AD318" s="25" t="s">
        <v>756</v>
      </c>
    </row>
    <row r="319" spans="1:30" x14ac:dyDescent="0.3">
      <c r="A319">
        <v>210</v>
      </c>
      <c r="B319" t="s">
        <v>394</v>
      </c>
      <c r="C319" t="s">
        <v>648</v>
      </c>
      <c r="D319" t="s">
        <v>640</v>
      </c>
      <c r="E319" t="s">
        <v>660</v>
      </c>
      <c r="F319">
        <v>7124</v>
      </c>
      <c r="G319" t="s">
        <v>12</v>
      </c>
      <c r="H319">
        <v>141</v>
      </c>
      <c r="I319">
        <v>398</v>
      </c>
      <c r="J319">
        <v>0</v>
      </c>
      <c r="K319">
        <v>31</v>
      </c>
      <c r="L319">
        <v>229</v>
      </c>
      <c r="M319">
        <v>0</v>
      </c>
      <c r="N319">
        <v>13</v>
      </c>
      <c r="O319">
        <v>0</v>
      </c>
      <c r="P319">
        <v>23</v>
      </c>
      <c r="Q319">
        <v>60</v>
      </c>
      <c r="R319" s="123">
        <v>87</v>
      </c>
      <c r="S319" s="6">
        <v>1.4</v>
      </c>
      <c r="T319" s="6">
        <v>2</v>
      </c>
      <c r="U319" s="6" t="s">
        <v>756</v>
      </c>
      <c r="V319" t="s">
        <v>756</v>
      </c>
      <c r="W319" t="s">
        <v>756</v>
      </c>
      <c r="X319" t="s">
        <v>756</v>
      </c>
      <c r="Y319" s="25">
        <v>0.8</v>
      </c>
      <c r="Z319" s="25">
        <v>0</v>
      </c>
      <c r="AA319" s="25" t="s">
        <v>756</v>
      </c>
      <c r="AB319" s="25" t="s">
        <v>756</v>
      </c>
      <c r="AC319" s="25" t="s">
        <v>756</v>
      </c>
      <c r="AD319" s="25" t="s">
        <v>756</v>
      </c>
    </row>
    <row r="320" spans="1:30" x14ac:dyDescent="0.3">
      <c r="A320">
        <v>3210</v>
      </c>
      <c r="B320" t="s">
        <v>689</v>
      </c>
      <c r="C320" t="s">
        <v>648</v>
      </c>
      <c r="D320" t="s">
        <v>639</v>
      </c>
      <c r="E320" t="s">
        <v>834</v>
      </c>
      <c r="F320">
        <v>7243</v>
      </c>
      <c r="G320" t="s">
        <v>12</v>
      </c>
      <c r="H320">
        <v>132</v>
      </c>
      <c r="I320">
        <v>389</v>
      </c>
      <c r="J320">
        <v>0</v>
      </c>
      <c r="K320">
        <v>31</v>
      </c>
      <c r="L320">
        <v>373</v>
      </c>
      <c r="M320">
        <v>275</v>
      </c>
      <c r="N320">
        <v>13</v>
      </c>
      <c r="O320">
        <v>0</v>
      </c>
      <c r="P320">
        <v>23</v>
      </c>
      <c r="Q320">
        <v>60</v>
      </c>
      <c r="R320" s="123">
        <v>70</v>
      </c>
      <c r="S320" s="6">
        <v>1.8</v>
      </c>
      <c r="T320" s="6">
        <v>1.8</v>
      </c>
      <c r="U320" s="6" t="s">
        <v>756</v>
      </c>
      <c r="V320" t="s">
        <v>106</v>
      </c>
      <c r="W320" t="s">
        <v>756</v>
      </c>
      <c r="X320">
        <v>3</v>
      </c>
      <c r="Y320" s="25">
        <v>0.95</v>
      </c>
      <c r="Z320" s="25">
        <v>0</v>
      </c>
      <c r="AA320" t="s">
        <v>1142</v>
      </c>
      <c r="AB320" t="s">
        <v>1143</v>
      </c>
      <c r="AC320" s="25" t="s">
        <v>756</v>
      </c>
      <c r="AD320" s="25" t="s">
        <v>756</v>
      </c>
    </row>
    <row r="321" spans="1:30" x14ac:dyDescent="0.3">
      <c r="A321" t="s">
        <v>348</v>
      </c>
      <c r="B321" t="s">
        <v>634</v>
      </c>
      <c r="C321" t="s">
        <v>648</v>
      </c>
      <c r="D321" t="s">
        <v>643</v>
      </c>
      <c r="E321" t="s">
        <v>660</v>
      </c>
      <c r="F321">
        <v>8607</v>
      </c>
      <c r="G321" t="s">
        <v>12</v>
      </c>
      <c r="H321">
        <v>146</v>
      </c>
      <c r="I321">
        <v>428</v>
      </c>
      <c r="J321">
        <v>0</v>
      </c>
      <c r="K321">
        <v>37</v>
      </c>
      <c r="L321">
        <v>237</v>
      </c>
      <c r="M321">
        <v>0</v>
      </c>
      <c r="N321">
        <v>16</v>
      </c>
      <c r="O321">
        <v>0</v>
      </c>
      <c r="P321">
        <v>28</v>
      </c>
      <c r="Q321">
        <v>0</v>
      </c>
      <c r="R321" s="123">
        <v>87</v>
      </c>
      <c r="S321" s="6">
        <v>1.4</v>
      </c>
      <c r="T321" s="6">
        <v>2.1</v>
      </c>
      <c r="U321" s="6" t="s">
        <v>756</v>
      </c>
      <c r="V321" s="6" t="s">
        <v>756</v>
      </c>
      <c r="W321" t="s">
        <v>756</v>
      </c>
      <c r="X321" t="s">
        <v>756</v>
      </c>
      <c r="Y321" s="25">
        <v>0.8</v>
      </c>
      <c r="Z321" s="25">
        <v>0</v>
      </c>
      <c r="AA321" t="s">
        <v>1367</v>
      </c>
      <c r="AB321" t="s">
        <v>1368</v>
      </c>
      <c r="AC321" s="25" t="s">
        <v>756</v>
      </c>
      <c r="AD321" s="25" t="s">
        <v>756</v>
      </c>
    </row>
    <row r="322" spans="1:30" x14ac:dyDescent="0.3">
      <c r="A322">
        <v>353</v>
      </c>
      <c r="B322" t="s">
        <v>574</v>
      </c>
      <c r="C322" t="s">
        <v>653</v>
      </c>
      <c r="D322" t="s">
        <v>642</v>
      </c>
      <c r="E322" t="s">
        <v>660</v>
      </c>
      <c r="F322">
        <v>8036</v>
      </c>
      <c r="G322" t="s">
        <v>12</v>
      </c>
      <c r="H322">
        <v>179</v>
      </c>
      <c r="I322">
        <v>419</v>
      </c>
      <c r="J322">
        <v>0</v>
      </c>
      <c r="K322">
        <v>42</v>
      </c>
      <c r="L322">
        <v>241</v>
      </c>
      <c r="M322">
        <v>0</v>
      </c>
      <c r="N322">
        <v>15</v>
      </c>
      <c r="O322">
        <v>0</v>
      </c>
      <c r="P322">
        <v>32</v>
      </c>
      <c r="Q322">
        <v>17</v>
      </c>
      <c r="R322" s="123">
        <v>66</v>
      </c>
      <c r="S322" s="6">
        <v>1.6</v>
      </c>
      <c r="T322" s="6">
        <v>2</v>
      </c>
      <c r="U322" s="6" t="s">
        <v>756</v>
      </c>
      <c r="V322" t="s">
        <v>756</v>
      </c>
      <c r="W322" t="s">
        <v>756</v>
      </c>
      <c r="X322" t="s">
        <v>756</v>
      </c>
      <c r="Y322" s="25">
        <v>0.7</v>
      </c>
      <c r="Z322" s="25">
        <v>0</v>
      </c>
      <c r="AA322" s="25" t="s">
        <v>756</v>
      </c>
      <c r="AB322" s="25" t="s">
        <v>756</v>
      </c>
      <c r="AC322" s="25" t="s">
        <v>756</v>
      </c>
      <c r="AD322" s="25" t="s">
        <v>756</v>
      </c>
    </row>
    <row r="323" spans="1:30" x14ac:dyDescent="0.3">
      <c r="A323">
        <v>368</v>
      </c>
      <c r="B323" t="s">
        <v>576</v>
      </c>
      <c r="C323" t="s">
        <v>648</v>
      </c>
      <c r="D323" t="s">
        <v>642</v>
      </c>
      <c r="E323" t="s">
        <v>660</v>
      </c>
      <c r="F323">
        <v>8303</v>
      </c>
      <c r="G323" t="s">
        <v>12</v>
      </c>
      <c r="H323">
        <v>149</v>
      </c>
      <c r="I323">
        <v>423</v>
      </c>
      <c r="J323">
        <v>217</v>
      </c>
      <c r="K323">
        <v>39</v>
      </c>
      <c r="L323">
        <v>187</v>
      </c>
      <c r="M323">
        <v>0</v>
      </c>
      <c r="N323">
        <v>15</v>
      </c>
      <c r="O323">
        <v>0</v>
      </c>
      <c r="P323">
        <v>26</v>
      </c>
      <c r="Q323">
        <v>42</v>
      </c>
      <c r="R323" s="123">
        <v>66</v>
      </c>
      <c r="S323" s="6">
        <v>1.35</v>
      </c>
      <c r="T323" s="6">
        <v>2</v>
      </c>
      <c r="U323" s="6" t="s">
        <v>756</v>
      </c>
      <c r="V323" t="s">
        <v>756</v>
      </c>
      <c r="W323" t="s">
        <v>756</v>
      </c>
      <c r="X323" t="s">
        <v>756</v>
      </c>
      <c r="Y323" s="25">
        <v>0.9</v>
      </c>
      <c r="Z323" s="25">
        <v>0</v>
      </c>
      <c r="AA323" t="s">
        <v>1364</v>
      </c>
      <c r="AB323" t="s">
        <v>1365</v>
      </c>
      <c r="AC323" t="s">
        <v>1122</v>
      </c>
      <c r="AD323" s="25" t="s">
        <v>756</v>
      </c>
    </row>
    <row r="324" spans="1:30" x14ac:dyDescent="0.3">
      <c r="A324" s="24"/>
      <c r="B324" s="24" t="s">
        <v>991</v>
      </c>
      <c r="C324" s="24" t="s">
        <v>647</v>
      </c>
      <c r="D324" s="24" t="s">
        <v>642</v>
      </c>
      <c r="E324" s="24" t="s">
        <v>189</v>
      </c>
      <c r="F324" s="24">
        <v>7970</v>
      </c>
      <c r="G324" s="24" t="s">
        <v>12</v>
      </c>
      <c r="H324" s="24">
        <v>156</v>
      </c>
      <c r="I324" s="24">
        <v>423</v>
      </c>
      <c r="J324" s="24">
        <v>0</v>
      </c>
      <c r="K324" s="24">
        <v>35</v>
      </c>
      <c r="L324" s="24">
        <v>264</v>
      </c>
      <c r="M324" s="24">
        <v>0</v>
      </c>
      <c r="N324" s="24">
        <v>15</v>
      </c>
      <c r="O324" s="24">
        <v>0</v>
      </c>
      <c r="P324" s="24">
        <v>28</v>
      </c>
      <c r="Q324" s="24">
        <v>77</v>
      </c>
      <c r="R324" s="123">
        <v>71</v>
      </c>
      <c r="S324" s="25">
        <v>1.35</v>
      </c>
      <c r="T324" s="25">
        <v>2</v>
      </c>
      <c r="U324" s="6" t="s">
        <v>756</v>
      </c>
      <c r="V324" s="6" t="s">
        <v>756</v>
      </c>
      <c r="W324" t="s">
        <v>756</v>
      </c>
      <c r="X324" t="s">
        <v>756</v>
      </c>
      <c r="Y324" s="25">
        <v>1</v>
      </c>
      <c r="Z324" s="25">
        <v>0</v>
      </c>
      <c r="AA324" t="s">
        <v>1138</v>
      </c>
      <c r="AB324" t="s">
        <v>1377</v>
      </c>
      <c r="AC324" t="s">
        <v>1137</v>
      </c>
      <c r="AD324" s="25" t="s">
        <v>756</v>
      </c>
    </row>
    <row r="325" spans="1:30" x14ac:dyDescent="0.3">
      <c r="A325">
        <v>207</v>
      </c>
      <c r="B325" t="s">
        <v>583</v>
      </c>
      <c r="C325" t="s">
        <v>648</v>
      </c>
      <c r="D325" t="s">
        <v>639</v>
      </c>
      <c r="E325" t="s">
        <v>660</v>
      </c>
      <c r="F325">
        <v>6604</v>
      </c>
      <c r="G325" t="s">
        <v>10</v>
      </c>
      <c r="H325">
        <v>160</v>
      </c>
      <c r="I325">
        <v>367</v>
      </c>
      <c r="J325">
        <v>0</v>
      </c>
      <c r="K325">
        <v>37</v>
      </c>
      <c r="L325">
        <v>273</v>
      </c>
      <c r="M325">
        <v>0</v>
      </c>
      <c r="N325">
        <v>14</v>
      </c>
      <c r="O325">
        <v>0</v>
      </c>
      <c r="P325">
        <v>30</v>
      </c>
      <c r="Q325">
        <v>37</v>
      </c>
      <c r="R325" s="123">
        <v>70</v>
      </c>
      <c r="S325" s="6">
        <v>1.45</v>
      </c>
      <c r="T325" s="6">
        <v>1.5</v>
      </c>
      <c r="U325" t="s">
        <v>756</v>
      </c>
      <c r="V325" t="s">
        <v>756</v>
      </c>
      <c r="W325" t="s">
        <v>756</v>
      </c>
      <c r="X325" t="s">
        <v>756</v>
      </c>
      <c r="Y325" s="25">
        <v>0.9</v>
      </c>
      <c r="Z325" s="25">
        <v>0</v>
      </c>
      <c r="AA325" t="s">
        <v>1278</v>
      </c>
      <c r="AB325" s="25" t="s">
        <v>756</v>
      </c>
      <c r="AC325" s="25" t="s">
        <v>756</v>
      </c>
      <c r="AD325" s="25" t="s">
        <v>756</v>
      </c>
    </row>
    <row r="326" spans="1:30" x14ac:dyDescent="0.3">
      <c r="A326">
        <v>204</v>
      </c>
      <c r="B326" t="s">
        <v>580</v>
      </c>
      <c r="C326" t="s">
        <v>648</v>
      </c>
      <c r="D326" t="s">
        <v>639</v>
      </c>
      <c r="E326" t="s">
        <v>660</v>
      </c>
      <c r="F326">
        <v>6604</v>
      </c>
      <c r="G326" t="s">
        <v>10</v>
      </c>
      <c r="H326">
        <v>159</v>
      </c>
      <c r="I326">
        <v>367</v>
      </c>
      <c r="J326">
        <v>0</v>
      </c>
      <c r="K326">
        <v>37</v>
      </c>
      <c r="L326">
        <v>273</v>
      </c>
      <c r="M326">
        <v>0</v>
      </c>
      <c r="N326">
        <v>14</v>
      </c>
      <c r="O326">
        <v>0</v>
      </c>
      <c r="P326">
        <v>30</v>
      </c>
      <c r="Q326">
        <v>43</v>
      </c>
      <c r="R326" s="123">
        <v>68</v>
      </c>
      <c r="S326" s="6">
        <v>1.35</v>
      </c>
      <c r="T326" s="6">
        <v>1.5</v>
      </c>
      <c r="U326" s="6" t="s">
        <v>756</v>
      </c>
      <c r="V326" t="s">
        <v>756</v>
      </c>
      <c r="W326" t="s">
        <v>756</v>
      </c>
      <c r="X326" t="s">
        <v>756</v>
      </c>
      <c r="Y326" s="25">
        <v>0.9</v>
      </c>
      <c r="Z326" s="25">
        <v>0</v>
      </c>
      <c r="AA326" s="25" t="s">
        <v>756</v>
      </c>
      <c r="AB326" s="25" t="s">
        <v>756</v>
      </c>
      <c r="AC326" s="25" t="s">
        <v>756</v>
      </c>
      <c r="AD326" s="25" t="s">
        <v>756</v>
      </c>
    </row>
    <row r="327" spans="1:30" x14ac:dyDescent="0.3">
      <c r="A327" s="24"/>
      <c r="B327" s="24" t="s">
        <v>970</v>
      </c>
      <c r="C327" s="24" t="s">
        <v>648</v>
      </c>
      <c r="D327" s="24" t="s">
        <v>639</v>
      </c>
      <c r="E327" s="24" t="s">
        <v>189</v>
      </c>
      <c r="F327" s="24">
        <v>6454</v>
      </c>
      <c r="G327" s="24" t="s">
        <v>10</v>
      </c>
      <c r="H327" s="24">
        <v>160</v>
      </c>
      <c r="I327" s="24">
        <v>363</v>
      </c>
      <c r="J327" s="24">
        <v>168</v>
      </c>
      <c r="K327" s="24">
        <v>40</v>
      </c>
      <c r="L327" s="24">
        <v>247</v>
      </c>
      <c r="M327" s="24">
        <v>0</v>
      </c>
      <c r="N327" s="24">
        <v>14</v>
      </c>
      <c r="O327" s="24">
        <v>0</v>
      </c>
      <c r="P327" s="24">
        <v>30</v>
      </c>
      <c r="Q327" s="24">
        <v>37</v>
      </c>
      <c r="R327" s="123">
        <v>70</v>
      </c>
      <c r="S327" s="25">
        <v>1.3</v>
      </c>
      <c r="T327" s="25">
        <v>1.5</v>
      </c>
      <c r="U327" s="6" t="s">
        <v>756</v>
      </c>
      <c r="V327" s="6" t="s">
        <v>756</v>
      </c>
      <c r="W327" t="s">
        <v>756</v>
      </c>
      <c r="X327" t="s">
        <v>756</v>
      </c>
      <c r="Y327" s="6">
        <v>0.85</v>
      </c>
      <c r="Z327" s="25">
        <v>0</v>
      </c>
      <c r="AA327" t="s">
        <v>1135</v>
      </c>
      <c r="AB327" s="25" t="s">
        <v>756</v>
      </c>
      <c r="AC327" s="25" t="s">
        <v>756</v>
      </c>
      <c r="AD327" s="25" t="s">
        <v>756</v>
      </c>
    </row>
    <row r="328" spans="1:30" x14ac:dyDescent="0.3">
      <c r="A328">
        <v>61</v>
      </c>
      <c r="B328" t="s">
        <v>560</v>
      </c>
      <c r="C328" t="s">
        <v>646</v>
      </c>
      <c r="D328" t="s">
        <v>639</v>
      </c>
      <c r="E328" t="s">
        <v>660</v>
      </c>
      <c r="F328">
        <v>7514</v>
      </c>
      <c r="G328" t="s">
        <v>12</v>
      </c>
      <c r="H328">
        <v>146</v>
      </c>
      <c r="I328">
        <v>405</v>
      </c>
      <c r="J328">
        <v>0</v>
      </c>
      <c r="K328">
        <v>30</v>
      </c>
      <c r="L328">
        <v>216</v>
      </c>
      <c r="M328">
        <v>0</v>
      </c>
      <c r="N328">
        <v>14</v>
      </c>
      <c r="O328">
        <v>0</v>
      </c>
      <c r="P328">
        <v>21</v>
      </c>
      <c r="Q328">
        <v>70</v>
      </c>
      <c r="R328" s="123">
        <v>64</v>
      </c>
      <c r="S328" s="6">
        <v>1.3</v>
      </c>
      <c r="T328" s="6">
        <v>2</v>
      </c>
      <c r="U328" s="6" t="s">
        <v>756</v>
      </c>
      <c r="V328" t="s">
        <v>756</v>
      </c>
      <c r="W328" t="s">
        <v>756</v>
      </c>
      <c r="X328" t="s">
        <v>756</v>
      </c>
      <c r="Y328" s="25">
        <v>1</v>
      </c>
      <c r="Z328" s="25">
        <v>0</v>
      </c>
      <c r="AA328" s="24" t="s">
        <v>1123</v>
      </c>
      <c r="AB328" s="25" t="s">
        <v>756</v>
      </c>
      <c r="AC328" s="25" t="s">
        <v>756</v>
      </c>
      <c r="AD328" s="25" t="s">
        <v>756</v>
      </c>
    </row>
    <row r="329" spans="1:30" x14ac:dyDescent="0.3">
      <c r="A329">
        <v>354</v>
      </c>
      <c r="B329" t="s">
        <v>575</v>
      </c>
      <c r="C329" t="s">
        <v>646</v>
      </c>
      <c r="D329" t="s">
        <v>642</v>
      </c>
      <c r="E329" t="s">
        <v>660</v>
      </c>
      <c r="F329">
        <v>7783</v>
      </c>
      <c r="G329" t="s">
        <v>12</v>
      </c>
      <c r="H329">
        <v>156</v>
      </c>
      <c r="I329">
        <v>414</v>
      </c>
      <c r="J329">
        <v>0</v>
      </c>
      <c r="K329">
        <v>33</v>
      </c>
      <c r="L329">
        <v>400</v>
      </c>
      <c r="M329">
        <v>0</v>
      </c>
      <c r="N329">
        <v>15</v>
      </c>
      <c r="O329">
        <v>0</v>
      </c>
      <c r="P329">
        <v>27</v>
      </c>
      <c r="Q329">
        <v>82</v>
      </c>
      <c r="R329" s="123">
        <v>74</v>
      </c>
      <c r="S329" s="6">
        <v>1.3</v>
      </c>
      <c r="T329" s="6">
        <v>2</v>
      </c>
      <c r="U329" s="6" t="s">
        <v>756</v>
      </c>
      <c r="V329" t="s">
        <v>756</v>
      </c>
      <c r="W329" t="s">
        <v>756</v>
      </c>
      <c r="X329" t="s">
        <v>756</v>
      </c>
      <c r="Y329" s="25">
        <v>1</v>
      </c>
      <c r="Z329" s="25">
        <v>0</v>
      </c>
      <c r="AA329" s="25" t="s">
        <v>756</v>
      </c>
      <c r="AB329" s="25" t="s">
        <v>756</v>
      </c>
      <c r="AC329" s="25" t="s">
        <v>756</v>
      </c>
      <c r="AD329" s="25" t="s">
        <v>756</v>
      </c>
    </row>
    <row r="330" spans="1:30" x14ac:dyDescent="0.3">
      <c r="A330">
        <v>320</v>
      </c>
      <c r="B330" t="s">
        <v>573</v>
      </c>
      <c r="C330" t="s">
        <v>648</v>
      </c>
      <c r="D330" t="s">
        <v>642</v>
      </c>
      <c r="E330" t="s">
        <v>660</v>
      </c>
      <c r="F330">
        <v>5372</v>
      </c>
      <c r="G330" t="s">
        <v>12</v>
      </c>
      <c r="H330">
        <v>163</v>
      </c>
      <c r="I330">
        <v>334</v>
      </c>
      <c r="J330">
        <v>0</v>
      </c>
      <c r="K330">
        <v>25</v>
      </c>
      <c r="L330">
        <v>172</v>
      </c>
      <c r="M330">
        <v>0</v>
      </c>
      <c r="N330">
        <v>14</v>
      </c>
      <c r="O330">
        <v>0</v>
      </c>
      <c r="P330">
        <v>18</v>
      </c>
      <c r="Q330">
        <v>95</v>
      </c>
      <c r="R330" s="123">
        <v>72</v>
      </c>
      <c r="S330" s="6">
        <v>1.3</v>
      </c>
      <c r="T330" s="6">
        <v>1.5</v>
      </c>
      <c r="U330" s="6" t="s">
        <v>756</v>
      </c>
      <c r="V330" t="s">
        <v>756</v>
      </c>
      <c r="W330" t="s">
        <v>756</v>
      </c>
      <c r="X330" t="s">
        <v>756</v>
      </c>
      <c r="Y330" s="25">
        <v>0</v>
      </c>
      <c r="Z330" s="25">
        <v>0</v>
      </c>
      <c r="AA330" s="25" t="s">
        <v>756</v>
      </c>
      <c r="AB330" s="25" t="s">
        <v>756</v>
      </c>
      <c r="AC330" s="25" t="s">
        <v>756</v>
      </c>
      <c r="AD330" s="25" t="s">
        <v>756</v>
      </c>
    </row>
    <row r="331" spans="1:30" x14ac:dyDescent="0.3">
      <c r="A331" t="s">
        <v>346</v>
      </c>
      <c r="B331" t="s">
        <v>632</v>
      </c>
      <c r="C331" t="s">
        <v>647</v>
      </c>
      <c r="D331" t="s">
        <v>643</v>
      </c>
      <c r="E331" t="s">
        <v>660</v>
      </c>
      <c r="F331">
        <v>7967</v>
      </c>
      <c r="G331" t="s">
        <v>12</v>
      </c>
      <c r="H331">
        <v>168</v>
      </c>
      <c r="I331">
        <v>423</v>
      </c>
      <c r="J331">
        <v>0</v>
      </c>
      <c r="K331">
        <v>35</v>
      </c>
      <c r="L331">
        <v>230</v>
      </c>
      <c r="M331">
        <v>0</v>
      </c>
      <c r="N331">
        <v>16</v>
      </c>
      <c r="O331">
        <v>0</v>
      </c>
      <c r="P331">
        <v>28</v>
      </c>
      <c r="Q331">
        <v>0</v>
      </c>
      <c r="R331" s="123">
        <v>66</v>
      </c>
      <c r="S331" s="6">
        <v>1.45</v>
      </c>
      <c r="T331" s="6">
        <v>2.1</v>
      </c>
      <c r="U331" s="6" t="s">
        <v>756</v>
      </c>
      <c r="V331" s="6" t="s">
        <v>756</v>
      </c>
      <c r="W331" t="s">
        <v>756</v>
      </c>
      <c r="X331" t="s">
        <v>756</v>
      </c>
      <c r="Y331" s="25">
        <v>1.1000000000000001</v>
      </c>
      <c r="Z331" s="25">
        <v>0</v>
      </c>
      <c r="AA331" t="s">
        <v>1130</v>
      </c>
      <c r="AB331" s="25" t="s">
        <v>756</v>
      </c>
      <c r="AC331" s="25" t="s">
        <v>756</v>
      </c>
      <c r="AD331" s="25" t="s">
        <v>756</v>
      </c>
    </row>
    <row r="332" spans="1:30" x14ac:dyDescent="0.3">
      <c r="A332">
        <v>213</v>
      </c>
      <c r="B332" t="s">
        <v>571</v>
      </c>
      <c r="C332" t="s">
        <v>648</v>
      </c>
      <c r="D332" t="s">
        <v>639</v>
      </c>
      <c r="E332" t="s">
        <v>660</v>
      </c>
      <c r="F332">
        <v>7896</v>
      </c>
      <c r="G332" t="s">
        <v>12</v>
      </c>
      <c r="H332">
        <v>145</v>
      </c>
      <c r="I332">
        <v>409</v>
      </c>
      <c r="J332">
        <v>0</v>
      </c>
      <c r="K332">
        <v>34</v>
      </c>
      <c r="L332">
        <v>185</v>
      </c>
      <c r="M332">
        <v>0</v>
      </c>
      <c r="N332">
        <v>14</v>
      </c>
      <c r="O332">
        <v>0</v>
      </c>
      <c r="P332">
        <v>25</v>
      </c>
      <c r="Q332">
        <v>34</v>
      </c>
      <c r="R332" s="123">
        <v>71</v>
      </c>
      <c r="S332" s="6">
        <v>1.3</v>
      </c>
      <c r="T332" s="6">
        <v>2.1</v>
      </c>
      <c r="U332" s="6" t="s">
        <v>756</v>
      </c>
      <c r="V332" t="s">
        <v>756</v>
      </c>
      <c r="W332" t="s">
        <v>756</v>
      </c>
      <c r="X332" t="s">
        <v>756</v>
      </c>
      <c r="Y332" s="25">
        <v>1</v>
      </c>
      <c r="Z332" s="25">
        <v>0</v>
      </c>
      <c r="AA332" t="s">
        <v>1369</v>
      </c>
      <c r="AB332" t="s">
        <v>1131</v>
      </c>
      <c r="AC332" s="25" t="s">
        <v>756</v>
      </c>
      <c r="AD332" s="25" t="s">
        <v>756</v>
      </c>
    </row>
    <row r="333" spans="1:30" x14ac:dyDescent="0.3">
      <c r="A333">
        <v>212</v>
      </c>
      <c r="B333" t="s">
        <v>570</v>
      </c>
      <c r="C333" t="s">
        <v>648</v>
      </c>
      <c r="D333" t="s">
        <v>642</v>
      </c>
      <c r="E333" t="s">
        <v>660</v>
      </c>
      <c r="F333">
        <v>8117</v>
      </c>
      <c r="G333" t="s">
        <v>12</v>
      </c>
      <c r="H333">
        <v>146</v>
      </c>
      <c r="I333">
        <v>419</v>
      </c>
      <c r="J333">
        <v>0</v>
      </c>
      <c r="K333">
        <v>37</v>
      </c>
      <c r="L333">
        <v>182</v>
      </c>
      <c r="M333">
        <v>0</v>
      </c>
      <c r="N333">
        <v>15</v>
      </c>
      <c r="O333">
        <v>0</v>
      </c>
      <c r="P333">
        <v>25</v>
      </c>
      <c r="Q333">
        <v>71</v>
      </c>
      <c r="R333" s="123">
        <v>70</v>
      </c>
      <c r="S333" s="6">
        <v>1.35</v>
      </c>
      <c r="T333" s="6">
        <v>2.1</v>
      </c>
      <c r="U333" s="6" t="s">
        <v>756</v>
      </c>
      <c r="V333" t="s">
        <v>756</v>
      </c>
      <c r="W333" t="s">
        <v>756</v>
      </c>
      <c r="X333" t="s">
        <v>756</v>
      </c>
      <c r="Y333" s="25">
        <v>1</v>
      </c>
      <c r="Z333" s="25">
        <v>0</v>
      </c>
      <c r="AA333" t="s">
        <v>1369</v>
      </c>
      <c r="AB333" t="s">
        <v>1131</v>
      </c>
      <c r="AC333" s="25" t="s">
        <v>756</v>
      </c>
      <c r="AD333" s="25" t="s">
        <v>756</v>
      </c>
    </row>
    <row r="334" spans="1:30" x14ac:dyDescent="0.3">
      <c r="A334">
        <v>132</v>
      </c>
      <c r="B334" t="s">
        <v>566</v>
      </c>
      <c r="C334" t="s">
        <v>647</v>
      </c>
      <c r="D334" t="s">
        <v>639</v>
      </c>
      <c r="E334" t="s">
        <v>660</v>
      </c>
      <c r="F334">
        <v>7654</v>
      </c>
      <c r="G334" t="s">
        <v>12</v>
      </c>
      <c r="H334">
        <v>149</v>
      </c>
      <c r="I334">
        <v>407</v>
      </c>
      <c r="J334">
        <v>0</v>
      </c>
      <c r="K334">
        <v>33</v>
      </c>
      <c r="L334">
        <v>219</v>
      </c>
      <c r="M334">
        <v>0</v>
      </c>
      <c r="N334">
        <v>14</v>
      </c>
      <c r="O334">
        <v>0</v>
      </c>
      <c r="P334">
        <v>23</v>
      </c>
      <c r="Q334">
        <v>66</v>
      </c>
      <c r="R334" s="123">
        <v>70</v>
      </c>
      <c r="S334" s="6">
        <v>1.3</v>
      </c>
      <c r="T334" s="6">
        <v>2</v>
      </c>
      <c r="U334" s="6" t="s">
        <v>756</v>
      </c>
      <c r="V334" t="s">
        <v>756</v>
      </c>
      <c r="W334" t="s">
        <v>756</v>
      </c>
      <c r="X334" t="s">
        <v>756</v>
      </c>
      <c r="Y334" s="25">
        <v>1</v>
      </c>
      <c r="Z334" s="25">
        <v>0</v>
      </c>
      <c r="AA334" s="24" t="s">
        <v>1123</v>
      </c>
      <c r="AB334" s="25" t="s">
        <v>756</v>
      </c>
      <c r="AC334" s="25" t="s">
        <v>756</v>
      </c>
      <c r="AD334" s="25" t="s">
        <v>756</v>
      </c>
    </row>
    <row r="335" spans="1:30" x14ac:dyDescent="0.3">
      <c r="A335">
        <v>52</v>
      </c>
      <c r="B335" t="s">
        <v>360</v>
      </c>
      <c r="C335" t="s">
        <v>646</v>
      </c>
      <c r="D335" t="s">
        <v>641</v>
      </c>
      <c r="E335" t="s">
        <v>660</v>
      </c>
      <c r="F335">
        <v>6974</v>
      </c>
      <c r="G335" t="s">
        <v>12</v>
      </c>
      <c r="H335">
        <v>132</v>
      </c>
      <c r="I335">
        <v>378</v>
      </c>
      <c r="J335">
        <v>0</v>
      </c>
      <c r="K335">
        <v>26</v>
      </c>
      <c r="L335">
        <v>202</v>
      </c>
      <c r="M335">
        <v>0</v>
      </c>
      <c r="N335">
        <v>12</v>
      </c>
      <c r="O335">
        <v>0</v>
      </c>
      <c r="P335">
        <v>20</v>
      </c>
      <c r="Q335">
        <v>75</v>
      </c>
      <c r="R335" s="123">
        <v>68</v>
      </c>
      <c r="S335" s="6">
        <v>1.3</v>
      </c>
      <c r="T335" s="6">
        <v>2</v>
      </c>
      <c r="U335" s="6" t="s">
        <v>756</v>
      </c>
      <c r="V335" t="s">
        <v>756</v>
      </c>
      <c r="W335" t="s">
        <v>756</v>
      </c>
      <c r="X335" t="s">
        <v>756</v>
      </c>
      <c r="Y335" s="25">
        <v>1</v>
      </c>
      <c r="Z335" s="25">
        <v>0</v>
      </c>
      <c r="AA335" s="25" t="s">
        <v>756</v>
      </c>
      <c r="AB335" s="25" t="s">
        <v>756</v>
      </c>
      <c r="AC335" s="25" t="s">
        <v>756</v>
      </c>
      <c r="AD335" s="25" t="s">
        <v>756</v>
      </c>
    </row>
    <row r="336" spans="1:30" x14ac:dyDescent="0.3">
      <c r="A336">
        <v>3052</v>
      </c>
      <c r="B336" t="s">
        <v>684</v>
      </c>
      <c r="C336" t="s">
        <v>646</v>
      </c>
      <c r="D336" t="s">
        <v>640</v>
      </c>
      <c r="E336" t="s">
        <v>660</v>
      </c>
      <c r="F336">
        <v>7214</v>
      </c>
      <c r="G336" t="s">
        <v>12</v>
      </c>
      <c r="H336">
        <v>152</v>
      </c>
      <c r="I336">
        <v>388</v>
      </c>
      <c r="J336">
        <v>0</v>
      </c>
      <c r="K336">
        <v>26</v>
      </c>
      <c r="L336">
        <v>242</v>
      </c>
      <c r="M336">
        <v>0</v>
      </c>
      <c r="N336">
        <v>12</v>
      </c>
      <c r="O336">
        <v>0</v>
      </c>
      <c r="P336">
        <v>20</v>
      </c>
      <c r="Q336">
        <v>75</v>
      </c>
      <c r="R336" s="123">
        <v>83</v>
      </c>
      <c r="S336" s="6">
        <v>1.35</v>
      </c>
      <c r="T336" s="6">
        <v>2.15</v>
      </c>
      <c r="U336" s="6" t="s">
        <v>756</v>
      </c>
      <c r="V336" t="s">
        <v>756</v>
      </c>
      <c r="W336" t="s">
        <v>756</v>
      </c>
      <c r="X336" t="s">
        <v>756</v>
      </c>
      <c r="Y336" s="25">
        <v>1</v>
      </c>
      <c r="Z336" s="25">
        <v>0</v>
      </c>
      <c r="AA336" s="25" t="s">
        <v>756</v>
      </c>
      <c r="AB336" s="25" t="s">
        <v>756</v>
      </c>
      <c r="AC336" s="25" t="s">
        <v>756</v>
      </c>
      <c r="AD336" s="25" t="s">
        <v>756</v>
      </c>
    </row>
    <row r="337" spans="1:30" x14ac:dyDescent="0.3">
      <c r="A337">
        <v>63</v>
      </c>
      <c r="B337" t="s">
        <v>562</v>
      </c>
      <c r="C337" t="s">
        <v>646</v>
      </c>
      <c r="D337" t="s">
        <v>642</v>
      </c>
      <c r="E337" t="s">
        <v>660</v>
      </c>
      <c r="F337">
        <v>7852</v>
      </c>
      <c r="G337" t="s">
        <v>12</v>
      </c>
      <c r="H337">
        <v>159</v>
      </c>
      <c r="I337">
        <v>421</v>
      </c>
      <c r="J337">
        <v>0</v>
      </c>
      <c r="K337">
        <v>33</v>
      </c>
      <c r="L337">
        <v>400</v>
      </c>
      <c r="M337">
        <v>0</v>
      </c>
      <c r="N337">
        <v>15</v>
      </c>
      <c r="O337">
        <v>0</v>
      </c>
      <c r="P337">
        <v>28</v>
      </c>
      <c r="Q337">
        <v>81</v>
      </c>
      <c r="R337" s="123">
        <v>70</v>
      </c>
      <c r="S337" s="6">
        <v>1.3</v>
      </c>
      <c r="T337" s="6">
        <v>2</v>
      </c>
      <c r="U337" s="6" t="s">
        <v>756</v>
      </c>
      <c r="V337" t="s">
        <v>756</v>
      </c>
      <c r="W337" t="s">
        <v>756</v>
      </c>
      <c r="X337" t="s">
        <v>756</v>
      </c>
      <c r="Y337" s="25">
        <v>1</v>
      </c>
      <c r="Z337" s="25">
        <v>0</v>
      </c>
      <c r="AA337" s="25" t="s">
        <v>756</v>
      </c>
      <c r="AB337" s="25" t="s">
        <v>756</v>
      </c>
      <c r="AC337" s="25" t="s">
        <v>756</v>
      </c>
      <c r="AD337" s="25" t="s">
        <v>756</v>
      </c>
    </row>
    <row r="338" spans="1:30" x14ac:dyDescent="0.3">
      <c r="A338">
        <v>53</v>
      </c>
      <c r="B338" t="s">
        <v>362</v>
      </c>
      <c r="C338" t="s">
        <v>646</v>
      </c>
      <c r="D338" t="s">
        <v>641</v>
      </c>
      <c r="E338" t="s">
        <v>660</v>
      </c>
      <c r="F338">
        <v>6956</v>
      </c>
      <c r="G338" t="s">
        <v>12</v>
      </c>
      <c r="H338">
        <v>132</v>
      </c>
      <c r="I338">
        <v>378</v>
      </c>
      <c r="J338">
        <v>0</v>
      </c>
      <c r="K338">
        <v>26</v>
      </c>
      <c r="L338">
        <v>202</v>
      </c>
      <c r="M338">
        <v>0</v>
      </c>
      <c r="N338">
        <v>12</v>
      </c>
      <c r="O338">
        <v>0</v>
      </c>
      <c r="P338">
        <v>20</v>
      </c>
      <c r="Q338">
        <v>38</v>
      </c>
      <c r="R338" s="123">
        <v>68</v>
      </c>
      <c r="S338" s="6">
        <v>1.3</v>
      </c>
      <c r="T338" s="6">
        <v>2</v>
      </c>
      <c r="U338" s="6" t="s">
        <v>756</v>
      </c>
      <c r="V338" t="s">
        <v>756</v>
      </c>
      <c r="W338" t="s">
        <v>756</v>
      </c>
      <c r="X338" t="s">
        <v>756</v>
      </c>
      <c r="Y338" s="25">
        <v>1</v>
      </c>
      <c r="Z338" s="25">
        <v>0</v>
      </c>
      <c r="AA338" s="25" t="s">
        <v>756</v>
      </c>
      <c r="AB338" s="25" t="s">
        <v>756</v>
      </c>
      <c r="AC338" s="25" t="s">
        <v>756</v>
      </c>
      <c r="AD338" s="25" t="s">
        <v>756</v>
      </c>
    </row>
    <row r="339" spans="1:30" x14ac:dyDescent="0.3">
      <c r="A339">
        <v>3053</v>
      </c>
      <c r="B339" t="s">
        <v>685</v>
      </c>
      <c r="C339" t="s">
        <v>646</v>
      </c>
      <c r="D339" t="s">
        <v>640</v>
      </c>
      <c r="E339" t="s">
        <v>660</v>
      </c>
      <c r="F339">
        <v>7196</v>
      </c>
      <c r="G339" t="s">
        <v>12</v>
      </c>
      <c r="H339">
        <v>152</v>
      </c>
      <c r="I339">
        <v>388</v>
      </c>
      <c r="J339">
        <v>0</v>
      </c>
      <c r="K339">
        <v>26</v>
      </c>
      <c r="L339">
        <v>247</v>
      </c>
      <c r="M339">
        <v>0</v>
      </c>
      <c r="N339">
        <v>12</v>
      </c>
      <c r="O339">
        <v>0</v>
      </c>
      <c r="P339">
        <v>20</v>
      </c>
      <c r="Q339">
        <v>38</v>
      </c>
      <c r="R339" s="123">
        <v>78</v>
      </c>
      <c r="S339" s="6">
        <v>1.35</v>
      </c>
      <c r="T339" s="6">
        <v>2.15</v>
      </c>
      <c r="U339" s="6" t="s">
        <v>756</v>
      </c>
      <c r="V339" t="s">
        <v>756</v>
      </c>
      <c r="W339" t="s">
        <v>756</v>
      </c>
      <c r="X339" t="s">
        <v>756</v>
      </c>
      <c r="Y339" s="25">
        <v>1</v>
      </c>
      <c r="Z339" s="25">
        <v>0</v>
      </c>
      <c r="AA339" s="25" t="s">
        <v>756</v>
      </c>
      <c r="AB339" s="25" t="s">
        <v>756</v>
      </c>
      <c r="AC339" s="25" t="s">
        <v>756</v>
      </c>
      <c r="AD339" s="25" t="s">
        <v>756</v>
      </c>
    </row>
    <row r="340" spans="1:30" x14ac:dyDescent="0.3">
      <c r="A340">
        <v>54</v>
      </c>
      <c r="B340" t="s">
        <v>555</v>
      </c>
      <c r="C340" t="s">
        <v>646</v>
      </c>
      <c r="D340" t="s">
        <v>640</v>
      </c>
      <c r="E340" t="s">
        <v>660</v>
      </c>
      <c r="F340">
        <v>7194</v>
      </c>
      <c r="G340" t="s">
        <v>12</v>
      </c>
      <c r="H340">
        <v>137</v>
      </c>
      <c r="I340">
        <v>390</v>
      </c>
      <c r="J340">
        <v>0</v>
      </c>
      <c r="K340">
        <v>27</v>
      </c>
      <c r="L340">
        <v>212</v>
      </c>
      <c r="M340">
        <v>0</v>
      </c>
      <c r="N340">
        <v>13</v>
      </c>
      <c r="O340">
        <v>0</v>
      </c>
      <c r="P340">
        <v>21</v>
      </c>
      <c r="Q340">
        <v>72</v>
      </c>
      <c r="R340" s="123">
        <v>70</v>
      </c>
      <c r="S340" s="6">
        <v>1.3</v>
      </c>
      <c r="T340" s="6">
        <v>2</v>
      </c>
      <c r="U340" s="6" t="s">
        <v>756</v>
      </c>
      <c r="V340" t="s">
        <v>756</v>
      </c>
      <c r="W340" t="s">
        <v>756</v>
      </c>
      <c r="X340" t="s">
        <v>756</v>
      </c>
      <c r="Y340" s="25">
        <v>1</v>
      </c>
      <c r="Z340" s="25">
        <v>0</v>
      </c>
      <c r="AA340" t="s">
        <v>1124</v>
      </c>
      <c r="AB340" s="25" t="s">
        <v>756</v>
      </c>
      <c r="AC340" s="25" t="s">
        <v>756</v>
      </c>
      <c r="AD340" s="25" t="s">
        <v>756</v>
      </c>
    </row>
    <row r="341" spans="1:30" x14ac:dyDescent="0.3">
      <c r="A341">
        <v>135</v>
      </c>
      <c r="B341" t="s">
        <v>568</v>
      </c>
      <c r="C341" t="s">
        <v>647</v>
      </c>
      <c r="D341" t="s">
        <v>642</v>
      </c>
      <c r="E341" t="s">
        <v>660</v>
      </c>
      <c r="F341">
        <v>7967</v>
      </c>
      <c r="G341" t="s">
        <v>12</v>
      </c>
      <c r="H341">
        <v>156</v>
      </c>
      <c r="I341">
        <v>422</v>
      </c>
      <c r="J341">
        <v>0</v>
      </c>
      <c r="K341">
        <v>35</v>
      </c>
      <c r="L341">
        <v>230</v>
      </c>
      <c r="M341">
        <v>0</v>
      </c>
      <c r="N341">
        <v>15</v>
      </c>
      <c r="O341">
        <v>0</v>
      </c>
      <c r="P341">
        <v>28</v>
      </c>
      <c r="Q341">
        <v>19</v>
      </c>
      <c r="R341" s="123">
        <v>69</v>
      </c>
      <c r="S341" s="6">
        <v>1.35</v>
      </c>
      <c r="T341" s="6">
        <v>2</v>
      </c>
      <c r="U341" s="6" t="s">
        <v>756</v>
      </c>
      <c r="V341" t="s">
        <v>756</v>
      </c>
      <c r="W341" t="s">
        <v>756</v>
      </c>
      <c r="X341" t="s">
        <v>756</v>
      </c>
      <c r="Y341" s="25">
        <v>1</v>
      </c>
      <c r="Z341" s="25">
        <v>0</v>
      </c>
      <c r="AA341" s="25" t="s">
        <v>756</v>
      </c>
      <c r="AB341" s="25" t="s">
        <v>756</v>
      </c>
      <c r="AC341" s="25" t="s">
        <v>756</v>
      </c>
      <c r="AD341" s="25" t="s">
        <v>756</v>
      </c>
    </row>
    <row r="342" spans="1:30" x14ac:dyDescent="0.3">
      <c r="A342">
        <v>130</v>
      </c>
      <c r="B342" t="s">
        <v>565</v>
      </c>
      <c r="C342" t="s">
        <v>647</v>
      </c>
      <c r="D342" t="s">
        <v>639</v>
      </c>
      <c r="E342" t="s">
        <v>660</v>
      </c>
      <c r="F342">
        <v>7512</v>
      </c>
      <c r="G342" t="s">
        <v>12</v>
      </c>
      <c r="H342">
        <v>145</v>
      </c>
      <c r="I342">
        <v>403</v>
      </c>
      <c r="J342">
        <v>0</v>
      </c>
      <c r="K342">
        <v>33</v>
      </c>
      <c r="L342">
        <v>212</v>
      </c>
      <c r="M342">
        <v>0</v>
      </c>
      <c r="N342">
        <v>14</v>
      </c>
      <c r="O342">
        <v>0</v>
      </c>
      <c r="P342">
        <v>24</v>
      </c>
      <c r="Q342">
        <v>25</v>
      </c>
      <c r="R342" s="123">
        <v>68</v>
      </c>
      <c r="S342" s="6">
        <v>1.3</v>
      </c>
      <c r="T342" s="6">
        <v>2</v>
      </c>
      <c r="U342" s="6" t="s">
        <v>756</v>
      </c>
      <c r="V342" t="s">
        <v>756</v>
      </c>
      <c r="W342" t="s">
        <v>756</v>
      </c>
      <c r="X342" t="s">
        <v>756</v>
      </c>
      <c r="Y342" s="25">
        <v>1</v>
      </c>
      <c r="Z342" s="25">
        <v>0</v>
      </c>
      <c r="AA342" s="25" t="s">
        <v>756</v>
      </c>
      <c r="AB342" s="25" t="s">
        <v>756</v>
      </c>
      <c r="AC342" s="25" t="s">
        <v>756</v>
      </c>
      <c r="AD342" s="25" t="s">
        <v>756</v>
      </c>
    </row>
    <row r="343" spans="1:30" x14ac:dyDescent="0.3">
      <c r="A343">
        <v>127</v>
      </c>
      <c r="B343" t="s">
        <v>577</v>
      </c>
      <c r="C343" t="s">
        <v>647</v>
      </c>
      <c r="D343" t="s">
        <v>639</v>
      </c>
      <c r="E343" t="s">
        <v>660</v>
      </c>
      <c r="F343">
        <v>6207</v>
      </c>
      <c r="G343" t="s">
        <v>10</v>
      </c>
      <c r="H343">
        <v>156</v>
      </c>
      <c r="I343">
        <v>376</v>
      </c>
      <c r="J343">
        <v>0</v>
      </c>
      <c r="K343">
        <v>37</v>
      </c>
      <c r="L343">
        <v>276</v>
      </c>
      <c r="M343">
        <v>0</v>
      </c>
      <c r="N343">
        <v>13</v>
      </c>
      <c r="O343">
        <v>0</v>
      </c>
      <c r="P343">
        <v>32</v>
      </c>
      <c r="Q343">
        <v>85</v>
      </c>
      <c r="R343" s="123">
        <v>72</v>
      </c>
      <c r="S343" s="6">
        <v>1.35</v>
      </c>
      <c r="T343" s="6">
        <v>1.5</v>
      </c>
      <c r="U343" s="6" t="s">
        <v>756</v>
      </c>
      <c r="V343" t="s">
        <v>756</v>
      </c>
      <c r="W343" t="s">
        <v>756</v>
      </c>
      <c r="X343" t="s">
        <v>756</v>
      </c>
      <c r="Y343" s="25">
        <v>0.7</v>
      </c>
      <c r="Z343" s="25">
        <v>0</v>
      </c>
      <c r="AA343" s="25" t="s">
        <v>756</v>
      </c>
      <c r="AB343" s="25" t="s">
        <v>756</v>
      </c>
      <c r="AC343" s="25" t="s">
        <v>756</v>
      </c>
      <c r="AD343" s="25" t="s">
        <v>756</v>
      </c>
    </row>
    <row r="344" spans="1:30" x14ac:dyDescent="0.3">
      <c r="A344">
        <v>128</v>
      </c>
      <c r="B344" t="s">
        <v>578</v>
      </c>
      <c r="C344" t="s">
        <v>647</v>
      </c>
      <c r="D344" t="s">
        <v>640</v>
      </c>
      <c r="E344" t="s">
        <v>660</v>
      </c>
      <c r="F344">
        <v>6032</v>
      </c>
      <c r="G344" t="s">
        <v>10</v>
      </c>
      <c r="H344">
        <v>152</v>
      </c>
      <c r="I344">
        <v>354</v>
      </c>
      <c r="J344">
        <v>0</v>
      </c>
      <c r="K344">
        <v>35</v>
      </c>
      <c r="L344">
        <v>268</v>
      </c>
      <c r="M344">
        <v>0</v>
      </c>
      <c r="N344">
        <v>12</v>
      </c>
      <c r="O344">
        <v>0</v>
      </c>
      <c r="P344">
        <v>31</v>
      </c>
      <c r="Q344">
        <v>28</v>
      </c>
      <c r="R344" s="123">
        <v>68</v>
      </c>
      <c r="S344" s="6">
        <v>1.35</v>
      </c>
      <c r="T344" s="6">
        <v>1.5</v>
      </c>
      <c r="U344" s="6" t="s">
        <v>756</v>
      </c>
      <c r="V344" t="s">
        <v>756</v>
      </c>
      <c r="W344" t="s">
        <v>756</v>
      </c>
      <c r="X344" t="s">
        <v>756</v>
      </c>
      <c r="Y344" s="25">
        <v>0.7</v>
      </c>
      <c r="Z344" s="25">
        <v>0</v>
      </c>
      <c r="AA344" s="25" t="s">
        <v>756</v>
      </c>
      <c r="AB344" s="25" t="s">
        <v>756</v>
      </c>
      <c r="AC344" s="25" t="s">
        <v>756</v>
      </c>
      <c r="AD344" s="25" t="s">
        <v>756</v>
      </c>
    </row>
    <row r="345" spans="1:30" x14ac:dyDescent="0.3">
      <c r="A345">
        <v>133</v>
      </c>
      <c r="B345" t="s">
        <v>567</v>
      </c>
      <c r="C345" t="s">
        <v>647</v>
      </c>
      <c r="D345" t="s">
        <v>639</v>
      </c>
      <c r="E345" t="s">
        <v>660</v>
      </c>
      <c r="F345">
        <v>7630</v>
      </c>
      <c r="G345" t="s">
        <v>12</v>
      </c>
      <c r="H345">
        <v>149</v>
      </c>
      <c r="I345">
        <v>407</v>
      </c>
      <c r="J345">
        <v>0</v>
      </c>
      <c r="K345">
        <v>31</v>
      </c>
      <c r="L345">
        <v>219</v>
      </c>
      <c r="M345">
        <v>0</v>
      </c>
      <c r="N345">
        <v>14</v>
      </c>
      <c r="O345">
        <v>0</v>
      </c>
      <c r="P345">
        <v>23</v>
      </c>
      <c r="Q345">
        <v>81</v>
      </c>
      <c r="R345" s="123">
        <v>70</v>
      </c>
      <c r="S345" s="6">
        <v>1.3</v>
      </c>
      <c r="T345" s="6">
        <v>2</v>
      </c>
      <c r="U345" s="6" t="s">
        <v>756</v>
      </c>
      <c r="V345" t="s">
        <v>756</v>
      </c>
      <c r="W345" t="s">
        <v>756</v>
      </c>
      <c r="X345" t="s">
        <v>756</v>
      </c>
      <c r="Y345" s="25">
        <v>1</v>
      </c>
      <c r="Z345" s="25">
        <v>0</v>
      </c>
      <c r="AA345" s="24" t="s">
        <v>1123</v>
      </c>
      <c r="AB345" s="25" t="s">
        <v>756</v>
      </c>
      <c r="AC345" s="25" t="s">
        <v>756</v>
      </c>
      <c r="AD345" s="25" t="s">
        <v>756</v>
      </c>
    </row>
    <row r="346" spans="1:30" x14ac:dyDescent="0.3">
      <c r="A346">
        <v>248</v>
      </c>
      <c r="B346" t="s">
        <v>584</v>
      </c>
      <c r="C346" t="s">
        <v>649</v>
      </c>
      <c r="D346" t="s">
        <v>639</v>
      </c>
      <c r="E346" t="s">
        <v>660</v>
      </c>
      <c r="F346">
        <v>7455</v>
      </c>
      <c r="G346" t="s">
        <v>10</v>
      </c>
      <c r="H346">
        <v>157</v>
      </c>
      <c r="I346">
        <v>366</v>
      </c>
      <c r="J346">
        <v>154</v>
      </c>
      <c r="K346">
        <v>38</v>
      </c>
      <c r="L346">
        <v>248</v>
      </c>
      <c r="M346">
        <v>0</v>
      </c>
      <c r="N346">
        <v>13</v>
      </c>
      <c r="O346">
        <v>0</v>
      </c>
      <c r="P346">
        <v>31</v>
      </c>
      <c r="Q346">
        <v>43</v>
      </c>
      <c r="R346" s="123">
        <v>66</v>
      </c>
      <c r="S346" s="6">
        <v>1.35</v>
      </c>
      <c r="T346" s="6">
        <v>1.5</v>
      </c>
      <c r="U346" s="6" t="s">
        <v>756</v>
      </c>
      <c r="V346" t="s">
        <v>756</v>
      </c>
      <c r="W346" t="s">
        <v>756</v>
      </c>
      <c r="X346" t="s">
        <v>756</v>
      </c>
      <c r="Y346" s="25">
        <v>0.7</v>
      </c>
      <c r="Z346" s="25">
        <v>0</v>
      </c>
      <c r="AA346" t="s">
        <v>1119</v>
      </c>
      <c r="AB346" t="s">
        <v>1120</v>
      </c>
      <c r="AC346" s="25" t="s">
        <v>756</v>
      </c>
      <c r="AD346" s="25" t="s">
        <v>756</v>
      </c>
    </row>
    <row r="347" spans="1:30" x14ac:dyDescent="0.3">
      <c r="A347">
        <v>65</v>
      </c>
      <c r="B347" t="s">
        <v>564</v>
      </c>
      <c r="C347" t="s">
        <v>646</v>
      </c>
      <c r="D347" t="s">
        <v>642</v>
      </c>
      <c r="E347" t="s">
        <v>660</v>
      </c>
      <c r="F347">
        <v>8031</v>
      </c>
      <c r="G347" t="s">
        <v>12</v>
      </c>
      <c r="H347">
        <v>159</v>
      </c>
      <c r="I347">
        <v>414</v>
      </c>
      <c r="J347">
        <v>0</v>
      </c>
      <c r="K347">
        <v>33</v>
      </c>
      <c r="L347">
        <v>400</v>
      </c>
      <c r="M347">
        <v>0</v>
      </c>
      <c r="N347">
        <v>15</v>
      </c>
      <c r="O347">
        <v>0</v>
      </c>
      <c r="P347">
        <v>27</v>
      </c>
      <c r="Q347">
        <v>76</v>
      </c>
      <c r="R347" s="123">
        <v>71</v>
      </c>
      <c r="S347" s="6">
        <v>1.3</v>
      </c>
      <c r="T347" s="6">
        <v>2</v>
      </c>
      <c r="U347" s="6" t="s">
        <v>756</v>
      </c>
      <c r="V347" t="s">
        <v>756</v>
      </c>
      <c r="W347" t="s">
        <v>756</v>
      </c>
      <c r="X347" t="s">
        <v>756</v>
      </c>
      <c r="Y347" s="25">
        <v>1</v>
      </c>
      <c r="Z347" s="25">
        <v>0</v>
      </c>
      <c r="AA347" s="25" t="s">
        <v>756</v>
      </c>
      <c r="AB347" s="25" t="s">
        <v>756</v>
      </c>
      <c r="AC347" s="25" t="s">
        <v>756</v>
      </c>
      <c r="AD347" s="25" t="s">
        <v>756</v>
      </c>
    </row>
    <row r="348" spans="1:30" x14ac:dyDescent="0.3">
      <c r="A348" s="24"/>
      <c r="B348" s="24" t="s">
        <v>974</v>
      </c>
      <c r="C348" s="24" t="s">
        <v>975</v>
      </c>
      <c r="D348" s="24" t="s">
        <v>642</v>
      </c>
      <c r="E348" s="24" t="s">
        <v>189</v>
      </c>
      <c r="F348" s="24">
        <v>7648</v>
      </c>
      <c r="G348" s="24" t="s">
        <v>12</v>
      </c>
      <c r="H348" s="24">
        <v>142</v>
      </c>
      <c r="I348" s="24">
        <v>409</v>
      </c>
      <c r="J348" s="24">
        <v>212</v>
      </c>
      <c r="K348" s="24">
        <v>30</v>
      </c>
      <c r="L348" s="24">
        <v>199</v>
      </c>
      <c r="M348" s="24">
        <v>0</v>
      </c>
      <c r="N348" s="24">
        <v>15</v>
      </c>
      <c r="O348" s="24">
        <v>0</v>
      </c>
      <c r="P348" s="24">
        <v>26</v>
      </c>
      <c r="Q348" s="24">
        <v>66</v>
      </c>
      <c r="R348" s="123">
        <v>55</v>
      </c>
      <c r="S348" s="25">
        <v>1.3</v>
      </c>
      <c r="T348" s="25">
        <v>2</v>
      </c>
      <c r="U348" s="6" t="s">
        <v>756</v>
      </c>
      <c r="V348" s="6" t="s">
        <v>756</v>
      </c>
      <c r="W348" t="s">
        <v>756</v>
      </c>
      <c r="X348" t="s">
        <v>756</v>
      </c>
      <c r="Y348" s="6">
        <v>1</v>
      </c>
      <c r="Z348" s="25">
        <v>0</v>
      </c>
      <c r="AA348" t="s">
        <v>1134</v>
      </c>
      <c r="AB348" t="s">
        <v>1375</v>
      </c>
      <c r="AC348" s="25" t="s">
        <v>756</v>
      </c>
      <c r="AD348" s="25" t="s">
        <v>756</v>
      </c>
    </row>
    <row r="349" spans="1:30" x14ac:dyDescent="0.3">
      <c r="A349">
        <v>58</v>
      </c>
      <c r="B349" t="s">
        <v>557</v>
      </c>
      <c r="C349" t="s">
        <v>646</v>
      </c>
      <c r="D349" t="s">
        <v>640</v>
      </c>
      <c r="E349" t="s">
        <v>660</v>
      </c>
      <c r="F349">
        <v>7385</v>
      </c>
      <c r="G349" t="s">
        <v>12</v>
      </c>
      <c r="H349">
        <v>139</v>
      </c>
      <c r="I349">
        <v>391</v>
      </c>
      <c r="J349">
        <v>0</v>
      </c>
      <c r="K349">
        <v>28</v>
      </c>
      <c r="L349">
        <v>211</v>
      </c>
      <c r="M349">
        <v>0</v>
      </c>
      <c r="N349">
        <v>13</v>
      </c>
      <c r="O349">
        <v>0</v>
      </c>
      <c r="P349">
        <v>21</v>
      </c>
      <c r="Q349">
        <v>51</v>
      </c>
      <c r="R349" s="123">
        <v>69</v>
      </c>
      <c r="S349" s="6">
        <v>1.3</v>
      </c>
      <c r="T349" s="6">
        <v>2</v>
      </c>
      <c r="U349" s="6" t="s">
        <v>756</v>
      </c>
      <c r="V349" t="s">
        <v>756</v>
      </c>
      <c r="W349" t="s">
        <v>756</v>
      </c>
      <c r="X349" t="s">
        <v>756</v>
      </c>
      <c r="Y349" s="25">
        <v>1</v>
      </c>
      <c r="Z349" s="25">
        <v>0</v>
      </c>
      <c r="AA349" s="25" t="s">
        <v>756</v>
      </c>
      <c r="AB349" s="25" t="s">
        <v>756</v>
      </c>
      <c r="AC349" s="25" t="s">
        <v>756</v>
      </c>
      <c r="AD349" s="25" t="s">
        <v>756</v>
      </c>
    </row>
    <row r="350" spans="1:30" x14ac:dyDescent="0.3">
      <c r="A350">
        <v>150</v>
      </c>
      <c r="B350" t="s">
        <v>589</v>
      </c>
      <c r="C350" t="s">
        <v>647</v>
      </c>
      <c r="D350" t="s">
        <v>639</v>
      </c>
      <c r="E350" t="s">
        <v>660</v>
      </c>
      <c r="F350">
        <v>3642</v>
      </c>
      <c r="G350" t="s">
        <v>8</v>
      </c>
      <c r="H350">
        <v>145</v>
      </c>
      <c r="I350">
        <v>282</v>
      </c>
      <c r="J350">
        <v>0</v>
      </c>
      <c r="K350">
        <v>61</v>
      </c>
      <c r="L350">
        <v>171</v>
      </c>
      <c r="M350">
        <v>0</v>
      </c>
      <c r="N350">
        <v>10</v>
      </c>
      <c r="O350">
        <v>0</v>
      </c>
      <c r="P350">
        <v>12</v>
      </c>
      <c r="Q350">
        <v>19</v>
      </c>
      <c r="R350" s="123">
        <v>81</v>
      </c>
      <c r="S350" s="6">
        <v>1.2</v>
      </c>
      <c r="T350" s="6">
        <v>2</v>
      </c>
      <c r="U350" s="6" t="s">
        <v>756</v>
      </c>
      <c r="V350" t="s">
        <v>756</v>
      </c>
      <c r="W350" t="s">
        <v>756</v>
      </c>
      <c r="X350" t="s">
        <v>756</v>
      </c>
      <c r="Y350" s="25">
        <v>1</v>
      </c>
      <c r="Z350" s="25">
        <v>0</v>
      </c>
      <c r="AA350" s="24" t="s">
        <v>1378</v>
      </c>
      <c r="AB350" s="24" t="s">
        <v>1379</v>
      </c>
      <c r="AC350" s="25" t="s">
        <v>756</v>
      </c>
      <c r="AD350" s="25" t="s">
        <v>756</v>
      </c>
    </row>
    <row r="351" spans="1:30" x14ac:dyDescent="0.3">
      <c r="A351">
        <v>251</v>
      </c>
      <c r="B351" t="s">
        <v>572</v>
      </c>
      <c r="C351" t="s">
        <v>649</v>
      </c>
      <c r="D351" t="s">
        <v>642</v>
      </c>
      <c r="E351" t="s">
        <v>660</v>
      </c>
      <c r="F351">
        <v>8401</v>
      </c>
      <c r="G351" t="s">
        <v>12</v>
      </c>
      <c r="H351">
        <v>150</v>
      </c>
      <c r="I351">
        <v>423</v>
      </c>
      <c r="J351">
        <v>217</v>
      </c>
      <c r="K351">
        <v>33</v>
      </c>
      <c r="L351">
        <v>208</v>
      </c>
      <c r="M351">
        <v>0</v>
      </c>
      <c r="N351">
        <v>15</v>
      </c>
      <c r="O351">
        <v>0</v>
      </c>
      <c r="P351">
        <v>30</v>
      </c>
      <c r="Q351">
        <v>45</v>
      </c>
      <c r="R351" s="123">
        <v>67</v>
      </c>
      <c r="S351" s="6">
        <v>1.3</v>
      </c>
      <c r="T351" s="6">
        <v>2</v>
      </c>
      <c r="U351" s="6" t="s">
        <v>756</v>
      </c>
      <c r="V351" t="s">
        <v>756</v>
      </c>
      <c r="W351" t="s">
        <v>756</v>
      </c>
      <c r="X351" t="s">
        <v>756</v>
      </c>
      <c r="Y351" s="25">
        <v>0.9</v>
      </c>
      <c r="Z351" s="25">
        <v>0</v>
      </c>
      <c r="AA351" t="s">
        <v>1125</v>
      </c>
      <c r="AB351" s="25" t="s">
        <v>756</v>
      </c>
      <c r="AC351" s="25" t="s">
        <v>756</v>
      </c>
      <c r="AD351" s="25" t="s">
        <v>756</v>
      </c>
    </row>
    <row r="352" spans="1:30" x14ac:dyDescent="0.3">
      <c r="A352">
        <v>131</v>
      </c>
      <c r="B352" t="s">
        <v>384</v>
      </c>
      <c r="C352" t="s">
        <v>647</v>
      </c>
      <c r="D352" t="s">
        <v>642</v>
      </c>
      <c r="E352" t="s">
        <v>660</v>
      </c>
      <c r="F352">
        <v>7783</v>
      </c>
      <c r="G352" t="s">
        <v>12</v>
      </c>
      <c r="H352">
        <v>159</v>
      </c>
      <c r="I352">
        <v>426</v>
      </c>
      <c r="J352">
        <v>0</v>
      </c>
      <c r="K352">
        <v>33</v>
      </c>
      <c r="L352">
        <v>220</v>
      </c>
      <c r="M352">
        <v>0</v>
      </c>
      <c r="N352">
        <v>15</v>
      </c>
      <c r="O352">
        <v>0</v>
      </c>
      <c r="P352">
        <v>24</v>
      </c>
      <c r="Q352">
        <v>90</v>
      </c>
      <c r="R352" s="123">
        <v>75</v>
      </c>
      <c r="S352" s="6">
        <v>1.3</v>
      </c>
      <c r="T352" s="6">
        <v>2</v>
      </c>
      <c r="U352" s="6" t="s">
        <v>756</v>
      </c>
      <c r="V352" t="s">
        <v>756</v>
      </c>
      <c r="W352" t="s">
        <v>756</v>
      </c>
      <c r="X352" t="s">
        <v>756</v>
      </c>
      <c r="Y352" s="25">
        <v>1</v>
      </c>
      <c r="Z352" s="25">
        <v>0</v>
      </c>
      <c r="AA352" t="s">
        <v>1126</v>
      </c>
      <c r="AB352" s="24"/>
      <c r="AC352" s="25" t="s">
        <v>756</v>
      </c>
      <c r="AD352" s="25" t="s">
        <v>756</v>
      </c>
    </row>
    <row r="353" spans="1:31" x14ac:dyDescent="0.3">
      <c r="A353">
        <v>3131</v>
      </c>
      <c r="B353" t="s">
        <v>686</v>
      </c>
      <c r="C353" t="s">
        <v>647</v>
      </c>
      <c r="D353" t="s">
        <v>644</v>
      </c>
      <c r="E353" t="s">
        <v>660</v>
      </c>
      <c r="F353">
        <v>8023</v>
      </c>
      <c r="G353" t="s">
        <v>12</v>
      </c>
      <c r="H353">
        <v>179</v>
      </c>
      <c r="I353">
        <v>446</v>
      </c>
      <c r="J353">
        <v>0</v>
      </c>
      <c r="K353">
        <v>33</v>
      </c>
      <c r="L353">
        <v>290</v>
      </c>
      <c r="M353">
        <v>0</v>
      </c>
      <c r="N353">
        <v>15</v>
      </c>
      <c r="O353">
        <v>97</v>
      </c>
      <c r="P353">
        <v>24</v>
      </c>
      <c r="Q353">
        <v>90</v>
      </c>
      <c r="R353" s="123">
        <v>100</v>
      </c>
      <c r="S353" s="6">
        <v>1.4</v>
      </c>
      <c r="T353" s="6">
        <v>2</v>
      </c>
      <c r="U353" s="6" t="s">
        <v>756</v>
      </c>
      <c r="V353" t="s">
        <v>756</v>
      </c>
      <c r="W353" t="s">
        <v>756</v>
      </c>
      <c r="X353" t="s">
        <v>756</v>
      </c>
      <c r="Y353" s="25">
        <v>1.1499999999999999</v>
      </c>
      <c r="Z353" s="25">
        <v>0</v>
      </c>
      <c r="AA353" t="s">
        <v>1127</v>
      </c>
      <c r="AB353" s="25" t="s">
        <v>756</v>
      </c>
      <c r="AC353" s="25" t="s">
        <v>756</v>
      </c>
      <c r="AD353" s="25" t="s">
        <v>756</v>
      </c>
    </row>
    <row r="354" spans="1:31" x14ac:dyDescent="0.3">
      <c r="A354">
        <v>64</v>
      </c>
      <c r="B354" t="s">
        <v>563</v>
      </c>
      <c r="C354" t="s">
        <v>646</v>
      </c>
      <c r="D354" t="s">
        <v>642</v>
      </c>
      <c r="E354" t="s">
        <v>660</v>
      </c>
      <c r="F354">
        <v>8080</v>
      </c>
      <c r="G354" t="s">
        <v>12</v>
      </c>
      <c r="H354">
        <v>159</v>
      </c>
      <c r="I354">
        <v>421</v>
      </c>
      <c r="J354">
        <v>0</v>
      </c>
      <c r="K354">
        <v>33</v>
      </c>
      <c r="L354">
        <v>400</v>
      </c>
      <c r="M354">
        <v>0</v>
      </c>
      <c r="N354">
        <v>15</v>
      </c>
      <c r="O354">
        <v>0</v>
      </c>
      <c r="P354">
        <v>28</v>
      </c>
      <c r="Q354">
        <v>89</v>
      </c>
      <c r="R354" s="123">
        <v>70</v>
      </c>
      <c r="S354" s="6">
        <v>1.3</v>
      </c>
      <c r="T354" s="6">
        <v>2</v>
      </c>
      <c r="U354" s="6" t="s">
        <v>756</v>
      </c>
      <c r="V354" t="s">
        <v>756</v>
      </c>
      <c r="W354" t="s">
        <v>756</v>
      </c>
      <c r="X354" t="s">
        <v>756</v>
      </c>
      <c r="Y354" s="25">
        <v>1</v>
      </c>
      <c r="Z354" s="25">
        <v>0</v>
      </c>
      <c r="AA354" t="s">
        <v>1129</v>
      </c>
      <c r="AB354" t="s">
        <v>1366</v>
      </c>
      <c r="AC354" s="25" t="s">
        <v>756</v>
      </c>
      <c r="AD354" s="25" t="s">
        <v>756</v>
      </c>
    </row>
    <row r="355" spans="1:31" x14ac:dyDescent="0.3">
      <c r="A355">
        <v>62</v>
      </c>
      <c r="B355" t="s">
        <v>561</v>
      </c>
      <c r="C355" t="s">
        <v>646</v>
      </c>
      <c r="D355" t="s">
        <v>639</v>
      </c>
      <c r="E355" t="s">
        <v>660</v>
      </c>
      <c r="F355">
        <v>7456</v>
      </c>
      <c r="G355" t="s">
        <v>12</v>
      </c>
      <c r="H355">
        <v>149</v>
      </c>
      <c r="I355">
        <v>409</v>
      </c>
      <c r="J355">
        <v>0</v>
      </c>
      <c r="K355">
        <v>11</v>
      </c>
      <c r="L355">
        <v>216</v>
      </c>
      <c r="M355">
        <v>0</v>
      </c>
      <c r="N355">
        <v>14</v>
      </c>
      <c r="O355">
        <v>0</v>
      </c>
      <c r="P355">
        <v>21</v>
      </c>
      <c r="Q355">
        <v>61</v>
      </c>
      <c r="R355" s="123">
        <v>70</v>
      </c>
      <c r="S355" s="6">
        <v>1.3</v>
      </c>
      <c r="T355" s="6">
        <v>2</v>
      </c>
      <c r="U355" s="6" t="s">
        <v>756</v>
      </c>
      <c r="V355" t="s">
        <v>756</v>
      </c>
      <c r="W355" t="s">
        <v>756</v>
      </c>
      <c r="X355" t="s">
        <v>756</v>
      </c>
      <c r="Y355" s="25">
        <v>1</v>
      </c>
      <c r="Z355" s="25">
        <v>0</v>
      </c>
      <c r="AA355" s="24" t="s">
        <v>1123</v>
      </c>
      <c r="AB355" s="25" t="s">
        <v>756</v>
      </c>
      <c r="AC355" s="25" t="s">
        <v>756</v>
      </c>
      <c r="AD355" s="25" t="s">
        <v>756</v>
      </c>
    </row>
    <row r="356" spans="1:31" x14ac:dyDescent="0.3">
      <c r="A356">
        <v>209</v>
      </c>
      <c r="B356" t="s">
        <v>393</v>
      </c>
      <c r="C356" t="s">
        <v>648</v>
      </c>
      <c r="D356" t="s">
        <v>640</v>
      </c>
      <c r="E356" t="s">
        <v>660</v>
      </c>
      <c r="F356">
        <v>7307</v>
      </c>
      <c r="G356" t="s">
        <v>12</v>
      </c>
      <c r="H356">
        <v>142</v>
      </c>
      <c r="I356">
        <v>416</v>
      </c>
      <c r="J356">
        <v>0</v>
      </c>
      <c r="K356">
        <v>31</v>
      </c>
      <c r="L356">
        <v>222</v>
      </c>
      <c r="M356">
        <v>0</v>
      </c>
      <c r="N356">
        <v>13</v>
      </c>
      <c r="O356">
        <v>0</v>
      </c>
      <c r="P356">
        <v>23</v>
      </c>
      <c r="Q356">
        <v>14</v>
      </c>
      <c r="R356" s="123">
        <v>66</v>
      </c>
      <c r="S356" s="6">
        <v>1.45</v>
      </c>
      <c r="T356" s="6">
        <v>2</v>
      </c>
      <c r="U356" s="6" t="s">
        <v>756</v>
      </c>
      <c r="V356" t="s">
        <v>756</v>
      </c>
      <c r="W356" t="s">
        <v>756</v>
      </c>
      <c r="X356" t="s">
        <v>756</v>
      </c>
      <c r="Y356" s="25">
        <v>0.8</v>
      </c>
      <c r="Z356" s="25">
        <v>0</v>
      </c>
      <c r="AA356" s="25" t="s">
        <v>756</v>
      </c>
      <c r="AB356" s="25" t="s">
        <v>756</v>
      </c>
      <c r="AC356" s="25" t="s">
        <v>756</v>
      </c>
      <c r="AD356" s="25" t="s">
        <v>756</v>
      </c>
    </row>
    <row r="357" spans="1:31" x14ac:dyDescent="0.3">
      <c r="A357">
        <v>3209</v>
      </c>
      <c r="B357" t="s">
        <v>688</v>
      </c>
      <c r="C357" t="s">
        <v>648</v>
      </c>
      <c r="D357" t="s">
        <v>639</v>
      </c>
      <c r="E357" t="s">
        <v>834</v>
      </c>
      <c r="F357">
        <v>7657</v>
      </c>
      <c r="G357" t="s">
        <v>12</v>
      </c>
      <c r="H357">
        <v>134</v>
      </c>
      <c r="I357">
        <v>390</v>
      </c>
      <c r="J357">
        <v>0</v>
      </c>
      <c r="K357">
        <v>31</v>
      </c>
      <c r="L357">
        <v>303</v>
      </c>
      <c r="M357">
        <v>202</v>
      </c>
      <c r="N357">
        <v>13</v>
      </c>
      <c r="O357">
        <v>0</v>
      </c>
      <c r="P357">
        <v>23</v>
      </c>
      <c r="Q357">
        <v>14</v>
      </c>
      <c r="R357" s="123">
        <v>77</v>
      </c>
      <c r="S357" s="6">
        <v>1.65</v>
      </c>
      <c r="T357" s="6">
        <v>2</v>
      </c>
      <c r="U357" s="6" t="s">
        <v>756</v>
      </c>
      <c r="V357" t="s">
        <v>106</v>
      </c>
      <c r="W357" t="s">
        <v>756</v>
      </c>
      <c r="X357">
        <v>3</v>
      </c>
      <c r="Y357" s="25">
        <v>0.85</v>
      </c>
      <c r="Z357" s="25">
        <v>0</v>
      </c>
      <c r="AA357" t="s">
        <v>1140</v>
      </c>
      <c r="AB357" s="25" t="s">
        <v>756</v>
      </c>
      <c r="AC357" s="25" t="s">
        <v>756</v>
      </c>
      <c r="AD357" s="25" t="s">
        <v>756</v>
      </c>
    </row>
    <row r="358" spans="1:31" x14ac:dyDescent="0.3">
      <c r="A358" s="24"/>
      <c r="B358" s="24"/>
      <c r="C358" s="24"/>
      <c r="D358" s="24"/>
      <c r="E358" s="24"/>
      <c r="F358" s="24"/>
      <c r="G358" s="24"/>
      <c r="H358" s="24"/>
      <c r="I358" s="24"/>
      <c r="J358" s="24"/>
      <c r="K358" s="24"/>
      <c r="L358" s="24"/>
      <c r="M358" s="24"/>
      <c r="N358" s="24"/>
      <c r="O358" s="24"/>
      <c r="P358" s="24"/>
      <c r="Q358" s="24"/>
      <c r="R358" s="24"/>
      <c r="S358" s="25"/>
      <c r="T358" s="25"/>
      <c r="U358" s="6"/>
      <c r="V358" s="24"/>
      <c r="W358" s="24"/>
      <c r="X358" s="24"/>
      <c r="Y358" s="25"/>
      <c r="Z358" s="25"/>
      <c r="AA358" s="24"/>
      <c r="AB358" s="24"/>
      <c r="AC358" s="24"/>
      <c r="AD358" s="24"/>
    </row>
    <row r="359" spans="1:31" x14ac:dyDescent="0.3">
      <c r="A359" t="s">
        <v>351</v>
      </c>
      <c r="B359" t="s">
        <v>149</v>
      </c>
      <c r="C359" t="s">
        <v>192</v>
      </c>
      <c r="D359" t="s">
        <v>352</v>
      </c>
      <c r="E359" t="s">
        <v>150</v>
      </c>
      <c r="F359" t="s">
        <v>7</v>
      </c>
      <c r="G359" t="s">
        <v>353</v>
      </c>
      <c r="H359" t="s">
        <v>14</v>
      </c>
      <c r="I359" t="s">
        <v>9</v>
      </c>
      <c r="J359" t="s">
        <v>11</v>
      </c>
      <c r="K359" t="s">
        <v>294</v>
      </c>
      <c r="L359" t="s">
        <v>265</v>
      </c>
      <c r="M359" t="s">
        <v>293</v>
      </c>
      <c r="N359" t="s">
        <v>667</v>
      </c>
      <c r="O359" t="s">
        <v>666</v>
      </c>
      <c r="P359" t="s">
        <v>295</v>
      </c>
      <c r="Q359" t="s">
        <v>761</v>
      </c>
      <c r="R359" t="s">
        <v>762</v>
      </c>
      <c r="S359" s="6" t="s">
        <v>53</v>
      </c>
      <c r="T359" s="6" t="s">
        <v>668</v>
      </c>
      <c r="U359" s="6" t="s">
        <v>733</v>
      </c>
      <c r="V359" t="s">
        <v>749</v>
      </c>
      <c r="W359" t="s">
        <v>750</v>
      </c>
      <c r="X359" t="s">
        <v>751</v>
      </c>
      <c r="Y359" t="s">
        <v>752</v>
      </c>
      <c r="Z359" t="s">
        <v>753</v>
      </c>
      <c r="AA359" t="s">
        <v>754</v>
      </c>
      <c r="AB359" s="26" t="s">
        <v>1016</v>
      </c>
      <c r="AC359" s="26" t="s">
        <v>1017</v>
      </c>
      <c r="AD359" s="26" t="s">
        <v>1053</v>
      </c>
      <c r="AE359" s="26" t="s">
        <v>1054</v>
      </c>
    </row>
    <row r="360" spans="1:31" x14ac:dyDescent="0.3">
      <c r="A360">
        <v>224</v>
      </c>
      <c r="B360" t="s">
        <v>600</v>
      </c>
      <c r="C360" t="s">
        <v>648</v>
      </c>
      <c r="D360" t="s">
        <v>642</v>
      </c>
      <c r="E360" t="s">
        <v>368</v>
      </c>
      <c r="F360">
        <v>6588</v>
      </c>
      <c r="G360" t="s">
        <v>10</v>
      </c>
      <c r="H360">
        <v>131</v>
      </c>
      <c r="I360">
        <v>0</v>
      </c>
      <c r="J360">
        <v>0</v>
      </c>
      <c r="K360">
        <v>54</v>
      </c>
      <c r="L360">
        <v>323</v>
      </c>
      <c r="M360">
        <v>409</v>
      </c>
      <c r="N360">
        <v>13</v>
      </c>
      <c r="O360">
        <v>0</v>
      </c>
      <c r="P360">
        <v>31</v>
      </c>
      <c r="Q360">
        <v>42</v>
      </c>
      <c r="R360">
        <v>90</v>
      </c>
      <c r="S360" s="6">
        <v>1.25</v>
      </c>
      <c r="T360" s="6">
        <v>1.25</v>
      </c>
      <c r="U360" s="6">
        <v>1.25</v>
      </c>
      <c r="V360">
        <v>3</v>
      </c>
      <c r="W360">
        <v>2</v>
      </c>
      <c r="X360">
        <v>3</v>
      </c>
      <c r="Y360" t="s">
        <v>755</v>
      </c>
      <c r="Z360" t="s">
        <v>106</v>
      </c>
      <c r="AA360" t="s">
        <v>107</v>
      </c>
      <c r="AB360" s="24" t="s">
        <v>756</v>
      </c>
      <c r="AC360" s="24" t="s">
        <v>756</v>
      </c>
      <c r="AD360" s="24" t="s">
        <v>756</v>
      </c>
      <c r="AE360" s="24" t="s">
        <v>756</v>
      </c>
    </row>
    <row r="361" spans="1:31" x14ac:dyDescent="0.3">
      <c r="A361" s="24"/>
      <c r="B361" s="24" t="s">
        <v>969</v>
      </c>
      <c r="C361" s="24" t="s">
        <v>973</v>
      </c>
      <c r="D361" s="24" t="s">
        <v>642</v>
      </c>
      <c r="E361" s="24" t="s">
        <v>368</v>
      </c>
      <c r="F361" s="24">
        <v>6626</v>
      </c>
      <c r="G361" s="24" t="s">
        <v>10</v>
      </c>
      <c r="H361" s="24">
        <v>120</v>
      </c>
      <c r="I361" s="24">
        <v>0</v>
      </c>
      <c r="J361" s="24">
        <v>0</v>
      </c>
      <c r="K361" s="24">
        <v>37</v>
      </c>
      <c r="L361" s="24">
        <v>323</v>
      </c>
      <c r="M361" s="24">
        <v>410</v>
      </c>
      <c r="N361" s="24">
        <v>13</v>
      </c>
      <c r="O361" s="24">
        <v>0</v>
      </c>
      <c r="P361" s="24">
        <v>32</v>
      </c>
      <c r="Q361" s="24">
        <v>66</v>
      </c>
      <c r="R361" s="24">
        <v>86</v>
      </c>
      <c r="S361" s="25">
        <v>1.1000000000000001</v>
      </c>
      <c r="T361" s="25">
        <v>1.35</v>
      </c>
      <c r="U361" s="25">
        <v>1.35</v>
      </c>
      <c r="V361" s="24">
        <v>2</v>
      </c>
      <c r="W361" s="24">
        <v>3</v>
      </c>
      <c r="X361" s="24">
        <v>3</v>
      </c>
      <c r="Y361" s="24" t="s">
        <v>755</v>
      </c>
      <c r="Z361" s="24" t="s">
        <v>106</v>
      </c>
      <c r="AA361" s="24" t="s">
        <v>107</v>
      </c>
      <c r="AB361" t="s">
        <v>1164</v>
      </c>
      <c r="AC361" t="s">
        <v>1165</v>
      </c>
      <c r="AD361" s="24" t="s">
        <v>756</v>
      </c>
      <c r="AE361" s="24" t="s">
        <v>756</v>
      </c>
    </row>
    <row r="362" spans="1:31" x14ac:dyDescent="0.3">
      <c r="A362">
        <v>144</v>
      </c>
      <c r="B362" t="s">
        <v>596</v>
      </c>
      <c r="C362" t="s">
        <v>647</v>
      </c>
      <c r="D362" t="s">
        <v>639</v>
      </c>
      <c r="E362" t="s">
        <v>368</v>
      </c>
      <c r="F362">
        <v>6107</v>
      </c>
      <c r="G362" t="s">
        <v>10</v>
      </c>
      <c r="H362">
        <v>117</v>
      </c>
      <c r="I362">
        <v>0</v>
      </c>
      <c r="J362">
        <v>0</v>
      </c>
      <c r="K362">
        <v>53</v>
      </c>
      <c r="L362">
        <v>307</v>
      </c>
      <c r="M362">
        <v>400</v>
      </c>
      <c r="N362">
        <v>12</v>
      </c>
      <c r="O362">
        <v>0</v>
      </c>
      <c r="P362">
        <v>31</v>
      </c>
      <c r="Q362">
        <v>87</v>
      </c>
      <c r="R362">
        <v>102</v>
      </c>
      <c r="S362" s="6">
        <v>1.4</v>
      </c>
      <c r="T362" s="6">
        <v>1.4</v>
      </c>
      <c r="U362" s="6">
        <v>0.8</v>
      </c>
      <c r="V362">
        <v>3</v>
      </c>
      <c r="W362">
        <v>3</v>
      </c>
      <c r="X362">
        <v>2</v>
      </c>
      <c r="Y362" t="s">
        <v>107</v>
      </c>
      <c r="Z362" t="s">
        <v>107</v>
      </c>
      <c r="AA362" t="s">
        <v>106</v>
      </c>
      <c r="AB362" t="s">
        <v>1149</v>
      </c>
      <c r="AC362" s="24" t="s">
        <v>756</v>
      </c>
      <c r="AD362" s="24" t="s">
        <v>756</v>
      </c>
      <c r="AE362" s="24" t="s">
        <v>756</v>
      </c>
    </row>
    <row r="363" spans="1:31" x14ac:dyDescent="0.3">
      <c r="A363">
        <v>380</v>
      </c>
      <c r="B363" t="s">
        <v>863</v>
      </c>
      <c r="C363" t="s">
        <v>646</v>
      </c>
      <c r="D363" t="s">
        <v>642</v>
      </c>
      <c r="E363" t="s">
        <v>368</v>
      </c>
      <c r="F363">
        <v>6610</v>
      </c>
      <c r="G363" t="s">
        <v>10</v>
      </c>
      <c r="H363">
        <v>131</v>
      </c>
      <c r="I363">
        <v>0</v>
      </c>
      <c r="J363">
        <v>0</v>
      </c>
      <c r="K363">
        <v>54</v>
      </c>
      <c r="L363">
        <v>309</v>
      </c>
      <c r="M363">
        <v>425</v>
      </c>
      <c r="N363">
        <v>13</v>
      </c>
      <c r="O363">
        <v>0</v>
      </c>
      <c r="P363">
        <v>33</v>
      </c>
      <c r="Q363">
        <v>35</v>
      </c>
      <c r="R363">
        <v>82</v>
      </c>
      <c r="S363" s="6">
        <v>1.4</v>
      </c>
      <c r="T363" s="6">
        <v>1.3</v>
      </c>
      <c r="U363" s="6">
        <v>1.1499999999999999</v>
      </c>
      <c r="V363">
        <v>3</v>
      </c>
      <c r="W363">
        <v>3</v>
      </c>
      <c r="X363">
        <v>2</v>
      </c>
      <c r="Y363" t="s">
        <v>755</v>
      </c>
      <c r="Z363" t="s">
        <v>106</v>
      </c>
      <c r="AA363" t="s">
        <v>107</v>
      </c>
      <c r="AB363" t="s">
        <v>1160</v>
      </c>
      <c r="AC363" t="s">
        <v>1161</v>
      </c>
      <c r="AD363" t="s">
        <v>1162</v>
      </c>
      <c r="AE363" t="s">
        <v>1163</v>
      </c>
    </row>
    <row r="364" spans="1:31" x14ac:dyDescent="0.3">
      <c r="A364">
        <v>77</v>
      </c>
      <c r="B364" t="s">
        <v>593</v>
      </c>
      <c r="C364" t="s">
        <v>646</v>
      </c>
      <c r="D364" t="s">
        <v>642</v>
      </c>
      <c r="E364" t="s">
        <v>368</v>
      </c>
      <c r="F364">
        <v>6193</v>
      </c>
      <c r="G364" t="s">
        <v>10</v>
      </c>
      <c r="H364">
        <v>132</v>
      </c>
      <c r="I364">
        <v>0</v>
      </c>
      <c r="J364">
        <v>0</v>
      </c>
      <c r="K364">
        <v>62</v>
      </c>
      <c r="L364">
        <v>329</v>
      </c>
      <c r="M364">
        <v>429</v>
      </c>
      <c r="N364">
        <v>13</v>
      </c>
      <c r="O364">
        <v>0</v>
      </c>
      <c r="P364">
        <v>32</v>
      </c>
      <c r="Q364">
        <v>93</v>
      </c>
      <c r="R364">
        <v>107</v>
      </c>
      <c r="S364" s="6">
        <v>1.25</v>
      </c>
      <c r="T364" s="6">
        <v>1.25</v>
      </c>
      <c r="U364" s="6">
        <v>1.25</v>
      </c>
      <c r="V364">
        <v>3</v>
      </c>
      <c r="W364">
        <v>3</v>
      </c>
      <c r="X364">
        <v>2</v>
      </c>
      <c r="Y364" t="s">
        <v>755</v>
      </c>
      <c r="Z364" t="s">
        <v>106</v>
      </c>
      <c r="AA364" t="s">
        <v>107</v>
      </c>
      <c r="AB364" s="24" t="s">
        <v>756</v>
      </c>
      <c r="AC364" s="24" t="s">
        <v>756</v>
      </c>
      <c r="AD364" s="24" t="s">
        <v>756</v>
      </c>
      <c r="AE364" s="24" t="s">
        <v>756</v>
      </c>
    </row>
    <row r="365" spans="1:31" x14ac:dyDescent="0.3">
      <c r="A365">
        <v>357</v>
      </c>
      <c r="B365" t="s">
        <v>606</v>
      </c>
      <c r="C365" t="s">
        <v>646</v>
      </c>
      <c r="D365" t="s">
        <v>642</v>
      </c>
      <c r="E365" t="s">
        <v>368</v>
      </c>
      <c r="F365">
        <v>6647</v>
      </c>
      <c r="G365" t="s">
        <v>10</v>
      </c>
      <c r="H365">
        <v>131</v>
      </c>
      <c r="I365">
        <v>0</v>
      </c>
      <c r="J365">
        <v>0</v>
      </c>
      <c r="K365">
        <v>54</v>
      </c>
      <c r="L365">
        <v>331</v>
      </c>
      <c r="M365">
        <v>433</v>
      </c>
      <c r="N365">
        <v>13</v>
      </c>
      <c r="O365">
        <v>0</v>
      </c>
      <c r="P365">
        <v>33</v>
      </c>
      <c r="Q365">
        <v>90</v>
      </c>
      <c r="R365">
        <v>88</v>
      </c>
      <c r="S365" s="6">
        <v>1.4</v>
      </c>
      <c r="T365" s="6">
        <v>1.3</v>
      </c>
      <c r="U365" s="6">
        <v>1.2</v>
      </c>
      <c r="V365">
        <v>3</v>
      </c>
      <c r="W365">
        <v>3</v>
      </c>
      <c r="X365">
        <v>2</v>
      </c>
      <c r="Y365" t="s">
        <v>755</v>
      </c>
      <c r="Z365" t="s">
        <v>106</v>
      </c>
      <c r="AA365" t="s">
        <v>107</v>
      </c>
      <c r="AB365" t="s">
        <v>1154</v>
      </c>
      <c r="AC365" s="24" t="s">
        <v>756</v>
      </c>
      <c r="AD365" s="24" t="s">
        <v>756</v>
      </c>
      <c r="AE365" s="24" t="s">
        <v>756</v>
      </c>
    </row>
    <row r="366" spans="1:31" x14ac:dyDescent="0.3">
      <c r="A366" t="s">
        <v>344</v>
      </c>
      <c r="B366" t="s">
        <v>630</v>
      </c>
      <c r="C366" t="s">
        <v>655</v>
      </c>
      <c r="D366" t="s">
        <v>639</v>
      </c>
      <c r="E366" t="s">
        <v>368</v>
      </c>
      <c r="F366">
        <v>5126</v>
      </c>
      <c r="G366" t="s">
        <v>10</v>
      </c>
      <c r="H366">
        <v>95</v>
      </c>
      <c r="I366">
        <v>0</v>
      </c>
      <c r="J366">
        <v>0</v>
      </c>
      <c r="K366">
        <v>54</v>
      </c>
      <c r="L366">
        <v>266</v>
      </c>
      <c r="M366">
        <v>337</v>
      </c>
      <c r="N366">
        <v>12</v>
      </c>
      <c r="O366">
        <v>0</v>
      </c>
      <c r="P366">
        <v>32</v>
      </c>
      <c r="Q366">
        <v>43</v>
      </c>
      <c r="R366">
        <v>82</v>
      </c>
      <c r="S366" s="6">
        <v>1.05</v>
      </c>
      <c r="T366" s="6">
        <v>1.05</v>
      </c>
      <c r="U366" s="6">
        <v>1.05</v>
      </c>
      <c r="V366">
        <v>2</v>
      </c>
      <c r="W366">
        <v>3</v>
      </c>
      <c r="X366">
        <v>3</v>
      </c>
      <c r="Y366" t="s">
        <v>755</v>
      </c>
      <c r="Z366" t="s">
        <v>107</v>
      </c>
      <c r="AA366" t="s">
        <v>107</v>
      </c>
      <c r="AB366" t="s">
        <v>1155</v>
      </c>
      <c r="AC366" s="24" t="s">
        <v>756</v>
      </c>
      <c r="AD366" s="24" t="s">
        <v>756</v>
      </c>
      <c r="AE366" s="24" t="s">
        <v>756</v>
      </c>
    </row>
    <row r="367" spans="1:31" x14ac:dyDescent="0.3">
      <c r="A367">
        <v>148</v>
      </c>
      <c r="B367" t="s">
        <v>599</v>
      </c>
      <c r="C367" t="s">
        <v>647</v>
      </c>
      <c r="D367" t="s">
        <v>639</v>
      </c>
      <c r="E367" t="s">
        <v>368</v>
      </c>
      <c r="F367">
        <v>6313</v>
      </c>
      <c r="G367" t="s">
        <v>10</v>
      </c>
      <c r="H367">
        <v>109</v>
      </c>
      <c r="I367">
        <v>0</v>
      </c>
      <c r="J367">
        <v>0</v>
      </c>
      <c r="K367">
        <v>51</v>
      </c>
      <c r="L367">
        <v>292</v>
      </c>
      <c r="M367">
        <v>360</v>
      </c>
      <c r="N367">
        <v>12</v>
      </c>
      <c r="O367">
        <v>0</v>
      </c>
      <c r="P367">
        <v>30</v>
      </c>
      <c r="Q367">
        <v>32</v>
      </c>
      <c r="R367">
        <v>88</v>
      </c>
      <c r="S367" s="6">
        <v>1.4</v>
      </c>
      <c r="T367" s="6">
        <v>1.1499999999999999</v>
      </c>
      <c r="U367" s="6">
        <v>1.1499999999999999</v>
      </c>
      <c r="V367">
        <v>3</v>
      </c>
      <c r="W367">
        <v>2</v>
      </c>
      <c r="X367">
        <v>2</v>
      </c>
      <c r="Y367" t="s">
        <v>755</v>
      </c>
      <c r="Z367" t="s">
        <v>107</v>
      </c>
      <c r="AA367" t="s">
        <v>107</v>
      </c>
      <c r="AB367" s="24" t="s">
        <v>756</v>
      </c>
      <c r="AC367" s="24" t="s">
        <v>756</v>
      </c>
      <c r="AD367" s="24" t="s">
        <v>756</v>
      </c>
      <c r="AE367" s="24" t="s">
        <v>756</v>
      </c>
    </row>
    <row r="368" spans="1:31" x14ac:dyDescent="0.3">
      <c r="A368">
        <v>252</v>
      </c>
      <c r="B368" t="s">
        <v>605</v>
      </c>
      <c r="C368" t="s">
        <v>649</v>
      </c>
      <c r="D368" t="s">
        <v>642</v>
      </c>
      <c r="E368" t="s">
        <v>368</v>
      </c>
      <c r="F368">
        <v>7488</v>
      </c>
      <c r="G368" t="s">
        <v>10</v>
      </c>
      <c r="H368">
        <v>115</v>
      </c>
      <c r="I368">
        <v>0</v>
      </c>
      <c r="J368">
        <v>0</v>
      </c>
      <c r="K368">
        <v>50</v>
      </c>
      <c r="L368">
        <v>319</v>
      </c>
      <c r="M368">
        <v>400</v>
      </c>
      <c r="N368">
        <v>13</v>
      </c>
      <c r="O368">
        <v>0</v>
      </c>
      <c r="P368">
        <v>33</v>
      </c>
      <c r="Q368">
        <v>45</v>
      </c>
      <c r="R368">
        <v>87</v>
      </c>
      <c r="S368" s="6">
        <v>1.2</v>
      </c>
      <c r="T368" s="6">
        <v>1.3</v>
      </c>
      <c r="U368" s="6">
        <v>1.3</v>
      </c>
      <c r="V368">
        <v>2</v>
      </c>
      <c r="W368">
        <v>3</v>
      </c>
      <c r="X368">
        <v>3</v>
      </c>
      <c r="Y368" t="s">
        <v>755</v>
      </c>
      <c r="Z368" t="s">
        <v>106</v>
      </c>
      <c r="AA368" t="s">
        <v>106</v>
      </c>
      <c r="AB368" s="24" t="s">
        <v>756</v>
      </c>
      <c r="AC368" s="24" t="s">
        <v>756</v>
      </c>
      <c r="AD368" s="24" t="s">
        <v>756</v>
      </c>
      <c r="AE368" s="24" t="s">
        <v>756</v>
      </c>
    </row>
    <row r="369" spans="1:31" x14ac:dyDescent="0.3">
      <c r="A369" t="s">
        <v>338</v>
      </c>
      <c r="B369" t="s">
        <v>624</v>
      </c>
      <c r="C369" t="s">
        <v>654</v>
      </c>
      <c r="D369" t="s">
        <v>642</v>
      </c>
      <c r="E369" t="s">
        <v>368</v>
      </c>
      <c r="F369">
        <v>5781</v>
      </c>
      <c r="G369" t="s">
        <v>10</v>
      </c>
      <c r="H369">
        <v>115</v>
      </c>
      <c r="I369">
        <v>0</v>
      </c>
      <c r="J369">
        <v>0</v>
      </c>
      <c r="K369">
        <v>55</v>
      </c>
      <c r="L369">
        <v>298</v>
      </c>
      <c r="M369">
        <v>395</v>
      </c>
      <c r="N369">
        <v>13</v>
      </c>
      <c r="O369">
        <v>0</v>
      </c>
      <c r="P369">
        <v>28</v>
      </c>
      <c r="Q369">
        <v>95</v>
      </c>
      <c r="R369">
        <v>86</v>
      </c>
      <c r="S369" s="6">
        <v>1.2</v>
      </c>
      <c r="T369" s="6">
        <v>1.25</v>
      </c>
      <c r="U369" s="6">
        <v>1.25</v>
      </c>
      <c r="V369">
        <v>3</v>
      </c>
      <c r="W369">
        <v>2</v>
      </c>
      <c r="X369">
        <v>2</v>
      </c>
      <c r="Y369" t="s">
        <v>755</v>
      </c>
      <c r="Z369" t="s">
        <v>106</v>
      </c>
      <c r="AA369" t="s">
        <v>106</v>
      </c>
      <c r="AB369" s="24" t="s">
        <v>1144</v>
      </c>
      <c r="AC369" s="24" t="s">
        <v>756</v>
      </c>
      <c r="AD369" s="24" t="s">
        <v>756</v>
      </c>
      <c r="AE369" s="24" t="s">
        <v>756</v>
      </c>
    </row>
    <row r="370" spans="1:31" x14ac:dyDescent="0.3">
      <c r="A370">
        <v>227</v>
      </c>
      <c r="B370" t="s">
        <v>398</v>
      </c>
      <c r="C370" t="s">
        <v>648</v>
      </c>
      <c r="D370" t="s">
        <v>639</v>
      </c>
      <c r="E370" t="s">
        <v>368</v>
      </c>
      <c r="F370">
        <v>5468</v>
      </c>
      <c r="G370" t="s">
        <v>10</v>
      </c>
      <c r="H370">
        <v>121</v>
      </c>
      <c r="I370">
        <v>0</v>
      </c>
      <c r="J370">
        <v>0</v>
      </c>
      <c r="K370">
        <v>56</v>
      </c>
      <c r="L370">
        <v>311</v>
      </c>
      <c r="M370">
        <v>391</v>
      </c>
      <c r="N370">
        <v>12</v>
      </c>
      <c r="O370">
        <v>0</v>
      </c>
      <c r="P370">
        <v>34</v>
      </c>
      <c r="Q370">
        <v>36</v>
      </c>
      <c r="R370">
        <v>85</v>
      </c>
      <c r="S370" s="6">
        <v>1.1000000000000001</v>
      </c>
      <c r="T370" s="6">
        <v>1.1000000000000001</v>
      </c>
      <c r="U370" s="6">
        <v>1.5</v>
      </c>
      <c r="V370">
        <v>3</v>
      </c>
      <c r="W370">
        <v>2</v>
      </c>
      <c r="X370">
        <v>3</v>
      </c>
      <c r="Y370" t="s">
        <v>755</v>
      </c>
      <c r="Z370" t="s">
        <v>106</v>
      </c>
      <c r="AA370" t="s">
        <v>107</v>
      </c>
      <c r="AB370" s="24" t="s">
        <v>756</v>
      </c>
      <c r="AC370" s="24" t="s">
        <v>756</v>
      </c>
      <c r="AD370" s="24" t="s">
        <v>756</v>
      </c>
      <c r="AE370" s="24" t="s">
        <v>756</v>
      </c>
    </row>
    <row r="371" spans="1:31" x14ac:dyDescent="0.3">
      <c r="A371">
        <v>3227</v>
      </c>
      <c r="B371" t="s">
        <v>683</v>
      </c>
      <c r="C371" t="s">
        <v>648</v>
      </c>
      <c r="D371" t="s">
        <v>642</v>
      </c>
      <c r="E371" t="s">
        <v>368</v>
      </c>
      <c r="F371">
        <v>5678</v>
      </c>
      <c r="G371" t="s">
        <v>10</v>
      </c>
      <c r="H371">
        <v>141</v>
      </c>
      <c r="I371">
        <v>0</v>
      </c>
      <c r="J371">
        <v>0</v>
      </c>
      <c r="K371">
        <v>66</v>
      </c>
      <c r="L371">
        <v>361</v>
      </c>
      <c r="M371">
        <v>426</v>
      </c>
      <c r="N371">
        <v>12</v>
      </c>
      <c r="O371">
        <v>0</v>
      </c>
      <c r="P371">
        <v>34</v>
      </c>
      <c r="Q371">
        <v>36</v>
      </c>
      <c r="R371">
        <v>85</v>
      </c>
      <c r="S371" s="6">
        <v>1.25</v>
      </c>
      <c r="T371" s="6">
        <v>1.1499999999999999</v>
      </c>
      <c r="U371" s="6">
        <v>1.5</v>
      </c>
      <c r="V371">
        <v>3</v>
      </c>
      <c r="W371">
        <v>2</v>
      </c>
      <c r="X371">
        <v>3</v>
      </c>
      <c r="Y371" t="s">
        <v>755</v>
      </c>
      <c r="Z371" t="s">
        <v>106</v>
      </c>
      <c r="AA371" t="s">
        <v>107</v>
      </c>
      <c r="AB371" s="24" t="s">
        <v>1156</v>
      </c>
      <c r="AC371" s="24" t="s">
        <v>756</v>
      </c>
      <c r="AD371" s="24" t="s">
        <v>756</v>
      </c>
      <c r="AE371" s="24" t="s">
        <v>756</v>
      </c>
    </row>
    <row r="372" spans="1:31" x14ac:dyDescent="0.3">
      <c r="A372">
        <v>78</v>
      </c>
      <c r="B372" t="s">
        <v>594</v>
      </c>
      <c r="C372" t="s">
        <v>646</v>
      </c>
      <c r="D372" t="s">
        <v>639</v>
      </c>
      <c r="E372" t="s">
        <v>368</v>
      </c>
      <c r="F372">
        <v>5823</v>
      </c>
      <c r="G372" t="s">
        <v>10</v>
      </c>
      <c r="H372">
        <v>121</v>
      </c>
      <c r="I372">
        <v>0</v>
      </c>
      <c r="J372">
        <v>0</v>
      </c>
      <c r="K372">
        <v>54</v>
      </c>
      <c r="L372">
        <v>307</v>
      </c>
      <c r="M372">
        <v>401</v>
      </c>
      <c r="N372">
        <v>12</v>
      </c>
      <c r="O372">
        <v>0</v>
      </c>
      <c r="P372">
        <v>32</v>
      </c>
      <c r="Q372">
        <v>15</v>
      </c>
      <c r="R372">
        <v>96</v>
      </c>
      <c r="S372" s="6">
        <v>1.25</v>
      </c>
      <c r="T372" s="6">
        <v>1.25</v>
      </c>
      <c r="U372" s="6">
        <v>1.25</v>
      </c>
      <c r="V372">
        <v>3</v>
      </c>
      <c r="W372">
        <v>3</v>
      </c>
      <c r="X372">
        <v>2</v>
      </c>
      <c r="Y372" t="s">
        <v>755</v>
      </c>
      <c r="Z372" t="s">
        <v>106</v>
      </c>
      <c r="AA372" t="s">
        <v>107</v>
      </c>
      <c r="AB372" t="s">
        <v>1145</v>
      </c>
      <c r="AC372" s="24" t="s">
        <v>756</v>
      </c>
      <c r="AD372" s="24" t="s">
        <v>756</v>
      </c>
      <c r="AE372" s="24" t="s">
        <v>756</v>
      </c>
    </row>
    <row r="373" spans="1:31" x14ac:dyDescent="0.3">
      <c r="A373">
        <v>145</v>
      </c>
      <c r="B373" t="s">
        <v>597</v>
      </c>
      <c r="C373" t="s">
        <v>647</v>
      </c>
      <c r="D373" t="s">
        <v>642</v>
      </c>
      <c r="E373" t="s">
        <v>368</v>
      </c>
      <c r="F373">
        <v>6561</v>
      </c>
      <c r="G373" t="s">
        <v>12</v>
      </c>
      <c r="H373">
        <v>117</v>
      </c>
      <c r="I373">
        <v>0</v>
      </c>
      <c r="J373">
        <v>0</v>
      </c>
      <c r="K373">
        <v>53</v>
      </c>
      <c r="L373">
        <v>296</v>
      </c>
      <c r="M373">
        <v>400</v>
      </c>
      <c r="N373">
        <v>13</v>
      </c>
      <c r="O373">
        <v>0</v>
      </c>
      <c r="P373">
        <v>30</v>
      </c>
      <c r="Q373">
        <v>44</v>
      </c>
      <c r="R373">
        <v>91</v>
      </c>
      <c r="S373" s="6">
        <v>1.35</v>
      </c>
      <c r="T373" s="6">
        <v>1.35</v>
      </c>
      <c r="U373" s="6">
        <v>1.1000000000000001</v>
      </c>
      <c r="V373">
        <v>3</v>
      </c>
      <c r="W373">
        <v>3</v>
      </c>
      <c r="X373">
        <v>2</v>
      </c>
      <c r="Y373" t="s">
        <v>755</v>
      </c>
      <c r="Z373" t="s">
        <v>755</v>
      </c>
      <c r="AA373" t="s">
        <v>107</v>
      </c>
      <c r="AB373" s="24" t="s">
        <v>756</v>
      </c>
      <c r="AC373" s="24" t="s">
        <v>756</v>
      </c>
      <c r="AD373" s="24" t="s">
        <v>756</v>
      </c>
      <c r="AE373" s="24" t="s">
        <v>756</v>
      </c>
    </row>
    <row r="374" spans="1:31" x14ac:dyDescent="0.3">
      <c r="A374">
        <v>225</v>
      </c>
      <c r="B374" t="s">
        <v>601</v>
      </c>
      <c r="C374" t="s">
        <v>648</v>
      </c>
      <c r="D374" t="s">
        <v>642</v>
      </c>
      <c r="E374" t="s">
        <v>368</v>
      </c>
      <c r="F374">
        <v>6771</v>
      </c>
      <c r="G374" t="s">
        <v>10</v>
      </c>
      <c r="H374">
        <v>131</v>
      </c>
      <c r="I374">
        <v>0</v>
      </c>
      <c r="J374">
        <v>0</v>
      </c>
      <c r="K374">
        <v>49</v>
      </c>
      <c r="L374">
        <v>323</v>
      </c>
      <c r="M374">
        <v>408</v>
      </c>
      <c r="N374">
        <v>13</v>
      </c>
      <c r="O374">
        <v>0</v>
      </c>
      <c r="P374">
        <v>28</v>
      </c>
      <c r="Q374">
        <v>42</v>
      </c>
      <c r="R374">
        <v>90</v>
      </c>
      <c r="S374" s="6">
        <v>1.1000000000000001</v>
      </c>
      <c r="T374" s="6">
        <v>1.1000000000000001</v>
      </c>
      <c r="U374" s="6">
        <v>1.5</v>
      </c>
      <c r="V374">
        <v>3</v>
      </c>
      <c r="W374">
        <v>2</v>
      </c>
      <c r="X374">
        <v>3</v>
      </c>
      <c r="Y374" t="s">
        <v>755</v>
      </c>
      <c r="Z374" t="s">
        <v>106</v>
      </c>
      <c r="AA374" t="s">
        <v>107</v>
      </c>
      <c r="AB374" s="24" t="s">
        <v>756</v>
      </c>
      <c r="AC374" s="24" t="s">
        <v>756</v>
      </c>
      <c r="AD374" s="24" t="s">
        <v>756</v>
      </c>
      <c r="AE374" s="24" t="s">
        <v>756</v>
      </c>
    </row>
    <row r="375" spans="1:31" x14ac:dyDescent="0.3">
      <c r="A375">
        <v>73</v>
      </c>
      <c r="B375" t="s">
        <v>591</v>
      </c>
      <c r="C375" t="s">
        <v>646</v>
      </c>
      <c r="D375" t="s">
        <v>639</v>
      </c>
      <c r="E375" t="s">
        <v>368</v>
      </c>
      <c r="F375">
        <v>6912</v>
      </c>
      <c r="G375" t="s">
        <v>10</v>
      </c>
      <c r="H375">
        <v>110</v>
      </c>
      <c r="I375">
        <v>0</v>
      </c>
      <c r="J375">
        <v>0</v>
      </c>
      <c r="K375">
        <v>57</v>
      </c>
      <c r="L375">
        <v>303</v>
      </c>
      <c r="M375">
        <v>397</v>
      </c>
      <c r="N375">
        <v>12</v>
      </c>
      <c r="O375">
        <v>0</v>
      </c>
      <c r="P375">
        <v>33</v>
      </c>
      <c r="Q375">
        <v>35</v>
      </c>
      <c r="R375">
        <v>92</v>
      </c>
      <c r="S375" s="6">
        <v>1.2</v>
      </c>
      <c r="T375" s="6">
        <v>1.3</v>
      </c>
      <c r="U375" s="6">
        <v>1.3</v>
      </c>
      <c r="V375">
        <v>2</v>
      </c>
      <c r="W375">
        <v>3</v>
      </c>
      <c r="X375">
        <v>3</v>
      </c>
      <c r="Y375" t="s">
        <v>755</v>
      </c>
      <c r="Z375" t="s">
        <v>106</v>
      </c>
      <c r="AA375" t="s">
        <v>106</v>
      </c>
      <c r="AB375" t="s">
        <v>1150</v>
      </c>
      <c r="AC375" s="24" t="s">
        <v>756</v>
      </c>
      <c r="AD375" s="24" t="s">
        <v>756</v>
      </c>
      <c r="AE375" s="24" t="s">
        <v>756</v>
      </c>
    </row>
    <row r="376" spans="1:31" x14ac:dyDescent="0.3">
      <c r="A376" s="24"/>
      <c r="B376" s="24" t="s">
        <v>972</v>
      </c>
      <c r="C376" s="24" t="s">
        <v>649</v>
      </c>
      <c r="D376" s="24" t="s">
        <v>639</v>
      </c>
      <c r="E376" s="24" t="s">
        <v>368</v>
      </c>
      <c r="F376" s="24">
        <v>6250</v>
      </c>
      <c r="G376" s="24" t="s">
        <v>10</v>
      </c>
      <c r="H376" s="24">
        <v>124</v>
      </c>
      <c r="I376" s="24">
        <v>0</v>
      </c>
      <c r="J376" s="24">
        <v>0</v>
      </c>
      <c r="K376" s="24">
        <v>54</v>
      </c>
      <c r="L376" s="24">
        <v>311</v>
      </c>
      <c r="M376" s="24">
        <v>394</v>
      </c>
      <c r="N376" s="24">
        <v>12</v>
      </c>
      <c r="O376" s="24">
        <v>0</v>
      </c>
      <c r="P376" s="24">
        <v>31</v>
      </c>
      <c r="Q376" s="24">
        <v>42</v>
      </c>
      <c r="R376" s="24">
        <v>90</v>
      </c>
      <c r="S376" s="25">
        <v>1.25</v>
      </c>
      <c r="T376" s="25">
        <v>1.1499999999999999</v>
      </c>
      <c r="U376" s="25">
        <v>1.25</v>
      </c>
      <c r="V376" s="24">
        <v>3</v>
      </c>
      <c r="W376" s="24">
        <v>2</v>
      </c>
      <c r="X376" s="24">
        <v>3</v>
      </c>
      <c r="Y376" s="24" t="s">
        <v>755</v>
      </c>
      <c r="Z376" s="24" t="s">
        <v>106</v>
      </c>
      <c r="AA376" s="24" t="s">
        <v>107</v>
      </c>
      <c r="AB376" t="s">
        <v>1167</v>
      </c>
      <c r="AC376" t="s">
        <v>1168</v>
      </c>
      <c r="AD376" s="24" t="s">
        <v>756</v>
      </c>
      <c r="AE376" s="24" t="s">
        <v>756</v>
      </c>
    </row>
    <row r="377" spans="1:31" x14ac:dyDescent="0.3">
      <c r="A377" s="24"/>
      <c r="B377" s="24" t="s">
        <v>971</v>
      </c>
      <c r="C377" s="24" t="s">
        <v>649</v>
      </c>
      <c r="D377" s="24" t="s">
        <v>639</v>
      </c>
      <c r="E377" s="24" t="s">
        <v>368</v>
      </c>
      <c r="F377" s="24">
        <v>6983</v>
      </c>
      <c r="G377" s="24" t="s">
        <v>10</v>
      </c>
      <c r="H377" s="24">
        <v>110</v>
      </c>
      <c r="I377" s="24">
        <f>174+3*80</f>
        <v>414</v>
      </c>
      <c r="J377" s="24">
        <v>0</v>
      </c>
      <c r="K377" s="24">
        <v>56</v>
      </c>
      <c r="L377" s="24">
        <v>307</v>
      </c>
      <c r="M377" s="24">
        <v>376</v>
      </c>
      <c r="N377" s="24">
        <v>12</v>
      </c>
      <c r="O377" s="24">
        <v>0</v>
      </c>
      <c r="P377" s="24">
        <v>33</v>
      </c>
      <c r="Q377" s="24">
        <v>45</v>
      </c>
      <c r="R377" s="24">
        <v>85</v>
      </c>
      <c r="S377" s="25">
        <v>1.1499999999999999</v>
      </c>
      <c r="T377" s="25">
        <v>1.3</v>
      </c>
      <c r="U377" s="25">
        <v>1</v>
      </c>
      <c r="V377" s="24">
        <v>3</v>
      </c>
      <c r="W377" s="24">
        <v>3</v>
      </c>
      <c r="X377" s="24">
        <v>3</v>
      </c>
      <c r="Y377" s="24" t="s">
        <v>755</v>
      </c>
      <c r="Z377" s="24" t="s">
        <v>106</v>
      </c>
      <c r="AA377" s="24" t="s">
        <v>106</v>
      </c>
      <c r="AB377" t="s">
        <v>1384</v>
      </c>
      <c r="AC377" t="s">
        <v>1383</v>
      </c>
      <c r="AD377" t="s">
        <v>1166</v>
      </c>
      <c r="AE377" s="24" t="s">
        <v>756</v>
      </c>
    </row>
    <row r="378" spans="1:31" x14ac:dyDescent="0.3">
      <c r="A378">
        <v>74</v>
      </c>
      <c r="B378" t="s">
        <v>367</v>
      </c>
      <c r="C378" t="s">
        <v>646</v>
      </c>
      <c r="D378" t="s">
        <v>639</v>
      </c>
      <c r="E378" t="s">
        <v>368</v>
      </c>
      <c r="F378">
        <v>6912</v>
      </c>
      <c r="G378" t="s">
        <v>10</v>
      </c>
      <c r="H378">
        <v>110</v>
      </c>
      <c r="I378">
        <v>0</v>
      </c>
      <c r="J378">
        <v>0</v>
      </c>
      <c r="K378">
        <v>57</v>
      </c>
      <c r="L378">
        <v>303</v>
      </c>
      <c r="M378">
        <v>397</v>
      </c>
      <c r="N378">
        <v>12</v>
      </c>
      <c r="O378">
        <v>0</v>
      </c>
      <c r="P378">
        <v>33</v>
      </c>
      <c r="Q378">
        <v>66</v>
      </c>
      <c r="R378">
        <v>92</v>
      </c>
      <c r="S378" s="6">
        <v>1.2</v>
      </c>
      <c r="T378" s="6">
        <v>1.3</v>
      </c>
      <c r="U378" s="6">
        <v>1.3</v>
      </c>
      <c r="V378">
        <v>2</v>
      </c>
      <c r="W378">
        <v>3</v>
      </c>
      <c r="X378">
        <v>3</v>
      </c>
      <c r="Y378" t="s">
        <v>755</v>
      </c>
      <c r="Z378" t="s">
        <v>106</v>
      </c>
      <c r="AA378" t="s">
        <v>106</v>
      </c>
      <c r="AB378" t="s">
        <v>1150</v>
      </c>
      <c r="AC378" s="24" t="s">
        <v>756</v>
      </c>
      <c r="AD378" s="24" t="s">
        <v>756</v>
      </c>
      <c r="AE378" s="24" t="s">
        <v>756</v>
      </c>
    </row>
    <row r="379" spans="1:31" x14ac:dyDescent="0.3">
      <c r="A379">
        <v>3074</v>
      </c>
      <c r="B379" t="s">
        <v>679</v>
      </c>
      <c r="C379" t="s">
        <v>646</v>
      </c>
      <c r="D379" t="s">
        <v>642</v>
      </c>
      <c r="E379" t="s">
        <v>368</v>
      </c>
      <c r="F379">
        <v>7122</v>
      </c>
      <c r="G379" t="s">
        <v>10</v>
      </c>
      <c r="H379">
        <v>130</v>
      </c>
      <c r="I379">
        <v>0</v>
      </c>
      <c r="J379">
        <v>0</v>
      </c>
      <c r="K379">
        <v>57</v>
      </c>
      <c r="L379">
        <v>353</v>
      </c>
      <c r="M379">
        <v>442</v>
      </c>
      <c r="N379">
        <v>12</v>
      </c>
      <c r="O379">
        <v>0</v>
      </c>
      <c r="P379">
        <v>33</v>
      </c>
      <c r="Q379">
        <v>66</v>
      </c>
      <c r="R379">
        <v>92</v>
      </c>
      <c r="S379" s="6">
        <v>1.25</v>
      </c>
      <c r="T379" s="6">
        <v>1.4</v>
      </c>
      <c r="U379" s="6">
        <v>1.4</v>
      </c>
      <c r="V379">
        <v>2</v>
      </c>
      <c r="W379">
        <v>3</v>
      </c>
      <c r="X379">
        <v>3</v>
      </c>
      <c r="Y379" t="s">
        <v>755</v>
      </c>
      <c r="Z379" t="s">
        <v>106</v>
      </c>
      <c r="AA379" t="s">
        <v>106</v>
      </c>
      <c r="AB379" t="s">
        <v>1150</v>
      </c>
      <c r="AC379" t="s">
        <v>1151</v>
      </c>
      <c r="AD379" t="s">
        <v>1152</v>
      </c>
      <c r="AE379" t="s">
        <v>1153</v>
      </c>
    </row>
    <row r="380" spans="1:31" x14ac:dyDescent="0.3">
      <c r="A380">
        <v>378</v>
      </c>
      <c r="B380" t="s">
        <v>777</v>
      </c>
      <c r="C380" t="s">
        <v>646</v>
      </c>
      <c r="D380" t="s">
        <v>642</v>
      </c>
      <c r="E380" t="s">
        <v>368</v>
      </c>
      <c r="F380">
        <v>6647</v>
      </c>
      <c r="G380" t="s">
        <v>10</v>
      </c>
      <c r="H380">
        <v>131</v>
      </c>
      <c r="I380">
        <v>0</v>
      </c>
      <c r="J380">
        <v>0</v>
      </c>
      <c r="K380">
        <v>54</v>
      </c>
      <c r="L380">
        <v>331</v>
      </c>
      <c r="M380">
        <v>430</v>
      </c>
      <c r="N380">
        <v>13</v>
      </c>
      <c r="O380">
        <v>0</v>
      </c>
      <c r="P380">
        <v>33</v>
      </c>
      <c r="Q380">
        <v>83</v>
      </c>
      <c r="R380">
        <v>91</v>
      </c>
      <c r="S380" s="6">
        <v>1.4</v>
      </c>
      <c r="T380" s="6">
        <v>1.3</v>
      </c>
      <c r="U380" s="6">
        <v>1.1499999999999999</v>
      </c>
      <c r="V380">
        <v>3</v>
      </c>
      <c r="W380">
        <v>3</v>
      </c>
      <c r="X380">
        <v>2</v>
      </c>
      <c r="Y380" t="s">
        <v>755</v>
      </c>
      <c r="Z380" t="s">
        <v>106</v>
      </c>
      <c r="AA380" t="s">
        <v>107</v>
      </c>
      <c r="AB380" t="s">
        <v>1159</v>
      </c>
      <c r="AC380" s="24" t="s">
        <v>756</v>
      </c>
      <c r="AD380" s="24" t="s">
        <v>756</v>
      </c>
      <c r="AE380" s="24" t="s">
        <v>756</v>
      </c>
    </row>
    <row r="381" spans="1:31" x14ac:dyDescent="0.3">
      <c r="A381">
        <v>228</v>
      </c>
      <c r="B381" t="s">
        <v>602</v>
      </c>
      <c r="C381" t="s">
        <v>648</v>
      </c>
      <c r="D381" t="s">
        <v>642</v>
      </c>
      <c r="E381" t="s">
        <v>368</v>
      </c>
      <c r="F381">
        <v>6729</v>
      </c>
      <c r="G381" t="s">
        <v>10</v>
      </c>
      <c r="H381">
        <v>120</v>
      </c>
      <c r="I381">
        <v>0</v>
      </c>
      <c r="J381">
        <v>0</v>
      </c>
      <c r="K381">
        <v>56</v>
      </c>
      <c r="L381">
        <v>349</v>
      </c>
      <c r="M381">
        <v>412</v>
      </c>
      <c r="N381">
        <v>13</v>
      </c>
      <c r="O381">
        <v>0</v>
      </c>
      <c r="P381">
        <v>34</v>
      </c>
      <c r="Q381">
        <v>49</v>
      </c>
      <c r="R381">
        <v>87</v>
      </c>
      <c r="S381" s="6">
        <v>1.1000000000000001</v>
      </c>
      <c r="T381" s="6">
        <v>1.1000000000000001</v>
      </c>
      <c r="U381" s="6">
        <v>1.5</v>
      </c>
      <c r="V381">
        <v>2</v>
      </c>
      <c r="W381">
        <v>2</v>
      </c>
      <c r="X381">
        <v>4</v>
      </c>
      <c r="Y381" t="s">
        <v>755</v>
      </c>
      <c r="Z381" t="s">
        <v>106</v>
      </c>
      <c r="AA381" t="s">
        <v>107</v>
      </c>
      <c r="AB381" s="24" t="s">
        <v>756</v>
      </c>
      <c r="AC381" s="24" t="s">
        <v>756</v>
      </c>
      <c r="AD381" s="24" t="s">
        <v>756</v>
      </c>
      <c r="AE381" s="24" t="s">
        <v>756</v>
      </c>
    </row>
    <row r="382" spans="1:31" x14ac:dyDescent="0.3">
      <c r="A382">
        <v>226</v>
      </c>
      <c r="B382" t="s">
        <v>397</v>
      </c>
      <c r="C382" t="s">
        <v>648</v>
      </c>
      <c r="D382" t="s">
        <v>639</v>
      </c>
      <c r="E382" t="s">
        <v>368</v>
      </c>
      <c r="F382">
        <v>5246</v>
      </c>
      <c r="G382" t="s">
        <v>10</v>
      </c>
      <c r="H382">
        <v>121</v>
      </c>
      <c r="I382">
        <v>0</v>
      </c>
      <c r="J382">
        <v>0</v>
      </c>
      <c r="K382">
        <v>56</v>
      </c>
      <c r="L382">
        <v>313</v>
      </c>
      <c r="M382">
        <v>390</v>
      </c>
      <c r="N382">
        <v>12</v>
      </c>
      <c r="O382">
        <v>0</v>
      </c>
      <c r="P382">
        <v>34</v>
      </c>
      <c r="Q382">
        <v>36</v>
      </c>
      <c r="R382">
        <v>85</v>
      </c>
      <c r="S382" s="6">
        <v>1.1000000000000001</v>
      </c>
      <c r="T382" s="6">
        <v>1.5</v>
      </c>
      <c r="U382" s="6">
        <v>1.1000000000000001</v>
      </c>
      <c r="V382">
        <v>3</v>
      </c>
      <c r="W382">
        <v>3</v>
      </c>
      <c r="X382">
        <v>2</v>
      </c>
      <c r="Y382" t="s">
        <v>755</v>
      </c>
      <c r="Z382" t="s">
        <v>106</v>
      </c>
      <c r="AA382" t="s">
        <v>107</v>
      </c>
      <c r="AB382" s="24" t="s">
        <v>756</v>
      </c>
      <c r="AC382" s="24" t="s">
        <v>756</v>
      </c>
      <c r="AD382" s="24" t="s">
        <v>756</v>
      </c>
      <c r="AE382" s="24" t="s">
        <v>756</v>
      </c>
    </row>
    <row r="383" spans="1:31" x14ac:dyDescent="0.3">
      <c r="A383">
        <v>3226</v>
      </c>
      <c r="B383" t="s">
        <v>682</v>
      </c>
      <c r="C383" t="s">
        <v>648</v>
      </c>
      <c r="D383" t="s">
        <v>642</v>
      </c>
      <c r="E383" t="s">
        <v>368</v>
      </c>
      <c r="F383">
        <v>5426</v>
      </c>
      <c r="G383" t="s">
        <v>10</v>
      </c>
      <c r="H383">
        <v>141</v>
      </c>
      <c r="I383">
        <v>0</v>
      </c>
      <c r="J383">
        <v>0</v>
      </c>
      <c r="K383">
        <v>66</v>
      </c>
      <c r="L383">
        <v>363</v>
      </c>
      <c r="M383">
        <v>425</v>
      </c>
      <c r="N383">
        <v>12</v>
      </c>
      <c r="O383">
        <v>0</v>
      </c>
      <c r="P383">
        <v>34</v>
      </c>
      <c r="Q383">
        <v>36</v>
      </c>
      <c r="R383">
        <v>85</v>
      </c>
      <c r="S383" s="6">
        <v>1.25</v>
      </c>
      <c r="T383" s="6">
        <v>1.5</v>
      </c>
      <c r="U383" s="6">
        <v>1.1499999999999999</v>
      </c>
      <c r="V383">
        <v>3</v>
      </c>
      <c r="W383">
        <v>3</v>
      </c>
      <c r="X383">
        <v>2</v>
      </c>
      <c r="Y383" t="s">
        <v>755</v>
      </c>
      <c r="Z383" t="s">
        <v>106</v>
      </c>
      <c r="AA383" t="s">
        <v>107</v>
      </c>
      <c r="AB383" s="24" t="s">
        <v>1157</v>
      </c>
      <c r="AC383" s="24" t="s">
        <v>1158</v>
      </c>
      <c r="AD383" s="24" t="s">
        <v>756</v>
      </c>
      <c r="AE383" s="24" t="s">
        <v>756</v>
      </c>
    </row>
    <row r="384" spans="1:31" x14ac:dyDescent="0.3">
      <c r="A384">
        <v>230</v>
      </c>
      <c r="B384" t="s">
        <v>604</v>
      </c>
      <c r="C384" t="s">
        <v>648</v>
      </c>
      <c r="D384" t="s">
        <v>642</v>
      </c>
      <c r="E384" t="s">
        <v>368</v>
      </c>
      <c r="F384">
        <v>7310</v>
      </c>
      <c r="G384" t="s">
        <v>12</v>
      </c>
      <c r="H384">
        <v>120</v>
      </c>
      <c r="I384">
        <v>0</v>
      </c>
      <c r="J384">
        <v>0</v>
      </c>
      <c r="K384">
        <v>54</v>
      </c>
      <c r="L384">
        <v>319</v>
      </c>
      <c r="M384">
        <v>399</v>
      </c>
      <c r="N384">
        <v>13</v>
      </c>
      <c r="O384">
        <v>0</v>
      </c>
      <c r="P384">
        <v>33</v>
      </c>
      <c r="Q384">
        <v>36</v>
      </c>
      <c r="R384">
        <v>82</v>
      </c>
      <c r="S384" s="6">
        <v>1.2</v>
      </c>
      <c r="T384" s="6">
        <v>1.3</v>
      </c>
      <c r="U384" s="6">
        <v>1.4</v>
      </c>
      <c r="V384">
        <v>2</v>
      </c>
      <c r="W384">
        <v>3</v>
      </c>
      <c r="X384">
        <v>3</v>
      </c>
      <c r="Y384" t="s">
        <v>755</v>
      </c>
      <c r="Z384" t="s">
        <v>106</v>
      </c>
      <c r="AA384" t="s">
        <v>107</v>
      </c>
      <c r="AB384" t="s">
        <v>1380</v>
      </c>
      <c r="AC384" t="s">
        <v>1381</v>
      </c>
      <c r="AD384" s="24" t="s">
        <v>756</v>
      </c>
      <c r="AE384" s="24" t="s">
        <v>756</v>
      </c>
    </row>
    <row r="385" spans="1:33" x14ac:dyDescent="0.3">
      <c r="A385" t="s">
        <v>334</v>
      </c>
      <c r="B385" t="s">
        <v>620</v>
      </c>
      <c r="C385" t="s">
        <v>654</v>
      </c>
      <c r="D385" t="s">
        <v>639</v>
      </c>
      <c r="E385" t="s">
        <v>368</v>
      </c>
      <c r="F385">
        <v>5523</v>
      </c>
      <c r="G385" t="s">
        <v>10</v>
      </c>
      <c r="H385">
        <v>112</v>
      </c>
      <c r="I385">
        <v>0</v>
      </c>
      <c r="J385">
        <v>0</v>
      </c>
      <c r="K385">
        <v>48</v>
      </c>
      <c r="L385">
        <v>288</v>
      </c>
      <c r="M385">
        <v>377</v>
      </c>
      <c r="N385">
        <v>12</v>
      </c>
      <c r="O385">
        <v>0</v>
      </c>
      <c r="P385">
        <v>28</v>
      </c>
      <c r="Q385">
        <v>93</v>
      </c>
      <c r="R385">
        <v>86</v>
      </c>
      <c r="S385" s="6">
        <v>1.2</v>
      </c>
      <c r="T385" s="6">
        <v>1.25</v>
      </c>
      <c r="U385" s="6">
        <v>1.25</v>
      </c>
      <c r="V385">
        <v>3</v>
      </c>
      <c r="W385">
        <v>2</v>
      </c>
      <c r="X385">
        <v>2</v>
      </c>
      <c r="Y385" t="s">
        <v>755</v>
      </c>
      <c r="Z385" t="s">
        <v>106</v>
      </c>
      <c r="AA385" t="s">
        <v>106</v>
      </c>
      <c r="AB385" s="24" t="s">
        <v>756</v>
      </c>
      <c r="AC385" s="24" t="s">
        <v>756</v>
      </c>
      <c r="AD385" s="24" t="s">
        <v>756</v>
      </c>
      <c r="AE385" s="24" t="s">
        <v>756</v>
      </c>
    </row>
    <row r="386" spans="1:33" x14ac:dyDescent="0.3">
      <c r="A386">
        <v>146</v>
      </c>
      <c r="B386" t="s">
        <v>598</v>
      </c>
      <c r="C386" t="s">
        <v>647</v>
      </c>
      <c r="D386" t="s">
        <v>642</v>
      </c>
      <c r="E386" t="s">
        <v>368</v>
      </c>
      <c r="F386">
        <v>6262</v>
      </c>
      <c r="G386" t="s">
        <v>12</v>
      </c>
      <c r="H386">
        <v>104</v>
      </c>
      <c r="I386">
        <v>0</v>
      </c>
      <c r="J386">
        <v>0</v>
      </c>
      <c r="K386">
        <v>53</v>
      </c>
      <c r="L386">
        <v>289</v>
      </c>
      <c r="M386">
        <v>410</v>
      </c>
      <c r="N386">
        <v>13</v>
      </c>
      <c r="O386">
        <v>0</v>
      </c>
      <c r="P386">
        <v>30</v>
      </c>
      <c r="Q386">
        <v>82</v>
      </c>
      <c r="R386">
        <v>90</v>
      </c>
      <c r="S386" s="6">
        <v>1.2</v>
      </c>
      <c r="T386" s="6">
        <v>1.3</v>
      </c>
      <c r="U386" s="6">
        <v>1.3</v>
      </c>
      <c r="V386">
        <v>2</v>
      </c>
      <c r="W386">
        <v>3</v>
      </c>
      <c r="X386">
        <v>3</v>
      </c>
      <c r="Y386" t="s">
        <v>755</v>
      </c>
      <c r="Z386" t="s">
        <v>106</v>
      </c>
      <c r="AA386" t="s">
        <v>107</v>
      </c>
      <c r="AB386" s="24" t="s">
        <v>756</v>
      </c>
      <c r="AC386" s="24" t="s">
        <v>756</v>
      </c>
      <c r="AD386" s="24" t="s">
        <v>756</v>
      </c>
      <c r="AE386" s="24" t="s">
        <v>756</v>
      </c>
    </row>
    <row r="387" spans="1:33" x14ac:dyDescent="0.3">
      <c r="A387">
        <v>79</v>
      </c>
      <c r="B387" t="s">
        <v>595</v>
      </c>
      <c r="C387" t="s">
        <v>646</v>
      </c>
      <c r="D387" t="s">
        <v>640</v>
      </c>
      <c r="E387" t="s">
        <v>368</v>
      </c>
      <c r="F387">
        <v>4219</v>
      </c>
      <c r="G387" t="s">
        <v>10</v>
      </c>
      <c r="H387">
        <v>102</v>
      </c>
      <c r="I387">
        <v>0</v>
      </c>
      <c r="J387">
        <v>0</v>
      </c>
      <c r="K387">
        <v>31</v>
      </c>
      <c r="L387">
        <v>238</v>
      </c>
      <c r="M387">
        <v>292</v>
      </c>
      <c r="N387">
        <v>11</v>
      </c>
      <c r="O387">
        <v>0</v>
      </c>
      <c r="P387">
        <v>29</v>
      </c>
      <c r="Q387">
        <v>20</v>
      </c>
      <c r="R387">
        <v>88</v>
      </c>
      <c r="S387" s="6">
        <v>1.25</v>
      </c>
      <c r="T387" s="6">
        <v>1.25</v>
      </c>
      <c r="U387" s="6">
        <v>1.25</v>
      </c>
      <c r="V387">
        <v>3</v>
      </c>
      <c r="W387">
        <v>3</v>
      </c>
      <c r="X387">
        <v>2</v>
      </c>
      <c r="Y387" t="s">
        <v>755</v>
      </c>
      <c r="Z387" t="s">
        <v>106</v>
      </c>
      <c r="AA387" t="s">
        <v>107</v>
      </c>
      <c r="AB387" s="88" t="s">
        <v>1148</v>
      </c>
      <c r="AC387" s="24" t="s">
        <v>756</v>
      </c>
      <c r="AD387" s="24" t="s">
        <v>756</v>
      </c>
      <c r="AE387" s="24" t="s">
        <v>756</v>
      </c>
    </row>
    <row r="388" spans="1:33" x14ac:dyDescent="0.3">
      <c r="A388">
        <v>76</v>
      </c>
      <c r="B388" t="s">
        <v>592</v>
      </c>
      <c r="C388" t="s">
        <v>646</v>
      </c>
      <c r="D388" t="s">
        <v>639</v>
      </c>
      <c r="E388" t="s">
        <v>368</v>
      </c>
      <c r="F388">
        <v>5797</v>
      </c>
      <c r="G388" t="s">
        <v>10</v>
      </c>
      <c r="H388">
        <v>121</v>
      </c>
      <c r="I388">
        <v>0</v>
      </c>
      <c r="J388">
        <v>0</v>
      </c>
      <c r="K388">
        <v>54</v>
      </c>
      <c r="L388">
        <v>317</v>
      </c>
      <c r="M388">
        <v>395</v>
      </c>
      <c r="N388">
        <v>12</v>
      </c>
      <c r="O388">
        <v>0</v>
      </c>
      <c r="P388">
        <v>32</v>
      </c>
      <c r="Q388">
        <v>39</v>
      </c>
      <c r="R388">
        <v>96</v>
      </c>
      <c r="S388" s="6">
        <v>1.25</v>
      </c>
      <c r="T388" s="6">
        <v>1.25</v>
      </c>
      <c r="U388" s="6">
        <v>1.25</v>
      </c>
      <c r="V388">
        <v>3</v>
      </c>
      <c r="W388">
        <v>3</v>
      </c>
      <c r="X388">
        <v>2</v>
      </c>
      <c r="Y388" t="s">
        <v>755</v>
      </c>
      <c r="Z388" t="s">
        <v>106</v>
      </c>
      <c r="AA388" t="s">
        <v>107</v>
      </c>
      <c r="AB388" t="s">
        <v>1146</v>
      </c>
      <c r="AC388" t="s">
        <v>1147</v>
      </c>
      <c r="AD388" s="24" t="s">
        <v>756</v>
      </c>
      <c r="AE388" s="24" t="s">
        <v>756</v>
      </c>
    </row>
    <row r="389" spans="1:33" x14ac:dyDescent="0.3">
      <c r="A389">
        <v>229</v>
      </c>
      <c r="B389" t="s">
        <v>603</v>
      </c>
      <c r="C389" t="s">
        <v>648</v>
      </c>
      <c r="D389" t="s">
        <v>642</v>
      </c>
      <c r="E389" t="s">
        <v>368</v>
      </c>
      <c r="F389">
        <v>7193</v>
      </c>
      <c r="G389" t="s">
        <v>10</v>
      </c>
      <c r="H389">
        <v>120</v>
      </c>
      <c r="I389">
        <v>0</v>
      </c>
      <c r="J389">
        <v>0</v>
      </c>
      <c r="K389">
        <v>57</v>
      </c>
      <c r="L389">
        <v>323</v>
      </c>
      <c r="M389">
        <v>414</v>
      </c>
      <c r="N389">
        <v>13</v>
      </c>
      <c r="O389">
        <v>0</v>
      </c>
      <c r="P389">
        <v>34</v>
      </c>
      <c r="Q389">
        <v>73</v>
      </c>
      <c r="R389">
        <v>87</v>
      </c>
      <c r="S389" s="6">
        <v>1.3</v>
      </c>
      <c r="T389" s="6">
        <v>1.25</v>
      </c>
      <c r="U389" s="6">
        <v>1.25</v>
      </c>
      <c r="V389">
        <v>2</v>
      </c>
      <c r="W389">
        <v>3</v>
      </c>
      <c r="X389">
        <v>3</v>
      </c>
      <c r="Y389" t="s">
        <v>755</v>
      </c>
      <c r="Z389" t="s">
        <v>106</v>
      </c>
      <c r="AA389" t="s">
        <v>107</v>
      </c>
      <c r="AB389" s="24" t="s">
        <v>756</v>
      </c>
      <c r="AC389" s="24" t="s">
        <v>756</v>
      </c>
      <c r="AD389" s="24" t="s">
        <v>756</v>
      </c>
      <c r="AE389" s="24" t="s">
        <v>756</v>
      </c>
    </row>
    <row r="390" spans="1:33" x14ac:dyDescent="0.3">
      <c r="Q390"/>
      <c r="R390"/>
    </row>
    <row r="391" spans="1:33" x14ac:dyDescent="0.3">
      <c r="A391" t="s">
        <v>351</v>
      </c>
      <c r="B391" t="s">
        <v>149</v>
      </c>
      <c r="C391" t="s">
        <v>192</v>
      </c>
      <c r="D391" t="s">
        <v>352</v>
      </c>
      <c r="E391" t="s">
        <v>150</v>
      </c>
      <c r="F391" t="s">
        <v>7</v>
      </c>
      <c r="G391" t="s">
        <v>353</v>
      </c>
      <c r="H391" t="s">
        <v>14</v>
      </c>
      <c r="I391" t="s">
        <v>9</v>
      </c>
      <c r="J391" t="s">
        <v>11</v>
      </c>
      <c r="K391" t="s">
        <v>294</v>
      </c>
      <c r="L391" t="s">
        <v>265</v>
      </c>
      <c r="M391" t="s">
        <v>293</v>
      </c>
      <c r="N391" t="s">
        <v>667</v>
      </c>
      <c r="O391" t="s">
        <v>666</v>
      </c>
      <c r="P391" t="s">
        <v>295</v>
      </c>
      <c r="Q391" t="s">
        <v>761</v>
      </c>
      <c r="R391" t="s">
        <v>762</v>
      </c>
      <c r="S391" s="6" t="s">
        <v>53</v>
      </c>
      <c r="T391" s="6" t="s">
        <v>668</v>
      </c>
      <c r="U391" s="6" t="s">
        <v>733</v>
      </c>
      <c r="V391" t="s">
        <v>749</v>
      </c>
      <c r="W391" t="s">
        <v>750</v>
      </c>
      <c r="X391" t="s">
        <v>751</v>
      </c>
      <c r="Y391" t="s">
        <v>752</v>
      </c>
      <c r="Z391" t="s">
        <v>753</v>
      </c>
      <c r="AA391" t="s">
        <v>754</v>
      </c>
      <c r="AB391" s="26" t="s">
        <v>936</v>
      </c>
      <c r="AC391" s="26" t="s">
        <v>937</v>
      </c>
      <c r="AD391" s="26" t="s">
        <v>1016</v>
      </c>
      <c r="AE391" s="26" t="s">
        <v>1017</v>
      </c>
      <c r="AF391" s="26" t="s">
        <v>1053</v>
      </c>
      <c r="AG391" s="26" t="s">
        <v>1054</v>
      </c>
    </row>
    <row r="392" spans="1:33" x14ac:dyDescent="0.3">
      <c r="A392" s="24"/>
      <c r="B392" s="24" t="s">
        <v>1426</v>
      </c>
      <c r="C392" s="24" t="s">
        <v>646</v>
      </c>
      <c r="D392" s="24" t="s">
        <v>639</v>
      </c>
      <c r="E392" s="24" t="s">
        <v>364</v>
      </c>
      <c r="F392" s="24">
        <v>5008</v>
      </c>
      <c r="G392" s="24" t="s">
        <v>8</v>
      </c>
      <c r="H392" s="24">
        <v>199</v>
      </c>
      <c r="I392" s="24">
        <v>0</v>
      </c>
      <c r="J392" s="24">
        <v>0</v>
      </c>
      <c r="K392" s="24">
        <v>83</v>
      </c>
      <c r="L392" s="24">
        <v>276</v>
      </c>
      <c r="M392" s="24">
        <v>347</v>
      </c>
      <c r="N392" s="24">
        <v>11</v>
      </c>
      <c r="O392" s="24">
        <v>72</v>
      </c>
      <c r="P392" s="24">
        <v>31</v>
      </c>
      <c r="Q392" s="24">
        <v>65</v>
      </c>
      <c r="R392" s="24">
        <v>89</v>
      </c>
      <c r="S392" s="25">
        <v>1.25</v>
      </c>
      <c r="T392" s="25">
        <v>1.55</v>
      </c>
      <c r="U392" s="25">
        <v>0</v>
      </c>
      <c r="V392" s="24">
        <v>3</v>
      </c>
      <c r="W392" s="24">
        <v>3</v>
      </c>
      <c r="X392" s="24">
        <v>0</v>
      </c>
      <c r="Y392" s="24" t="s">
        <v>755</v>
      </c>
      <c r="Z392" s="24" t="s">
        <v>107</v>
      </c>
      <c r="AA392" s="24" t="s">
        <v>265</v>
      </c>
      <c r="AB392" s="25">
        <v>0.8</v>
      </c>
      <c r="AC392" s="25">
        <v>0</v>
      </c>
      <c r="AD392" s="24" t="s">
        <v>1433</v>
      </c>
      <c r="AE392" s="24" t="s">
        <v>756</v>
      </c>
      <c r="AF392" s="24" t="s">
        <v>756</v>
      </c>
      <c r="AG392" s="24" t="s">
        <v>756</v>
      </c>
    </row>
    <row r="393" spans="1:33" x14ac:dyDescent="0.3">
      <c r="A393">
        <v>71</v>
      </c>
      <c r="B393" t="s">
        <v>365</v>
      </c>
      <c r="C393" t="s">
        <v>646</v>
      </c>
      <c r="D393" t="s">
        <v>641</v>
      </c>
      <c r="E393" t="s">
        <v>364</v>
      </c>
      <c r="F393">
        <v>3953</v>
      </c>
      <c r="G393" t="s">
        <v>10</v>
      </c>
      <c r="H393">
        <v>179</v>
      </c>
      <c r="I393">
        <v>0</v>
      </c>
      <c r="J393">
        <v>0</v>
      </c>
      <c r="K393">
        <v>67</v>
      </c>
      <c r="L393">
        <v>252</v>
      </c>
      <c r="M393">
        <v>279</v>
      </c>
      <c r="N393">
        <v>9</v>
      </c>
      <c r="O393">
        <v>148</v>
      </c>
      <c r="P393">
        <v>18</v>
      </c>
      <c r="Q393">
        <v>78</v>
      </c>
      <c r="R393">
        <v>86</v>
      </c>
      <c r="S393" s="6">
        <v>1.3</v>
      </c>
      <c r="T393" s="6">
        <v>1.3</v>
      </c>
      <c r="U393" s="6">
        <v>0.8</v>
      </c>
      <c r="V393">
        <v>3</v>
      </c>
      <c r="W393">
        <v>3</v>
      </c>
      <c r="X393">
        <v>0</v>
      </c>
      <c r="Y393" t="s">
        <v>755</v>
      </c>
      <c r="Z393" t="s">
        <v>106</v>
      </c>
      <c r="AA393" t="s">
        <v>265</v>
      </c>
      <c r="AB393" s="25">
        <v>0.8</v>
      </c>
      <c r="AC393" s="25">
        <v>0</v>
      </c>
      <c r="AD393" s="24" t="s">
        <v>756</v>
      </c>
      <c r="AE393" s="24" t="s">
        <v>756</v>
      </c>
      <c r="AF393" s="24" t="s">
        <v>756</v>
      </c>
      <c r="AG393" s="24" t="s">
        <v>756</v>
      </c>
    </row>
    <row r="394" spans="1:33" x14ac:dyDescent="0.3">
      <c r="A394">
        <v>3071</v>
      </c>
      <c r="B394" t="s">
        <v>677</v>
      </c>
      <c r="C394" t="s">
        <v>646</v>
      </c>
      <c r="D394" t="s">
        <v>640</v>
      </c>
      <c r="E394" t="s">
        <v>364</v>
      </c>
      <c r="F394">
        <v>4163</v>
      </c>
      <c r="G394" t="s">
        <v>10</v>
      </c>
      <c r="H394">
        <v>184</v>
      </c>
      <c r="I394">
        <v>0</v>
      </c>
      <c r="J394">
        <v>0</v>
      </c>
      <c r="K394">
        <v>67</v>
      </c>
      <c r="L394">
        <v>287</v>
      </c>
      <c r="M394">
        <v>339</v>
      </c>
      <c r="N394">
        <v>9</v>
      </c>
      <c r="O394">
        <v>148</v>
      </c>
      <c r="P394">
        <v>18</v>
      </c>
      <c r="Q394">
        <v>78</v>
      </c>
      <c r="R394">
        <v>86</v>
      </c>
      <c r="S394" s="6">
        <v>1.3</v>
      </c>
      <c r="T394" s="6">
        <v>1.45</v>
      </c>
      <c r="U394" s="6">
        <v>0.85</v>
      </c>
      <c r="V394">
        <v>3</v>
      </c>
      <c r="W394">
        <v>3</v>
      </c>
      <c r="X394">
        <v>0</v>
      </c>
      <c r="Y394" t="s">
        <v>755</v>
      </c>
      <c r="Z394" t="s">
        <v>106</v>
      </c>
      <c r="AA394" t="s">
        <v>265</v>
      </c>
      <c r="AB394" s="25">
        <v>0.85</v>
      </c>
      <c r="AC394" s="25">
        <v>0</v>
      </c>
      <c r="AD394" s="24" t="s">
        <v>756</v>
      </c>
      <c r="AE394" s="24" t="s">
        <v>756</v>
      </c>
      <c r="AF394" s="24" t="s">
        <v>756</v>
      </c>
      <c r="AG394" s="24" t="s">
        <v>756</v>
      </c>
    </row>
    <row r="395" spans="1:33" x14ac:dyDescent="0.3">
      <c r="A395">
        <v>356</v>
      </c>
      <c r="B395" t="s">
        <v>612</v>
      </c>
      <c r="C395" t="s">
        <v>647</v>
      </c>
      <c r="D395" t="s">
        <v>642</v>
      </c>
      <c r="E395" t="s">
        <v>364</v>
      </c>
      <c r="F395">
        <v>6626</v>
      </c>
      <c r="G395" t="s">
        <v>10</v>
      </c>
      <c r="H395">
        <v>160</v>
      </c>
      <c r="I395">
        <v>0</v>
      </c>
      <c r="J395">
        <v>0</v>
      </c>
      <c r="K395">
        <v>70</v>
      </c>
      <c r="L395">
        <v>268</v>
      </c>
      <c r="M395">
        <v>421</v>
      </c>
      <c r="N395">
        <v>13</v>
      </c>
      <c r="O395">
        <v>126</v>
      </c>
      <c r="P395">
        <v>28</v>
      </c>
      <c r="Q395">
        <v>73</v>
      </c>
      <c r="R395">
        <v>96</v>
      </c>
      <c r="S395" s="6">
        <v>1.25</v>
      </c>
      <c r="T395" s="6">
        <v>1.2</v>
      </c>
      <c r="U395" s="6">
        <v>1.4</v>
      </c>
      <c r="V395">
        <v>2</v>
      </c>
      <c r="W395">
        <v>2</v>
      </c>
      <c r="X395">
        <v>4</v>
      </c>
      <c r="Y395" t="s">
        <v>755</v>
      </c>
      <c r="Z395" t="s">
        <v>755</v>
      </c>
      <c r="AA395" t="s">
        <v>107</v>
      </c>
      <c r="AB395" s="25">
        <v>0</v>
      </c>
      <c r="AC395" s="25">
        <v>0</v>
      </c>
      <c r="AD395" t="s">
        <v>1169</v>
      </c>
      <c r="AE395" s="24"/>
      <c r="AF395" s="24" t="s">
        <v>756</v>
      </c>
      <c r="AG395" s="24" t="s">
        <v>756</v>
      </c>
    </row>
    <row r="396" spans="1:33" x14ac:dyDescent="0.3">
      <c r="A396">
        <v>376</v>
      </c>
      <c r="B396" t="s">
        <v>613</v>
      </c>
      <c r="C396" t="s">
        <v>647</v>
      </c>
      <c r="D396" t="s">
        <v>639</v>
      </c>
      <c r="E396" t="s">
        <v>364</v>
      </c>
      <c r="F396">
        <v>4707</v>
      </c>
      <c r="G396" t="s">
        <v>10</v>
      </c>
      <c r="H396">
        <v>185</v>
      </c>
      <c r="I396">
        <v>0</v>
      </c>
      <c r="J396">
        <v>0</v>
      </c>
      <c r="K396">
        <v>62</v>
      </c>
      <c r="L396">
        <v>257</v>
      </c>
      <c r="M396">
        <v>299</v>
      </c>
      <c r="N396">
        <v>11</v>
      </c>
      <c r="O396">
        <v>144</v>
      </c>
      <c r="P396">
        <v>18</v>
      </c>
      <c r="Q396">
        <v>82</v>
      </c>
      <c r="R396">
        <v>86</v>
      </c>
      <c r="S396" s="6">
        <v>1.3</v>
      </c>
      <c r="T396" s="6">
        <v>1.45</v>
      </c>
      <c r="U396" s="6">
        <v>0.8</v>
      </c>
      <c r="V396">
        <v>3</v>
      </c>
      <c r="W396">
        <v>3</v>
      </c>
      <c r="X396">
        <v>0</v>
      </c>
      <c r="Y396" t="s">
        <v>755</v>
      </c>
      <c r="Z396" t="s">
        <v>107</v>
      </c>
      <c r="AA396" t="s">
        <v>265</v>
      </c>
      <c r="AB396" s="25">
        <v>0.8</v>
      </c>
      <c r="AC396" s="25">
        <v>0</v>
      </c>
      <c r="AD396" t="s">
        <v>1174</v>
      </c>
      <c r="AE396" s="24" t="s">
        <v>756</v>
      </c>
      <c r="AF396" s="24" t="s">
        <v>756</v>
      </c>
      <c r="AG396" s="24" t="s">
        <v>756</v>
      </c>
    </row>
    <row r="397" spans="1:33" x14ac:dyDescent="0.3">
      <c r="A397">
        <v>140</v>
      </c>
      <c r="B397" t="s">
        <v>607</v>
      </c>
      <c r="C397" t="s">
        <v>647</v>
      </c>
      <c r="D397" t="s">
        <v>641</v>
      </c>
      <c r="E397" t="s">
        <v>364</v>
      </c>
      <c r="F397">
        <v>4157</v>
      </c>
      <c r="G397" t="s">
        <v>10</v>
      </c>
      <c r="H397">
        <v>173</v>
      </c>
      <c r="I397">
        <v>0</v>
      </c>
      <c r="J397">
        <v>0</v>
      </c>
      <c r="K397">
        <v>66</v>
      </c>
      <c r="L397">
        <v>247</v>
      </c>
      <c r="M397">
        <v>280</v>
      </c>
      <c r="N397">
        <v>9</v>
      </c>
      <c r="O397">
        <v>104</v>
      </c>
      <c r="P397">
        <v>25</v>
      </c>
      <c r="Q397">
        <v>41</v>
      </c>
      <c r="R397">
        <v>81</v>
      </c>
      <c r="S397" s="6">
        <v>1.3</v>
      </c>
      <c r="T397" s="6">
        <v>1.3</v>
      </c>
      <c r="U397" s="6">
        <v>0.8</v>
      </c>
      <c r="V397">
        <v>3</v>
      </c>
      <c r="W397">
        <v>3</v>
      </c>
      <c r="X397">
        <v>0</v>
      </c>
      <c r="Y397" t="s">
        <v>107</v>
      </c>
      <c r="Z397" t="s">
        <v>107</v>
      </c>
      <c r="AA397" t="s">
        <v>265</v>
      </c>
      <c r="AB397" s="25">
        <v>0.8</v>
      </c>
      <c r="AC397" s="25">
        <v>0</v>
      </c>
      <c r="AD397" t="s">
        <v>1387</v>
      </c>
      <c r="AE397" t="s">
        <v>1386</v>
      </c>
      <c r="AF397" t="s">
        <v>1385</v>
      </c>
      <c r="AG397" s="24" t="s">
        <v>756</v>
      </c>
    </row>
    <row r="398" spans="1:33" x14ac:dyDescent="0.3">
      <c r="A398" s="24">
        <v>3140</v>
      </c>
      <c r="B398" s="24" t="s">
        <v>995</v>
      </c>
      <c r="C398" s="24" t="s">
        <v>647</v>
      </c>
      <c r="D398" s="24" t="s">
        <v>640</v>
      </c>
      <c r="E398" s="24" t="s">
        <v>364</v>
      </c>
      <c r="F398" s="24">
        <v>4367</v>
      </c>
      <c r="G398" s="24" t="s">
        <v>10</v>
      </c>
      <c r="H398" s="24">
        <v>193</v>
      </c>
      <c r="I398" s="24">
        <v>0</v>
      </c>
      <c r="J398" s="24">
        <v>0</v>
      </c>
      <c r="K398" s="24">
        <v>66</v>
      </c>
      <c r="L398" s="24">
        <v>297</v>
      </c>
      <c r="M398" s="24">
        <v>300</v>
      </c>
      <c r="N398" s="24">
        <v>9</v>
      </c>
      <c r="O398" s="24">
        <v>104</v>
      </c>
      <c r="P398" s="24">
        <v>25</v>
      </c>
      <c r="Q398" s="24">
        <v>41</v>
      </c>
      <c r="R398" s="24">
        <v>81</v>
      </c>
      <c r="S398" s="25">
        <v>1.4</v>
      </c>
      <c r="T398" s="25">
        <v>1.4</v>
      </c>
      <c r="U398" s="25">
        <v>0.85</v>
      </c>
      <c r="V398">
        <v>3</v>
      </c>
      <c r="W398">
        <v>3</v>
      </c>
      <c r="X398">
        <v>0</v>
      </c>
      <c r="Y398" t="s">
        <v>107</v>
      </c>
      <c r="Z398" t="s">
        <v>107</v>
      </c>
      <c r="AA398" t="s">
        <v>265</v>
      </c>
      <c r="AB398" s="25">
        <v>0.8</v>
      </c>
      <c r="AC398" s="25">
        <v>0</v>
      </c>
      <c r="AD398" s="24" t="s">
        <v>756</v>
      </c>
      <c r="AE398" s="24" t="s">
        <v>756</v>
      </c>
      <c r="AF398" s="24" t="s">
        <v>756</v>
      </c>
      <c r="AG398" s="24" t="s">
        <v>756</v>
      </c>
    </row>
    <row r="399" spans="1:33" x14ac:dyDescent="0.3">
      <c r="A399">
        <v>218</v>
      </c>
      <c r="B399" t="s">
        <v>608</v>
      </c>
      <c r="C399" t="s">
        <v>648</v>
      </c>
      <c r="D399" t="s">
        <v>640</v>
      </c>
      <c r="E399" t="s">
        <v>364</v>
      </c>
      <c r="F399">
        <v>5204</v>
      </c>
      <c r="G399" t="s">
        <v>10</v>
      </c>
      <c r="H399">
        <v>157</v>
      </c>
      <c r="I399">
        <v>0</v>
      </c>
      <c r="J399">
        <v>0</v>
      </c>
      <c r="K399">
        <v>68</v>
      </c>
      <c r="L399">
        <v>247</v>
      </c>
      <c r="M399">
        <v>279</v>
      </c>
      <c r="N399">
        <v>11</v>
      </c>
      <c r="O399">
        <v>80</v>
      </c>
      <c r="P399">
        <v>25</v>
      </c>
      <c r="Q399">
        <v>43</v>
      </c>
      <c r="R399">
        <v>78</v>
      </c>
      <c r="S399" s="6">
        <v>1</v>
      </c>
      <c r="T399" s="6">
        <v>1.1000000000000001</v>
      </c>
      <c r="U399" s="6">
        <v>1.2</v>
      </c>
      <c r="V399">
        <v>2</v>
      </c>
      <c r="W399">
        <v>3</v>
      </c>
      <c r="X399">
        <v>2</v>
      </c>
      <c r="Y399" t="s">
        <v>755</v>
      </c>
      <c r="Z399" t="s">
        <v>106</v>
      </c>
      <c r="AA399" t="s">
        <v>107</v>
      </c>
      <c r="AB399" s="25">
        <v>0</v>
      </c>
      <c r="AC399" s="25">
        <v>0</v>
      </c>
      <c r="AD399" t="s">
        <v>1170</v>
      </c>
      <c r="AE399" s="24"/>
      <c r="AF399" s="24" t="s">
        <v>756</v>
      </c>
      <c r="AG399" s="24" t="s">
        <v>756</v>
      </c>
    </row>
    <row r="400" spans="1:33" x14ac:dyDescent="0.3">
      <c r="A400">
        <v>220</v>
      </c>
      <c r="B400" t="s">
        <v>610</v>
      </c>
      <c r="C400" t="s">
        <v>648</v>
      </c>
      <c r="D400" t="s">
        <v>639</v>
      </c>
      <c r="E400" t="s">
        <v>364</v>
      </c>
      <c r="F400">
        <v>3621</v>
      </c>
      <c r="G400" t="s">
        <v>10</v>
      </c>
      <c r="H400">
        <v>176</v>
      </c>
      <c r="I400">
        <v>0</v>
      </c>
      <c r="J400">
        <v>0</v>
      </c>
      <c r="K400">
        <v>66</v>
      </c>
      <c r="L400">
        <v>257</v>
      </c>
      <c r="M400">
        <v>286</v>
      </c>
      <c r="N400">
        <v>11</v>
      </c>
      <c r="O400">
        <v>92</v>
      </c>
      <c r="P400">
        <v>25</v>
      </c>
      <c r="Q400">
        <v>79</v>
      </c>
      <c r="R400">
        <v>81</v>
      </c>
      <c r="S400" s="6">
        <v>1</v>
      </c>
      <c r="T400" s="6">
        <v>1.3</v>
      </c>
      <c r="U400" s="6">
        <v>1.3</v>
      </c>
      <c r="V400">
        <v>0</v>
      </c>
      <c r="W400">
        <v>3</v>
      </c>
      <c r="X400">
        <v>3</v>
      </c>
      <c r="Y400" t="s">
        <v>174</v>
      </c>
      <c r="Z400" t="s">
        <v>755</v>
      </c>
      <c r="AA400" t="s">
        <v>107</v>
      </c>
      <c r="AB400" s="25">
        <v>0</v>
      </c>
      <c r="AC400" s="25">
        <v>0</v>
      </c>
      <c r="AD400" s="24" t="s">
        <v>756</v>
      </c>
      <c r="AE400" s="24" t="s">
        <v>756</v>
      </c>
      <c r="AF400" s="24" t="s">
        <v>756</v>
      </c>
      <c r="AG400" s="24" t="s">
        <v>756</v>
      </c>
    </row>
    <row r="401" spans="1:33" x14ac:dyDescent="0.3">
      <c r="A401">
        <v>377</v>
      </c>
      <c r="B401" t="s">
        <v>776</v>
      </c>
      <c r="C401" t="s">
        <v>646</v>
      </c>
      <c r="D401" t="s">
        <v>639</v>
      </c>
      <c r="E401" t="s">
        <v>364</v>
      </c>
      <c r="F401">
        <v>4796</v>
      </c>
      <c r="G401" t="s">
        <v>10</v>
      </c>
      <c r="H401">
        <v>182</v>
      </c>
      <c r="I401">
        <v>0</v>
      </c>
      <c r="J401">
        <v>0</v>
      </c>
      <c r="K401">
        <v>83</v>
      </c>
      <c r="L401">
        <v>268</v>
      </c>
      <c r="M401">
        <v>310</v>
      </c>
      <c r="N401">
        <v>11</v>
      </c>
      <c r="O401">
        <v>109</v>
      </c>
      <c r="P401">
        <v>31</v>
      </c>
      <c r="Q401">
        <v>78</v>
      </c>
      <c r="R401">
        <v>89</v>
      </c>
      <c r="S401" s="6">
        <v>1.3</v>
      </c>
      <c r="T401" s="6">
        <v>1.45</v>
      </c>
      <c r="U401" s="6">
        <v>0.8</v>
      </c>
      <c r="V401">
        <v>3</v>
      </c>
      <c r="W401">
        <v>3</v>
      </c>
      <c r="X401">
        <v>0</v>
      </c>
      <c r="Y401" t="s">
        <v>755</v>
      </c>
      <c r="Z401" t="s">
        <v>107</v>
      </c>
      <c r="AA401" t="s">
        <v>265</v>
      </c>
      <c r="AB401" s="25">
        <v>0.8</v>
      </c>
      <c r="AC401" s="25">
        <v>0</v>
      </c>
      <c r="AD401" t="s">
        <v>1175</v>
      </c>
      <c r="AE401" t="s">
        <v>1176</v>
      </c>
      <c r="AF401" s="24" t="s">
        <v>756</v>
      </c>
      <c r="AG401" s="24" t="s">
        <v>756</v>
      </c>
    </row>
    <row r="402" spans="1:33" x14ac:dyDescent="0.3">
      <c r="A402">
        <v>219</v>
      </c>
      <c r="B402" t="s">
        <v>609</v>
      </c>
      <c r="C402" t="s">
        <v>648</v>
      </c>
      <c r="D402" t="s">
        <v>640</v>
      </c>
      <c r="E402" t="s">
        <v>364</v>
      </c>
      <c r="F402">
        <v>5204</v>
      </c>
      <c r="G402" t="s">
        <v>10</v>
      </c>
      <c r="H402">
        <v>157</v>
      </c>
      <c r="I402">
        <v>0</v>
      </c>
      <c r="J402">
        <v>0</v>
      </c>
      <c r="K402">
        <v>68</v>
      </c>
      <c r="L402">
        <v>247</v>
      </c>
      <c r="M402">
        <v>279</v>
      </c>
      <c r="N402">
        <v>11</v>
      </c>
      <c r="O402">
        <v>79</v>
      </c>
      <c r="P402">
        <v>25</v>
      </c>
      <c r="Q402">
        <v>80</v>
      </c>
      <c r="R402">
        <v>78</v>
      </c>
      <c r="S402" s="6">
        <v>1</v>
      </c>
      <c r="T402" s="6">
        <v>1.1000000000000001</v>
      </c>
      <c r="U402" s="6">
        <v>1.2</v>
      </c>
      <c r="V402">
        <v>2</v>
      </c>
      <c r="W402">
        <v>3</v>
      </c>
      <c r="X402">
        <v>2</v>
      </c>
      <c r="Y402" t="s">
        <v>755</v>
      </c>
      <c r="Z402" t="s">
        <v>106</v>
      </c>
      <c r="AA402" t="s">
        <v>107</v>
      </c>
      <c r="AB402" s="25">
        <v>0</v>
      </c>
      <c r="AC402" s="25">
        <v>0</v>
      </c>
      <c r="AD402" t="s">
        <v>1170</v>
      </c>
      <c r="AE402" s="24"/>
      <c r="AF402" s="24" t="s">
        <v>756</v>
      </c>
      <c r="AG402" s="24" t="s">
        <v>756</v>
      </c>
    </row>
    <row r="403" spans="1:33" x14ac:dyDescent="0.3">
      <c r="A403">
        <v>72</v>
      </c>
      <c r="B403" t="s">
        <v>366</v>
      </c>
      <c r="C403" t="s">
        <v>646</v>
      </c>
      <c r="D403" t="s">
        <v>641</v>
      </c>
      <c r="E403" t="s">
        <v>364</v>
      </c>
      <c r="F403">
        <v>4460</v>
      </c>
      <c r="G403" t="s">
        <v>10</v>
      </c>
      <c r="H403">
        <v>123</v>
      </c>
      <c r="I403">
        <v>0</v>
      </c>
      <c r="J403">
        <v>0</v>
      </c>
      <c r="K403">
        <v>80</v>
      </c>
      <c r="L403">
        <v>245</v>
      </c>
      <c r="M403">
        <v>204</v>
      </c>
      <c r="N403">
        <v>9</v>
      </c>
      <c r="O403">
        <v>95</v>
      </c>
      <c r="P403">
        <v>15</v>
      </c>
      <c r="Q403">
        <v>32</v>
      </c>
      <c r="R403">
        <v>81</v>
      </c>
      <c r="S403" s="6">
        <v>1.3</v>
      </c>
      <c r="T403" s="6">
        <v>1.3</v>
      </c>
      <c r="U403" s="6">
        <v>0.8</v>
      </c>
      <c r="V403">
        <v>3</v>
      </c>
      <c r="W403">
        <v>3</v>
      </c>
      <c r="X403">
        <v>2</v>
      </c>
      <c r="Y403" t="s">
        <v>755</v>
      </c>
      <c r="Z403" t="s">
        <v>755</v>
      </c>
      <c r="AA403" t="s">
        <v>106</v>
      </c>
      <c r="AB403" s="25">
        <v>0</v>
      </c>
      <c r="AC403" s="25">
        <v>0</v>
      </c>
      <c r="AD403" s="24" t="s">
        <v>756</v>
      </c>
      <c r="AE403" s="24" t="s">
        <v>756</v>
      </c>
      <c r="AF403" s="24" t="s">
        <v>756</v>
      </c>
      <c r="AG403" s="24" t="s">
        <v>756</v>
      </c>
    </row>
    <row r="404" spans="1:33" x14ac:dyDescent="0.3">
      <c r="A404">
        <v>3072</v>
      </c>
      <c r="B404" t="s">
        <v>678</v>
      </c>
      <c r="C404" t="s">
        <v>646</v>
      </c>
      <c r="D404" t="s">
        <v>640</v>
      </c>
      <c r="E404" t="s">
        <v>364</v>
      </c>
      <c r="F404">
        <v>4700</v>
      </c>
      <c r="G404" t="s">
        <v>10</v>
      </c>
      <c r="H404">
        <v>128</v>
      </c>
      <c r="I404">
        <v>0</v>
      </c>
      <c r="J404">
        <v>0</v>
      </c>
      <c r="K404">
        <v>80</v>
      </c>
      <c r="L404">
        <v>280</v>
      </c>
      <c r="M404">
        <v>264</v>
      </c>
      <c r="N404">
        <v>9</v>
      </c>
      <c r="O404">
        <v>95</v>
      </c>
      <c r="P404">
        <v>15</v>
      </c>
      <c r="Q404">
        <v>32</v>
      </c>
      <c r="R404">
        <v>81</v>
      </c>
      <c r="S404" s="6">
        <v>1.45</v>
      </c>
      <c r="T404" s="6">
        <v>1.45</v>
      </c>
      <c r="U404" s="6">
        <v>0.85</v>
      </c>
      <c r="V404">
        <v>3</v>
      </c>
      <c r="W404">
        <v>3</v>
      </c>
      <c r="X404">
        <v>2</v>
      </c>
      <c r="Y404" t="s">
        <v>755</v>
      </c>
      <c r="Z404" t="s">
        <v>755</v>
      </c>
      <c r="AA404" t="s">
        <v>106</v>
      </c>
      <c r="AB404" s="25">
        <v>0</v>
      </c>
      <c r="AC404" s="25">
        <v>0</v>
      </c>
      <c r="AD404" s="24" t="s">
        <v>756</v>
      </c>
      <c r="AE404" s="24" t="s">
        <v>756</v>
      </c>
      <c r="AF404" s="24" t="s">
        <v>756</v>
      </c>
      <c r="AG404" s="24" t="s">
        <v>756</v>
      </c>
    </row>
    <row r="405" spans="1:33" x14ac:dyDescent="0.3">
      <c r="A405">
        <v>70</v>
      </c>
      <c r="B405" t="s">
        <v>363</v>
      </c>
      <c r="C405" t="s">
        <v>646</v>
      </c>
      <c r="D405" t="s">
        <v>640</v>
      </c>
      <c r="E405" t="s">
        <v>364</v>
      </c>
      <c r="F405">
        <v>4691</v>
      </c>
      <c r="G405" t="s">
        <v>10</v>
      </c>
      <c r="H405">
        <v>182</v>
      </c>
      <c r="I405">
        <v>0</v>
      </c>
      <c r="J405">
        <v>0</v>
      </c>
      <c r="K405">
        <v>66</v>
      </c>
      <c r="L405">
        <v>257</v>
      </c>
      <c r="M405">
        <v>280</v>
      </c>
      <c r="N405">
        <v>10</v>
      </c>
      <c r="O405">
        <v>100</v>
      </c>
      <c r="P405">
        <v>16</v>
      </c>
      <c r="Q405">
        <v>68</v>
      </c>
      <c r="R405">
        <v>86</v>
      </c>
      <c r="S405" s="6">
        <v>1.3</v>
      </c>
      <c r="T405" s="6">
        <v>1.3</v>
      </c>
      <c r="U405" s="6">
        <v>0.8</v>
      </c>
      <c r="V405">
        <v>3</v>
      </c>
      <c r="W405">
        <v>3</v>
      </c>
      <c r="X405">
        <v>0</v>
      </c>
      <c r="Y405" t="s">
        <v>755</v>
      </c>
      <c r="Z405" t="s">
        <v>106</v>
      </c>
      <c r="AA405" t="s">
        <v>265</v>
      </c>
      <c r="AB405" s="25">
        <v>0.8</v>
      </c>
      <c r="AC405" s="25">
        <v>0</v>
      </c>
      <c r="AD405" s="24" t="s">
        <v>756</v>
      </c>
      <c r="AE405" s="24" t="s">
        <v>756</v>
      </c>
      <c r="AF405" s="24" t="s">
        <v>756</v>
      </c>
      <c r="AG405" s="24" t="s">
        <v>756</v>
      </c>
    </row>
    <row r="406" spans="1:33" x14ac:dyDescent="0.3">
      <c r="A406">
        <v>3070</v>
      </c>
      <c r="B406" t="s">
        <v>676</v>
      </c>
      <c r="C406" t="s">
        <v>646</v>
      </c>
      <c r="D406" t="s">
        <v>639</v>
      </c>
      <c r="E406" t="s">
        <v>364</v>
      </c>
      <c r="F406">
        <v>4901</v>
      </c>
      <c r="G406" t="s">
        <v>10</v>
      </c>
      <c r="H406">
        <v>187</v>
      </c>
      <c r="I406">
        <v>0</v>
      </c>
      <c r="J406">
        <v>0</v>
      </c>
      <c r="K406">
        <v>66</v>
      </c>
      <c r="L406">
        <v>292</v>
      </c>
      <c r="M406">
        <v>340</v>
      </c>
      <c r="N406">
        <v>10</v>
      </c>
      <c r="O406">
        <v>100</v>
      </c>
      <c r="P406">
        <v>16</v>
      </c>
      <c r="Q406">
        <v>68</v>
      </c>
      <c r="R406">
        <v>86</v>
      </c>
      <c r="S406" s="6">
        <v>1.45</v>
      </c>
      <c r="T406" s="6">
        <v>1.3</v>
      </c>
      <c r="U406" s="6">
        <v>0.85</v>
      </c>
      <c r="V406">
        <v>3</v>
      </c>
      <c r="W406">
        <v>3</v>
      </c>
      <c r="X406">
        <v>0</v>
      </c>
      <c r="Y406" t="s">
        <v>755</v>
      </c>
      <c r="Z406" t="s">
        <v>106</v>
      </c>
      <c r="AA406" t="s">
        <v>265</v>
      </c>
      <c r="AB406" s="25">
        <v>0.85</v>
      </c>
      <c r="AC406" s="25">
        <v>0</v>
      </c>
      <c r="AD406" s="24" t="s">
        <v>756</v>
      </c>
      <c r="AE406" s="24" t="s">
        <v>756</v>
      </c>
      <c r="AF406" s="24" t="s">
        <v>756</v>
      </c>
      <c r="AG406" s="24" t="s">
        <v>756</v>
      </c>
    </row>
    <row r="407" spans="1:33" x14ac:dyDescent="0.3">
      <c r="A407">
        <v>75</v>
      </c>
      <c r="B407" t="s">
        <v>369</v>
      </c>
      <c r="C407" t="s">
        <v>646</v>
      </c>
      <c r="D407" t="s">
        <v>641</v>
      </c>
      <c r="E407" t="s">
        <v>364</v>
      </c>
      <c r="F407">
        <v>4779</v>
      </c>
      <c r="G407" t="s">
        <v>10</v>
      </c>
      <c r="H407">
        <v>131</v>
      </c>
      <c r="I407">
        <v>0</v>
      </c>
      <c r="J407">
        <v>0</v>
      </c>
      <c r="K407">
        <v>73</v>
      </c>
      <c r="L407">
        <v>248</v>
      </c>
      <c r="M407">
        <v>240</v>
      </c>
      <c r="N407">
        <v>9</v>
      </c>
      <c r="O407">
        <v>107</v>
      </c>
      <c r="P407">
        <v>29</v>
      </c>
      <c r="Q407">
        <v>71</v>
      </c>
      <c r="R407">
        <v>89</v>
      </c>
      <c r="S407" s="6">
        <v>1</v>
      </c>
      <c r="T407" s="6">
        <v>1.3</v>
      </c>
      <c r="U407" s="6">
        <v>1.3</v>
      </c>
      <c r="V407">
        <v>2</v>
      </c>
      <c r="W407">
        <v>3</v>
      </c>
      <c r="X407">
        <v>3</v>
      </c>
      <c r="Y407" t="s">
        <v>107</v>
      </c>
      <c r="Z407" t="s">
        <v>106</v>
      </c>
      <c r="AA407" t="s">
        <v>106</v>
      </c>
      <c r="AB407" s="25">
        <v>0</v>
      </c>
      <c r="AC407" s="25">
        <v>0</v>
      </c>
      <c r="AD407" s="24" t="s">
        <v>756</v>
      </c>
      <c r="AE407" s="24" t="s">
        <v>756</v>
      </c>
      <c r="AF407" s="24" t="s">
        <v>756</v>
      </c>
      <c r="AG407" s="24" t="s">
        <v>756</v>
      </c>
    </row>
    <row r="408" spans="1:33" x14ac:dyDescent="0.3">
      <c r="A408">
        <v>3075</v>
      </c>
      <c r="B408" t="s">
        <v>680</v>
      </c>
      <c r="C408" t="s">
        <v>646</v>
      </c>
      <c r="D408" t="s">
        <v>640</v>
      </c>
      <c r="E408" t="s">
        <v>364</v>
      </c>
      <c r="F408">
        <v>5019</v>
      </c>
      <c r="G408" t="s">
        <v>10</v>
      </c>
      <c r="H408">
        <v>136</v>
      </c>
      <c r="I408">
        <v>0</v>
      </c>
      <c r="J408">
        <v>0</v>
      </c>
      <c r="K408">
        <v>73</v>
      </c>
      <c r="L408">
        <v>283</v>
      </c>
      <c r="M408">
        <v>300</v>
      </c>
      <c r="N408">
        <v>9</v>
      </c>
      <c r="O408">
        <v>107</v>
      </c>
      <c r="P408">
        <v>29</v>
      </c>
      <c r="Q408">
        <v>71</v>
      </c>
      <c r="R408">
        <v>89</v>
      </c>
      <c r="S408" s="6">
        <v>1.05</v>
      </c>
      <c r="T408" s="6">
        <v>1.45</v>
      </c>
      <c r="U408" s="6">
        <v>1.45</v>
      </c>
      <c r="V408">
        <v>2</v>
      </c>
      <c r="W408">
        <v>3</v>
      </c>
      <c r="X408">
        <v>3</v>
      </c>
      <c r="Y408" t="s">
        <v>107</v>
      </c>
      <c r="Z408" t="s">
        <v>106</v>
      </c>
      <c r="AA408" t="s">
        <v>106</v>
      </c>
      <c r="AB408" s="25">
        <v>0</v>
      </c>
      <c r="AC408" s="25">
        <v>0</v>
      </c>
      <c r="AD408" s="24" t="s">
        <v>756</v>
      </c>
      <c r="AE408" s="24" t="s">
        <v>756</v>
      </c>
      <c r="AF408" s="24" t="s">
        <v>756</v>
      </c>
      <c r="AG408" s="24" t="s">
        <v>756</v>
      </c>
    </row>
    <row r="409" spans="1:33" x14ac:dyDescent="0.3">
      <c r="A409">
        <v>223</v>
      </c>
      <c r="B409" t="s">
        <v>611</v>
      </c>
      <c r="C409" t="s">
        <v>648</v>
      </c>
      <c r="D409" t="s">
        <v>639</v>
      </c>
      <c r="E409" t="s">
        <v>364</v>
      </c>
      <c r="F409">
        <v>4278</v>
      </c>
      <c r="G409" t="s">
        <v>10</v>
      </c>
      <c r="H409">
        <v>179</v>
      </c>
      <c r="I409">
        <v>0</v>
      </c>
      <c r="J409">
        <v>0</v>
      </c>
      <c r="K409">
        <v>82</v>
      </c>
      <c r="L409">
        <v>252</v>
      </c>
      <c r="M409">
        <v>347</v>
      </c>
      <c r="N409">
        <v>11</v>
      </c>
      <c r="O409">
        <v>72</v>
      </c>
      <c r="P409">
        <v>28</v>
      </c>
      <c r="Q409">
        <v>42</v>
      </c>
      <c r="R409">
        <v>89</v>
      </c>
      <c r="S409" s="6">
        <v>1.3</v>
      </c>
      <c r="T409" s="6">
        <v>1.45</v>
      </c>
      <c r="U409" s="6">
        <v>0.8</v>
      </c>
      <c r="V409">
        <v>3</v>
      </c>
      <c r="W409">
        <v>3</v>
      </c>
      <c r="X409">
        <v>0</v>
      </c>
      <c r="Y409" t="s">
        <v>755</v>
      </c>
      <c r="Z409" t="s">
        <v>107</v>
      </c>
      <c r="AA409" t="s">
        <v>265</v>
      </c>
      <c r="AB409" s="25">
        <v>0.8</v>
      </c>
      <c r="AC409" s="25">
        <v>0</v>
      </c>
      <c r="AD409" t="s">
        <v>1172</v>
      </c>
      <c r="AE409" t="s">
        <v>1173</v>
      </c>
      <c r="AF409" s="24" t="s">
        <v>756</v>
      </c>
      <c r="AG409" s="24" t="s">
        <v>756</v>
      </c>
    </row>
    <row r="410" spans="1:33" x14ac:dyDescent="0.3">
      <c r="A410" t="s">
        <v>343</v>
      </c>
      <c r="B410" t="s">
        <v>629</v>
      </c>
      <c r="C410" t="s">
        <v>655</v>
      </c>
      <c r="D410" t="s">
        <v>639</v>
      </c>
      <c r="E410" t="s">
        <v>364</v>
      </c>
      <c r="F410">
        <v>4472</v>
      </c>
      <c r="G410" t="s">
        <v>8</v>
      </c>
      <c r="H410">
        <v>156</v>
      </c>
      <c r="I410">
        <v>0</v>
      </c>
      <c r="J410">
        <v>0</v>
      </c>
      <c r="K410">
        <v>53</v>
      </c>
      <c r="L410">
        <v>255</v>
      </c>
      <c r="M410">
        <v>237</v>
      </c>
      <c r="N410">
        <v>11</v>
      </c>
      <c r="O410">
        <v>72</v>
      </c>
      <c r="P410">
        <v>26</v>
      </c>
      <c r="Q410">
        <v>96</v>
      </c>
      <c r="R410">
        <v>77</v>
      </c>
      <c r="S410" s="6">
        <v>1.3</v>
      </c>
      <c r="T410" s="6">
        <v>1.25</v>
      </c>
      <c r="U410" s="6">
        <v>0.8</v>
      </c>
      <c r="V410">
        <v>3</v>
      </c>
      <c r="W410">
        <v>3</v>
      </c>
      <c r="X410">
        <v>0</v>
      </c>
      <c r="Y410" t="s">
        <v>755</v>
      </c>
      <c r="Z410" t="s">
        <v>107</v>
      </c>
      <c r="AA410" t="s">
        <v>265</v>
      </c>
      <c r="AB410" s="25">
        <v>0.8</v>
      </c>
      <c r="AC410" s="25">
        <v>0</v>
      </c>
      <c r="AD410" t="s">
        <v>1171</v>
      </c>
      <c r="AE410" s="24"/>
      <c r="AF410" s="24" t="s">
        <v>756</v>
      </c>
      <c r="AG410" s="24" t="s">
        <v>756</v>
      </c>
    </row>
    <row r="411" spans="1:33" x14ac:dyDescent="0.3">
      <c r="A411">
        <v>222</v>
      </c>
      <c r="B411" t="s">
        <v>396</v>
      </c>
      <c r="C411" t="s">
        <v>648</v>
      </c>
      <c r="D411" t="s">
        <v>640</v>
      </c>
      <c r="E411" t="s">
        <v>364</v>
      </c>
      <c r="F411">
        <v>4283</v>
      </c>
      <c r="G411" t="s">
        <v>10</v>
      </c>
      <c r="H411">
        <v>178</v>
      </c>
      <c r="I411">
        <v>0</v>
      </c>
      <c r="J411">
        <v>0</v>
      </c>
      <c r="K411">
        <v>70</v>
      </c>
      <c r="L411">
        <v>248</v>
      </c>
      <c r="M411">
        <v>279</v>
      </c>
      <c r="N411">
        <v>10</v>
      </c>
      <c r="O411">
        <v>84</v>
      </c>
      <c r="P411">
        <v>28</v>
      </c>
      <c r="Q411">
        <v>24</v>
      </c>
      <c r="R411">
        <v>78</v>
      </c>
      <c r="S411" s="6">
        <v>1.3</v>
      </c>
      <c r="T411" s="6">
        <v>1.3</v>
      </c>
      <c r="U411" s="6">
        <v>0.8</v>
      </c>
      <c r="V411">
        <v>3</v>
      </c>
      <c r="W411">
        <v>3</v>
      </c>
      <c r="X411">
        <v>0</v>
      </c>
      <c r="Y411" t="s">
        <v>106</v>
      </c>
      <c r="Z411" t="s">
        <v>107</v>
      </c>
      <c r="AA411" t="s">
        <v>265</v>
      </c>
      <c r="AB411" s="25">
        <v>0.8</v>
      </c>
      <c r="AC411" s="25">
        <v>0</v>
      </c>
      <c r="AD411" s="24" t="s">
        <v>756</v>
      </c>
      <c r="AE411" s="24" t="s">
        <v>756</v>
      </c>
      <c r="AF411" s="24" t="s">
        <v>756</v>
      </c>
      <c r="AG411" s="24" t="s">
        <v>756</v>
      </c>
    </row>
    <row r="412" spans="1:33" x14ac:dyDescent="0.3">
      <c r="A412">
        <v>3222</v>
      </c>
      <c r="B412" t="s">
        <v>681</v>
      </c>
      <c r="C412" t="s">
        <v>648</v>
      </c>
      <c r="D412" t="s">
        <v>639</v>
      </c>
      <c r="E412" t="s">
        <v>364</v>
      </c>
      <c r="F412">
        <v>4523</v>
      </c>
      <c r="G412" t="s">
        <v>10</v>
      </c>
      <c r="H412">
        <v>183</v>
      </c>
      <c r="I412">
        <v>0</v>
      </c>
      <c r="J412">
        <v>0</v>
      </c>
      <c r="K412">
        <v>70</v>
      </c>
      <c r="L412">
        <v>283</v>
      </c>
      <c r="M412">
        <v>339</v>
      </c>
      <c r="N412">
        <v>10</v>
      </c>
      <c r="O412">
        <v>84</v>
      </c>
      <c r="P412">
        <v>28</v>
      </c>
      <c r="Q412">
        <v>24</v>
      </c>
      <c r="R412">
        <v>78</v>
      </c>
      <c r="S412" s="6">
        <v>1.45</v>
      </c>
      <c r="T412" s="6">
        <v>1.35</v>
      </c>
      <c r="U412" s="6">
        <v>0.8</v>
      </c>
      <c r="V412">
        <v>3</v>
      </c>
      <c r="W412">
        <v>3</v>
      </c>
      <c r="X412">
        <v>0</v>
      </c>
      <c r="Y412" t="s">
        <v>106</v>
      </c>
      <c r="Z412" t="s">
        <v>107</v>
      </c>
      <c r="AA412" t="s">
        <v>265</v>
      </c>
      <c r="AB412" s="25">
        <v>0.8</v>
      </c>
      <c r="AC412" s="25">
        <v>0</v>
      </c>
      <c r="AD412" s="24" t="s">
        <v>756</v>
      </c>
      <c r="AE412" s="24" t="s">
        <v>756</v>
      </c>
      <c r="AF412" s="24" t="s">
        <v>756</v>
      </c>
      <c r="AG412" s="24" t="s">
        <v>756</v>
      </c>
    </row>
    <row r="413" spans="1:33" x14ac:dyDescent="0.3">
      <c r="A413">
        <v>142</v>
      </c>
      <c r="B413" t="s">
        <v>131</v>
      </c>
      <c r="C413" t="s">
        <v>647</v>
      </c>
      <c r="D413" t="s">
        <v>639</v>
      </c>
      <c r="E413" t="s">
        <v>364</v>
      </c>
      <c r="F413">
        <v>5337</v>
      </c>
      <c r="G413" t="s">
        <v>10</v>
      </c>
      <c r="H413">
        <v>181</v>
      </c>
      <c r="I413">
        <v>0</v>
      </c>
      <c r="J413">
        <v>0</v>
      </c>
      <c r="K413">
        <v>66</v>
      </c>
      <c r="L413">
        <v>268</v>
      </c>
      <c r="M413">
        <v>307</v>
      </c>
      <c r="N413">
        <v>11</v>
      </c>
      <c r="O413">
        <v>109</v>
      </c>
      <c r="P413">
        <v>24</v>
      </c>
      <c r="Q413">
        <v>78</v>
      </c>
      <c r="R413">
        <v>84</v>
      </c>
      <c r="S413" s="6">
        <v>1.3</v>
      </c>
      <c r="T413" s="6">
        <v>1.3</v>
      </c>
      <c r="U413" s="6">
        <v>0.8</v>
      </c>
      <c r="V413">
        <v>3</v>
      </c>
      <c r="W413">
        <v>3</v>
      </c>
      <c r="X413">
        <v>0</v>
      </c>
      <c r="Y413" t="s">
        <v>755</v>
      </c>
      <c r="Z413" t="s">
        <v>107</v>
      </c>
      <c r="AA413" t="s">
        <v>265</v>
      </c>
      <c r="AB413" s="25">
        <v>0.8</v>
      </c>
      <c r="AC413" s="25">
        <v>0</v>
      </c>
      <c r="AD413" s="24" t="s">
        <v>756</v>
      </c>
      <c r="AE413" s="24" t="s">
        <v>756</v>
      </c>
      <c r="AF413" s="24" t="s">
        <v>756</v>
      </c>
      <c r="AG413" s="24" t="s">
        <v>756</v>
      </c>
    </row>
    <row r="414" spans="1:33" x14ac:dyDescent="0.3">
      <c r="A414" t="s">
        <v>342</v>
      </c>
      <c r="B414" t="s">
        <v>628</v>
      </c>
      <c r="C414" t="s">
        <v>655</v>
      </c>
      <c r="D414" t="s">
        <v>639</v>
      </c>
      <c r="E414" t="s">
        <v>364</v>
      </c>
      <c r="F414">
        <v>4472</v>
      </c>
      <c r="G414" t="s">
        <v>8</v>
      </c>
      <c r="H414">
        <v>156</v>
      </c>
      <c r="I414">
        <v>0</v>
      </c>
      <c r="J414">
        <v>0</v>
      </c>
      <c r="K414">
        <v>53</v>
      </c>
      <c r="L414">
        <v>255</v>
      </c>
      <c r="M414">
        <v>237</v>
      </c>
      <c r="N414">
        <v>11</v>
      </c>
      <c r="O414">
        <v>72</v>
      </c>
      <c r="P414">
        <v>26</v>
      </c>
      <c r="Q414">
        <v>69</v>
      </c>
      <c r="R414">
        <v>77</v>
      </c>
      <c r="S414" s="6">
        <v>1.3</v>
      </c>
      <c r="T414" s="6">
        <v>1.25</v>
      </c>
      <c r="U414" s="6">
        <v>0.8</v>
      </c>
      <c r="V414">
        <v>3</v>
      </c>
      <c r="W414">
        <v>3</v>
      </c>
      <c r="X414">
        <v>0</v>
      </c>
      <c r="Y414" t="s">
        <v>755</v>
      </c>
      <c r="Z414" t="s">
        <v>106</v>
      </c>
      <c r="AA414" t="s">
        <v>265</v>
      </c>
      <c r="AB414" s="25">
        <v>0.8</v>
      </c>
      <c r="AC414" s="25">
        <v>0</v>
      </c>
      <c r="AD414" t="s">
        <v>1171</v>
      </c>
      <c r="AE414" s="24" t="s">
        <v>756</v>
      </c>
      <c r="AF414" s="24" t="s">
        <v>756</v>
      </c>
      <c r="AG414" s="24" t="s">
        <v>756</v>
      </c>
    </row>
    <row r="415" spans="1:33" x14ac:dyDescent="0.3">
      <c r="Q415"/>
      <c r="R415"/>
    </row>
    <row r="416" spans="1:33" x14ac:dyDescent="0.3">
      <c r="A416" t="s">
        <v>351</v>
      </c>
      <c r="B416" t="s">
        <v>149</v>
      </c>
      <c r="C416" t="s">
        <v>192</v>
      </c>
      <c r="D416" t="s">
        <v>352</v>
      </c>
      <c r="E416" t="s">
        <v>150</v>
      </c>
      <c r="F416" t="s">
        <v>7</v>
      </c>
      <c r="G416" t="s">
        <v>353</v>
      </c>
      <c r="H416" t="s">
        <v>14</v>
      </c>
      <c r="I416" t="s">
        <v>9</v>
      </c>
      <c r="J416" t="s">
        <v>11</v>
      </c>
      <c r="K416" t="s">
        <v>294</v>
      </c>
      <c r="L416" t="s">
        <v>265</v>
      </c>
      <c r="M416" t="s">
        <v>293</v>
      </c>
      <c r="N416" t="s">
        <v>667</v>
      </c>
      <c r="O416" t="s">
        <v>666</v>
      </c>
      <c r="P416" t="s">
        <v>295</v>
      </c>
      <c r="Q416" t="s">
        <v>761</v>
      </c>
      <c r="R416" t="s">
        <v>762</v>
      </c>
      <c r="S416" s="17" t="s">
        <v>903</v>
      </c>
      <c r="T416" s="17" t="s">
        <v>53</v>
      </c>
      <c r="U416" s="17" t="s">
        <v>668</v>
      </c>
      <c r="V416" s="17" t="s">
        <v>733</v>
      </c>
      <c r="W416" s="26" t="s">
        <v>1016</v>
      </c>
      <c r="X416" s="26" t="s">
        <v>1017</v>
      </c>
      <c r="Y416" s="26" t="s">
        <v>1053</v>
      </c>
      <c r="Z416" s="26" t="s">
        <v>1054</v>
      </c>
    </row>
    <row r="417" spans="1:26" x14ac:dyDescent="0.3">
      <c r="A417">
        <v>358</v>
      </c>
      <c r="B417" t="s">
        <v>764</v>
      </c>
      <c r="C417" t="s">
        <v>646</v>
      </c>
      <c r="D417" t="s">
        <v>642</v>
      </c>
      <c r="E417" t="s">
        <v>188</v>
      </c>
      <c r="F417">
        <v>1924</v>
      </c>
      <c r="G417" t="s">
        <v>8</v>
      </c>
      <c r="H417">
        <v>95</v>
      </c>
      <c r="I417">
        <v>61</v>
      </c>
      <c r="J417">
        <v>526</v>
      </c>
      <c r="K417">
        <v>41</v>
      </c>
      <c r="L417">
        <v>0</v>
      </c>
      <c r="M417">
        <v>0</v>
      </c>
      <c r="N417">
        <v>7</v>
      </c>
      <c r="O417">
        <v>0</v>
      </c>
      <c r="P417">
        <v>16</v>
      </c>
      <c r="Q417">
        <v>79</v>
      </c>
      <c r="R417">
        <v>193</v>
      </c>
      <c r="S417">
        <v>243</v>
      </c>
      <c r="T417" s="6">
        <v>1.3</v>
      </c>
      <c r="U417" s="6">
        <v>1.2</v>
      </c>
      <c r="V417" s="6">
        <v>0.9</v>
      </c>
      <c r="W417" t="s">
        <v>1423</v>
      </c>
      <c r="X417" t="s">
        <v>1179</v>
      </c>
      <c r="Y417" s="24" t="s">
        <v>756</v>
      </c>
      <c r="Z417" s="24" t="s">
        <v>756</v>
      </c>
    </row>
    <row r="418" spans="1:26" x14ac:dyDescent="0.3">
      <c r="A418" s="24"/>
      <c r="B418" s="24" t="s">
        <v>1424</v>
      </c>
      <c r="C418" s="24" t="s">
        <v>646</v>
      </c>
      <c r="D418" s="24" t="s">
        <v>642</v>
      </c>
      <c r="E418" s="24" t="s">
        <v>188</v>
      </c>
      <c r="F418" s="24">
        <v>1899</v>
      </c>
      <c r="G418" s="24" t="s">
        <v>8</v>
      </c>
      <c r="H418" s="24">
        <v>93</v>
      </c>
      <c r="I418" s="24">
        <v>65</v>
      </c>
      <c r="J418" s="24">
        <v>524</v>
      </c>
      <c r="K418" s="24">
        <v>41</v>
      </c>
      <c r="L418" s="24">
        <v>0</v>
      </c>
      <c r="M418" s="24">
        <v>0</v>
      </c>
      <c r="N418" s="24">
        <v>7</v>
      </c>
      <c r="O418" s="24">
        <v>0</v>
      </c>
      <c r="P418" s="24">
        <v>16</v>
      </c>
      <c r="Q418" s="24">
        <v>78</v>
      </c>
      <c r="R418" s="24">
        <v>192</v>
      </c>
      <c r="S418" s="24">
        <v>243</v>
      </c>
      <c r="T418" s="25">
        <v>1.25</v>
      </c>
      <c r="U418" s="25">
        <v>1.25</v>
      </c>
      <c r="V418" s="25">
        <v>0.85</v>
      </c>
      <c r="W418" s="24" t="s">
        <v>1423</v>
      </c>
      <c r="X418" t="s">
        <v>1432</v>
      </c>
      <c r="Y418" s="24" t="s">
        <v>756</v>
      </c>
      <c r="Z418" s="24" t="s">
        <v>756</v>
      </c>
    </row>
    <row r="419" spans="1:26" x14ac:dyDescent="0.3">
      <c r="A419">
        <v>342</v>
      </c>
      <c r="B419" t="s">
        <v>661</v>
      </c>
      <c r="C419" t="s">
        <v>646</v>
      </c>
      <c r="D419" t="s">
        <v>639</v>
      </c>
      <c r="E419" t="s">
        <v>188</v>
      </c>
      <c r="F419">
        <v>1692</v>
      </c>
      <c r="G419" t="s">
        <v>8</v>
      </c>
      <c r="H419">
        <v>90</v>
      </c>
      <c r="I419">
        <v>71</v>
      </c>
      <c r="J419">
        <v>503</v>
      </c>
      <c r="K419">
        <v>41</v>
      </c>
      <c r="L419">
        <v>0</v>
      </c>
      <c r="M419">
        <v>0</v>
      </c>
      <c r="N419">
        <v>6</v>
      </c>
      <c r="O419">
        <v>0</v>
      </c>
      <c r="P419">
        <v>16</v>
      </c>
      <c r="Q419">
        <v>68</v>
      </c>
      <c r="R419">
        <v>178</v>
      </c>
      <c r="S419">
        <v>283</v>
      </c>
      <c r="T419" s="6">
        <v>1.25</v>
      </c>
      <c r="U419" s="6">
        <v>1.2</v>
      </c>
      <c r="V419" s="6">
        <v>0.9</v>
      </c>
      <c r="W419" t="s">
        <v>1256</v>
      </c>
      <c r="X419" s="24" t="s">
        <v>756</v>
      </c>
      <c r="Y419" s="24" t="s">
        <v>756</v>
      </c>
      <c r="Z419" s="24" t="s">
        <v>756</v>
      </c>
    </row>
    <row r="420" spans="1:26" x14ac:dyDescent="0.3">
      <c r="A420" s="24"/>
      <c r="B420" s="24" t="s">
        <v>1397</v>
      </c>
      <c r="C420" t="s">
        <v>648</v>
      </c>
      <c r="D420" s="24" t="s">
        <v>642</v>
      </c>
      <c r="E420" s="24" t="s">
        <v>188</v>
      </c>
      <c r="F420" s="24">
        <v>1993</v>
      </c>
      <c r="G420" s="24" t="s">
        <v>8</v>
      </c>
      <c r="H420" s="24">
        <v>115</v>
      </c>
      <c r="I420" s="24">
        <v>65</v>
      </c>
      <c r="J420" s="24">
        <v>539</v>
      </c>
      <c r="K420" s="24">
        <v>43</v>
      </c>
      <c r="L420" s="24">
        <v>0</v>
      </c>
      <c r="M420" s="24">
        <v>0</v>
      </c>
      <c r="N420" s="24">
        <v>7</v>
      </c>
      <c r="O420" s="24">
        <v>0</v>
      </c>
      <c r="P420" s="24">
        <v>18</v>
      </c>
      <c r="Q420" s="24">
        <v>22</v>
      </c>
      <c r="R420" s="24">
        <v>172</v>
      </c>
      <c r="S420" s="24">
        <v>195</v>
      </c>
      <c r="T420" s="25">
        <v>1.3</v>
      </c>
      <c r="U420" s="25">
        <v>1.1499999999999999</v>
      </c>
      <c r="V420" s="25">
        <v>0.8</v>
      </c>
      <c r="W420" t="s">
        <v>1396</v>
      </c>
      <c r="X420" t="s">
        <v>1402</v>
      </c>
      <c r="Y420" s="24" t="s">
        <v>756</v>
      </c>
      <c r="Z420" s="24" t="s">
        <v>756</v>
      </c>
    </row>
    <row r="421" spans="1:26" x14ac:dyDescent="0.3">
      <c r="A421">
        <v>338</v>
      </c>
      <c r="B421" t="s">
        <v>665</v>
      </c>
      <c r="C421" t="s">
        <v>648</v>
      </c>
      <c r="D421" t="s">
        <v>642</v>
      </c>
      <c r="E421" t="s">
        <v>188</v>
      </c>
      <c r="F421">
        <v>2165</v>
      </c>
      <c r="G421" t="s">
        <v>8</v>
      </c>
      <c r="H421">
        <v>110</v>
      </c>
      <c r="I421">
        <v>59</v>
      </c>
      <c r="J421">
        <v>549</v>
      </c>
      <c r="K421">
        <v>45</v>
      </c>
      <c r="L421">
        <v>0</v>
      </c>
      <c r="M421">
        <v>0</v>
      </c>
      <c r="N421">
        <v>7</v>
      </c>
      <c r="O421">
        <v>0</v>
      </c>
      <c r="P421">
        <v>18</v>
      </c>
      <c r="Q421">
        <v>19</v>
      </c>
      <c r="R421">
        <v>170</v>
      </c>
      <c r="S421">
        <v>200</v>
      </c>
      <c r="T421" s="6">
        <v>1.35</v>
      </c>
      <c r="U421" s="6">
        <v>1.1499999999999999</v>
      </c>
      <c r="V421" s="6">
        <v>0.8</v>
      </c>
      <c r="W421" t="s">
        <v>1254</v>
      </c>
      <c r="X421" t="s">
        <v>1178</v>
      </c>
      <c r="Y421" s="24" t="s">
        <v>756</v>
      </c>
      <c r="Z421" s="24" t="s">
        <v>756</v>
      </c>
    </row>
    <row r="422" spans="1:26" x14ac:dyDescent="0.3">
      <c r="A422" s="24"/>
      <c r="B422" s="24" t="s">
        <v>1392</v>
      </c>
      <c r="C422" t="s">
        <v>648</v>
      </c>
      <c r="D422" t="s">
        <v>639</v>
      </c>
      <c r="E422" s="24" t="s">
        <v>188</v>
      </c>
      <c r="F422" s="24">
        <v>1946</v>
      </c>
      <c r="G422" s="24" t="s">
        <v>8</v>
      </c>
      <c r="H422" s="24">
        <v>70</v>
      </c>
      <c r="I422" s="24">
        <v>65</v>
      </c>
      <c r="J422" s="24">
        <v>514</v>
      </c>
      <c r="K422" s="24">
        <v>45</v>
      </c>
      <c r="L422" s="24">
        <v>0</v>
      </c>
      <c r="M422" s="24">
        <v>0</v>
      </c>
      <c r="N422">
        <v>6</v>
      </c>
      <c r="O422" s="24">
        <v>0</v>
      </c>
      <c r="P422" s="24">
        <v>18</v>
      </c>
      <c r="Q422" s="24">
        <v>25</v>
      </c>
      <c r="R422" s="24">
        <v>178</v>
      </c>
      <c r="S422" s="24">
        <v>218</v>
      </c>
      <c r="T422" s="25">
        <v>1.3</v>
      </c>
      <c r="U422" s="25">
        <v>1.1499999999999999</v>
      </c>
      <c r="V422" s="25">
        <v>0.85</v>
      </c>
      <c r="W422" t="s">
        <v>1400</v>
      </c>
      <c r="X422" t="s">
        <v>1403</v>
      </c>
      <c r="Y422" s="24" t="s">
        <v>756</v>
      </c>
      <c r="Z422" s="24" t="s">
        <v>756</v>
      </c>
    </row>
    <row r="423" spans="1:26" x14ac:dyDescent="0.3">
      <c r="A423">
        <v>339</v>
      </c>
      <c r="B423" t="s">
        <v>662</v>
      </c>
      <c r="C423" t="s">
        <v>648</v>
      </c>
      <c r="D423" t="s">
        <v>639</v>
      </c>
      <c r="E423" t="s">
        <v>188</v>
      </c>
      <c r="F423">
        <v>2067</v>
      </c>
      <c r="G423" t="s">
        <v>8</v>
      </c>
      <c r="H423">
        <v>109</v>
      </c>
      <c r="I423">
        <v>61</v>
      </c>
      <c r="J423">
        <v>520</v>
      </c>
      <c r="K423">
        <v>45</v>
      </c>
      <c r="L423">
        <v>0</v>
      </c>
      <c r="M423">
        <v>0</v>
      </c>
      <c r="N423">
        <v>6</v>
      </c>
      <c r="O423">
        <v>0</v>
      </c>
      <c r="P423">
        <v>18</v>
      </c>
      <c r="Q423">
        <v>26</v>
      </c>
      <c r="R423">
        <v>164</v>
      </c>
      <c r="S423">
        <v>258</v>
      </c>
      <c r="T423" s="6">
        <v>1.3</v>
      </c>
      <c r="U423" s="6">
        <v>1.1499999999999999</v>
      </c>
      <c r="V423" s="6">
        <v>0.85</v>
      </c>
      <c r="W423" t="s">
        <v>1400</v>
      </c>
      <c r="X423" s="24" t="s">
        <v>756</v>
      </c>
      <c r="Y423" s="24" t="s">
        <v>756</v>
      </c>
      <c r="Z423" s="24" t="s">
        <v>756</v>
      </c>
    </row>
    <row r="424" spans="1:26" x14ac:dyDescent="0.3">
      <c r="A424" s="24"/>
      <c r="B424" s="24" t="s">
        <v>1393</v>
      </c>
      <c r="C424" t="s">
        <v>648</v>
      </c>
      <c r="D424" t="s">
        <v>639</v>
      </c>
      <c r="E424" s="24" t="s">
        <v>188</v>
      </c>
      <c r="F424" s="24">
        <v>2080</v>
      </c>
      <c r="G424" s="24" t="s">
        <v>8</v>
      </c>
      <c r="H424" s="24">
        <v>62</v>
      </c>
      <c r="I424" s="24">
        <v>59</v>
      </c>
      <c r="J424" s="24">
        <v>502</v>
      </c>
      <c r="K424" s="24">
        <v>37</v>
      </c>
      <c r="L424" s="24">
        <v>0</v>
      </c>
      <c r="M424" s="24">
        <v>0</v>
      </c>
      <c r="N424">
        <v>6</v>
      </c>
      <c r="O424" s="24">
        <v>0</v>
      </c>
      <c r="P424" s="24">
        <v>14</v>
      </c>
      <c r="Q424" s="24">
        <v>46</v>
      </c>
      <c r="R424" s="24">
        <v>166</v>
      </c>
      <c r="S424" s="24">
        <v>248</v>
      </c>
      <c r="T424" s="25">
        <v>1.1499999999999999</v>
      </c>
      <c r="U424" s="25">
        <v>1.1499999999999999</v>
      </c>
      <c r="V424" s="25">
        <v>0.85</v>
      </c>
      <c r="W424" t="s">
        <v>1400</v>
      </c>
      <c r="X424" s="24" t="s">
        <v>756</v>
      </c>
      <c r="Y424" s="24" t="s">
        <v>756</v>
      </c>
      <c r="Z424" s="24" t="s">
        <v>756</v>
      </c>
    </row>
    <row r="425" spans="1:26" x14ac:dyDescent="0.3">
      <c r="A425">
        <v>340</v>
      </c>
      <c r="B425" t="s">
        <v>663</v>
      </c>
      <c r="C425" t="s">
        <v>648</v>
      </c>
      <c r="D425" t="s">
        <v>639</v>
      </c>
      <c r="E425" t="s">
        <v>188</v>
      </c>
      <c r="F425">
        <v>2080</v>
      </c>
      <c r="G425" t="s">
        <v>8</v>
      </c>
      <c r="H425">
        <v>79</v>
      </c>
      <c r="I425">
        <v>59</v>
      </c>
      <c r="J425">
        <v>503</v>
      </c>
      <c r="K425">
        <v>37</v>
      </c>
      <c r="L425">
        <v>0</v>
      </c>
      <c r="M425">
        <v>0</v>
      </c>
      <c r="N425">
        <v>6</v>
      </c>
      <c r="O425">
        <v>0</v>
      </c>
      <c r="P425">
        <v>14</v>
      </c>
      <c r="Q425">
        <v>58</v>
      </c>
      <c r="R425">
        <v>168</v>
      </c>
      <c r="S425">
        <v>268</v>
      </c>
      <c r="T425" s="6">
        <v>1.2</v>
      </c>
      <c r="U425" s="6">
        <v>1.1499999999999999</v>
      </c>
      <c r="V425" s="6">
        <v>0.85</v>
      </c>
      <c r="W425" t="s">
        <v>1400</v>
      </c>
      <c r="X425" t="s">
        <v>1177</v>
      </c>
      <c r="Y425" s="24" t="s">
        <v>756</v>
      </c>
      <c r="Z425" s="24" t="s">
        <v>756</v>
      </c>
    </row>
    <row r="426" spans="1:26" x14ac:dyDescent="0.3">
      <c r="A426">
        <v>350</v>
      </c>
      <c r="B426" t="s">
        <v>664</v>
      </c>
      <c r="C426" t="s">
        <v>652</v>
      </c>
      <c r="D426" t="s">
        <v>642</v>
      </c>
      <c r="E426" t="s">
        <v>188</v>
      </c>
      <c r="F426">
        <v>2819</v>
      </c>
      <c r="G426" t="s">
        <v>8</v>
      </c>
      <c r="H426">
        <v>76</v>
      </c>
      <c r="I426">
        <v>139</v>
      </c>
      <c r="J426">
        <v>509</v>
      </c>
      <c r="K426">
        <v>22</v>
      </c>
      <c r="L426">
        <v>0</v>
      </c>
      <c r="M426">
        <v>0</v>
      </c>
      <c r="N426">
        <v>6</v>
      </c>
      <c r="O426">
        <v>0</v>
      </c>
      <c r="P426">
        <v>14</v>
      </c>
      <c r="Q426">
        <v>60</v>
      </c>
      <c r="R426">
        <v>164</v>
      </c>
      <c r="S426">
        <v>180</v>
      </c>
      <c r="T426" s="6">
        <v>1.1499999999999999</v>
      </c>
      <c r="U426" s="6">
        <v>1.2</v>
      </c>
      <c r="V426" s="6">
        <v>1.2</v>
      </c>
      <c r="W426" t="s">
        <v>1260</v>
      </c>
      <c r="X426" s="24" t="s">
        <v>756</v>
      </c>
      <c r="Y426" s="24" t="s">
        <v>756</v>
      </c>
      <c r="Z426" s="24" t="s">
        <v>756</v>
      </c>
    </row>
    <row r="427" spans="1:26" x14ac:dyDescent="0.3">
      <c r="A427" s="24"/>
      <c r="B427" s="24" t="s">
        <v>1391</v>
      </c>
      <c r="C427" s="24" t="s">
        <v>649</v>
      </c>
      <c r="D427" s="24" t="s">
        <v>642</v>
      </c>
      <c r="E427" s="24" t="s">
        <v>188</v>
      </c>
      <c r="F427" s="24">
        <v>1297</v>
      </c>
      <c r="G427" s="24" t="s">
        <v>8</v>
      </c>
      <c r="H427" s="24">
        <v>110</v>
      </c>
      <c r="I427" s="24">
        <v>48</v>
      </c>
      <c r="J427" s="24">
        <v>530</v>
      </c>
      <c r="K427" s="24">
        <v>37</v>
      </c>
      <c r="L427" s="24">
        <v>0</v>
      </c>
      <c r="M427" s="24">
        <v>0</v>
      </c>
      <c r="N427" s="24">
        <v>7</v>
      </c>
      <c r="O427" s="24">
        <v>0</v>
      </c>
      <c r="P427" s="24">
        <v>14</v>
      </c>
      <c r="Q427" s="24">
        <v>68</v>
      </c>
      <c r="R427" s="24">
        <v>175</v>
      </c>
      <c r="S427" s="24">
        <v>190</v>
      </c>
      <c r="T427" s="25">
        <v>1.25</v>
      </c>
      <c r="U427" s="25">
        <v>1.25</v>
      </c>
      <c r="V427" s="25">
        <v>0.85</v>
      </c>
      <c r="W427" t="s">
        <v>1395</v>
      </c>
      <c r="X427" s="24" t="s">
        <v>756</v>
      </c>
      <c r="Y427" s="24" t="s">
        <v>756</v>
      </c>
      <c r="Z427" s="24" t="s">
        <v>756</v>
      </c>
    </row>
    <row r="428" spans="1:26" x14ac:dyDescent="0.3">
      <c r="A428">
        <v>343</v>
      </c>
      <c r="B428" t="s">
        <v>327</v>
      </c>
      <c r="C428" t="s">
        <v>649</v>
      </c>
      <c r="D428" t="s">
        <v>642</v>
      </c>
      <c r="E428" t="s">
        <v>188</v>
      </c>
      <c r="F428">
        <v>1297</v>
      </c>
      <c r="G428" t="s">
        <v>8</v>
      </c>
      <c r="H428">
        <v>110</v>
      </c>
      <c r="I428">
        <v>48</v>
      </c>
      <c r="J428">
        <v>530</v>
      </c>
      <c r="K428">
        <v>37</v>
      </c>
      <c r="L428">
        <v>0</v>
      </c>
      <c r="M428">
        <v>0</v>
      </c>
      <c r="N428">
        <v>7</v>
      </c>
      <c r="O428">
        <v>0</v>
      </c>
      <c r="P428">
        <v>14</v>
      </c>
      <c r="Q428">
        <v>32</v>
      </c>
      <c r="R428">
        <v>178</v>
      </c>
      <c r="S428">
        <v>193</v>
      </c>
      <c r="T428" s="6">
        <v>1.25</v>
      </c>
      <c r="U428" s="6">
        <v>1.25</v>
      </c>
      <c r="V428" s="6">
        <v>0.85</v>
      </c>
      <c r="W428" t="s">
        <v>1401</v>
      </c>
      <c r="X428" s="24" t="s">
        <v>756</v>
      </c>
      <c r="Y428" s="24" t="s">
        <v>756</v>
      </c>
      <c r="Z428" s="24" t="s">
        <v>756</v>
      </c>
    </row>
    <row r="429" spans="1:26" x14ac:dyDescent="0.3">
      <c r="A429" s="24"/>
      <c r="B429" s="24" t="s">
        <v>1394</v>
      </c>
      <c r="C429" s="24" t="s">
        <v>649</v>
      </c>
      <c r="D429" t="s">
        <v>639</v>
      </c>
      <c r="E429" s="24" t="s">
        <v>188</v>
      </c>
      <c r="F429" s="24">
        <v>1496</v>
      </c>
      <c r="G429" s="24" t="s">
        <v>8</v>
      </c>
      <c r="H429" s="24">
        <v>84</v>
      </c>
      <c r="I429" s="24">
        <v>43</v>
      </c>
      <c r="J429" s="24">
        <v>505</v>
      </c>
      <c r="K429" s="24">
        <v>37</v>
      </c>
      <c r="L429" s="24">
        <v>0</v>
      </c>
      <c r="M429" s="24">
        <v>0</v>
      </c>
      <c r="N429">
        <v>6</v>
      </c>
      <c r="O429" s="24">
        <v>0</v>
      </c>
      <c r="P429" s="24">
        <v>14</v>
      </c>
      <c r="Q429" s="24">
        <v>22</v>
      </c>
      <c r="R429" s="24">
        <v>178</v>
      </c>
      <c r="S429" s="24">
        <v>248</v>
      </c>
      <c r="T429" s="25">
        <v>1.25</v>
      </c>
      <c r="U429" s="25">
        <v>1.2</v>
      </c>
      <c r="V429" s="25">
        <v>0.85</v>
      </c>
      <c r="W429" t="s">
        <v>1398</v>
      </c>
      <c r="X429" s="24" t="s">
        <v>756</v>
      </c>
      <c r="Y429" s="24" t="s">
        <v>756</v>
      </c>
      <c r="Z429" s="24" t="s">
        <v>756</v>
      </c>
    </row>
    <row r="430" spans="1:26" x14ac:dyDescent="0.3">
      <c r="A430" s="24"/>
      <c r="B430" s="24" t="s">
        <v>1431</v>
      </c>
      <c r="C430" s="24" t="s">
        <v>649</v>
      </c>
      <c r="D430" s="24" t="s">
        <v>642</v>
      </c>
      <c r="E430" s="24" t="s">
        <v>188</v>
      </c>
      <c r="F430" s="24">
        <v>1261</v>
      </c>
      <c r="G430" t="s">
        <v>8</v>
      </c>
      <c r="H430" s="24">
        <v>84</v>
      </c>
      <c r="I430" s="24">
        <v>39</v>
      </c>
      <c r="J430" s="24">
        <v>499</v>
      </c>
      <c r="K430" s="24">
        <v>37</v>
      </c>
      <c r="L430" s="24">
        <v>0</v>
      </c>
      <c r="M430" s="24">
        <v>0</v>
      </c>
      <c r="N430" s="24">
        <v>7</v>
      </c>
      <c r="O430" s="24">
        <v>0</v>
      </c>
      <c r="P430" s="24">
        <v>14</v>
      </c>
      <c r="Q430" s="24">
        <v>45</v>
      </c>
      <c r="R430" s="24">
        <v>178</v>
      </c>
      <c r="S430" s="24">
        <v>188</v>
      </c>
      <c r="T430" s="25">
        <v>1.25</v>
      </c>
      <c r="U430" s="25">
        <v>1.2</v>
      </c>
      <c r="V430" s="25">
        <v>0.85</v>
      </c>
      <c r="W430" t="s">
        <v>1258</v>
      </c>
      <c r="X430" s="24" t="s">
        <v>756</v>
      </c>
      <c r="Y430" s="24" t="s">
        <v>756</v>
      </c>
      <c r="Z430" s="24" t="s">
        <v>756</v>
      </c>
    </row>
    <row r="431" spans="1:26" x14ac:dyDescent="0.3">
      <c r="A431">
        <v>344</v>
      </c>
      <c r="B431" t="s">
        <v>328</v>
      </c>
      <c r="C431" t="s">
        <v>649</v>
      </c>
      <c r="D431" t="s">
        <v>639</v>
      </c>
      <c r="E431" t="s">
        <v>188</v>
      </c>
      <c r="F431">
        <v>1261</v>
      </c>
      <c r="G431" t="s">
        <v>8</v>
      </c>
      <c r="H431">
        <v>84</v>
      </c>
      <c r="I431">
        <v>44</v>
      </c>
      <c r="J431">
        <v>499</v>
      </c>
      <c r="K431">
        <v>37</v>
      </c>
      <c r="L431">
        <v>0</v>
      </c>
      <c r="M431">
        <v>0</v>
      </c>
      <c r="N431">
        <v>6</v>
      </c>
      <c r="O431">
        <v>0</v>
      </c>
      <c r="P431">
        <v>14</v>
      </c>
      <c r="Q431">
        <v>18</v>
      </c>
      <c r="R431">
        <v>166</v>
      </c>
      <c r="S431">
        <v>188</v>
      </c>
      <c r="T431" s="6">
        <v>1.35</v>
      </c>
      <c r="U431" s="6">
        <v>1.1499999999999999</v>
      </c>
      <c r="V431" s="6">
        <v>0.8</v>
      </c>
      <c r="W431" t="s">
        <v>1258</v>
      </c>
      <c r="X431" s="24" t="s">
        <v>756</v>
      </c>
      <c r="Y431" s="24" t="s">
        <v>756</v>
      </c>
      <c r="Z431" s="24" t="s">
        <v>756</v>
      </c>
    </row>
    <row r="432" spans="1:26" x14ac:dyDescent="0.3">
      <c r="A432" s="24"/>
      <c r="B432" s="24" t="s">
        <v>994</v>
      </c>
      <c r="C432" s="24" t="s">
        <v>649</v>
      </c>
      <c r="D432" s="24" t="s">
        <v>642</v>
      </c>
      <c r="E432" s="24" t="s">
        <v>188</v>
      </c>
      <c r="F432" s="24">
        <v>1250</v>
      </c>
      <c r="G432" t="s">
        <v>8</v>
      </c>
      <c r="H432" s="24">
        <v>84</v>
      </c>
      <c r="I432" s="24">
        <v>45</v>
      </c>
      <c r="J432" s="24">
        <v>523</v>
      </c>
      <c r="K432" s="24">
        <v>37</v>
      </c>
      <c r="L432" s="24">
        <v>0</v>
      </c>
      <c r="M432" s="24">
        <v>0</v>
      </c>
      <c r="N432" s="24">
        <v>7</v>
      </c>
      <c r="O432" s="24">
        <v>0</v>
      </c>
      <c r="P432" s="24">
        <v>14</v>
      </c>
      <c r="Q432" s="24">
        <v>35</v>
      </c>
      <c r="R432" s="24">
        <v>167</v>
      </c>
      <c r="S432" s="24">
        <v>188</v>
      </c>
      <c r="T432" s="25">
        <v>1.25</v>
      </c>
      <c r="U432" s="25">
        <v>1.2</v>
      </c>
      <c r="V432" s="25">
        <v>0.85</v>
      </c>
      <c r="W432" t="s">
        <v>1257</v>
      </c>
      <c r="X432" s="24" t="s">
        <v>756</v>
      </c>
      <c r="Y432" s="24" t="s">
        <v>756</v>
      </c>
      <c r="Z432" s="24" t="s">
        <v>756</v>
      </c>
    </row>
    <row r="433" spans="1:32" x14ac:dyDescent="0.3">
      <c r="A433">
        <v>341</v>
      </c>
      <c r="B433" t="s">
        <v>326</v>
      </c>
      <c r="C433" t="s">
        <v>649</v>
      </c>
      <c r="D433" t="s">
        <v>642</v>
      </c>
      <c r="E433" t="s">
        <v>188</v>
      </c>
      <c r="F433">
        <v>1309</v>
      </c>
      <c r="G433" t="s">
        <v>8</v>
      </c>
      <c r="H433">
        <v>109</v>
      </c>
      <c r="I433">
        <v>50</v>
      </c>
      <c r="J433">
        <v>555</v>
      </c>
      <c r="K433">
        <v>37</v>
      </c>
      <c r="L433">
        <v>0</v>
      </c>
      <c r="M433">
        <v>0</v>
      </c>
      <c r="N433">
        <v>7</v>
      </c>
      <c r="O433">
        <v>0</v>
      </c>
      <c r="P433">
        <v>14</v>
      </c>
      <c r="Q433">
        <v>23</v>
      </c>
      <c r="R433">
        <v>174</v>
      </c>
      <c r="S433">
        <v>188</v>
      </c>
      <c r="T433" s="6">
        <v>1.3</v>
      </c>
      <c r="U433" s="6">
        <v>1.25</v>
      </c>
      <c r="V433" s="6">
        <v>0.85</v>
      </c>
      <c r="W433" t="s">
        <v>1255</v>
      </c>
      <c r="X433" s="24" t="s">
        <v>756</v>
      </c>
      <c r="Y433" s="24" t="s">
        <v>756</v>
      </c>
      <c r="Z433" s="24" t="s">
        <v>756</v>
      </c>
    </row>
    <row r="434" spans="1:32" x14ac:dyDescent="0.3">
      <c r="Q434"/>
      <c r="R434"/>
    </row>
    <row r="435" spans="1:32" x14ac:dyDescent="0.3">
      <c r="A435" t="s">
        <v>351</v>
      </c>
      <c r="B435" t="s">
        <v>149</v>
      </c>
      <c r="C435" s="19" t="s">
        <v>192</v>
      </c>
      <c r="D435" s="20" t="s">
        <v>352</v>
      </c>
      <c r="E435" s="20" t="s">
        <v>150</v>
      </c>
      <c r="F435" s="20" t="s">
        <v>7</v>
      </c>
      <c r="G435" s="20" t="s">
        <v>353</v>
      </c>
      <c r="H435" s="20" t="s">
        <v>14</v>
      </c>
      <c r="I435" s="20" t="s">
        <v>9</v>
      </c>
      <c r="J435" s="20" t="s">
        <v>11</v>
      </c>
      <c r="K435" s="20" t="s">
        <v>294</v>
      </c>
      <c r="L435" s="20" t="s">
        <v>265</v>
      </c>
      <c r="M435" s="20" t="s">
        <v>293</v>
      </c>
      <c r="N435" s="20" t="s">
        <v>667</v>
      </c>
      <c r="O435" s="20" t="s">
        <v>666</v>
      </c>
      <c r="P435" s="20" t="s">
        <v>295</v>
      </c>
      <c r="Q435" s="20" t="s">
        <v>761</v>
      </c>
      <c r="R435" s="20" t="s">
        <v>762</v>
      </c>
      <c r="S435" s="21" t="s">
        <v>903</v>
      </c>
      <c r="T435" s="21" t="s">
        <v>53</v>
      </c>
      <c r="U435" s="21" t="s">
        <v>668</v>
      </c>
      <c r="V435" s="21" t="s">
        <v>733</v>
      </c>
      <c r="W435" s="21" t="s">
        <v>749</v>
      </c>
      <c r="X435" s="21" t="s">
        <v>750</v>
      </c>
      <c r="Y435" s="21" t="s">
        <v>751</v>
      </c>
      <c r="Z435" s="21" t="s">
        <v>752</v>
      </c>
      <c r="AA435" s="21" t="s">
        <v>753</v>
      </c>
      <c r="AB435" s="21" t="s">
        <v>754</v>
      </c>
      <c r="AC435" s="21" t="s">
        <v>1016</v>
      </c>
      <c r="AD435" s="21" t="s">
        <v>1017</v>
      </c>
      <c r="AE435" s="21" t="s">
        <v>1053</v>
      </c>
      <c r="AF435" s="21" t="s">
        <v>1054</v>
      </c>
    </row>
    <row r="436" spans="1:32" x14ac:dyDescent="0.3">
      <c r="A436">
        <v>381</v>
      </c>
      <c r="B436" t="s">
        <v>872</v>
      </c>
      <c r="C436" s="18" t="s">
        <v>648</v>
      </c>
      <c r="D436" s="15" t="s">
        <v>642</v>
      </c>
      <c r="E436" s="15" t="s">
        <v>879</v>
      </c>
      <c r="F436" s="15">
        <v>2657</v>
      </c>
      <c r="G436" s="15" t="s">
        <v>8</v>
      </c>
      <c r="H436" s="15">
        <v>109</v>
      </c>
      <c r="I436" s="15">
        <v>59</v>
      </c>
      <c r="J436" s="15">
        <v>514</v>
      </c>
      <c r="K436" s="15">
        <v>36</v>
      </c>
      <c r="L436" s="15">
        <v>0</v>
      </c>
      <c r="M436" s="15">
        <v>252</v>
      </c>
      <c r="N436" s="15">
        <v>8</v>
      </c>
      <c r="O436" s="15">
        <v>0</v>
      </c>
      <c r="P436" s="15">
        <v>13</v>
      </c>
      <c r="Q436" s="15">
        <v>20</v>
      </c>
      <c r="R436" s="15">
        <v>172</v>
      </c>
      <c r="S436" s="112">
        <v>238</v>
      </c>
      <c r="T436" s="22">
        <v>1.35</v>
      </c>
      <c r="U436" s="22">
        <v>1.1499999999999999</v>
      </c>
      <c r="V436" s="22">
        <v>1.5</v>
      </c>
      <c r="W436" s="23">
        <v>0</v>
      </c>
      <c r="X436" s="23">
        <v>0</v>
      </c>
      <c r="Y436" s="23">
        <v>2</v>
      </c>
      <c r="Z436" s="23" t="s">
        <v>11</v>
      </c>
      <c r="AA436" s="23" t="s">
        <v>11</v>
      </c>
      <c r="AB436" s="23" t="s">
        <v>106</v>
      </c>
      <c r="AC436" s="23" t="s">
        <v>1261</v>
      </c>
      <c r="AD436" s="24" t="s">
        <v>756</v>
      </c>
      <c r="AE436" s="24" t="s">
        <v>756</v>
      </c>
      <c r="AF436" s="24" t="s">
        <v>756</v>
      </c>
    </row>
    <row r="438" spans="1:32" x14ac:dyDescent="0.3">
      <c r="A438" t="s">
        <v>738</v>
      </c>
      <c r="B438" t="s">
        <v>150</v>
      </c>
      <c r="D438" t="s">
        <v>935</v>
      </c>
    </row>
    <row r="439" spans="1:32" x14ac:dyDescent="0.3">
      <c r="A439" t="s">
        <v>189</v>
      </c>
      <c r="B439" t="s">
        <v>361</v>
      </c>
    </row>
    <row r="440" spans="1:32" x14ac:dyDescent="0.3">
      <c r="A440" t="s">
        <v>368</v>
      </c>
      <c r="B440" t="s">
        <v>669</v>
      </c>
    </row>
    <row r="441" spans="1:32" x14ac:dyDescent="0.3">
      <c r="A441" t="s">
        <v>157</v>
      </c>
      <c r="B441" t="s">
        <v>355</v>
      </c>
    </row>
    <row r="442" spans="1:32" x14ac:dyDescent="0.3">
      <c r="A442" t="s">
        <v>184</v>
      </c>
      <c r="B442" t="s">
        <v>672</v>
      </c>
    </row>
    <row r="443" spans="1:32" x14ac:dyDescent="0.3">
      <c r="A443" s="24" t="s">
        <v>941</v>
      </c>
      <c r="B443" s="24" t="s">
        <v>672</v>
      </c>
    </row>
    <row r="444" spans="1:32" x14ac:dyDescent="0.3">
      <c r="A444" t="s">
        <v>364</v>
      </c>
      <c r="B444" t="s">
        <v>673</v>
      </c>
    </row>
    <row r="445" spans="1:32" x14ac:dyDescent="0.3">
      <c r="A445" t="s">
        <v>174</v>
      </c>
      <c r="B445" t="s">
        <v>671</v>
      </c>
    </row>
    <row r="446" spans="1:32" x14ac:dyDescent="0.3">
      <c r="A446" s="24" t="s">
        <v>961</v>
      </c>
      <c r="B446" s="24" t="s">
        <v>961</v>
      </c>
    </row>
    <row r="447" spans="1:32" x14ac:dyDescent="0.3">
      <c r="A447" t="s">
        <v>615</v>
      </c>
      <c r="B447" t="s">
        <v>674</v>
      </c>
    </row>
    <row r="448" spans="1:32" x14ac:dyDescent="0.3">
      <c r="A448" t="s">
        <v>188</v>
      </c>
      <c r="B448" t="s">
        <v>670</v>
      </c>
    </row>
    <row r="449" spans="1:18" x14ac:dyDescent="0.3">
      <c r="A449" t="s">
        <v>879</v>
      </c>
      <c r="B449" t="s">
        <v>880</v>
      </c>
    </row>
    <row r="450" spans="1:18" x14ac:dyDescent="0.3">
      <c r="D450" s="24"/>
      <c r="E450" s="24"/>
      <c r="F450" s="24"/>
      <c r="G450" s="24"/>
    </row>
    <row r="451" spans="1:18" x14ac:dyDescent="0.3">
      <c r="A451" t="s">
        <v>149</v>
      </c>
      <c r="B451" t="s">
        <v>150</v>
      </c>
      <c r="D451" s="24"/>
      <c r="E451" s="24"/>
      <c r="F451" s="24"/>
      <c r="G451" s="24"/>
      <c r="O451" s="6"/>
      <c r="P451" s="6"/>
      <c r="Q451"/>
      <c r="R451"/>
    </row>
    <row r="452" spans="1:18" x14ac:dyDescent="0.3">
      <c r="A452" s="24" t="s">
        <v>616</v>
      </c>
      <c r="B452" s="24" t="s">
        <v>615</v>
      </c>
      <c r="D452" s="24"/>
      <c r="E452" s="24"/>
      <c r="F452" s="24"/>
      <c r="G452" s="24"/>
      <c r="O452" s="6"/>
      <c r="P452" s="6"/>
      <c r="Q452"/>
      <c r="R452"/>
    </row>
    <row r="453" spans="1:18" x14ac:dyDescent="0.3">
      <c r="A453" s="24" t="s">
        <v>614</v>
      </c>
      <c r="B453" s="24" t="s">
        <v>615</v>
      </c>
      <c r="D453" s="24"/>
      <c r="E453" s="24"/>
      <c r="F453" s="24"/>
      <c r="G453" s="24"/>
      <c r="O453" s="6"/>
      <c r="P453" s="6"/>
      <c r="Q453"/>
      <c r="R453"/>
    </row>
    <row r="454" spans="1:18" x14ac:dyDescent="0.3">
      <c r="A454" t="s">
        <v>590</v>
      </c>
      <c r="B454" t="s">
        <v>189</v>
      </c>
      <c r="D454" s="24"/>
      <c r="E454" s="24"/>
      <c r="F454" s="24"/>
      <c r="G454" s="24"/>
      <c r="O454" s="6"/>
      <c r="P454" s="6"/>
      <c r="Q454"/>
      <c r="R454"/>
    </row>
    <row r="455" spans="1:18" x14ac:dyDescent="0.3">
      <c r="A455" t="s">
        <v>587</v>
      </c>
      <c r="B455" t="s">
        <v>189</v>
      </c>
      <c r="D455" s="24"/>
      <c r="E455" s="24"/>
      <c r="F455" s="24"/>
      <c r="G455" s="24"/>
      <c r="O455" s="6"/>
      <c r="P455" s="6"/>
      <c r="Q455"/>
      <c r="R455"/>
    </row>
    <row r="456" spans="1:18" x14ac:dyDescent="0.3">
      <c r="A456" t="s">
        <v>556</v>
      </c>
      <c r="B456" t="s">
        <v>189</v>
      </c>
      <c r="D456" s="24"/>
      <c r="E456" s="24"/>
      <c r="F456" s="24"/>
      <c r="G456" s="24"/>
      <c r="O456" s="6"/>
      <c r="P456" s="6"/>
      <c r="Q456"/>
      <c r="R456"/>
    </row>
    <row r="457" spans="1:18" x14ac:dyDescent="0.3">
      <c r="A457" t="s">
        <v>558</v>
      </c>
      <c r="B457" t="s">
        <v>189</v>
      </c>
      <c r="D457" s="24"/>
      <c r="E457" s="24"/>
      <c r="F457" s="24"/>
      <c r="G457" s="24"/>
      <c r="O457" s="6"/>
      <c r="P457" s="6"/>
      <c r="Q457"/>
      <c r="R457"/>
    </row>
    <row r="458" spans="1:18" x14ac:dyDescent="0.3">
      <c r="A458" t="s">
        <v>559</v>
      </c>
      <c r="B458" t="s">
        <v>189</v>
      </c>
      <c r="D458" s="24"/>
      <c r="E458" s="24"/>
      <c r="F458" s="24"/>
      <c r="G458" s="24"/>
      <c r="O458" s="6"/>
      <c r="P458" s="6"/>
      <c r="Q458"/>
      <c r="R458"/>
    </row>
    <row r="459" spans="1:18" x14ac:dyDescent="0.3">
      <c r="A459" t="s">
        <v>569</v>
      </c>
      <c r="B459" t="s">
        <v>189</v>
      </c>
      <c r="D459" s="24"/>
      <c r="E459" s="24"/>
      <c r="F459" s="24"/>
      <c r="G459" s="24"/>
      <c r="O459" s="6"/>
      <c r="P459" s="6"/>
      <c r="Q459"/>
      <c r="R459"/>
    </row>
    <row r="460" spans="1:18" x14ac:dyDescent="0.3">
      <c r="A460" t="s">
        <v>586</v>
      </c>
      <c r="B460" t="s">
        <v>189</v>
      </c>
      <c r="D460" s="24"/>
      <c r="E460" s="24"/>
      <c r="F460" s="24"/>
      <c r="G460" s="24"/>
      <c r="O460" s="6"/>
      <c r="P460" s="6"/>
      <c r="Q460"/>
      <c r="R460"/>
    </row>
    <row r="461" spans="1:18" x14ac:dyDescent="0.3">
      <c r="A461" t="s">
        <v>588</v>
      </c>
      <c r="B461" t="s">
        <v>189</v>
      </c>
      <c r="D461" s="24"/>
      <c r="E461" s="24"/>
      <c r="F461" s="24"/>
      <c r="G461" s="24"/>
      <c r="O461" s="6"/>
      <c r="P461" s="6"/>
      <c r="Q461"/>
      <c r="R461"/>
    </row>
    <row r="462" spans="1:18" x14ac:dyDescent="0.3">
      <c r="A462" s="24" t="s">
        <v>927</v>
      </c>
      <c r="B462" s="24" t="s">
        <v>189</v>
      </c>
      <c r="D462" s="24"/>
      <c r="E462" s="24"/>
      <c r="F462" s="24"/>
      <c r="G462" s="24"/>
      <c r="O462" s="6"/>
      <c r="P462" s="6"/>
      <c r="Q462"/>
      <c r="R462"/>
    </row>
    <row r="463" spans="1:18" x14ac:dyDescent="0.3">
      <c r="A463" t="s">
        <v>392</v>
      </c>
      <c r="B463" t="s">
        <v>189</v>
      </c>
      <c r="D463" s="24"/>
      <c r="E463" s="24"/>
      <c r="F463" s="24"/>
      <c r="G463" s="24"/>
      <c r="O463" s="6"/>
      <c r="P463" s="6"/>
      <c r="Q463"/>
      <c r="R463"/>
    </row>
    <row r="464" spans="1:18" x14ac:dyDescent="0.3">
      <c r="A464" t="s">
        <v>687</v>
      </c>
      <c r="B464" t="s">
        <v>189</v>
      </c>
      <c r="D464" s="24"/>
      <c r="E464" s="24"/>
      <c r="F464" s="24"/>
      <c r="G464" s="24"/>
      <c r="O464" s="6"/>
      <c r="P464" s="6"/>
      <c r="Q464"/>
      <c r="R464"/>
    </row>
    <row r="465" spans="1:18" x14ac:dyDescent="0.3">
      <c r="A465" s="24" t="s">
        <v>931</v>
      </c>
      <c r="B465" s="24" t="s">
        <v>189</v>
      </c>
      <c r="D465" s="24"/>
      <c r="E465" s="24"/>
      <c r="F465" s="24"/>
      <c r="G465" s="24"/>
      <c r="O465" s="6"/>
      <c r="P465" s="6"/>
      <c r="Q465"/>
      <c r="R465"/>
    </row>
    <row r="466" spans="1:18" x14ac:dyDescent="0.3">
      <c r="A466" s="24" t="s">
        <v>928</v>
      </c>
      <c r="B466" s="24" t="s">
        <v>189</v>
      </c>
      <c r="D466" s="24"/>
      <c r="E466" s="24"/>
      <c r="F466" s="24"/>
      <c r="G466" s="24"/>
      <c r="O466" s="6"/>
      <c r="P466" s="6"/>
      <c r="Q466"/>
      <c r="R466"/>
    </row>
    <row r="467" spans="1:18" x14ac:dyDescent="0.3">
      <c r="A467" t="s">
        <v>585</v>
      </c>
      <c r="B467" t="s">
        <v>189</v>
      </c>
      <c r="D467" s="24"/>
      <c r="E467" s="24"/>
      <c r="F467" s="24"/>
      <c r="G467" s="24"/>
      <c r="O467" s="6"/>
      <c r="P467" s="6"/>
      <c r="Q467"/>
      <c r="R467"/>
    </row>
    <row r="468" spans="1:18" x14ac:dyDescent="0.3">
      <c r="A468" t="s">
        <v>582</v>
      </c>
      <c r="B468" t="s">
        <v>189</v>
      </c>
      <c r="D468" s="24"/>
      <c r="E468" s="24"/>
      <c r="F468" s="24"/>
      <c r="G468" s="24"/>
      <c r="O468" s="6"/>
      <c r="P468" s="6"/>
      <c r="Q468"/>
      <c r="R468"/>
    </row>
    <row r="469" spans="1:18" x14ac:dyDescent="0.3">
      <c r="A469" t="s">
        <v>581</v>
      </c>
      <c r="B469" t="s">
        <v>189</v>
      </c>
      <c r="D469" s="24"/>
      <c r="E469" s="24"/>
      <c r="F469" s="24"/>
      <c r="G469" s="24"/>
      <c r="O469" s="6"/>
      <c r="P469" s="6"/>
      <c r="Q469"/>
      <c r="R469"/>
    </row>
    <row r="470" spans="1:18" x14ac:dyDescent="0.3">
      <c r="A470" t="s">
        <v>579</v>
      </c>
      <c r="B470" t="s">
        <v>189</v>
      </c>
      <c r="D470" s="24"/>
      <c r="E470" s="24"/>
      <c r="F470" s="24"/>
      <c r="G470" s="24"/>
      <c r="O470" s="6"/>
      <c r="P470" s="6"/>
      <c r="Q470"/>
      <c r="R470"/>
    </row>
    <row r="471" spans="1:18" x14ac:dyDescent="0.3">
      <c r="A471" t="s">
        <v>395</v>
      </c>
      <c r="B471" t="s">
        <v>189</v>
      </c>
      <c r="D471" s="24"/>
      <c r="E471" s="24"/>
      <c r="F471" s="24"/>
      <c r="G471" s="24"/>
      <c r="O471" s="6"/>
      <c r="P471" s="6"/>
      <c r="Q471"/>
      <c r="R471"/>
    </row>
    <row r="472" spans="1:18" x14ac:dyDescent="0.3">
      <c r="A472" t="s">
        <v>690</v>
      </c>
      <c r="B472" t="s">
        <v>189</v>
      </c>
      <c r="D472" s="24"/>
      <c r="E472" s="24"/>
      <c r="F472" s="24"/>
      <c r="G472" s="24"/>
      <c r="O472" s="6"/>
      <c r="P472" s="6"/>
      <c r="Q472"/>
      <c r="R472"/>
    </row>
    <row r="473" spans="1:18" x14ac:dyDescent="0.3">
      <c r="A473" t="s">
        <v>394</v>
      </c>
      <c r="B473" t="s">
        <v>189</v>
      </c>
      <c r="D473" s="24"/>
      <c r="E473" s="24"/>
      <c r="F473" s="24"/>
      <c r="G473" s="24"/>
      <c r="O473" s="6"/>
      <c r="P473" s="6"/>
      <c r="Q473"/>
      <c r="R473"/>
    </row>
    <row r="474" spans="1:18" x14ac:dyDescent="0.3">
      <c r="A474" t="s">
        <v>689</v>
      </c>
      <c r="B474" t="s">
        <v>189</v>
      </c>
      <c r="D474" s="24"/>
      <c r="E474" s="24"/>
      <c r="F474" s="24"/>
      <c r="G474" s="24"/>
      <c r="O474" s="6"/>
      <c r="P474" s="6"/>
      <c r="Q474"/>
      <c r="R474"/>
    </row>
    <row r="475" spans="1:18" x14ac:dyDescent="0.3">
      <c r="A475" t="s">
        <v>634</v>
      </c>
      <c r="B475" t="s">
        <v>189</v>
      </c>
      <c r="D475" s="24"/>
      <c r="E475" s="24"/>
      <c r="F475" s="24"/>
      <c r="G475" s="24"/>
      <c r="O475" s="6"/>
      <c r="P475" s="6"/>
      <c r="Q475"/>
      <c r="R475"/>
    </row>
    <row r="476" spans="1:18" x14ac:dyDescent="0.3">
      <c r="A476" t="s">
        <v>574</v>
      </c>
      <c r="B476" t="s">
        <v>189</v>
      </c>
      <c r="D476" s="24"/>
      <c r="E476" s="24"/>
      <c r="F476" s="24"/>
      <c r="G476" s="24"/>
      <c r="O476" s="6"/>
      <c r="P476" s="6"/>
      <c r="Q476"/>
      <c r="R476"/>
    </row>
    <row r="477" spans="1:18" x14ac:dyDescent="0.3">
      <c r="A477" t="s">
        <v>576</v>
      </c>
      <c r="B477" t="s">
        <v>189</v>
      </c>
      <c r="D477" s="24"/>
      <c r="E477" s="24"/>
      <c r="F477" s="24"/>
      <c r="G477" s="24"/>
      <c r="O477" s="6"/>
      <c r="P477" s="6"/>
      <c r="Q477"/>
      <c r="R477"/>
    </row>
    <row r="478" spans="1:18" x14ac:dyDescent="0.3">
      <c r="A478" t="s">
        <v>583</v>
      </c>
      <c r="B478" t="s">
        <v>189</v>
      </c>
      <c r="D478" s="24"/>
      <c r="E478" s="24"/>
      <c r="F478" s="24"/>
      <c r="G478" s="24"/>
      <c r="O478" s="6"/>
      <c r="P478" s="6"/>
      <c r="Q478"/>
      <c r="R478"/>
    </row>
    <row r="479" spans="1:18" x14ac:dyDescent="0.3">
      <c r="A479" t="s">
        <v>580</v>
      </c>
      <c r="B479" t="s">
        <v>189</v>
      </c>
      <c r="D479" s="24"/>
      <c r="E479" s="24"/>
      <c r="F479" s="24"/>
      <c r="G479" s="24"/>
      <c r="O479" s="6"/>
      <c r="P479" s="6"/>
      <c r="Q479"/>
      <c r="R479"/>
    </row>
    <row r="480" spans="1:18" x14ac:dyDescent="0.3">
      <c r="A480" t="s">
        <v>560</v>
      </c>
      <c r="B480" t="s">
        <v>189</v>
      </c>
      <c r="D480" s="24"/>
      <c r="E480" s="24"/>
      <c r="F480" s="24"/>
      <c r="G480" s="24"/>
      <c r="O480" s="6"/>
      <c r="P480" s="6"/>
      <c r="Q480"/>
      <c r="R480"/>
    </row>
    <row r="481" spans="1:18" x14ac:dyDescent="0.3">
      <c r="A481" t="s">
        <v>575</v>
      </c>
      <c r="B481" t="s">
        <v>189</v>
      </c>
      <c r="D481" s="24"/>
      <c r="E481" s="24"/>
      <c r="F481" s="24"/>
      <c r="G481" s="24"/>
      <c r="O481" s="6"/>
      <c r="P481" s="6"/>
      <c r="Q481"/>
      <c r="R481"/>
    </row>
    <row r="482" spans="1:18" x14ac:dyDescent="0.3">
      <c r="A482" t="s">
        <v>573</v>
      </c>
      <c r="B482" t="s">
        <v>189</v>
      </c>
      <c r="D482" s="24"/>
      <c r="E482" s="24"/>
      <c r="F482" s="24"/>
      <c r="G482" s="24"/>
      <c r="O482" s="6"/>
      <c r="P482" s="6"/>
      <c r="Q482"/>
      <c r="R482"/>
    </row>
    <row r="483" spans="1:18" x14ac:dyDescent="0.3">
      <c r="A483" t="s">
        <v>632</v>
      </c>
      <c r="B483" t="s">
        <v>189</v>
      </c>
      <c r="D483" s="24"/>
      <c r="E483" s="24"/>
      <c r="F483" s="24"/>
      <c r="G483" s="24"/>
      <c r="O483" s="6"/>
      <c r="P483" s="6"/>
      <c r="Q483"/>
      <c r="R483"/>
    </row>
    <row r="484" spans="1:18" x14ac:dyDescent="0.3">
      <c r="A484" t="s">
        <v>571</v>
      </c>
      <c r="B484" t="s">
        <v>189</v>
      </c>
      <c r="D484" s="24"/>
      <c r="E484" s="24"/>
      <c r="F484" s="24"/>
      <c r="G484" s="24"/>
      <c r="O484" s="6"/>
      <c r="P484" s="6"/>
      <c r="Q484"/>
      <c r="R484"/>
    </row>
    <row r="485" spans="1:18" x14ac:dyDescent="0.3">
      <c r="A485" t="s">
        <v>570</v>
      </c>
      <c r="B485" t="s">
        <v>189</v>
      </c>
      <c r="D485" s="24"/>
      <c r="E485" s="24"/>
      <c r="F485" s="24"/>
      <c r="G485" s="24"/>
      <c r="O485" s="6"/>
      <c r="P485" s="6"/>
      <c r="Q485"/>
      <c r="R485"/>
    </row>
    <row r="486" spans="1:18" x14ac:dyDescent="0.3">
      <c r="A486" t="s">
        <v>566</v>
      </c>
      <c r="B486" t="s">
        <v>189</v>
      </c>
      <c r="D486" s="24"/>
      <c r="E486" s="24"/>
      <c r="F486" s="24"/>
      <c r="G486" s="24"/>
      <c r="O486" s="6"/>
      <c r="P486" s="6"/>
      <c r="Q486"/>
      <c r="R486"/>
    </row>
    <row r="487" spans="1:18" x14ac:dyDescent="0.3">
      <c r="A487" t="s">
        <v>360</v>
      </c>
      <c r="B487" t="s">
        <v>189</v>
      </c>
      <c r="D487" s="24"/>
      <c r="E487" s="24"/>
      <c r="F487" s="24"/>
      <c r="G487" s="24"/>
      <c r="O487" s="6"/>
      <c r="P487" s="6"/>
      <c r="Q487"/>
      <c r="R487"/>
    </row>
    <row r="488" spans="1:18" x14ac:dyDescent="0.3">
      <c r="A488" t="s">
        <v>684</v>
      </c>
      <c r="B488" t="s">
        <v>189</v>
      </c>
      <c r="D488" s="24"/>
      <c r="E488" s="24"/>
      <c r="F488" s="24"/>
      <c r="G488" s="24"/>
      <c r="O488" s="6"/>
      <c r="P488" s="6"/>
      <c r="Q488"/>
      <c r="R488"/>
    </row>
    <row r="489" spans="1:18" x14ac:dyDescent="0.3">
      <c r="A489" t="s">
        <v>562</v>
      </c>
      <c r="B489" t="s">
        <v>189</v>
      </c>
      <c r="D489" s="24"/>
      <c r="E489" s="24"/>
      <c r="F489" s="24"/>
      <c r="G489" s="24"/>
      <c r="O489" s="6"/>
      <c r="P489" s="6"/>
      <c r="Q489"/>
      <c r="R489"/>
    </row>
    <row r="490" spans="1:18" x14ac:dyDescent="0.3">
      <c r="A490" t="s">
        <v>362</v>
      </c>
      <c r="B490" t="s">
        <v>189</v>
      </c>
      <c r="D490" s="24"/>
      <c r="E490" s="24"/>
      <c r="F490" s="24"/>
      <c r="G490" s="24"/>
      <c r="O490" s="6"/>
      <c r="P490" s="6"/>
      <c r="Q490"/>
      <c r="R490"/>
    </row>
    <row r="491" spans="1:18" x14ac:dyDescent="0.3">
      <c r="A491" t="s">
        <v>685</v>
      </c>
      <c r="B491" t="s">
        <v>189</v>
      </c>
      <c r="D491" s="24"/>
      <c r="E491" s="24"/>
      <c r="F491" s="24"/>
      <c r="G491" s="24"/>
      <c r="O491" s="6"/>
      <c r="P491" s="6"/>
      <c r="Q491"/>
      <c r="R491"/>
    </row>
    <row r="492" spans="1:18" x14ac:dyDescent="0.3">
      <c r="A492" t="s">
        <v>555</v>
      </c>
      <c r="B492" t="s">
        <v>189</v>
      </c>
      <c r="D492" s="24"/>
      <c r="E492" s="24"/>
      <c r="F492" s="24"/>
      <c r="G492" s="24"/>
      <c r="O492" s="6"/>
      <c r="P492" s="6"/>
      <c r="Q492"/>
      <c r="R492"/>
    </row>
    <row r="493" spans="1:18" x14ac:dyDescent="0.3">
      <c r="A493" t="s">
        <v>568</v>
      </c>
      <c r="B493" t="s">
        <v>189</v>
      </c>
      <c r="D493" s="24"/>
      <c r="E493" s="24"/>
      <c r="F493" s="24"/>
      <c r="G493" s="24"/>
      <c r="O493" s="6"/>
      <c r="P493" s="6"/>
      <c r="Q493"/>
      <c r="R493"/>
    </row>
    <row r="494" spans="1:18" x14ac:dyDescent="0.3">
      <c r="A494" t="s">
        <v>565</v>
      </c>
      <c r="B494" t="s">
        <v>189</v>
      </c>
      <c r="D494" s="24"/>
      <c r="E494" s="24"/>
      <c r="F494" s="24"/>
      <c r="G494" s="24"/>
      <c r="O494" s="6"/>
      <c r="P494" s="6"/>
      <c r="Q494"/>
      <c r="R494"/>
    </row>
    <row r="495" spans="1:18" x14ac:dyDescent="0.3">
      <c r="A495" t="s">
        <v>577</v>
      </c>
      <c r="B495" t="s">
        <v>189</v>
      </c>
      <c r="D495" s="24"/>
      <c r="E495" s="24"/>
      <c r="F495" s="24"/>
      <c r="G495" s="24"/>
      <c r="O495" s="6"/>
      <c r="P495" s="6"/>
      <c r="Q495"/>
      <c r="R495"/>
    </row>
    <row r="496" spans="1:18" x14ac:dyDescent="0.3">
      <c r="A496" t="s">
        <v>578</v>
      </c>
      <c r="B496" t="s">
        <v>189</v>
      </c>
      <c r="D496" s="24"/>
      <c r="E496" s="24"/>
      <c r="F496" s="24"/>
      <c r="G496" s="24"/>
      <c r="O496" s="6"/>
      <c r="P496" s="6"/>
      <c r="Q496"/>
      <c r="R496"/>
    </row>
    <row r="497" spans="1:18" x14ac:dyDescent="0.3">
      <c r="A497" t="s">
        <v>567</v>
      </c>
      <c r="B497" t="s">
        <v>189</v>
      </c>
      <c r="D497" s="24"/>
      <c r="E497" s="24"/>
      <c r="F497" s="24"/>
      <c r="G497" s="24"/>
      <c r="O497" s="6"/>
      <c r="P497" s="6"/>
      <c r="Q497"/>
      <c r="R497"/>
    </row>
    <row r="498" spans="1:18" x14ac:dyDescent="0.3">
      <c r="A498" t="s">
        <v>584</v>
      </c>
      <c r="B498" t="s">
        <v>189</v>
      </c>
      <c r="D498" s="24"/>
      <c r="E498" s="24"/>
      <c r="F498" s="24"/>
      <c r="G498" s="24"/>
      <c r="O498" s="6"/>
      <c r="P498" s="6"/>
      <c r="Q498"/>
      <c r="R498"/>
    </row>
    <row r="499" spans="1:18" x14ac:dyDescent="0.3">
      <c r="A499" t="s">
        <v>564</v>
      </c>
      <c r="B499" t="s">
        <v>189</v>
      </c>
      <c r="D499" s="24"/>
      <c r="E499" s="24"/>
      <c r="F499" s="24"/>
      <c r="G499" s="24"/>
      <c r="O499" s="6"/>
      <c r="P499" s="6"/>
      <c r="Q499"/>
      <c r="R499"/>
    </row>
    <row r="500" spans="1:18" x14ac:dyDescent="0.3">
      <c r="A500" t="s">
        <v>557</v>
      </c>
      <c r="B500" t="s">
        <v>189</v>
      </c>
      <c r="D500" s="24"/>
      <c r="E500" s="24"/>
      <c r="F500" s="24"/>
      <c r="G500" s="24"/>
      <c r="O500" s="6"/>
      <c r="P500" s="6"/>
      <c r="Q500"/>
      <c r="R500"/>
    </row>
    <row r="501" spans="1:18" x14ac:dyDescent="0.3">
      <c r="A501" t="s">
        <v>589</v>
      </c>
      <c r="B501" t="s">
        <v>189</v>
      </c>
      <c r="D501" s="24"/>
      <c r="E501" s="24"/>
      <c r="F501" s="24"/>
      <c r="G501" s="24"/>
      <c r="O501" s="6"/>
      <c r="P501" s="6"/>
      <c r="Q501"/>
      <c r="R501"/>
    </row>
    <row r="502" spans="1:18" x14ac:dyDescent="0.3">
      <c r="A502" t="s">
        <v>572</v>
      </c>
      <c r="B502" t="s">
        <v>189</v>
      </c>
      <c r="D502" s="24"/>
      <c r="E502" s="24"/>
      <c r="F502" s="24"/>
      <c r="G502" s="24"/>
      <c r="O502" s="6"/>
      <c r="P502" s="6"/>
      <c r="Q502"/>
      <c r="R502"/>
    </row>
    <row r="503" spans="1:18" x14ac:dyDescent="0.3">
      <c r="A503" t="s">
        <v>384</v>
      </c>
      <c r="B503" t="s">
        <v>189</v>
      </c>
      <c r="D503" s="24"/>
      <c r="E503" s="24"/>
      <c r="F503" s="24"/>
      <c r="G503" s="24"/>
      <c r="O503" s="6"/>
      <c r="P503" s="6"/>
      <c r="Q503"/>
      <c r="R503"/>
    </row>
    <row r="504" spans="1:18" x14ac:dyDescent="0.3">
      <c r="A504" t="s">
        <v>686</v>
      </c>
      <c r="B504" t="s">
        <v>189</v>
      </c>
      <c r="D504" s="24"/>
      <c r="E504" s="24"/>
      <c r="F504" s="24"/>
      <c r="G504" s="24"/>
      <c r="O504" s="6"/>
      <c r="P504" s="6"/>
      <c r="Q504"/>
      <c r="R504"/>
    </row>
    <row r="505" spans="1:18" x14ac:dyDescent="0.3">
      <c r="A505" t="s">
        <v>563</v>
      </c>
      <c r="B505" t="s">
        <v>189</v>
      </c>
      <c r="D505" s="24"/>
      <c r="E505" s="24"/>
      <c r="F505" s="24"/>
      <c r="G505" s="24"/>
      <c r="O505" s="6"/>
      <c r="P505" s="6"/>
      <c r="Q505"/>
      <c r="R505"/>
    </row>
    <row r="506" spans="1:18" x14ac:dyDescent="0.3">
      <c r="A506" t="s">
        <v>561</v>
      </c>
      <c r="B506" t="s">
        <v>189</v>
      </c>
      <c r="D506" s="24"/>
      <c r="E506" s="24"/>
      <c r="F506" s="24"/>
      <c r="G506" s="24"/>
      <c r="O506" s="6"/>
      <c r="P506" s="6"/>
      <c r="Q506"/>
      <c r="R506"/>
    </row>
    <row r="507" spans="1:18" x14ac:dyDescent="0.3">
      <c r="A507" t="s">
        <v>393</v>
      </c>
      <c r="B507" t="s">
        <v>189</v>
      </c>
      <c r="D507" s="24"/>
      <c r="E507" s="24"/>
      <c r="F507" s="24"/>
      <c r="G507" s="24"/>
      <c r="O507" s="6"/>
      <c r="P507" s="6"/>
      <c r="Q507"/>
      <c r="R507"/>
    </row>
    <row r="508" spans="1:18" x14ac:dyDescent="0.3">
      <c r="A508" t="s">
        <v>688</v>
      </c>
      <c r="B508" t="s">
        <v>189</v>
      </c>
      <c r="D508" s="24"/>
      <c r="E508" s="24"/>
      <c r="F508" s="24"/>
      <c r="G508" s="24"/>
      <c r="O508" s="6"/>
      <c r="P508" s="6"/>
      <c r="Q508"/>
      <c r="R508"/>
    </row>
    <row r="509" spans="1:18" x14ac:dyDescent="0.3">
      <c r="A509" t="s">
        <v>552</v>
      </c>
      <c r="B509" t="s">
        <v>184</v>
      </c>
      <c r="D509" s="24"/>
      <c r="E509" s="24"/>
      <c r="F509" s="24"/>
      <c r="G509" s="24"/>
      <c r="O509" s="6"/>
      <c r="P509" s="6"/>
      <c r="Q509"/>
      <c r="R509"/>
    </row>
    <row r="510" spans="1:18" x14ac:dyDescent="0.3">
      <c r="A510" t="s">
        <v>549</v>
      </c>
      <c r="B510" t="s">
        <v>184</v>
      </c>
      <c r="D510" s="24"/>
      <c r="E510" s="24"/>
      <c r="F510" s="24"/>
      <c r="G510" s="24"/>
      <c r="O510" s="6"/>
      <c r="P510" s="6"/>
      <c r="Q510"/>
      <c r="R510"/>
    </row>
    <row r="511" spans="1:18" x14ac:dyDescent="0.3">
      <c r="A511" t="s">
        <v>540</v>
      </c>
      <c r="B511" t="s">
        <v>184</v>
      </c>
      <c r="D511" s="24"/>
      <c r="E511" s="24"/>
      <c r="F511" s="24"/>
      <c r="G511" s="24"/>
      <c r="O511" s="6"/>
      <c r="P511" s="6"/>
      <c r="Q511"/>
      <c r="R511"/>
    </row>
    <row r="512" spans="1:18" x14ac:dyDescent="0.3">
      <c r="A512" t="s">
        <v>544</v>
      </c>
      <c r="B512" t="s">
        <v>184</v>
      </c>
      <c r="D512" s="24"/>
      <c r="E512" s="24"/>
      <c r="F512" s="24"/>
      <c r="G512" s="24"/>
      <c r="O512" s="6"/>
      <c r="P512" s="6"/>
      <c r="Q512"/>
      <c r="R512"/>
    </row>
    <row r="513" spans="1:18" x14ac:dyDescent="0.3">
      <c r="A513" t="s">
        <v>531</v>
      </c>
      <c r="B513" t="s">
        <v>184</v>
      </c>
      <c r="D513" s="24"/>
      <c r="E513" s="24"/>
      <c r="F513" s="24"/>
      <c r="G513" s="24"/>
      <c r="O513" s="6"/>
      <c r="P513" s="6"/>
      <c r="Q513"/>
      <c r="R513"/>
    </row>
    <row r="514" spans="1:18" x14ac:dyDescent="0.3">
      <c r="A514" t="s">
        <v>546</v>
      </c>
      <c r="B514" t="s">
        <v>184</v>
      </c>
      <c r="D514" s="24"/>
      <c r="E514" s="24"/>
      <c r="F514" s="24"/>
      <c r="G514" s="24"/>
      <c r="O514" s="6"/>
      <c r="P514" s="6"/>
      <c r="Q514"/>
      <c r="R514"/>
    </row>
    <row r="515" spans="1:18" x14ac:dyDescent="0.3">
      <c r="A515" t="s">
        <v>622</v>
      </c>
      <c r="B515" t="s">
        <v>184</v>
      </c>
      <c r="D515" s="24"/>
      <c r="E515" s="24"/>
      <c r="F515" s="24"/>
      <c r="G515" s="24"/>
      <c r="O515" s="6"/>
      <c r="P515" s="6"/>
      <c r="Q515"/>
      <c r="R515"/>
    </row>
    <row r="516" spans="1:18" x14ac:dyDescent="0.3">
      <c r="A516" t="s">
        <v>528</v>
      </c>
      <c r="B516" t="s">
        <v>184</v>
      </c>
      <c r="D516" s="24"/>
      <c r="E516" s="24"/>
      <c r="F516" s="24"/>
      <c r="G516" s="24"/>
      <c r="O516" s="6"/>
      <c r="P516" s="6"/>
      <c r="Q516"/>
      <c r="R516"/>
    </row>
    <row r="517" spans="1:18" x14ac:dyDescent="0.3">
      <c r="A517" t="s">
        <v>548</v>
      </c>
      <c r="B517" t="s">
        <v>184</v>
      </c>
      <c r="D517" s="24"/>
      <c r="E517" s="24"/>
      <c r="F517" s="24"/>
      <c r="G517" s="24"/>
      <c r="O517" s="6"/>
      <c r="P517" s="6"/>
      <c r="Q517"/>
      <c r="R517"/>
    </row>
    <row r="518" spans="1:18" x14ac:dyDescent="0.3">
      <c r="A518" t="s">
        <v>551</v>
      </c>
      <c r="B518" t="s">
        <v>184</v>
      </c>
      <c r="D518" s="24"/>
      <c r="E518" s="24"/>
      <c r="F518" s="24"/>
      <c r="G518" s="24"/>
      <c r="O518" s="6"/>
      <c r="P518" s="6"/>
      <c r="Q518"/>
      <c r="R518"/>
    </row>
    <row r="519" spans="1:18" x14ac:dyDescent="0.3">
      <c r="A519" t="s">
        <v>539</v>
      </c>
      <c r="B519" t="s">
        <v>184</v>
      </c>
      <c r="D519" s="24"/>
      <c r="E519" s="24"/>
      <c r="F519" s="24"/>
      <c r="G519" s="24"/>
      <c r="O519" s="6"/>
      <c r="P519" s="6"/>
      <c r="Q519"/>
      <c r="R519"/>
    </row>
    <row r="520" spans="1:18" x14ac:dyDescent="0.3">
      <c r="A520" t="s">
        <v>383</v>
      </c>
      <c r="B520" t="s">
        <v>184</v>
      </c>
      <c r="D520" s="24"/>
      <c r="E520" s="24"/>
      <c r="F520" s="24"/>
      <c r="G520" s="24"/>
      <c r="O520" s="6"/>
      <c r="P520" s="6"/>
      <c r="Q520"/>
      <c r="R520"/>
    </row>
    <row r="521" spans="1:18" x14ac:dyDescent="0.3">
      <c r="A521" t="s">
        <v>694</v>
      </c>
      <c r="B521" t="s">
        <v>184</v>
      </c>
      <c r="D521" s="24"/>
      <c r="E521" s="24"/>
      <c r="F521" s="24"/>
      <c r="G521" s="24"/>
      <c r="O521" s="6"/>
      <c r="P521" s="6"/>
      <c r="Q521"/>
      <c r="R521"/>
    </row>
    <row r="522" spans="1:18" x14ac:dyDescent="0.3">
      <c r="A522" t="s">
        <v>390</v>
      </c>
      <c r="B522" t="s">
        <v>184</v>
      </c>
      <c r="D522" s="24"/>
      <c r="E522" s="24"/>
      <c r="F522" s="24"/>
      <c r="G522" s="24"/>
      <c r="O522" s="6"/>
      <c r="P522" s="6"/>
      <c r="Q522"/>
      <c r="R522"/>
    </row>
    <row r="523" spans="1:18" x14ac:dyDescent="0.3">
      <c r="A523" t="s">
        <v>695</v>
      </c>
      <c r="B523" t="s">
        <v>184</v>
      </c>
      <c r="D523" s="24"/>
      <c r="E523" s="24"/>
      <c r="F523" s="24"/>
      <c r="G523" s="24"/>
      <c r="O523" s="6"/>
      <c r="P523" s="6"/>
      <c r="Q523"/>
      <c r="R523"/>
    </row>
    <row r="524" spans="1:18" x14ac:dyDescent="0.3">
      <c r="A524" t="s">
        <v>529</v>
      </c>
      <c r="B524" t="s">
        <v>184</v>
      </c>
      <c r="D524" s="24"/>
      <c r="E524" s="24"/>
      <c r="F524" s="24"/>
      <c r="G524" s="24"/>
      <c r="O524" s="6"/>
      <c r="P524" s="6"/>
      <c r="Q524"/>
      <c r="R524"/>
    </row>
    <row r="525" spans="1:18" x14ac:dyDescent="0.3">
      <c r="A525" t="s">
        <v>633</v>
      </c>
      <c r="B525" t="s">
        <v>184</v>
      </c>
      <c r="D525" s="24"/>
      <c r="E525" s="24"/>
      <c r="F525" s="24"/>
      <c r="G525" s="24"/>
      <c r="O525" s="6"/>
      <c r="P525" s="6"/>
      <c r="Q525"/>
      <c r="R525"/>
    </row>
    <row r="526" spans="1:18" x14ac:dyDescent="0.3">
      <c r="A526" t="s">
        <v>530</v>
      </c>
      <c r="B526" t="s">
        <v>184</v>
      </c>
      <c r="D526" s="24"/>
      <c r="E526" s="24"/>
      <c r="F526" s="24"/>
      <c r="G526" s="24"/>
      <c r="O526" s="6"/>
      <c r="P526" s="6"/>
      <c r="Q526"/>
      <c r="R526"/>
    </row>
    <row r="527" spans="1:18" x14ac:dyDescent="0.3">
      <c r="A527" t="s">
        <v>391</v>
      </c>
      <c r="B527" t="s">
        <v>184</v>
      </c>
      <c r="D527" s="24"/>
      <c r="E527" s="24"/>
      <c r="F527" s="24"/>
      <c r="G527" s="24"/>
      <c r="O527" s="6"/>
      <c r="P527" s="6"/>
      <c r="Q527"/>
      <c r="R527"/>
    </row>
    <row r="528" spans="1:18" x14ac:dyDescent="0.3">
      <c r="A528" t="s">
        <v>696</v>
      </c>
      <c r="B528" t="s">
        <v>184</v>
      </c>
      <c r="D528" s="24"/>
      <c r="E528" s="24"/>
      <c r="F528" s="24"/>
      <c r="G528" s="24"/>
      <c r="O528" s="6"/>
      <c r="P528" s="6"/>
      <c r="Q528"/>
      <c r="R528"/>
    </row>
    <row r="529" spans="1:18" x14ac:dyDescent="0.3">
      <c r="A529" t="s">
        <v>537</v>
      </c>
      <c r="B529" t="s">
        <v>184</v>
      </c>
      <c r="D529" s="24"/>
      <c r="E529" s="24"/>
      <c r="F529" s="24"/>
      <c r="G529" s="24"/>
      <c r="O529" s="6"/>
      <c r="P529" s="6"/>
      <c r="Q529"/>
      <c r="R529"/>
    </row>
    <row r="530" spans="1:18" x14ac:dyDescent="0.3">
      <c r="A530" t="s">
        <v>541</v>
      </c>
      <c r="B530" t="s">
        <v>184</v>
      </c>
      <c r="D530" s="24"/>
      <c r="E530" s="24"/>
      <c r="F530" s="24"/>
      <c r="G530" s="24"/>
      <c r="O530" s="6"/>
      <c r="P530" s="6"/>
      <c r="Q530"/>
      <c r="R530"/>
    </row>
    <row r="531" spans="1:18" x14ac:dyDescent="0.3">
      <c r="A531" t="s">
        <v>625</v>
      </c>
      <c r="B531" t="s">
        <v>184</v>
      </c>
      <c r="D531" s="24"/>
      <c r="E531" s="24"/>
      <c r="F531" s="24"/>
      <c r="G531" s="24"/>
      <c r="O531" s="6"/>
      <c r="P531" s="6"/>
      <c r="Q531"/>
      <c r="R531"/>
    </row>
    <row r="532" spans="1:18" x14ac:dyDescent="0.3">
      <c r="A532" t="s">
        <v>535</v>
      </c>
      <c r="B532" t="s">
        <v>184</v>
      </c>
      <c r="D532" s="24"/>
      <c r="E532" s="24"/>
      <c r="F532" s="24"/>
      <c r="G532" s="24"/>
      <c r="O532" s="6"/>
      <c r="P532" s="6"/>
      <c r="Q532"/>
      <c r="R532"/>
    </row>
    <row r="533" spans="1:18" x14ac:dyDescent="0.3">
      <c r="A533" t="s">
        <v>547</v>
      </c>
      <c r="B533" t="s">
        <v>184</v>
      </c>
      <c r="D533" s="24"/>
      <c r="E533" s="24"/>
      <c r="F533" s="24"/>
      <c r="G533" s="24"/>
      <c r="O533" s="6"/>
      <c r="P533" s="6"/>
      <c r="Q533"/>
      <c r="R533"/>
    </row>
    <row r="534" spans="1:18" x14ac:dyDescent="0.3">
      <c r="A534" t="s">
        <v>554</v>
      </c>
      <c r="B534" t="s">
        <v>184</v>
      </c>
      <c r="D534" s="24"/>
      <c r="E534" s="24"/>
      <c r="F534" s="24"/>
      <c r="G534" s="24"/>
      <c r="O534" s="6"/>
      <c r="P534" s="6"/>
      <c r="Q534"/>
      <c r="R534"/>
    </row>
    <row r="535" spans="1:18" x14ac:dyDescent="0.3">
      <c r="A535" t="s">
        <v>702</v>
      </c>
      <c r="B535" t="s">
        <v>184</v>
      </c>
      <c r="D535" s="24"/>
      <c r="E535" s="24"/>
      <c r="F535" s="24"/>
      <c r="G535" s="24"/>
      <c r="O535" s="6"/>
      <c r="P535" s="6"/>
      <c r="Q535"/>
      <c r="R535"/>
    </row>
    <row r="536" spans="1:18" x14ac:dyDescent="0.3">
      <c r="A536" t="s">
        <v>542</v>
      </c>
      <c r="B536" t="s">
        <v>184</v>
      </c>
      <c r="D536" s="24"/>
      <c r="E536" s="24"/>
      <c r="F536" s="24"/>
      <c r="G536" s="24"/>
      <c r="O536" s="6"/>
      <c r="P536" s="6"/>
      <c r="Q536"/>
      <c r="R536"/>
    </row>
    <row r="537" spans="1:18" x14ac:dyDescent="0.3">
      <c r="A537" t="s">
        <v>543</v>
      </c>
      <c r="B537" t="s">
        <v>184</v>
      </c>
      <c r="D537" s="24"/>
      <c r="E537" s="24"/>
      <c r="F537" s="24"/>
      <c r="G537" s="24"/>
      <c r="O537" s="6"/>
      <c r="P537" s="6"/>
      <c r="Q537"/>
      <c r="R537"/>
    </row>
    <row r="538" spans="1:18" x14ac:dyDescent="0.3">
      <c r="A538" t="s">
        <v>618</v>
      </c>
      <c r="B538" t="s">
        <v>184</v>
      </c>
      <c r="D538" s="24"/>
      <c r="E538" s="24"/>
      <c r="F538" s="24"/>
      <c r="G538" s="24"/>
      <c r="O538" s="6"/>
      <c r="P538" s="6"/>
      <c r="Q538"/>
      <c r="R538"/>
    </row>
    <row r="539" spans="1:18" x14ac:dyDescent="0.3">
      <c r="A539" t="s">
        <v>538</v>
      </c>
      <c r="B539" t="s">
        <v>184</v>
      </c>
      <c r="D539" s="24"/>
      <c r="E539" s="24"/>
      <c r="F539" s="24"/>
      <c r="G539" s="24"/>
      <c r="O539" s="6"/>
      <c r="P539" s="6"/>
      <c r="Q539"/>
      <c r="R539"/>
    </row>
    <row r="540" spans="1:18" x14ac:dyDescent="0.3">
      <c r="A540" t="s">
        <v>527</v>
      </c>
      <c r="B540" t="s">
        <v>184</v>
      </c>
      <c r="D540" s="24"/>
      <c r="E540" s="24"/>
      <c r="F540" s="24"/>
      <c r="G540" s="24"/>
      <c r="O540" s="6"/>
      <c r="P540" s="6"/>
      <c r="Q540"/>
      <c r="R540"/>
    </row>
    <row r="541" spans="1:18" x14ac:dyDescent="0.3">
      <c r="A541" t="s">
        <v>525</v>
      </c>
      <c r="B541" t="s">
        <v>184</v>
      </c>
      <c r="D541" s="24"/>
      <c r="E541" s="24"/>
      <c r="F541" s="24"/>
      <c r="G541" s="24"/>
      <c r="O541" s="6"/>
      <c r="P541" s="6"/>
      <c r="Q541"/>
      <c r="R541"/>
    </row>
    <row r="542" spans="1:18" x14ac:dyDescent="0.3">
      <c r="A542" t="s">
        <v>359</v>
      </c>
      <c r="B542" t="s">
        <v>184</v>
      </c>
      <c r="D542" s="24"/>
      <c r="E542" s="24"/>
      <c r="F542" s="24"/>
      <c r="G542" s="24"/>
      <c r="O542" s="6"/>
      <c r="P542" s="6"/>
      <c r="Q542"/>
      <c r="R542"/>
    </row>
    <row r="543" spans="1:18" x14ac:dyDescent="0.3">
      <c r="A543" t="s">
        <v>691</v>
      </c>
      <c r="B543" t="s">
        <v>184</v>
      </c>
      <c r="D543" s="24"/>
      <c r="E543" s="24"/>
      <c r="F543" s="24"/>
      <c r="G543" s="24"/>
      <c r="O543" s="6"/>
      <c r="P543" s="6"/>
      <c r="Q543"/>
      <c r="R543"/>
    </row>
    <row r="544" spans="1:18" x14ac:dyDescent="0.3">
      <c r="A544" t="s">
        <v>550</v>
      </c>
      <c r="B544" t="s">
        <v>184</v>
      </c>
      <c r="D544" s="24"/>
      <c r="E544" s="24"/>
      <c r="F544" s="24"/>
      <c r="G544" s="24"/>
      <c r="O544" s="6"/>
      <c r="P544" s="6"/>
      <c r="Q544"/>
      <c r="R544"/>
    </row>
    <row r="545" spans="1:18" x14ac:dyDescent="0.3">
      <c r="A545" t="s">
        <v>532</v>
      </c>
      <c r="B545" t="s">
        <v>184</v>
      </c>
      <c r="D545" s="24"/>
      <c r="E545" s="24"/>
      <c r="F545" s="24"/>
      <c r="G545" s="24"/>
      <c r="O545" s="6"/>
      <c r="P545" s="6"/>
      <c r="Q545"/>
      <c r="R545"/>
    </row>
    <row r="546" spans="1:18" x14ac:dyDescent="0.3">
      <c r="A546" t="s">
        <v>635</v>
      </c>
      <c r="B546" t="s">
        <v>184</v>
      </c>
      <c r="D546" s="24"/>
      <c r="E546" s="24"/>
      <c r="F546" s="24"/>
      <c r="G546" s="24"/>
      <c r="O546" s="6"/>
      <c r="P546" s="6"/>
      <c r="Q546"/>
      <c r="R546"/>
    </row>
    <row r="547" spans="1:18" x14ac:dyDescent="0.3">
      <c r="A547" t="s">
        <v>636</v>
      </c>
      <c r="B547" t="s">
        <v>184</v>
      </c>
      <c r="D547" s="24"/>
      <c r="E547" s="24"/>
      <c r="F547" s="24"/>
      <c r="G547" s="24"/>
      <c r="O547" s="6"/>
      <c r="P547" s="6"/>
      <c r="Q547"/>
      <c r="R547"/>
    </row>
    <row r="548" spans="1:18" x14ac:dyDescent="0.3">
      <c r="A548" t="s">
        <v>526</v>
      </c>
      <c r="B548" t="s">
        <v>184</v>
      </c>
      <c r="D548" s="24"/>
      <c r="E548" s="24"/>
      <c r="F548" s="24"/>
      <c r="G548" s="24"/>
      <c r="O548" s="6"/>
      <c r="P548" s="6"/>
      <c r="Q548"/>
      <c r="R548"/>
    </row>
    <row r="549" spans="1:18" x14ac:dyDescent="0.3">
      <c r="A549" t="s">
        <v>536</v>
      </c>
      <c r="B549" t="s">
        <v>184</v>
      </c>
      <c r="D549" s="24"/>
      <c r="E549" s="24"/>
      <c r="F549" s="24"/>
      <c r="G549" s="24"/>
      <c r="O549" s="6"/>
      <c r="P549" s="6"/>
      <c r="Q549"/>
      <c r="R549"/>
    </row>
    <row r="550" spans="1:18" x14ac:dyDescent="0.3">
      <c r="A550" t="s">
        <v>381</v>
      </c>
      <c r="B550" t="s">
        <v>184</v>
      </c>
      <c r="D550" s="24"/>
      <c r="E550" s="24"/>
      <c r="F550" s="24"/>
      <c r="G550" s="24"/>
      <c r="O550" s="6"/>
      <c r="P550" s="6"/>
      <c r="Q550"/>
      <c r="R550"/>
    </row>
    <row r="551" spans="1:18" x14ac:dyDescent="0.3">
      <c r="A551" t="s">
        <v>692</v>
      </c>
      <c r="B551" t="s">
        <v>184</v>
      </c>
      <c r="D551" s="24"/>
      <c r="E551" s="24"/>
      <c r="F551" s="24"/>
      <c r="G551" s="24"/>
      <c r="O551" s="6"/>
      <c r="P551" s="6"/>
      <c r="Q551"/>
      <c r="R551"/>
    </row>
    <row r="552" spans="1:18" x14ac:dyDescent="0.3">
      <c r="A552" t="s">
        <v>553</v>
      </c>
      <c r="B552" t="s">
        <v>184</v>
      </c>
      <c r="D552" s="24"/>
      <c r="E552" s="24"/>
      <c r="F552" s="24"/>
      <c r="G552" s="24"/>
      <c r="O552" s="6"/>
      <c r="P552" s="6"/>
      <c r="Q552"/>
      <c r="R552"/>
    </row>
    <row r="553" spans="1:18" x14ac:dyDescent="0.3">
      <c r="A553" t="s">
        <v>873</v>
      </c>
      <c r="B553" t="s">
        <v>184</v>
      </c>
      <c r="D553" s="24"/>
      <c r="E553" s="24"/>
      <c r="F553" s="24"/>
      <c r="G553" s="24"/>
      <c r="O553" s="6"/>
      <c r="P553" s="6"/>
      <c r="Q553"/>
      <c r="R553"/>
    </row>
    <row r="554" spans="1:18" x14ac:dyDescent="0.3">
      <c r="A554" t="s">
        <v>545</v>
      </c>
      <c r="B554" t="s">
        <v>184</v>
      </c>
      <c r="D554" s="24"/>
      <c r="E554" s="24"/>
      <c r="F554" s="24"/>
      <c r="G554" s="24"/>
      <c r="O554" s="6"/>
      <c r="P554" s="6"/>
      <c r="Q554"/>
      <c r="R554"/>
    </row>
    <row r="555" spans="1:18" x14ac:dyDescent="0.3">
      <c r="A555" t="s">
        <v>533</v>
      </c>
      <c r="B555" t="s">
        <v>184</v>
      </c>
      <c r="D555" s="24"/>
      <c r="E555" s="24"/>
      <c r="F555" s="24"/>
      <c r="G555" s="24"/>
      <c r="O555" s="6"/>
      <c r="P555" s="6"/>
      <c r="Q555"/>
      <c r="R555"/>
    </row>
    <row r="556" spans="1:18" x14ac:dyDescent="0.3">
      <c r="A556" t="s">
        <v>534</v>
      </c>
      <c r="B556" t="s">
        <v>184</v>
      </c>
      <c r="D556" s="24"/>
      <c r="E556" s="24"/>
      <c r="F556" s="24"/>
      <c r="G556" s="24"/>
      <c r="O556" s="6"/>
      <c r="P556" s="6"/>
      <c r="Q556"/>
      <c r="R556"/>
    </row>
    <row r="557" spans="1:18" x14ac:dyDescent="0.3">
      <c r="A557" t="s">
        <v>382</v>
      </c>
      <c r="B557" t="s">
        <v>184</v>
      </c>
      <c r="D557" s="24"/>
      <c r="E557" s="24"/>
      <c r="F557" s="24"/>
      <c r="G557" s="24"/>
      <c r="O557" s="6"/>
      <c r="P557" s="6"/>
      <c r="Q557"/>
      <c r="R557"/>
    </row>
    <row r="558" spans="1:18" x14ac:dyDescent="0.3">
      <c r="A558" t="s">
        <v>693</v>
      </c>
      <c r="B558" t="s">
        <v>184</v>
      </c>
      <c r="D558" s="24"/>
      <c r="E558" s="24"/>
      <c r="F558" s="24"/>
      <c r="G558" s="24"/>
      <c r="O558" s="6"/>
      <c r="P558" s="6"/>
      <c r="Q558"/>
      <c r="R558"/>
    </row>
    <row r="559" spans="1:18" x14ac:dyDescent="0.3">
      <c r="A559" s="24" t="s">
        <v>929</v>
      </c>
      <c r="B559" s="24" t="s">
        <v>941</v>
      </c>
      <c r="D559" s="24"/>
      <c r="E559" s="24"/>
      <c r="F559" s="24"/>
      <c r="G559" s="24"/>
      <c r="O559" s="6"/>
      <c r="P559" s="6"/>
      <c r="Q559"/>
      <c r="R559"/>
    </row>
    <row r="560" spans="1:18" x14ac:dyDescent="0.3">
      <c r="A560" t="s">
        <v>388</v>
      </c>
      <c r="B560" t="s">
        <v>174</v>
      </c>
      <c r="D560" s="24"/>
      <c r="E560" s="24"/>
      <c r="F560" s="24"/>
      <c r="G560" s="24"/>
      <c r="O560" s="6"/>
      <c r="P560" s="6"/>
      <c r="Q560"/>
      <c r="R560"/>
    </row>
    <row r="561" spans="1:18" x14ac:dyDescent="0.3">
      <c r="A561" t="s">
        <v>701</v>
      </c>
      <c r="B561" t="s">
        <v>174</v>
      </c>
      <c r="D561" s="24"/>
      <c r="E561" s="24"/>
      <c r="F561" s="24"/>
      <c r="G561" s="24"/>
      <c r="O561" s="6"/>
      <c r="P561" s="6"/>
      <c r="Q561"/>
      <c r="R561"/>
    </row>
    <row r="562" spans="1:18" x14ac:dyDescent="0.3">
      <c r="A562" t="s">
        <v>379</v>
      </c>
      <c r="B562" t="s">
        <v>174</v>
      </c>
      <c r="D562" s="24"/>
      <c r="E562" s="24"/>
      <c r="F562" s="24"/>
      <c r="G562" s="24"/>
      <c r="O562" s="6"/>
      <c r="P562" s="6"/>
      <c r="Q562"/>
      <c r="R562"/>
    </row>
    <row r="563" spans="1:18" x14ac:dyDescent="0.3">
      <c r="A563" t="s">
        <v>699</v>
      </c>
      <c r="B563" t="s">
        <v>174</v>
      </c>
      <c r="D563" s="24"/>
      <c r="E563" s="24"/>
      <c r="F563" s="24"/>
      <c r="G563" s="24"/>
      <c r="O563" s="6"/>
      <c r="P563" s="6"/>
      <c r="Q563"/>
      <c r="R563"/>
    </row>
    <row r="564" spans="1:18" x14ac:dyDescent="0.3">
      <c r="A564" t="s">
        <v>513</v>
      </c>
      <c r="B564" t="s">
        <v>174</v>
      </c>
      <c r="D564" s="24"/>
      <c r="E564" s="24"/>
      <c r="F564" s="24"/>
      <c r="G564" s="24"/>
      <c r="O564" s="6"/>
      <c r="P564" s="6"/>
      <c r="Q564"/>
      <c r="R564"/>
    </row>
    <row r="565" spans="1:18" x14ac:dyDescent="0.3">
      <c r="A565" t="s">
        <v>380</v>
      </c>
      <c r="B565" t="s">
        <v>174</v>
      </c>
      <c r="D565" s="24"/>
      <c r="E565" s="24"/>
      <c r="F565" s="24"/>
      <c r="G565" s="24"/>
      <c r="O565" s="6"/>
      <c r="P565" s="6"/>
      <c r="Q565"/>
      <c r="R565"/>
    </row>
    <row r="566" spans="1:18" x14ac:dyDescent="0.3">
      <c r="A566" t="s">
        <v>700</v>
      </c>
      <c r="B566" t="s">
        <v>174</v>
      </c>
      <c r="D566" s="24"/>
      <c r="E566" s="24"/>
      <c r="F566" s="24"/>
      <c r="G566" s="24"/>
      <c r="O566" s="6"/>
      <c r="P566" s="6"/>
      <c r="Q566"/>
      <c r="R566"/>
    </row>
    <row r="567" spans="1:18" x14ac:dyDescent="0.3">
      <c r="A567" t="s">
        <v>499</v>
      </c>
      <c r="B567" t="s">
        <v>174</v>
      </c>
      <c r="D567" s="24"/>
      <c r="E567" s="24"/>
      <c r="F567" s="24"/>
      <c r="G567" s="24"/>
      <c r="O567" s="6"/>
      <c r="P567" s="6"/>
      <c r="Q567"/>
      <c r="R567"/>
    </row>
    <row r="568" spans="1:18" x14ac:dyDescent="0.3">
      <c r="A568" t="s">
        <v>492</v>
      </c>
      <c r="B568" t="s">
        <v>174</v>
      </c>
      <c r="D568" s="24"/>
      <c r="E568" s="24"/>
      <c r="F568" s="24"/>
      <c r="G568" s="24"/>
      <c r="O568" s="6"/>
      <c r="P568" s="6"/>
      <c r="Q568"/>
      <c r="R568"/>
    </row>
    <row r="569" spans="1:18" x14ac:dyDescent="0.3">
      <c r="A569" t="s">
        <v>501</v>
      </c>
      <c r="B569" t="s">
        <v>174</v>
      </c>
      <c r="D569" s="24"/>
      <c r="E569" s="24"/>
      <c r="F569" s="24"/>
      <c r="G569" s="24"/>
      <c r="O569" s="6"/>
      <c r="P569" s="6"/>
      <c r="Q569"/>
      <c r="R569"/>
    </row>
    <row r="570" spans="1:18" x14ac:dyDescent="0.3">
      <c r="A570" t="s">
        <v>508</v>
      </c>
      <c r="B570" t="s">
        <v>174</v>
      </c>
      <c r="D570" s="24"/>
      <c r="E570" s="24"/>
      <c r="F570" s="24"/>
      <c r="G570" s="24"/>
      <c r="O570" s="6"/>
      <c r="P570" s="6"/>
      <c r="Q570"/>
      <c r="R570"/>
    </row>
    <row r="571" spans="1:18" x14ac:dyDescent="0.3">
      <c r="A571" t="s">
        <v>518</v>
      </c>
      <c r="B571" t="s">
        <v>174</v>
      </c>
      <c r="D571" s="24"/>
      <c r="E571" s="24"/>
      <c r="F571" s="24"/>
      <c r="G571" s="24"/>
      <c r="O571" s="6"/>
      <c r="P571" s="6"/>
      <c r="Q571"/>
      <c r="R571"/>
    </row>
    <row r="572" spans="1:18" x14ac:dyDescent="0.3">
      <c r="A572" t="s">
        <v>498</v>
      </c>
      <c r="B572" t="s">
        <v>174</v>
      </c>
      <c r="D572" s="24"/>
      <c r="E572" s="24"/>
      <c r="F572" s="24"/>
      <c r="G572" s="24"/>
      <c r="O572" s="6"/>
      <c r="P572" s="6"/>
      <c r="Q572"/>
      <c r="R572"/>
    </row>
    <row r="573" spans="1:18" x14ac:dyDescent="0.3">
      <c r="A573" t="s">
        <v>489</v>
      </c>
      <c r="B573" t="s">
        <v>174</v>
      </c>
      <c r="D573" s="24"/>
      <c r="E573" s="24"/>
      <c r="F573" s="24"/>
      <c r="G573" s="24"/>
      <c r="O573" s="6"/>
      <c r="P573" s="6"/>
      <c r="Q573"/>
      <c r="R573"/>
    </row>
    <row r="574" spans="1:18" x14ac:dyDescent="0.3">
      <c r="A574" t="s">
        <v>494</v>
      </c>
      <c r="B574" t="s">
        <v>174</v>
      </c>
      <c r="D574" s="24"/>
      <c r="E574" s="24"/>
      <c r="F574" s="24"/>
      <c r="G574" s="24"/>
      <c r="O574" s="6"/>
      <c r="P574" s="6"/>
      <c r="Q574"/>
      <c r="R574"/>
    </row>
    <row r="575" spans="1:18" x14ac:dyDescent="0.3">
      <c r="A575" t="s">
        <v>495</v>
      </c>
      <c r="B575" t="s">
        <v>174</v>
      </c>
      <c r="D575" s="24"/>
      <c r="E575" s="24"/>
      <c r="F575" s="24"/>
      <c r="G575" s="24"/>
      <c r="O575" s="6"/>
      <c r="P575" s="6"/>
      <c r="Q575"/>
      <c r="R575"/>
    </row>
    <row r="576" spans="1:18" x14ac:dyDescent="0.3">
      <c r="A576" t="s">
        <v>521</v>
      </c>
      <c r="B576" t="s">
        <v>174</v>
      </c>
      <c r="D576" s="24"/>
      <c r="E576" s="24"/>
      <c r="F576" s="24"/>
      <c r="G576" s="24"/>
      <c r="O576" s="6"/>
      <c r="P576" s="6"/>
      <c r="Q576"/>
      <c r="R576"/>
    </row>
    <row r="577" spans="1:18" x14ac:dyDescent="0.3">
      <c r="A577" t="s">
        <v>523</v>
      </c>
      <c r="B577" t="s">
        <v>174</v>
      </c>
      <c r="D577" s="24"/>
      <c r="E577" s="24"/>
      <c r="F577" s="24"/>
      <c r="G577" s="24"/>
      <c r="O577" s="6"/>
      <c r="P577" s="6"/>
      <c r="Q577"/>
      <c r="R577"/>
    </row>
    <row r="578" spans="1:18" x14ac:dyDescent="0.3">
      <c r="A578" t="s">
        <v>524</v>
      </c>
      <c r="B578" t="s">
        <v>174</v>
      </c>
      <c r="D578" s="24"/>
      <c r="E578" s="24"/>
      <c r="F578" s="24"/>
      <c r="G578" s="24"/>
      <c r="O578" s="6"/>
      <c r="P578" s="6"/>
      <c r="Q578"/>
      <c r="R578"/>
    </row>
    <row r="579" spans="1:18" x14ac:dyDescent="0.3">
      <c r="A579" t="s">
        <v>517</v>
      </c>
      <c r="B579" t="s">
        <v>174</v>
      </c>
      <c r="D579" s="24"/>
      <c r="E579" s="24"/>
      <c r="F579" s="24"/>
      <c r="G579" s="24"/>
      <c r="O579" s="6"/>
      <c r="P579" s="6"/>
      <c r="Q579"/>
      <c r="R579"/>
    </row>
    <row r="580" spans="1:18" x14ac:dyDescent="0.3">
      <c r="A580" t="s">
        <v>497</v>
      </c>
      <c r="B580" t="s">
        <v>174</v>
      </c>
      <c r="D580" s="24"/>
      <c r="E580" s="24"/>
      <c r="F580" s="24"/>
      <c r="G580" s="24"/>
      <c r="O580" s="6"/>
      <c r="P580" s="6"/>
      <c r="Q580"/>
      <c r="R580"/>
    </row>
    <row r="581" spans="1:18" x14ac:dyDescent="0.3">
      <c r="A581" t="s">
        <v>519</v>
      </c>
      <c r="B581" t="s">
        <v>174</v>
      </c>
      <c r="D581" s="24"/>
      <c r="E581" s="24"/>
      <c r="F581" s="24"/>
      <c r="G581" s="24"/>
      <c r="O581" s="6"/>
      <c r="P581" s="6"/>
      <c r="Q581"/>
      <c r="R581"/>
    </row>
    <row r="582" spans="1:18" x14ac:dyDescent="0.3">
      <c r="A582" t="s">
        <v>514</v>
      </c>
      <c r="B582" t="s">
        <v>174</v>
      </c>
      <c r="D582" s="24"/>
      <c r="E582" s="24"/>
      <c r="F582" s="24"/>
      <c r="G582" s="24"/>
      <c r="O582" s="6"/>
      <c r="P582" s="6"/>
      <c r="Q582"/>
      <c r="R582"/>
    </row>
    <row r="583" spans="1:18" x14ac:dyDescent="0.3">
      <c r="A583" t="s">
        <v>500</v>
      </c>
      <c r="B583" t="s">
        <v>174</v>
      </c>
      <c r="D583" s="24"/>
      <c r="E583" s="24"/>
      <c r="F583" s="24"/>
      <c r="G583" s="24"/>
      <c r="O583" s="6"/>
      <c r="P583" s="6"/>
      <c r="Q583"/>
      <c r="R583"/>
    </row>
    <row r="584" spans="1:18" x14ac:dyDescent="0.3">
      <c r="A584" t="s">
        <v>617</v>
      </c>
      <c r="B584" t="s">
        <v>174</v>
      </c>
      <c r="D584" s="24"/>
      <c r="E584" s="24"/>
      <c r="F584" s="24"/>
      <c r="G584" s="24"/>
      <c r="O584" s="6"/>
      <c r="P584" s="6"/>
      <c r="Q584"/>
      <c r="R584"/>
    </row>
    <row r="585" spans="1:18" x14ac:dyDescent="0.3">
      <c r="A585" t="s">
        <v>491</v>
      </c>
      <c r="B585" t="s">
        <v>174</v>
      </c>
      <c r="D585" s="24"/>
      <c r="E585" s="24"/>
      <c r="F585" s="24"/>
      <c r="G585" s="24"/>
      <c r="O585" s="6"/>
      <c r="P585" s="6"/>
      <c r="Q585"/>
      <c r="R585"/>
    </row>
    <row r="586" spans="1:18" x14ac:dyDescent="0.3">
      <c r="A586" t="s">
        <v>631</v>
      </c>
      <c r="B586" t="s">
        <v>174</v>
      </c>
      <c r="D586" s="24"/>
      <c r="E586" s="24"/>
      <c r="F586" s="24"/>
      <c r="G586" s="24"/>
      <c r="O586" s="6"/>
      <c r="P586" s="6"/>
      <c r="Q586"/>
      <c r="R586"/>
    </row>
    <row r="587" spans="1:18" x14ac:dyDescent="0.3">
      <c r="A587" t="s">
        <v>510</v>
      </c>
      <c r="B587" t="s">
        <v>174</v>
      </c>
      <c r="D587" s="24"/>
      <c r="E587" s="24"/>
      <c r="F587" s="24"/>
      <c r="G587" s="24"/>
      <c r="O587" s="6"/>
      <c r="P587" s="6"/>
      <c r="Q587"/>
      <c r="R587"/>
    </row>
    <row r="588" spans="1:18" x14ac:dyDescent="0.3">
      <c r="A588" t="s">
        <v>504</v>
      </c>
      <c r="B588" t="s">
        <v>174</v>
      </c>
      <c r="D588" s="24"/>
      <c r="E588" s="24"/>
      <c r="F588" s="24"/>
      <c r="G588" s="24"/>
      <c r="O588" s="6"/>
      <c r="P588" s="6"/>
      <c r="Q588"/>
      <c r="R588"/>
    </row>
    <row r="589" spans="1:18" x14ac:dyDescent="0.3">
      <c r="A589" t="s">
        <v>515</v>
      </c>
      <c r="B589" t="s">
        <v>174</v>
      </c>
      <c r="D589" s="24"/>
      <c r="E589" s="24"/>
      <c r="F589" s="24"/>
      <c r="G589" s="24"/>
      <c r="O589" s="6"/>
      <c r="P589" s="6"/>
      <c r="Q589"/>
      <c r="R589"/>
    </row>
    <row r="590" spans="1:18" x14ac:dyDescent="0.3">
      <c r="A590" t="s">
        <v>408</v>
      </c>
      <c r="B590" t="s">
        <v>174</v>
      </c>
      <c r="D590" s="24"/>
      <c r="E590" s="24"/>
      <c r="F590" s="24"/>
      <c r="G590" s="24"/>
      <c r="O590" s="6"/>
      <c r="P590" s="6"/>
      <c r="Q590"/>
      <c r="R590"/>
    </row>
    <row r="591" spans="1:18" x14ac:dyDescent="0.3">
      <c r="A591" t="s">
        <v>707</v>
      </c>
      <c r="B591" t="s">
        <v>174</v>
      </c>
      <c r="D591" s="24"/>
      <c r="E591" s="24"/>
      <c r="F591" s="24"/>
      <c r="G591" s="24"/>
      <c r="O591" s="6"/>
      <c r="P591" s="6"/>
      <c r="Q591"/>
      <c r="R591"/>
    </row>
    <row r="592" spans="1:18" x14ac:dyDescent="0.3">
      <c r="A592" t="s">
        <v>493</v>
      </c>
      <c r="B592" t="s">
        <v>174</v>
      </c>
      <c r="D592" s="24"/>
      <c r="E592" s="24"/>
      <c r="F592" s="24"/>
      <c r="G592" s="24"/>
      <c r="O592" s="6"/>
      <c r="P592" s="6"/>
      <c r="Q592"/>
      <c r="R592"/>
    </row>
    <row r="593" spans="1:18" x14ac:dyDescent="0.3">
      <c r="A593" t="s">
        <v>399</v>
      </c>
      <c r="B593" t="s">
        <v>174</v>
      </c>
      <c r="D593" s="24"/>
      <c r="E593" s="24"/>
      <c r="F593" s="24"/>
      <c r="G593" s="24"/>
      <c r="O593" s="6"/>
      <c r="P593" s="6"/>
      <c r="Q593"/>
      <c r="R593"/>
    </row>
    <row r="594" spans="1:18" x14ac:dyDescent="0.3">
      <c r="A594" t="s">
        <v>703</v>
      </c>
      <c r="B594" t="s">
        <v>174</v>
      </c>
      <c r="D594" s="24"/>
      <c r="E594" s="24"/>
      <c r="F594" s="24"/>
      <c r="G594" s="24"/>
      <c r="O594" s="6"/>
      <c r="P594" s="6"/>
      <c r="Q594"/>
      <c r="R594"/>
    </row>
    <row r="595" spans="1:18" x14ac:dyDescent="0.3">
      <c r="A595" t="s">
        <v>735</v>
      </c>
      <c r="B595" t="s">
        <v>174</v>
      </c>
      <c r="D595" s="24"/>
      <c r="E595" s="24"/>
      <c r="F595" s="24"/>
      <c r="G595" s="24"/>
      <c r="O595" s="6"/>
      <c r="P595" s="6"/>
      <c r="Q595"/>
      <c r="R595"/>
    </row>
    <row r="596" spans="1:18" x14ac:dyDescent="0.3">
      <c r="A596" t="s">
        <v>734</v>
      </c>
      <c r="B596" t="s">
        <v>174</v>
      </c>
      <c r="D596" s="24"/>
      <c r="E596" s="24"/>
      <c r="F596" s="24"/>
      <c r="G596" s="24"/>
      <c r="O596" s="6"/>
      <c r="P596" s="6"/>
      <c r="Q596"/>
      <c r="R596"/>
    </row>
    <row r="597" spans="1:18" x14ac:dyDescent="0.3">
      <c r="A597" t="s">
        <v>378</v>
      </c>
      <c r="B597" t="s">
        <v>174</v>
      </c>
      <c r="D597" s="24"/>
      <c r="E597" s="24"/>
      <c r="F597" s="24"/>
      <c r="G597" s="24"/>
      <c r="O597" s="6"/>
      <c r="P597" s="6"/>
      <c r="Q597"/>
      <c r="R597"/>
    </row>
    <row r="598" spans="1:18" x14ac:dyDescent="0.3">
      <c r="A598" t="s">
        <v>698</v>
      </c>
      <c r="B598" t="s">
        <v>174</v>
      </c>
      <c r="D598" s="24"/>
      <c r="E598" s="24"/>
      <c r="F598" s="24"/>
      <c r="G598" s="24"/>
      <c r="O598" s="6"/>
      <c r="P598" s="6"/>
      <c r="Q598"/>
      <c r="R598"/>
    </row>
    <row r="599" spans="1:18" x14ac:dyDescent="0.3">
      <c r="A599" t="s">
        <v>506</v>
      </c>
      <c r="B599" t="s">
        <v>174</v>
      </c>
      <c r="D599" s="24"/>
      <c r="E599" s="24"/>
      <c r="F599" s="24"/>
      <c r="G599" s="24"/>
      <c r="O599" s="6"/>
      <c r="P599" s="6"/>
      <c r="Q599"/>
      <c r="R599"/>
    </row>
    <row r="600" spans="1:18" x14ac:dyDescent="0.3">
      <c r="A600" t="s">
        <v>520</v>
      </c>
      <c r="B600" t="s">
        <v>174</v>
      </c>
      <c r="D600" s="24"/>
      <c r="E600" s="24"/>
      <c r="F600" s="24"/>
      <c r="G600" s="24"/>
      <c r="O600" s="6"/>
      <c r="P600" s="6"/>
      <c r="Q600"/>
      <c r="R600"/>
    </row>
    <row r="601" spans="1:18" x14ac:dyDescent="0.3">
      <c r="A601" t="s">
        <v>505</v>
      </c>
      <c r="B601" t="s">
        <v>174</v>
      </c>
      <c r="D601" s="24"/>
      <c r="E601" s="24"/>
      <c r="F601" s="24"/>
      <c r="G601" s="24"/>
      <c r="O601" s="6"/>
      <c r="P601" s="6"/>
      <c r="Q601"/>
      <c r="R601"/>
    </row>
    <row r="602" spans="1:18" x14ac:dyDescent="0.3">
      <c r="A602" t="s">
        <v>389</v>
      </c>
      <c r="B602" t="s">
        <v>174</v>
      </c>
      <c r="D602" s="24"/>
      <c r="E602" s="24"/>
      <c r="F602" s="24"/>
      <c r="G602" s="24"/>
      <c r="O602" s="6"/>
      <c r="P602" s="6"/>
      <c r="Q602"/>
      <c r="R602"/>
    </row>
    <row r="603" spans="1:18" x14ac:dyDescent="0.3">
      <c r="A603" t="s">
        <v>516</v>
      </c>
      <c r="B603" t="s">
        <v>174</v>
      </c>
      <c r="D603" s="24"/>
      <c r="E603" s="24"/>
      <c r="F603" s="24"/>
      <c r="G603" s="24"/>
      <c r="O603" s="6"/>
      <c r="P603" s="6"/>
      <c r="Q603"/>
      <c r="R603"/>
    </row>
    <row r="604" spans="1:18" x14ac:dyDescent="0.3">
      <c r="A604" t="s">
        <v>503</v>
      </c>
      <c r="B604" t="s">
        <v>174</v>
      </c>
      <c r="D604" s="24"/>
      <c r="E604" s="24"/>
      <c r="F604" s="24"/>
      <c r="G604" s="24"/>
      <c r="O604" s="6"/>
      <c r="P604" s="6"/>
      <c r="Q604"/>
      <c r="R604"/>
    </row>
    <row r="605" spans="1:18" x14ac:dyDescent="0.3">
      <c r="A605" t="s">
        <v>512</v>
      </c>
      <c r="B605" t="s">
        <v>174</v>
      </c>
      <c r="D605" s="24"/>
      <c r="E605" s="24"/>
      <c r="F605" s="24"/>
      <c r="G605" s="24"/>
      <c r="O605" s="6"/>
      <c r="P605" s="6"/>
      <c r="Q605"/>
      <c r="R605"/>
    </row>
    <row r="606" spans="1:18" x14ac:dyDescent="0.3">
      <c r="A606" t="s">
        <v>413</v>
      </c>
      <c r="B606" t="s">
        <v>174</v>
      </c>
      <c r="D606" s="24"/>
      <c r="E606" s="24"/>
      <c r="F606" s="24"/>
      <c r="G606" s="24"/>
      <c r="O606" s="6"/>
      <c r="P606" s="6"/>
      <c r="Q606"/>
      <c r="R606"/>
    </row>
    <row r="607" spans="1:18" x14ac:dyDescent="0.3">
      <c r="A607" t="s">
        <v>708</v>
      </c>
      <c r="B607" t="s">
        <v>174</v>
      </c>
      <c r="D607" s="24"/>
      <c r="E607" s="24"/>
      <c r="F607" s="24"/>
      <c r="G607" s="24"/>
      <c r="O607" s="6"/>
      <c r="P607" s="6"/>
      <c r="Q607"/>
      <c r="R607"/>
    </row>
    <row r="608" spans="1:18" x14ac:dyDescent="0.3">
      <c r="A608" t="s">
        <v>400</v>
      </c>
      <c r="B608" t="s">
        <v>174</v>
      </c>
      <c r="D608" s="24"/>
      <c r="E608" s="24"/>
      <c r="F608" s="24"/>
      <c r="G608" s="24"/>
      <c r="O608" s="6"/>
      <c r="P608" s="6"/>
      <c r="Q608"/>
      <c r="R608"/>
    </row>
    <row r="609" spans="1:18" x14ac:dyDescent="0.3">
      <c r="A609" t="s">
        <v>704</v>
      </c>
      <c r="B609" t="s">
        <v>174</v>
      </c>
      <c r="D609" s="24"/>
      <c r="E609" s="24"/>
      <c r="F609" s="24"/>
      <c r="G609" s="24"/>
      <c r="O609" s="6"/>
      <c r="P609" s="6"/>
      <c r="Q609"/>
      <c r="R609"/>
    </row>
    <row r="610" spans="1:18" x14ac:dyDescent="0.3">
      <c r="A610" t="s">
        <v>487</v>
      </c>
      <c r="B610" t="s">
        <v>174</v>
      </c>
      <c r="D610" s="24"/>
      <c r="E610" s="24"/>
      <c r="F610" s="24"/>
      <c r="G610" s="24"/>
      <c r="O610" s="6"/>
      <c r="P610" s="6"/>
      <c r="Q610"/>
      <c r="R610"/>
    </row>
    <row r="611" spans="1:18" x14ac:dyDescent="0.3">
      <c r="A611" t="s">
        <v>490</v>
      </c>
      <c r="B611" t="s">
        <v>174</v>
      </c>
      <c r="D611" s="24"/>
      <c r="E611" s="24"/>
      <c r="F611" s="24"/>
      <c r="G611" s="24"/>
      <c r="O611" s="6"/>
      <c r="P611" s="6"/>
      <c r="Q611"/>
      <c r="R611"/>
    </row>
    <row r="612" spans="1:18" x14ac:dyDescent="0.3">
      <c r="A612" t="s">
        <v>401</v>
      </c>
      <c r="B612" t="s">
        <v>174</v>
      </c>
      <c r="D612" s="24"/>
      <c r="E612" s="24"/>
      <c r="F612" s="24"/>
      <c r="G612" s="24"/>
      <c r="O612" s="6"/>
      <c r="P612" s="6"/>
      <c r="Q612"/>
      <c r="R612"/>
    </row>
    <row r="613" spans="1:18" x14ac:dyDescent="0.3">
      <c r="A613" t="s">
        <v>705</v>
      </c>
      <c r="B613" t="s">
        <v>174</v>
      </c>
      <c r="D613" s="24"/>
      <c r="E613" s="24"/>
      <c r="F613" s="24"/>
      <c r="G613" s="24"/>
      <c r="O613" s="6"/>
      <c r="P613" s="6"/>
      <c r="Q613"/>
      <c r="R613"/>
    </row>
    <row r="614" spans="1:18" x14ac:dyDescent="0.3">
      <c r="A614" t="s">
        <v>621</v>
      </c>
      <c r="B614" t="s">
        <v>174</v>
      </c>
      <c r="D614" s="24"/>
      <c r="E614" s="24"/>
      <c r="F614" s="24"/>
      <c r="G614" s="24"/>
      <c r="O614" s="6"/>
      <c r="P614" s="6"/>
      <c r="Q614"/>
      <c r="R614"/>
    </row>
    <row r="615" spans="1:18" x14ac:dyDescent="0.3">
      <c r="A615" t="s">
        <v>488</v>
      </c>
      <c r="B615" t="s">
        <v>174</v>
      </c>
      <c r="D615" s="24"/>
      <c r="E615" s="24"/>
      <c r="F615" s="24"/>
      <c r="G615" s="24"/>
      <c r="O615" s="6"/>
      <c r="P615" s="6"/>
      <c r="Q615"/>
      <c r="R615"/>
    </row>
    <row r="616" spans="1:18" x14ac:dyDescent="0.3">
      <c r="A616" t="s">
        <v>509</v>
      </c>
      <c r="B616" t="s">
        <v>174</v>
      </c>
      <c r="D616" s="24"/>
      <c r="E616" s="24"/>
      <c r="F616" s="24"/>
      <c r="G616" s="24"/>
      <c r="O616" s="6"/>
      <c r="P616" s="6"/>
      <c r="Q616"/>
      <c r="R616"/>
    </row>
    <row r="617" spans="1:18" x14ac:dyDescent="0.3">
      <c r="A617" t="s">
        <v>627</v>
      </c>
      <c r="B617" t="s">
        <v>174</v>
      </c>
      <c r="D617" s="24"/>
      <c r="E617" s="24"/>
      <c r="F617" s="24"/>
      <c r="G617" s="24"/>
      <c r="O617" s="6"/>
      <c r="P617" s="6"/>
      <c r="Q617"/>
      <c r="R617"/>
    </row>
    <row r="618" spans="1:18" x14ac:dyDescent="0.3">
      <c r="A618" t="s">
        <v>358</v>
      </c>
      <c r="B618" t="s">
        <v>174</v>
      </c>
      <c r="D618" s="24"/>
      <c r="E618" s="24"/>
      <c r="F618" s="24"/>
      <c r="G618" s="24"/>
      <c r="O618" s="6"/>
      <c r="P618" s="6"/>
      <c r="Q618"/>
      <c r="R618"/>
    </row>
    <row r="619" spans="1:18" x14ac:dyDescent="0.3">
      <c r="A619" t="s">
        <v>697</v>
      </c>
      <c r="B619" t="s">
        <v>174</v>
      </c>
      <c r="D619" s="24"/>
      <c r="E619" s="24"/>
      <c r="F619" s="24"/>
      <c r="G619" s="24"/>
      <c r="O619" s="6"/>
      <c r="P619" s="6"/>
      <c r="Q619"/>
      <c r="R619"/>
    </row>
    <row r="620" spans="1:18" x14ac:dyDescent="0.3">
      <c r="A620" s="24" t="s">
        <v>932</v>
      </c>
      <c r="B620" s="24" t="s">
        <v>174</v>
      </c>
      <c r="D620" s="24"/>
      <c r="E620" s="24"/>
      <c r="F620" s="24"/>
      <c r="G620" s="24"/>
      <c r="O620" s="6"/>
      <c r="P620" s="6"/>
      <c r="Q620"/>
      <c r="R620"/>
    </row>
    <row r="621" spans="1:18" x14ac:dyDescent="0.3">
      <c r="A621" t="s">
        <v>407</v>
      </c>
      <c r="B621" t="s">
        <v>174</v>
      </c>
      <c r="D621" s="24"/>
      <c r="E621" s="24"/>
      <c r="F621" s="24"/>
      <c r="G621" s="24"/>
      <c r="O621" s="6"/>
      <c r="P621" s="6"/>
      <c r="Q621"/>
      <c r="R621"/>
    </row>
    <row r="622" spans="1:18" x14ac:dyDescent="0.3">
      <c r="A622" t="s">
        <v>706</v>
      </c>
      <c r="B622" t="s">
        <v>174</v>
      </c>
      <c r="D622" s="24"/>
      <c r="E622" s="24"/>
      <c r="F622" s="24"/>
      <c r="G622" s="24"/>
      <c r="O622" s="6"/>
      <c r="P622" s="6"/>
      <c r="Q622"/>
      <c r="R622"/>
    </row>
    <row r="623" spans="1:18" x14ac:dyDescent="0.3">
      <c r="A623" t="s">
        <v>496</v>
      </c>
      <c r="B623" t="s">
        <v>174</v>
      </c>
      <c r="D623" s="24"/>
      <c r="E623" s="24"/>
      <c r="F623" s="24"/>
      <c r="G623" s="24"/>
      <c r="O623" s="6"/>
      <c r="P623" s="6"/>
      <c r="Q623"/>
      <c r="R623"/>
    </row>
    <row r="624" spans="1:18" x14ac:dyDescent="0.3">
      <c r="A624" t="s">
        <v>522</v>
      </c>
      <c r="B624" t="s">
        <v>174</v>
      </c>
      <c r="D624" s="24"/>
      <c r="E624" s="24"/>
      <c r="F624" s="24"/>
      <c r="G624" s="24"/>
      <c r="O624" s="6"/>
      <c r="P624" s="6"/>
      <c r="Q624"/>
      <c r="R624"/>
    </row>
    <row r="625" spans="1:18" x14ac:dyDescent="0.3">
      <c r="A625" t="s">
        <v>511</v>
      </c>
      <c r="B625" t="s">
        <v>174</v>
      </c>
      <c r="D625" s="24"/>
      <c r="E625" s="24"/>
      <c r="F625" s="24"/>
      <c r="G625" s="24"/>
      <c r="O625" s="6"/>
      <c r="P625" s="6"/>
      <c r="Q625"/>
      <c r="R625"/>
    </row>
    <row r="626" spans="1:18" x14ac:dyDescent="0.3">
      <c r="A626" t="s">
        <v>507</v>
      </c>
      <c r="B626" t="s">
        <v>174</v>
      </c>
      <c r="D626" s="24"/>
      <c r="E626" s="24"/>
      <c r="F626" s="24"/>
      <c r="G626" s="24"/>
      <c r="O626" s="6"/>
      <c r="P626" s="6"/>
      <c r="Q626"/>
      <c r="R626"/>
    </row>
    <row r="627" spans="1:18" x14ac:dyDescent="0.3">
      <c r="A627" t="s">
        <v>502</v>
      </c>
      <c r="B627" t="s">
        <v>174</v>
      </c>
      <c r="D627" s="24"/>
      <c r="E627" s="24"/>
      <c r="F627" s="24"/>
      <c r="G627" s="24"/>
      <c r="O627" s="6"/>
      <c r="P627" s="6"/>
      <c r="Q627"/>
      <c r="R627"/>
    </row>
    <row r="628" spans="1:18" x14ac:dyDescent="0.3">
      <c r="A628" t="s">
        <v>877</v>
      </c>
      <c r="B628" t="s">
        <v>174</v>
      </c>
      <c r="D628" s="24"/>
      <c r="E628" s="24"/>
      <c r="F628" s="24"/>
      <c r="G628" s="24"/>
      <c r="O628" s="6"/>
      <c r="P628" s="6"/>
      <c r="Q628"/>
      <c r="R628"/>
    </row>
    <row r="629" spans="1:18" x14ac:dyDescent="0.3">
      <c r="A629" t="s">
        <v>600</v>
      </c>
      <c r="B629" t="s">
        <v>368</v>
      </c>
      <c r="D629" s="24"/>
      <c r="E629" s="24"/>
      <c r="F629" s="24"/>
      <c r="G629" s="24"/>
      <c r="O629" s="6"/>
      <c r="P629" s="6"/>
      <c r="Q629"/>
      <c r="R629"/>
    </row>
    <row r="630" spans="1:18" x14ac:dyDescent="0.3">
      <c r="A630" t="s">
        <v>596</v>
      </c>
      <c r="B630" t="s">
        <v>368</v>
      </c>
      <c r="D630" s="24"/>
      <c r="E630" s="24"/>
      <c r="F630" s="24"/>
      <c r="G630" s="24"/>
      <c r="O630" s="6"/>
      <c r="P630" s="6"/>
      <c r="Q630"/>
      <c r="R630"/>
    </row>
    <row r="631" spans="1:18" x14ac:dyDescent="0.3">
      <c r="A631" t="s">
        <v>863</v>
      </c>
      <c r="B631" t="s">
        <v>368</v>
      </c>
      <c r="D631" s="24"/>
      <c r="E631" s="24"/>
      <c r="F631" s="24"/>
      <c r="G631" s="24"/>
      <c r="O631" s="6"/>
      <c r="P631" s="6"/>
      <c r="Q631"/>
      <c r="R631"/>
    </row>
    <row r="632" spans="1:18" x14ac:dyDescent="0.3">
      <c r="A632" t="s">
        <v>593</v>
      </c>
      <c r="B632" t="s">
        <v>368</v>
      </c>
      <c r="D632" s="24"/>
      <c r="E632" s="24"/>
      <c r="F632" s="24"/>
      <c r="G632" s="24"/>
      <c r="O632" s="6"/>
      <c r="P632" s="6"/>
      <c r="Q632"/>
      <c r="R632"/>
    </row>
    <row r="633" spans="1:18" x14ac:dyDescent="0.3">
      <c r="A633" t="s">
        <v>606</v>
      </c>
      <c r="B633" t="s">
        <v>368</v>
      </c>
      <c r="D633" s="24"/>
      <c r="E633" s="24"/>
      <c r="F633" s="24"/>
      <c r="G633" s="24"/>
      <c r="O633" s="6"/>
      <c r="P633" s="6"/>
      <c r="Q633"/>
      <c r="R633"/>
    </row>
    <row r="634" spans="1:18" x14ac:dyDescent="0.3">
      <c r="A634" t="s">
        <v>630</v>
      </c>
      <c r="B634" t="s">
        <v>368</v>
      </c>
      <c r="D634" s="24"/>
      <c r="E634" s="24"/>
      <c r="F634" s="24"/>
      <c r="G634" s="24"/>
      <c r="O634" s="6"/>
      <c r="P634" s="6"/>
      <c r="Q634"/>
      <c r="R634"/>
    </row>
    <row r="635" spans="1:18" x14ac:dyDescent="0.3">
      <c r="A635" t="s">
        <v>599</v>
      </c>
      <c r="B635" t="s">
        <v>368</v>
      </c>
      <c r="D635" s="24"/>
      <c r="E635" s="24"/>
      <c r="F635" s="24"/>
      <c r="G635" s="24"/>
      <c r="O635" s="6"/>
      <c r="P635" s="6"/>
      <c r="Q635"/>
      <c r="R635"/>
    </row>
    <row r="636" spans="1:18" x14ac:dyDescent="0.3">
      <c r="A636" t="s">
        <v>605</v>
      </c>
      <c r="B636" t="s">
        <v>368</v>
      </c>
      <c r="D636" s="24"/>
      <c r="E636" s="24"/>
      <c r="F636" s="24"/>
      <c r="G636" s="24"/>
      <c r="O636" s="6"/>
      <c r="P636" s="6"/>
      <c r="Q636"/>
      <c r="R636"/>
    </row>
    <row r="637" spans="1:18" x14ac:dyDescent="0.3">
      <c r="A637" t="s">
        <v>624</v>
      </c>
      <c r="B637" t="s">
        <v>368</v>
      </c>
      <c r="D637" s="24"/>
      <c r="E637" s="24"/>
      <c r="F637" s="24"/>
      <c r="G637" s="24"/>
      <c r="O637" s="6"/>
      <c r="P637" s="6"/>
      <c r="Q637"/>
      <c r="R637"/>
    </row>
    <row r="638" spans="1:18" x14ac:dyDescent="0.3">
      <c r="A638" t="s">
        <v>398</v>
      </c>
      <c r="B638" t="s">
        <v>368</v>
      </c>
      <c r="D638" s="24"/>
      <c r="E638" s="24"/>
      <c r="F638" s="24"/>
      <c r="G638" s="24"/>
      <c r="O638" s="6"/>
      <c r="P638" s="6"/>
      <c r="Q638"/>
      <c r="R638"/>
    </row>
    <row r="639" spans="1:18" x14ac:dyDescent="0.3">
      <c r="A639" t="s">
        <v>683</v>
      </c>
      <c r="B639" t="s">
        <v>368</v>
      </c>
      <c r="D639" s="24"/>
      <c r="E639" s="24"/>
      <c r="F639" s="24"/>
      <c r="G639" s="24"/>
      <c r="O639" s="6"/>
      <c r="P639" s="6"/>
      <c r="Q639"/>
      <c r="R639"/>
    </row>
    <row r="640" spans="1:18" x14ac:dyDescent="0.3">
      <c r="A640" t="s">
        <v>594</v>
      </c>
      <c r="B640" t="s">
        <v>368</v>
      </c>
      <c r="D640" s="24"/>
      <c r="E640" s="24"/>
      <c r="F640" s="24"/>
      <c r="G640" s="24"/>
      <c r="O640" s="6"/>
      <c r="P640" s="6"/>
      <c r="Q640"/>
      <c r="R640"/>
    </row>
    <row r="641" spans="1:18" x14ac:dyDescent="0.3">
      <c r="A641" t="s">
        <v>597</v>
      </c>
      <c r="B641" t="s">
        <v>368</v>
      </c>
      <c r="D641" s="24"/>
      <c r="E641" s="24"/>
      <c r="F641" s="24"/>
      <c r="G641" s="24"/>
      <c r="O641" s="6"/>
      <c r="P641" s="6"/>
      <c r="Q641"/>
      <c r="R641"/>
    </row>
    <row r="642" spans="1:18" x14ac:dyDescent="0.3">
      <c r="A642" t="s">
        <v>601</v>
      </c>
      <c r="B642" t="s">
        <v>368</v>
      </c>
      <c r="D642" s="24"/>
      <c r="E642" s="24"/>
      <c r="F642" s="24"/>
      <c r="G642" s="24"/>
      <c r="O642" s="6"/>
      <c r="P642" s="6"/>
      <c r="Q642"/>
      <c r="R642"/>
    </row>
    <row r="643" spans="1:18" x14ac:dyDescent="0.3">
      <c r="A643" t="s">
        <v>591</v>
      </c>
      <c r="B643" t="s">
        <v>368</v>
      </c>
      <c r="D643" s="24"/>
      <c r="E643" s="24"/>
      <c r="F643" s="24"/>
      <c r="G643" s="24"/>
      <c r="O643" s="6"/>
      <c r="P643" s="6"/>
      <c r="Q643"/>
      <c r="R643"/>
    </row>
    <row r="644" spans="1:18" x14ac:dyDescent="0.3">
      <c r="A644" t="s">
        <v>367</v>
      </c>
      <c r="B644" t="s">
        <v>368</v>
      </c>
      <c r="D644" s="24"/>
      <c r="E644" s="24"/>
      <c r="F644" s="24"/>
      <c r="G644" s="24"/>
      <c r="O644" s="6"/>
      <c r="P644" s="6"/>
      <c r="Q644"/>
      <c r="R644"/>
    </row>
    <row r="645" spans="1:18" x14ac:dyDescent="0.3">
      <c r="A645" t="s">
        <v>679</v>
      </c>
      <c r="B645" t="s">
        <v>368</v>
      </c>
      <c r="D645" s="24"/>
      <c r="E645" s="24"/>
      <c r="F645" s="24"/>
      <c r="G645" s="24"/>
      <c r="O645" s="6"/>
      <c r="P645" s="6"/>
      <c r="Q645"/>
      <c r="R645"/>
    </row>
    <row r="646" spans="1:18" x14ac:dyDescent="0.3">
      <c r="A646" t="s">
        <v>777</v>
      </c>
      <c r="B646" t="s">
        <v>368</v>
      </c>
      <c r="D646" s="24"/>
      <c r="E646" s="24"/>
      <c r="F646" s="24"/>
      <c r="G646" s="24"/>
      <c r="O646" s="6"/>
      <c r="P646" s="6"/>
      <c r="Q646"/>
      <c r="R646"/>
    </row>
    <row r="647" spans="1:18" x14ac:dyDescent="0.3">
      <c r="A647" t="s">
        <v>602</v>
      </c>
      <c r="B647" t="s">
        <v>368</v>
      </c>
      <c r="D647" s="24"/>
      <c r="E647" s="24"/>
      <c r="F647" s="24"/>
      <c r="G647" s="24"/>
      <c r="O647" s="6"/>
      <c r="P647" s="6"/>
      <c r="Q647"/>
      <c r="R647"/>
    </row>
    <row r="648" spans="1:18" x14ac:dyDescent="0.3">
      <c r="A648" t="s">
        <v>397</v>
      </c>
      <c r="B648" t="s">
        <v>368</v>
      </c>
      <c r="D648" s="24"/>
      <c r="E648" s="24"/>
      <c r="F648" s="24"/>
      <c r="G648" s="24"/>
      <c r="O648" s="6"/>
      <c r="P648" s="6"/>
      <c r="Q648"/>
      <c r="R648"/>
    </row>
    <row r="649" spans="1:18" x14ac:dyDescent="0.3">
      <c r="A649" t="s">
        <v>682</v>
      </c>
      <c r="B649" t="s">
        <v>368</v>
      </c>
      <c r="D649" s="24"/>
      <c r="E649" s="24"/>
      <c r="F649" s="24"/>
      <c r="G649" s="24"/>
      <c r="O649" s="6"/>
      <c r="P649" s="6"/>
      <c r="Q649"/>
      <c r="R649"/>
    </row>
    <row r="650" spans="1:18" x14ac:dyDescent="0.3">
      <c r="A650" t="s">
        <v>604</v>
      </c>
      <c r="B650" t="s">
        <v>368</v>
      </c>
      <c r="D650" s="24"/>
      <c r="E650" s="24"/>
      <c r="F650" s="24"/>
      <c r="G650" s="24"/>
      <c r="O650" s="6"/>
      <c r="P650" s="6"/>
      <c r="Q650"/>
      <c r="R650"/>
    </row>
    <row r="651" spans="1:18" x14ac:dyDescent="0.3">
      <c r="A651" t="s">
        <v>620</v>
      </c>
      <c r="B651" t="s">
        <v>368</v>
      </c>
      <c r="D651" s="24"/>
      <c r="E651" s="24"/>
      <c r="F651" s="24"/>
      <c r="G651" s="24"/>
      <c r="O651" s="6"/>
      <c r="P651" s="6"/>
      <c r="Q651"/>
      <c r="R651"/>
    </row>
    <row r="652" spans="1:18" x14ac:dyDescent="0.3">
      <c r="A652" t="s">
        <v>598</v>
      </c>
      <c r="B652" t="s">
        <v>368</v>
      </c>
      <c r="D652" s="24"/>
      <c r="E652" s="24"/>
      <c r="F652" s="24"/>
      <c r="G652" s="24"/>
      <c r="O652" s="6"/>
      <c r="P652" s="6"/>
      <c r="Q652"/>
      <c r="R652"/>
    </row>
    <row r="653" spans="1:18" x14ac:dyDescent="0.3">
      <c r="A653" t="s">
        <v>595</v>
      </c>
      <c r="B653" t="s">
        <v>368</v>
      </c>
      <c r="D653" s="24"/>
      <c r="E653" s="24"/>
      <c r="F653" s="24"/>
      <c r="G653" s="24"/>
      <c r="O653" s="6"/>
      <c r="P653" s="6"/>
      <c r="Q653"/>
      <c r="R653"/>
    </row>
    <row r="654" spans="1:18" x14ac:dyDescent="0.3">
      <c r="A654" t="s">
        <v>592</v>
      </c>
      <c r="B654" t="s">
        <v>368</v>
      </c>
      <c r="D654" s="24"/>
      <c r="E654" s="24"/>
      <c r="F654" s="24"/>
      <c r="G654" s="24"/>
      <c r="O654" s="6"/>
      <c r="P654" s="6"/>
      <c r="Q654"/>
      <c r="R654"/>
    </row>
    <row r="655" spans="1:18" x14ac:dyDescent="0.3">
      <c r="A655" t="s">
        <v>603</v>
      </c>
      <c r="B655" t="s">
        <v>368</v>
      </c>
      <c r="D655" s="24"/>
      <c r="E655" s="24"/>
      <c r="F655" s="24"/>
      <c r="G655" s="24"/>
      <c r="O655" s="6"/>
      <c r="P655" s="6"/>
      <c r="Q655"/>
      <c r="R655"/>
    </row>
    <row r="656" spans="1:18" x14ac:dyDescent="0.3">
      <c r="A656" t="s">
        <v>365</v>
      </c>
      <c r="B656" t="s">
        <v>364</v>
      </c>
      <c r="D656" s="24"/>
      <c r="E656" s="24"/>
      <c r="F656" s="24"/>
      <c r="G656" s="24"/>
      <c r="O656" s="6"/>
      <c r="P656" s="6"/>
      <c r="Q656"/>
      <c r="R656"/>
    </row>
    <row r="657" spans="1:18" x14ac:dyDescent="0.3">
      <c r="A657" t="s">
        <v>677</v>
      </c>
      <c r="B657" t="s">
        <v>364</v>
      </c>
      <c r="D657" s="24"/>
      <c r="E657" s="24"/>
      <c r="F657" s="24"/>
      <c r="G657" s="24"/>
      <c r="O657" s="6"/>
      <c r="P657" s="6"/>
      <c r="Q657"/>
      <c r="R657"/>
    </row>
    <row r="658" spans="1:18" x14ac:dyDescent="0.3">
      <c r="A658" t="s">
        <v>612</v>
      </c>
      <c r="B658" t="s">
        <v>364</v>
      </c>
      <c r="D658" s="24"/>
      <c r="E658" s="24"/>
      <c r="F658" s="24"/>
      <c r="G658" s="24"/>
      <c r="O658" s="6"/>
      <c r="P658" s="6"/>
      <c r="Q658"/>
      <c r="R658"/>
    </row>
    <row r="659" spans="1:18" x14ac:dyDescent="0.3">
      <c r="A659" t="s">
        <v>613</v>
      </c>
      <c r="B659" t="s">
        <v>364</v>
      </c>
      <c r="D659" s="24"/>
      <c r="E659" s="24"/>
      <c r="F659" s="24"/>
      <c r="G659" s="24"/>
      <c r="O659" s="6"/>
      <c r="P659" s="6"/>
      <c r="Q659"/>
      <c r="R659"/>
    </row>
    <row r="660" spans="1:18" x14ac:dyDescent="0.3">
      <c r="A660" t="s">
        <v>607</v>
      </c>
      <c r="B660" t="s">
        <v>364</v>
      </c>
      <c r="D660" s="24"/>
      <c r="E660" s="24"/>
      <c r="F660" s="24"/>
      <c r="G660" s="24"/>
      <c r="O660" s="6"/>
      <c r="P660" s="6"/>
      <c r="Q660"/>
      <c r="R660"/>
    </row>
    <row r="661" spans="1:18" x14ac:dyDescent="0.3">
      <c r="A661" t="s">
        <v>608</v>
      </c>
      <c r="B661" t="s">
        <v>364</v>
      </c>
      <c r="D661" s="24"/>
      <c r="E661" s="24"/>
      <c r="F661" s="24"/>
      <c r="G661" s="24"/>
      <c r="O661" s="6"/>
      <c r="P661" s="6"/>
      <c r="Q661"/>
      <c r="R661"/>
    </row>
    <row r="662" spans="1:18" x14ac:dyDescent="0.3">
      <c r="A662" t="s">
        <v>610</v>
      </c>
      <c r="B662" t="s">
        <v>364</v>
      </c>
      <c r="D662" s="24"/>
      <c r="E662" s="24"/>
      <c r="F662" s="24"/>
      <c r="G662" s="24"/>
      <c r="O662" s="6"/>
      <c r="P662" s="6"/>
      <c r="Q662"/>
      <c r="R662"/>
    </row>
    <row r="663" spans="1:18" x14ac:dyDescent="0.3">
      <c r="A663" t="s">
        <v>776</v>
      </c>
      <c r="B663" t="s">
        <v>364</v>
      </c>
      <c r="D663" s="24"/>
      <c r="E663" s="24"/>
      <c r="F663" s="24"/>
      <c r="G663" s="24"/>
      <c r="O663" s="6"/>
      <c r="P663" s="6"/>
      <c r="Q663"/>
      <c r="R663"/>
    </row>
    <row r="664" spans="1:18" x14ac:dyDescent="0.3">
      <c r="A664" t="s">
        <v>609</v>
      </c>
      <c r="B664" t="s">
        <v>364</v>
      </c>
      <c r="D664" s="24"/>
      <c r="E664" s="24"/>
      <c r="F664" s="24"/>
      <c r="G664" s="24"/>
      <c r="O664" s="6"/>
      <c r="P664" s="6"/>
      <c r="Q664"/>
      <c r="R664"/>
    </row>
    <row r="665" spans="1:18" x14ac:dyDescent="0.3">
      <c r="A665" t="s">
        <v>366</v>
      </c>
      <c r="B665" t="s">
        <v>364</v>
      </c>
      <c r="D665" s="24"/>
      <c r="E665" s="24"/>
      <c r="F665" s="24"/>
      <c r="G665" s="24"/>
      <c r="O665" s="6"/>
      <c r="P665" s="6"/>
      <c r="Q665"/>
      <c r="R665"/>
    </row>
    <row r="666" spans="1:18" x14ac:dyDescent="0.3">
      <c r="A666" t="s">
        <v>678</v>
      </c>
      <c r="B666" t="s">
        <v>364</v>
      </c>
      <c r="D666" s="24"/>
      <c r="E666" s="24"/>
      <c r="F666" s="24"/>
      <c r="G666" s="24"/>
      <c r="O666" s="6"/>
      <c r="P666" s="6"/>
      <c r="Q666"/>
      <c r="R666"/>
    </row>
    <row r="667" spans="1:18" x14ac:dyDescent="0.3">
      <c r="A667" t="s">
        <v>363</v>
      </c>
      <c r="B667" t="s">
        <v>364</v>
      </c>
      <c r="D667" s="24"/>
      <c r="E667" s="24"/>
      <c r="F667" s="24"/>
      <c r="G667" s="24"/>
      <c r="O667" s="6"/>
      <c r="P667" s="6"/>
      <c r="Q667"/>
      <c r="R667"/>
    </row>
    <row r="668" spans="1:18" x14ac:dyDescent="0.3">
      <c r="A668" t="s">
        <v>676</v>
      </c>
      <c r="B668" t="s">
        <v>364</v>
      </c>
      <c r="D668" s="24"/>
      <c r="E668" s="24"/>
      <c r="F668" s="24"/>
      <c r="G668" s="24"/>
      <c r="O668" s="6"/>
      <c r="P668" s="6"/>
      <c r="Q668"/>
      <c r="R668"/>
    </row>
    <row r="669" spans="1:18" x14ac:dyDescent="0.3">
      <c r="A669" t="s">
        <v>369</v>
      </c>
      <c r="B669" t="s">
        <v>364</v>
      </c>
      <c r="D669" s="24"/>
      <c r="E669" s="24"/>
      <c r="F669" s="24"/>
      <c r="G669" s="24"/>
      <c r="O669" s="6"/>
      <c r="P669" s="6"/>
      <c r="Q669"/>
      <c r="R669"/>
    </row>
    <row r="670" spans="1:18" x14ac:dyDescent="0.3">
      <c r="A670" t="s">
        <v>680</v>
      </c>
      <c r="B670" t="s">
        <v>364</v>
      </c>
      <c r="D670" s="24"/>
      <c r="E670" s="24"/>
      <c r="F670" s="24"/>
      <c r="G670" s="24"/>
      <c r="O670" s="6"/>
      <c r="P670" s="6"/>
      <c r="Q670"/>
      <c r="R670"/>
    </row>
    <row r="671" spans="1:18" x14ac:dyDescent="0.3">
      <c r="A671" t="s">
        <v>611</v>
      </c>
      <c r="B671" t="s">
        <v>364</v>
      </c>
      <c r="D671" s="24"/>
      <c r="E671" s="24"/>
      <c r="F671" s="24"/>
      <c r="G671" s="24"/>
      <c r="O671" s="6"/>
      <c r="P671" s="6"/>
      <c r="Q671"/>
      <c r="R671"/>
    </row>
    <row r="672" spans="1:18" x14ac:dyDescent="0.3">
      <c r="A672" t="s">
        <v>629</v>
      </c>
      <c r="B672" t="s">
        <v>364</v>
      </c>
      <c r="D672" s="24"/>
      <c r="E672" s="24"/>
      <c r="F672" s="24"/>
      <c r="G672" s="24"/>
      <c r="O672" s="6"/>
      <c r="P672" s="6"/>
      <c r="Q672"/>
      <c r="R672"/>
    </row>
    <row r="673" spans="1:18" x14ac:dyDescent="0.3">
      <c r="A673" t="s">
        <v>396</v>
      </c>
      <c r="B673" t="s">
        <v>364</v>
      </c>
      <c r="D673" s="24"/>
      <c r="E673" s="24"/>
      <c r="F673" s="24"/>
      <c r="G673" s="24"/>
      <c r="O673" s="6"/>
      <c r="P673" s="6"/>
      <c r="Q673"/>
      <c r="R673"/>
    </row>
    <row r="674" spans="1:18" x14ac:dyDescent="0.3">
      <c r="A674" t="s">
        <v>681</v>
      </c>
      <c r="B674" t="s">
        <v>364</v>
      </c>
      <c r="D674" s="24"/>
      <c r="E674" s="24"/>
      <c r="F674" s="24"/>
      <c r="G674" s="24"/>
      <c r="O674" s="6"/>
      <c r="P674" s="6"/>
      <c r="Q674"/>
      <c r="R674"/>
    </row>
    <row r="675" spans="1:18" x14ac:dyDescent="0.3">
      <c r="A675" t="s">
        <v>131</v>
      </c>
      <c r="B675" t="s">
        <v>364</v>
      </c>
      <c r="D675" s="24"/>
      <c r="E675" s="24"/>
      <c r="F675" s="24"/>
      <c r="G675" s="24"/>
      <c r="O675" s="6"/>
      <c r="P675" s="6"/>
      <c r="Q675"/>
      <c r="R675"/>
    </row>
    <row r="676" spans="1:18" x14ac:dyDescent="0.3">
      <c r="A676" t="s">
        <v>628</v>
      </c>
      <c r="B676" t="s">
        <v>364</v>
      </c>
      <c r="D676" s="24"/>
      <c r="E676" s="24"/>
      <c r="F676" s="24"/>
      <c r="G676" s="24"/>
      <c r="O676" s="6"/>
      <c r="P676" s="6"/>
      <c r="Q676"/>
      <c r="R676"/>
    </row>
    <row r="677" spans="1:18" x14ac:dyDescent="0.3">
      <c r="A677">
        <v>22</v>
      </c>
      <c r="B677" t="s">
        <v>157</v>
      </c>
      <c r="D677" s="24"/>
      <c r="E677" s="24"/>
      <c r="F677" s="24"/>
      <c r="G677" s="24"/>
      <c r="O677" s="6"/>
      <c r="P677" s="6"/>
      <c r="Q677"/>
      <c r="R677"/>
    </row>
    <row r="678" spans="1:18" x14ac:dyDescent="0.3">
      <c r="A678">
        <v>33</v>
      </c>
      <c r="B678" t="s">
        <v>157</v>
      </c>
      <c r="D678" s="24"/>
      <c r="E678" s="24"/>
      <c r="F678" s="24"/>
      <c r="G678" s="24"/>
      <c r="O678" s="6"/>
      <c r="P678" s="6"/>
      <c r="Q678"/>
      <c r="R678"/>
    </row>
    <row r="679" spans="1:18" x14ac:dyDescent="0.3">
      <c r="A679" t="s">
        <v>370</v>
      </c>
      <c r="B679" t="s">
        <v>157</v>
      </c>
      <c r="D679" s="24"/>
      <c r="E679" s="24"/>
      <c r="F679" s="24"/>
      <c r="G679" s="24"/>
      <c r="O679" s="6"/>
      <c r="P679" s="6"/>
      <c r="Q679"/>
      <c r="R679"/>
    </row>
    <row r="680" spans="1:18" x14ac:dyDescent="0.3">
      <c r="A680" t="s">
        <v>713</v>
      </c>
      <c r="B680" t="s">
        <v>157</v>
      </c>
      <c r="D680" s="24"/>
      <c r="E680" s="24"/>
      <c r="F680" s="24"/>
      <c r="G680" s="24"/>
      <c r="O680" s="6"/>
      <c r="P680" s="6"/>
      <c r="Q680"/>
      <c r="R680"/>
    </row>
    <row r="681" spans="1:18" x14ac:dyDescent="0.3">
      <c r="A681" t="s">
        <v>437</v>
      </c>
      <c r="B681" t="s">
        <v>157</v>
      </c>
      <c r="D681" s="24"/>
      <c r="E681" s="24"/>
      <c r="F681" s="24"/>
      <c r="G681" s="24"/>
      <c r="O681" s="6"/>
      <c r="P681" s="6"/>
      <c r="Q681"/>
      <c r="R681"/>
    </row>
    <row r="682" spans="1:18" x14ac:dyDescent="0.3">
      <c r="A682" t="s">
        <v>429</v>
      </c>
      <c r="B682" t="s">
        <v>157</v>
      </c>
      <c r="D682" s="24"/>
      <c r="E682" s="24"/>
      <c r="F682" s="24"/>
      <c r="G682" s="24"/>
      <c r="O682" s="6"/>
      <c r="P682" s="6"/>
      <c r="Q682"/>
      <c r="R682"/>
    </row>
    <row r="683" spans="1:18" x14ac:dyDescent="0.3">
      <c r="A683" t="s">
        <v>452</v>
      </c>
      <c r="B683" t="s">
        <v>157</v>
      </c>
      <c r="D683" s="24"/>
      <c r="E683" s="24"/>
      <c r="F683" s="24"/>
      <c r="G683" s="24"/>
      <c r="O683" s="6"/>
      <c r="P683" s="6"/>
      <c r="Q683"/>
      <c r="R683"/>
    </row>
    <row r="684" spans="1:18" x14ac:dyDescent="0.3">
      <c r="A684" t="s">
        <v>476</v>
      </c>
      <c r="B684" t="s">
        <v>157</v>
      </c>
      <c r="D684" s="24"/>
      <c r="E684" s="24"/>
      <c r="F684" s="24"/>
      <c r="G684" s="24"/>
      <c r="O684" s="6"/>
      <c r="P684" s="6"/>
      <c r="Q684"/>
      <c r="R684"/>
    </row>
    <row r="685" spans="1:18" x14ac:dyDescent="0.3">
      <c r="A685" t="s">
        <v>371</v>
      </c>
      <c r="B685" t="s">
        <v>157</v>
      </c>
      <c r="D685" s="24"/>
      <c r="E685" s="24"/>
      <c r="F685" s="24"/>
      <c r="G685" s="24"/>
      <c r="O685" s="6"/>
      <c r="P685" s="6"/>
      <c r="Q685"/>
      <c r="R685"/>
    </row>
    <row r="686" spans="1:18" x14ac:dyDescent="0.3">
      <c r="A686" t="s">
        <v>714</v>
      </c>
      <c r="B686" t="s">
        <v>157</v>
      </c>
      <c r="D686" s="24"/>
      <c r="E686" s="24"/>
      <c r="F686" s="24"/>
      <c r="G686" s="24"/>
      <c r="O686" s="6"/>
      <c r="P686" s="6"/>
      <c r="Q686"/>
      <c r="R686"/>
    </row>
    <row r="687" spans="1:18" x14ac:dyDescent="0.3">
      <c r="A687" t="s">
        <v>448</v>
      </c>
      <c r="B687" t="s">
        <v>157</v>
      </c>
      <c r="D687" s="24"/>
      <c r="E687" s="24"/>
      <c r="F687" s="24"/>
      <c r="G687" s="24"/>
      <c r="O687" s="6"/>
      <c r="P687" s="6"/>
      <c r="Q687"/>
      <c r="R687"/>
    </row>
    <row r="688" spans="1:18" x14ac:dyDescent="0.3">
      <c r="A688" t="s">
        <v>473</v>
      </c>
      <c r="B688" t="s">
        <v>157</v>
      </c>
      <c r="D688" s="24"/>
      <c r="E688" s="24"/>
      <c r="F688" s="24"/>
      <c r="G688" s="24"/>
      <c r="O688" s="6"/>
      <c r="P688" s="6"/>
      <c r="Q688"/>
      <c r="R688"/>
    </row>
    <row r="689" spans="1:18" x14ac:dyDescent="0.3">
      <c r="A689" t="s">
        <v>423</v>
      </c>
      <c r="B689" t="s">
        <v>157</v>
      </c>
      <c r="D689" s="24"/>
      <c r="E689" s="24"/>
      <c r="F689" s="24"/>
      <c r="G689" s="24"/>
      <c r="O689" s="6"/>
      <c r="P689" s="6"/>
      <c r="Q689"/>
      <c r="R689"/>
    </row>
    <row r="690" spans="1:18" x14ac:dyDescent="0.3">
      <c r="A690" t="s">
        <v>385</v>
      </c>
      <c r="B690" t="s">
        <v>157</v>
      </c>
      <c r="D690" s="24"/>
      <c r="E690" s="24"/>
      <c r="F690" s="24"/>
      <c r="G690" s="24"/>
      <c r="O690" s="6"/>
      <c r="P690" s="6"/>
      <c r="Q690"/>
      <c r="R690"/>
    </row>
    <row r="691" spans="1:18" x14ac:dyDescent="0.3">
      <c r="A691" t="s">
        <v>721</v>
      </c>
      <c r="B691" t="s">
        <v>157</v>
      </c>
      <c r="D691" s="24"/>
      <c r="E691" s="24"/>
      <c r="F691" s="24"/>
      <c r="G691" s="24"/>
      <c r="O691" s="6"/>
      <c r="P691" s="6"/>
      <c r="Q691"/>
      <c r="R691"/>
    </row>
    <row r="692" spans="1:18" x14ac:dyDescent="0.3">
      <c r="A692" t="s">
        <v>402</v>
      </c>
      <c r="B692" t="s">
        <v>157</v>
      </c>
      <c r="D692" s="24"/>
      <c r="E692" s="24"/>
      <c r="F692" s="24"/>
      <c r="G692" s="24"/>
      <c r="O692" s="6"/>
      <c r="P692" s="6"/>
      <c r="Q692"/>
      <c r="R692"/>
    </row>
    <row r="693" spans="1:18" x14ac:dyDescent="0.3">
      <c r="A693" t="s">
        <v>724</v>
      </c>
      <c r="B693" t="s">
        <v>157</v>
      </c>
      <c r="D693" s="24"/>
      <c r="E693" s="24"/>
      <c r="F693" s="24"/>
      <c r="G693" s="24"/>
      <c r="O693" s="6"/>
      <c r="P693" s="6"/>
      <c r="Q693"/>
      <c r="R693"/>
    </row>
    <row r="694" spans="1:18" x14ac:dyDescent="0.3">
      <c r="A694" t="s">
        <v>430</v>
      </c>
      <c r="B694" t="s">
        <v>157</v>
      </c>
      <c r="D694" s="24"/>
      <c r="E694" s="24"/>
      <c r="F694" s="24"/>
      <c r="G694" s="24"/>
      <c r="O694" s="6"/>
      <c r="P694" s="6"/>
      <c r="Q694"/>
      <c r="R694"/>
    </row>
    <row r="695" spans="1:18" x14ac:dyDescent="0.3">
      <c r="A695" t="s">
        <v>426</v>
      </c>
      <c r="B695" t="s">
        <v>157</v>
      </c>
      <c r="D695" s="24"/>
      <c r="E695" s="24"/>
      <c r="F695" s="24"/>
      <c r="G695" s="24"/>
      <c r="O695" s="6"/>
      <c r="P695" s="6"/>
      <c r="Q695"/>
      <c r="R695"/>
    </row>
    <row r="696" spans="1:18" x14ac:dyDescent="0.3">
      <c r="A696" t="s">
        <v>619</v>
      </c>
      <c r="B696" t="s">
        <v>157</v>
      </c>
      <c r="D696" s="24"/>
      <c r="E696" s="24"/>
      <c r="F696" s="24"/>
      <c r="G696" s="24"/>
      <c r="O696" s="6"/>
      <c r="P696" s="6"/>
      <c r="Q696"/>
      <c r="R696"/>
    </row>
    <row r="697" spans="1:18" x14ac:dyDescent="0.3">
      <c r="A697" t="s">
        <v>431</v>
      </c>
      <c r="B697" t="s">
        <v>157</v>
      </c>
      <c r="D697" s="24"/>
      <c r="E697" s="24"/>
      <c r="F697" s="24"/>
      <c r="G697" s="24"/>
      <c r="O697" s="6"/>
      <c r="P697" s="6"/>
      <c r="Q697"/>
      <c r="R697"/>
    </row>
    <row r="698" spans="1:18" x14ac:dyDescent="0.3">
      <c r="A698" t="s">
        <v>478</v>
      </c>
      <c r="B698" t="s">
        <v>157</v>
      </c>
      <c r="D698" s="24"/>
      <c r="E698" s="24"/>
      <c r="F698" s="24"/>
      <c r="G698" s="24"/>
      <c r="O698" s="6"/>
      <c r="P698" s="6"/>
      <c r="Q698"/>
      <c r="R698"/>
    </row>
    <row r="699" spans="1:18" x14ac:dyDescent="0.3">
      <c r="A699" t="s">
        <v>354</v>
      </c>
      <c r="B699" t="s">
        <v>157</v>
      </c>
      <c r="D699" s="24"/>
      <c r="E699" s="24"/>
      <c r="F699" s="24"/>
      <c r="G699" s="24"/>
      <c r="O699" s="6"/>
      <c r="P699" s="6"/>
      <c r="Q699"/>
      <c r="R699"/>
    </row>
    <row r="700" spans="1:18" x14ac:dyDescent="0.3">
      <c r="A700" t="s">
        <v>709</v>
      </c>
      <c r="B700" t="s">
        <v>157</v>
      </c>
      <c r="D700" s="24"/>
      <c r="E700" s="24"/>
      <c r="F700" s="24"/>
      <c r="G700" s="24"/>
      <c r="O700" s="6"/>
      <c r="P700" s="6"/>
      <c r="Q700"/>
      <c r="R700"/>
    </row>
    <row r="701" spans="1:18" x14ac:dyDescent="0.3">
      <c r="A701" t="s">
        <v>454</v>
      </c>
      <c r="B701" t="s">
        <v>157</v>
      </c>
      <c r="D701" s="24"/>
      <c r="E701" s="24"/>
      <c r="F701" s="24"/>
      <c r="G701" s="24"/>
      <c r="O701" s="6"/>
      <c r="P701" s="6"/>
      <c r="Q701"/>
      <c r="R701"/>
    </row>
    <row r="702" spans="1:18" x14ac:dyDescent="0.3">
      <c r="A702" t="s">
        <v>421</v>
      </c>
      <c r="B702" t="s">
        <v>157</v>
      </c>
      <c r="D702" s="24"/>
      <c r="E702" s="24"/>
      <c r="F702" s="24"/>
      <c r="G702" s="24"/>
      <c r="O702" s="6"/>
      <c r="P702" s="6"/>
      <c r="Q702"/>
      <c r="R702"/>
    </row>
    <row r="703" spans="1:18" x14ac:dyDescent="0.3">
      <c r="A703" t="s">
        <v>372</v>
      </c>
      <c r="B703" t="s">
        <v>157</v>
      </c>
      <c r="D703" s="24"/>
      <c r="E703" s="24"/>
      <c r="F703" s="24"/>
      <c r="G703" s="24"/>
      <c r="O703" s="6"/>
      <c r="P703" s="6"/>
      <c r="Q703"/>
      <c r="R703"/>
    </row>
    <row r="704" spans="1:18" x14ac:dyDescent="0.3">
      <c r="A704" t="s">
        <v>715</v>
      </c>
      <c r="B704" t="s">
        <v>157</v>
      </c>
      <c r="D704" s="24"/>
      <c r="E704" s="24"/>
      <c r="F704" s="24"/>
      <c r="G704" s="24"/>
      <c r="O704" s="6"/>
      <c r="P704" s="6"/>
      <c r="Q704"/>
      <c r="R704"/>
    </row>
    <row r="705" spans="1:18" x14ac:dyDescent="0.3">
      <c r="A705" t="s">
        <v>417</v>
      </c>
      <c r="B705" t="s">
        <v>157</v>
      </c>
      <c r="D705" s="24"/>
      <c r="E705" s="24"/>
      <c r="F705" s="24"/>
      <c r="G705" s="24"/>
      <c r="O705" s="6"/>
      <c r="P705" s="6"/>
      <c r="Q705"/>
      <c r="R705"/>
    </row>
    <row r="706" spans="1:18" x14ac:dyDescent="0.3">
      <c r="A706" t="s">
        <v>373</v>
      </c>
      <c r="B706" t="s">
        <v>157</v>
      </c>
      <c r="D706" s="24"/>
      <c r="E706" s="24"/>
      <c r="F706" s="24"/>
      <c r="G706" s="24"/>
      <c r="O706" s="6"/>
      <c r="P706" s="6"/>
      <c r="Q706"/>
      <c r="R706"/>
    </row>
    <row r="707" spans="1:18" x14ac:dyDescent="0.3">
      <c r="A707" t="s">
        <v>716</v>
      </c>
      <c r="B707" t="s">
        <v>157</v>
      </c>
      <c r="D707" s="24"/>
      <c r="E707" s="24"/>
      <c r="F707" s="24"/>
      <c r="G707" s="24"/>
      <c r="O707" s="6"/>
      <c r="P707" s="6"/>
      <c r="Q707"/>
      <c r="R707"/>
    </row>
    <row r="708" spans="1:18" x14ac:dyDescent="0.3">
      <c r="A708" t="s">
        <v>374</v>
      </c>
      <c r="B708" t="s">
        <v>157</v>
      </c>
      <c r="D708" s="24"/>
      <c r="E708" s="24"/>
      <c r="F708" s="24"/>
      <c r="G708" s="24"/>
      <c r="O708" s="6"/>
      <c r="P708" s="6"/>
      <c r="Q708"/>
      <c r="R708"/>
    </row>
    <row r="709" spans="1:18" x14ac:dyDescent="0.3">
      <c r="A709" t="s">
        <v>717</v>
      </c>
      <c r="B709" t="s">
        <v>157</v>
      </c>
      <c r="D709" s="24"/>
      <c r="E709" s="24"/>
      <c r="F709" s="24"/>
      <c r="G709" s="24"/>
      <c r="O709" s="6"/>
      <c r="P709" s="6"/>
      <c r="Q709"/>
      <c r="R709"/>
    </row>
    <row r="710" spans="1:18" x14ac:dyDescent="0.3">
      <c r="A710" t="s">
        <v>864</v>
      </c>
      <c r="B710" t="s">
        <v>157</v>
      </c>
      <c r="D710" s="24"/>
      <c r="E710" s="24"/>
      <c r="F710" s="24"/>
      <c r="G710" s="24"/>
      <c r="O710" s="6"/>
      <c r="P710" s="6"/>
      <c r="Q710"/>
      <c r="R710"/>
    </row>
    <row r="711" spans="1:18" x14ac:dyDescent="0.3">
      <c r="A711" t="s">
        <v>356</v>
      </c>
      <c r="B711" t="s">
        <v>157</v>
      </c>
      <c r="D711" s="24"/>
      <c r="E711" s="24"/>
      <c r="F711" s="24"/>
      <c r="G711" s="24"/>
      <c r="O711" s="6"/>
      <c r="P711" s="6"/>
      <c r="Q711"/>
      <c r="R711"/>
    </row>
    <row r="712" spans="1:18" x14ac:dyDescent="0.3">
      <c r="A712" t="s">
        <v>710</v>
      </c>
      <c r="B712" t="s">
        <v>157</v>
      </c>
      <c r="D712" s="24"/>
      <c r="E712" s="24"/>
      <c r="F712" s="24"/>
      <c r="G712" s="24"/>
      <c r="O712" s="6"/>
      <c r="P712" s="6"/>
      <c r="Q712"/>
      <c r="R712"/>
    </row>
    <row r="713" spans="1:18" x14ac:dyDescent="0.3">
      <c r="A713" t="s">
        <v>428</v>
      </c>
      <c r="B713" t="s">
        <v>157</v>
      </c>
      <c r="D713" s="24"/>
      <c r="E713" s="24"/>
      <c r="F713" s="24"/>
      <c r="G713" s="24"/>
      <c r="O713" s="6"/>
      <c r="P713" s="6"/>
      <c r="Q713"/>
      <c r="R713"/>
    </row>
    <row r="714" spans="1:18" x14ac:dyDescent="0.3">
      <c r="A714" t="s">
        <v>420</v>
      </c>
      <c r="B714" t="s">
        <v>157</v>
      </c>
      <c r="D714" s="24"/>
      <c r="E714" s="24"/>
      <c r="F714" s="24"/>
      <c r="G714" s="24"/>
      <c r="O714" s="6"/>
      <c r="P714" s="6"/>
      <c r="Q714"/>
      <c r="R714"/>
    </row>
    <row r="715" spans="1:18" x14ac:dyDescent="0.3">
      <c r="A715" t="s">
        <v>424</v>
      </c>
      <c r="B715" t="s">
        <v>157</v>
      </c>
      <c r="D715" s="24"/>
      <c r="E715" s="24"/>
      <c r="F715" s="24"/>
      <c r="G715" s="24"/>
      <c r="O715" s="6"/>
      <c r="P715" s="6"/>
      <c r="Q715"/>
      <c r="R715"/>
    </row>
    <row r="716" spans="1:18" x14ac:dyDescent="0.3">
      <c r="A716" t="s">
        <v>411</v>
      </c>
      <c r="B716" t="s">
        <v>157</v>
      </c>
      <c r="D716" s="24"/>
      <c r="E716" s="24"/>
      <c r="F716" s="24"/>
      <c r="G716" s="24"/>
      <c r="O716" s="6"/>
      <c r="P716" s="6"/>
      <c r="Q716"/>
      <c r="R716"/>
    </row>
    <row r="717" spans="1:18" x14ac:dyDescent="0.3">
      <c r="A717" t="s">
        <v>731</v>
      </c>
      <c r="B717" t="s">
        <v>157</v>
      </c>
      <c r="D717" s="24"/>
      <c r="E717" s="24"/>
      <c r="F717" s="24"/>
      <c r="G717" s="24"/>
      <c r="O717" s="6"/>
      <c r="P717" s="6"/>
      <c r="Q717"/>
      <c r="R717"/>
    </row>
    <row r="718" spans="1:18" x14ac:dyDescent="0.3">
      <c r="A718" t="s">
        <v>376</v>
      </c>
      <c r="B718" t="s">
        <v>157</v>
      </c>
      <c r="D718" s="24"/>
      <c r="E718" s="24"/>
      <c r="F718" s="24"/>
      <c r="G718" s="24"/>
      <c r="O718" s="6"/>
      <c r="P718" s="6"/>
      <c r="Q718"/>
      <c r="R718"/>
    </row>
    <row r="719" spans="1:18" x14ac:dyDescent="0.3">
      <c r="A719" t="s">
        <v>719</v>
      </c>
      <c r="B719" t="s">
        <v>157</v>
      </c>
      <c r="D719" s="24"/>
      <c r="E719" s="24"/>
      <c r="F719" s="24"/>
      <c r="G719" s="24"/>
      <c r="O719" s="6"/>
      <c r="P719" s="6"/>
      <c r="Q719"/>
      <c r="R719"/>
    </row>
    <row r="720" spans="1:18" x14ac:dyDescent="0.3">
      <c r="A720" t="s">
        <v>375</v>
      </c>
      <c r="B720" t="s">
        <v>157</v>
      </c>
      <c r="D720" s="24"/>
      <c r="E720" s="24"/>
      <c r="F720" s="24"/>
      <c r="G720" s="24"/>
      <c r="O720" s="6"/>
      <c r="P720" s="6"/>
      <c r="Q720"/>
      <c r="R720"/>
    </row>
    <row r="721" spans="1:18" x14ac:dyDescent="0.3">
      <c r="A721" t="s">
        <v>718</v>
      </c>
      <c r="B721" t="s">
        <v>157</v>
      </c>
      <c r="D721" s="24"/>
      <c r="E721" s="24"/>
      <c r="F721" s="24"/>
      <c r="G721" s="24"/>
      <c r="O721" s="6"/>
      <c r="P721" s="6"/>
      <c r="Q721"/>
      <c r="R721"/>
    </row>
    <row r="722" spans="1:18" x14ac:dyDescent="0.3">
      <c r="A722" t="s">
        <v>453</v>
      </c>
      <c r="B722" t="s">
        <v>157</v>
      </c>
      <c r="D722" s="24"/>
      <c r="E722" s="24"/>
      <c r="F722" s="24"/>
      <c r="G722" s="24"/>
      <c r="O722" s="6"/>
      <c r="P722" s="6"/>
      <c r="Q722"/>
      <c r="R722"/>
    </row>
    <row r="723" spans="1:18" x14ac:dyDescent="0.3">
      <c r="A723" t="s">
        <v>436</v>
      </c>
      <c r="B723" t="s">
        <v>157</v>
      </c>
      <c r="D723" s="24"/>
      <c r="E723" s="24"/>
      <c r="F723" s="24"/>
      <c r="G723" s="24"/>
      <c r="O723" s="6"/>
      <c r="P723" s="6"/>
      <c r="Q723"/>
      <c r="R723"/>
    </row>
    <row r="724" spans="1:18" x14ac:dyDescent="0.3">
      <c r="A724" t="s">
        <v>459</v>
      </c>
      <c r="B724" t="s">
        <v>157</v>
      </c>
      <c r="D724" s="24"/>
      <c r="E724" s="24"/>
      <c r="F724" s="24"/>
      <c r="G724" s="24"/>
      <c r="O724" s="6"/>
      <c r="P724" s="6"/>
      <c r="Q724"/>
      <c r="R724"/>
    </row>
    <row r="725" spans="1:18" x14ac:dyDescent="0.3">
      <c r="A725" t="s">
        <v>433</v>
      </c>
      <c r="B725" t="s">
        <v>157</v>
      </c>
      <c r="D725" s="24"/>
      <c r="E725" s="24"/>
      <c r="F725" s="24"/>
      <c r="G725" s="24"/>
      <c r="O725" s="6"/>
      <c r="P725" s="6"/>
      <c r="Q725"/>
      <c r="R725"/>
    </row>
    <row r="726" spans="1:18" x14ac:dyDescent="0.3">
      <c r="A726" t="s">
        <v>432</v>
      </c>
      <c r="B726" t="s">
        <v>157</v>
      </c>
      <c r="D726" s="24"/>
      <c r="E726" s="24"/>
      <c r="F726" s="24"/>
      <c r="G726" s="24"/>
      <c r="O726" s="6"/>
      <c r="P726" s="6"/>
      <c r="Q726"/>
      <c r="R726"/>
    </row>
    <row r="727" spans="1:18" x14ac:dyDescent="0.3">
      <c r="A727" t="s">
        <v>416</v>
      </c>
      <c r="B727" t="s">
        <v>157</v>
      </c>
      <c r="D727" s="24"/>
      <c r="E727" s="24"/>
      <c r="F727" s="24"/>
      <c r="G727" s="24"/>
      <c r="O727" s="6"/>
      <c r="P727" s="6"/>
      <c r="Q727"/>
      <c r="R727"/>
    </row>
    <row r="728" spans="1:18" x14ac:dyDescent="0.3">
      <c r="A728" t="s">
        <v>409</v>
      </c>
      <c r="B728" t="s">
        <v>157</v>
      </c>
      <c r="D728" s="24"/>
      <c r="E728" s="24"/>
      <c r="F728" s="24"/>
      <c r="G728" s="24"/>
      <c r="O728" s="6"/>
      <c r="P728" s="6"/>
      <c r="Q728"/>
      <c r="R728"/>
    </row>
    <row r="729" spans="1:18" x14ac:dyDescent="0.3">
      <c r="A729" t="s">
        <v>729</v>
      </c>
      <c r="B729" t="s">
        <v>157</v>
      </c>
      <c r="D729" s="24"/>
      <c r="E729" s="24"/>
      <c r="F729" s="24"/>
      <c r="G729" s="24"/>
      <c r="O729" s="6"/>
      <c r="P729" s="6"/>
      <c r="Q729"/>
      <c r="R729"/>
    </row>
    <row r="730" spans="1:18" x14ac:dyDescent="0.3">
      <c r="A730" t="s">
        <v>357</v>
      </c>
      <c r="B730" t="s">
        <v>157</v>
      </c>
      <c r="D730" s="24"/>
      <c r="E730" s="24"/>
      <c r="F730" s="24"/>
      <c r="G730" s="24"/>
      <c r="O730" s="6"/>
      <c r="P730" s="6"/>
      <c r="Q730"/>
      <c r="R730"/>
    </row>
    <row r="731" spans="1:18" x14ac:dyDescent="0.3">
      <c r="A731" t="s">
        <v>712</v>
      </c>
      <c r="B731" t="s">
        <v>157</v>
      </c>
      <c r="D731" s="24"/>
      <c r="E731" s="24"/>
      <c r="F731" s="24"/>
      <c r="G731" s="24"/>
      <c r="O731" s="6"/>
      <c r="P731" s="6"/>
      <c r="Q731"/>
      <c r="R731"/>
    </row>
    <row r="732" spans="1:18" x14ac:dyDescent="0.3">
      <c r="A732" t="s">
        <v>808</v>
      </c>
      <c r="B732" t="s">
        <v>157</v>
      </c>
      <c r="D732" s="24"/>
      <c r="E732" s="24"/>
      <c r="F732" s="24"/>
      <c r="G732" s="24"/>
      <c r="O732" s="6"/>
      <c r="P732" s="6"/>
      <c r="Q732"/>
      <c r="R732"/>
    </row>
    <row r="733" spans="1:18" x14ac:dyDescent="0.3">
      <c r="A733" t="s">
        <v>0</v>
      </c>
      <c r="B733" t="s">
        <v>157</v>
      </c>
      <c r="D733" s="24"/>
      <c r="E733" s="24"/>
      <c r="F733" s="24"/>
      <c r="G733" s="24"/>
      <c r="O733" s="6"/>
      <c r="P733" s="6"/>
      <c r="Q733"/>
      <c r="R733"/>
    </row>
    <row r="734" spans="1:18" x14ac:dyDescent="0.3">
      <c r="A734" t="s">
        <v>483</v>
      </c>
      <c r="B734" t="s">
        <v>157</v>
      </c>
      <c r="D734" s="24"/>
      <c r="E734" s="24"/>
      <c r="F734" s="24"/>
      <c r="G734" s="24"/>
      <c r="O734" s="6"/>
      <c r="P734" s="6"/>
      <c r="Q734"/>
      <c r="R734"/>
    </row>
    <row r="735" spans="1:18" x14ac:dyDescent="0.3">
      <c r="A735" t="s">
        <v>445</v>
      </c>
      <c r="B735" t="s">
        <v>157</v>
      </c>
      <c r="D735" s="24"/>
      <c r="E735" s="24"/>
      <c r="F735" s="24"/>
      <c r="G735" s="24"/>
      <c r="O735" s="6"/>
      <c r="P735" s="6"/>
      <c r="Q735"/>
      <c r="R735"/>
    </row>
    <row r="736" spans="1:18" x14ac:dyDescent="0.3">
      <c r="A736" t="s">
        <v>447</v>
      </c>
      <c r="B736" t="s">
        <v>157</v>
      </c>
      <c r="D736" s="24"/>
      <c r="E736" s="24"/>
      <c r="F736" s="24"/>
      <c r="G736" s="24"/>
      <c r="O736" s="6"/>
      <c r="P736" s="6"/>
      <c r="Q736"/>
      <c r="R736"/>
    </row>
    <row r="737" spans="1:18" x14ac:dyDescent="0.3">
      <c r="A737" t="s">
        <v>482</v>
      </c>
      <c r="B737" t="s">
        <v>157</v>
      </c>
      <c r="D737" s="24"/>
      <c r="E737" s="24"/>
      <c r="F737" s="24"/>
      <c r="G737" s="24"/>
      <c r="O737" s="6"/>
      <c r="P737" s="6"/>
      <c r="Q737"/>
      <c r="R737"/>
    </row>
    <row r="738" spans="1:18" x14ac:dyDescent="0.3">
      <c r="A738" t="s">
        <v>480</v>
      </c>
      <c r="B738" t="s">
        <v>157</v>
      </c>
      <c r="D738" s="24"/>
      <c r="E738" s="24"/>
      <c r="F738" s="24"/>
      <c r="G738" s="24"/>
      <c r="O738" s="6"/>
      <c r="P738" s="6"/>
      <c r="Q738"/>
      <c r="R738"/>
    </row>
    <row r="739" spans="1:18" x14ac:dyDescent="0.3">
      <c r="A739" t="s">
        <v>807</v>
      </c>
      <c r="B739" t="s">
        <v>157</v>
      </c>
      <c r="D739" s="24"/>
      <c r="E739" s="24"/>
      <c r="F739" s="24"/>
      <c r="G739" s="24"/>
      <c r="O739" s="6"/>
      <c r="P739" s="6"/>
      <c r="Q739"/>
      <c r="R739"/>
    </row>
    <row r="740" spans="1:18" x14ac:dyDescent="0.3">
      <c r="A740" t="s">
        <v>438</v>
      </c>
      <c r="B740" t="s">
        <v>157</v>
      </c>
      <c r="D740" s="24"/>
      <c r="E740" s="24"/>
      <c r="F740" s="24"/>
      <c r="G740" s="24"/>
      <c r="O740" s="6"/>
      <c r="P740" s="6"/>
      <c r="Q740"/>
      <c r="R740"/>
    </row>
    <row r="741" spans="1:18" x14ac:dyDescent="0.3">
      <c r="A741" t="s">
        <v>439</v>
      </c>
      <c r="B741" t="s">
        <v>157</v>
      </c>
      <c r="D741" s="24"/>
      <c r="E741" s="24"/>
      <c r="F741" s="24"/>
      <c r="G741" s="24"/>
      <c r="O741" s="6"/>
      <c r="P741" s="6"/>
      <c r="Q741"/>
      <c r="R741"/>
    </row>
    <row r="742" spans="1:18" x14ac:dyDescent="0.3">
      <c r="A742" t="s">
        <v>470</v>
      </c>
      <c r="B742" t="s">
        <v>157</v>
      </c>
      <c r="D742" s="24"/>
      <c r="E742" s="24"/>
      <c r="F742" s="24"/>
      <c r="G742" s="24"/>
      <c r="O742" s="6"/>
      <c r="P742" s="6"/>
      <c r="Q742"/>
      <c r="R742"/>
    </row>
    <row r="743" spans="1:18" x14ac:dyDescent="0.3">
      <c r="A743" t="s">
        <v>377</v>
      </c>
      <c r="B743" t="s">
        <v>157</v>
      </c>
      <c r="D743" s="24"/>
      <c r="E743" s="24"/>
      <c r="F743" s="24"/>
      <c r="G743" s="24"/>
      <c r="O743" s="6"/>
      <c r="P743" s="6"/>
      <c r="Q743"/>
      <c r="R743"/>
    </row>
    <row r="744" spans="1:18" x14ac:dyDescent="0.3">
      <c r="A744" t="s">
        <v>720</v>
      </c>
      <c r="B744" t="s">
        <v>157</v>
      </c>
      <c r="D744" s="24"/>
      <c r="E744" s="24"/>
      <c r="F744" s="24"/>
      <c r="G744" s="24"/>
      <c r="O744" s="6"/>
      <c r="P744" s="6"/>
      <c r="Q744"/>
      <c r="R744"/>
    </row>
    <row r="745" spans="1:18" x14ac:dyDescent="0.3">
      <c r="A745" t="s">
        <v>466</v>
      </c>
      <c r="B745" t="s">
        <v>157</v>
      </c>
      <c r="D745" s="24"/>
      <c r="E745" s="24"/>
      <c r="F745" s="24"/>
      <c r="G745" s="24"/>
      <c r="O745" s="6"/>
      <c r="P745" s="6"/>
      <c r="Q745"/>
      <c r="R745"/>
    </row>
    <row r="746" spans="1:18" x14ac:dyDescent="0.3">
      <c r="A746" t="s">
        <v>468</v>
      </c>
      <c r="B746" t="s">
        <v>157</v>
      </c>
      <c r="D746" s="24"/>
      <c r="E746" s="24"/>
      <c r="F746" s="24"/>
      <c r="G746" s="24"/>
      <c r="O746" s="6"/>
      <c r="P746" s="6"/>
      <c r="Q746"/>
      <c r="R746"/>
    </row>
    <row r="747" spans="1:18" x14ac:dyDescent="0.3">
      <c r="A747" t="s">
        <v>434</v>
      </c>
      <c r="B747" t="s">
        <v>157</v>
      </c>
      <c r="D747" s="24"/>
      <c r="E747" s="24"/>
      <c r="F747" s="24"/>
      <c r="G747" s="24"/>
      <c r="O747" s="6"/>
      <c r="P747" s="6"/>
      <c r="Q747"/>
      <c r="R747"/>
    </row>
    <row r="748" spans="1:18" x14ac:dyDescent="0.3">
      <c r="A748" t="s">
        <v>467</v>
      </c>
      <c r="B748" t="s">
        <v>157</v>
      </c>
      <c r="D748" s="24"/>
      <c r="E748" s="24"/>
      <c r="F748" s="24"/>
      <c r="G748" s="24"/>
      <c r="O748" s="6"/>
      <c r="P748" s="6"/>
      <c r="Q748"/>
      <c r="R748"/>
    </row>
    <row r="749" spans="1:18" x14ac:dyDescent="0.3">
      <c r="A749" t="s">
        <v>386</v>
      </c>
      <c r="B749" t="s">
        <v>157</v>
      </c>
      <c r="D749" s="24"/>
      <c r="E749" s="24"/>
      <c r="F749" s="24"/>
      <c r="G749" s="24"/>
      <c r="O749" s="6"/>
      <c r="P749" s="6"/>
      <c r="Q749"/>
      <c r="R749"/>
    </row>
    <row r="750" spans="1:18" x14ac:dyDescent="0.3">
      <c r="A750" t="s">
        <v>722</v>
      </c>
      <c r="B750" t="s">
        <v>157</v>
      </c>
      <c r="D750" s="24"/>
      <c r="E750" s="24"/>
      <c r="F750" s="24"/>
      <c r="G750" s="24"/>
      <c r="O750" s="6"/>
      <c r="P750" s="6"/>
      <c r="Q750"/>
      <c r="R750"/>
    </row>
    <row r="751" spans="1:18" x14ac:dyDescent="0.3">
      <c r="A751" t="s">
        <v>481</v>
      </c>
      <c r="B751" t="s">
        <v>157</v>
      </c>
      <c r="D751" s="24"/>
      <c r="E751" s="24"/>
      <c r="F751" s="24"/>
      <c r="G751" s="24"/>
      <c r="O751" s="6"/>
      <c r="P751" s="6"/>
      <c r="Q751"/>
      <c r="R751"/>
    </row>
    <row r="752" spans="1:18" x14ac:dyDescent="0.3">
      <c r="A752" t="s">
        <v>403</v>
      </c>
      <c r="B752" t="s">
        <v>157</v>
      </c>
      <c r="O752" s="6"/>
      <c r="P752" s="6"/>
      <c r="Q752"/>
      <c r="R752"/>
    </row>
    <row r="753" spans="1:2" x14ac:dyDescent="0.3">
      <c r="A753" t="s">
        <v>725</v>
      </c>
      <c r="B753" t="s">
        <v>157</v>
      </c>
    </row>
    <row r="754" spans="1:2" x14ac:dyDescent="0.3">
      <c r="A754" t="s">
        <v>462</v>
      </c>
      <c r="B754" t="s">
        <v>157</v>
      </c>
    </row>
    <row r="755" spans="1:2" x14ac:dyDescent="0.3">
      <c r="A755" t="s">
        <v>485</v>
      </c>
      <c r="B755" t="s">
        <v>157</v>
      </c>
    </row>
    <row r="756" spans="1:2" x14ac:dyDescent="0.3">
      <c r="A756" t="s">
        <v>456</v>
      </c>
      <c r="B756" t="s">
        <v>157</v>
      </c>
    </row>
    <row r="757" spans="1:2" x14ac:dyDescent="0.3">
      <c r="A757" s="24" t="s">
        <v>930</v>
      </c>
      <c r="B757" s="24" t="s">
        <v>157</v>
      </c>
    </row>
    <row r="758" spans="1:2" x14ac:dyDescent="0.3">
      <c r="A758" t="s">
        <v>450</v>
      </c>
      <c r="B758" t="s">
        <v>157</v>
      </c>
    </row>
    <row r="759" spans="1:2" x14ac:dyDescent="0.3">
      <c r="A759" t="s">
        <v>317</v>
      </c>
      <c r="B759" t="s">
        <v>157</v>
      </c>
    </row>
    <row r="760" spans="1:2" x14ac:dyDescent="0.3">
      <c r="A760" t="s">
        <v>711</v>
      </c>
      <c r="B760" t="s">
        <v>157</v>
      </c>
    </row>
    <row r="761" spans="1:2" x14ac:dyDescent="0.3">
      <c r="A761" t="s">
        <v>412</v>
      </c>
      <c r="B761" t="s">
        <v>157</v>
      </c>
    </row>
    <row r="762" spans="1:2" x14ac:dyDescent="0.3">
      <c r="A762" t="s">
        <v>732</v>
      </c>
      <c r="B762" t="s">
        <v>157</v>
      </c>
    </row>
    <row r="763" spans="1:2" x14ac:dyDescent="0.3">
      <c r="A763" t="s">
        <v>479</v>
      </c>
      <c r="B763" t="s">
        <v>157</v>
      </c>
    </row>
    <row r="764" spans="1:2" x14ac:dyDescent="0.3">
      <c r="A764" t="s">
        <v>477</v>
      </c>
      <c r="B764" t="s">
        <v>157</v>
      </c>
    </row>
    <row r="765" spans="1:2" x14ac:dyDescent="0.3">
      <c r="A765" t="s">
        <v>484</v>
      </c>
      <c r="B765" t="s">
        <v>157</v>
      </c>
    </row>
    <row r="766" spans="1:2" x14ac:dyDescent="0.3">
      <c r="A766" t="s">
        <v>471</v>
      </c>
      <c r="B766" t="s">
        <v>157</v>
      </c>
    </row>
    <row r="767" spans="1:2" x14ac:dyDescent="0.3">
      <c r="A767" t="s">
        <v>404</v>
      </c>
      <c r="B767" t="s">
        <v>157</v>
      </c>
    </row>
    <row r="768" spans="1:2" x14ac:dyDescent="0.3">
      <c r="A768" t="s">
        <v>726</v>
      </c>
      <c r="B768" t="s">
        <v>157</v>
      </c>
    </row>
    <row r="769" spans="1:2" x14ac:dyDescent="0.3">
      <c r="A769" t="s">
        <v>419</v>
      </c>
      <c r="B769" t="s">
        <v>157</v>
      </c>
    </row>
    <row r="770" spans="1:2" x14ac:dyDescent="0.3">
      <c r="A770" t="s">
        <v>418</v>
      </c>
      <c r="B770" t="s">
        <v>157</v>
      </c>
    </row>
    <row r="771" spans="1:2" x14ac:dyDescent="0.3">
      <c r="A771" t="s">
        <v>475</v>
      </c>
      <c r="B771" t="s">
        <v>157</v>
      </c>
    </row>
    <row r="772" spans="1:2" x14ac:dyDescent="0.3">
      <c r="A772" t="s">
        <v>461</v>
      </c>
      <c r="B772" t="s">
        <v>157</v>
      </c>
    </row>
    <row r="773" spans="1:2" x14ac:dyDescent="0.3">
      <c r="A773" t="s">
        <v>458</v>
      </c>
      <c r="B773" t="s">
        <v>157</v>
      </c>
    </row>
    <row r="774" spans="1:2" x14ac:dyDescent="0.3">
      <c r="A774" t="s">
        <v>486</v>
      </c>
      <c r="B774" t="s">
        <v>157</v>
      </c>
    </row>
    <row r="775" spans="1:2" x14ac:dyDescent="0.3">
      <c r="A775" t="s">
        <v>472</v>
      </c>
      <c r="B775" t="s">
        <v>157</v>
      </c>
    </row>
    <row r="776" spans="1:2" x14ac:dyDescent="0.3">
      <c r="A776" t="s">
        <v>405</v>
      </c>
      <c r="B776" t="s">
        <v>157</v>
      </c>
    </row>
    <row r="777" spans="1:2" x14ac:dyDescent="0.3">
      <c r="A777" t="s">
        <v>727</v>
      </c>
      <c r="B777" t="s">
        <v>157</v>
      </c>
    </row>
    <row r="778" spans="1:2" x14ac:dyDescent="0.3">
      <c r="A778" t="s">
        <v>460</v>
      </c>
      <c r="B778" t="s">
        <v>157</v>
      </c>
    </row>
    <row r="779" spans="1:2" x14ac:dyDescent="0.3">
      <c r="A779" t="s">
        <v>626</v>
      </c>
      <c r="B779" t="s">
        <v>157</v>
      </c>
    </row>
    <row r="780" spans="1:2" x14ac:dyDescent="0.3">
      <c r="A780" t="s">
        <v>406</v>
      </c>
      <c r="B780" t="s">
        <v>157</v>
      </c>
    </row>
    <row r="781" spans="1:2" x14ac:dyDescent="0.3">
      <c r="A781" t="s">
        <v>728</v>
      </c>
      <c r="B781" t="s">
        <v>157</v>
      </c>
    </row>
    <row r="782" spans="1:2" x14ac:dyDescent="0.3">
      <c r="A782" t="s">
        <v>463</v>
      </c>
      <c r="B782" t="s">
        <v>157</v>
      </c>
    </row>
    <row r="783" spans="1:2" x14ac:dyDescent="0.3">
      <c r="A783" t="s">
        <v>444</v>
      </c>
      <c r="B783" t="s">
        <v>157</v>
      </c>
    </row>
    <row r="784" spans="1:2" x14ac:dyDescent="0.3">
      <c r="A784" t="s">
        <v>474</v>
      </c>
      <c r="B784" t="s">
        <v>157</v>
      </c>
    </row>
    <row r="785" spans="1:2" x14ac:dyDescent="0.3">
      <c r="A785" t="s">
        <v>451</v>
      </c>
      <c r="B785" t="s">
        <v>157</v>
      </c>
    </row>
    <row r="786" spans="1:2" x14ac:dyDescent="0.3">
      <c r="A786" t="s">
        <v>465</v>
      </c>
      <c r="B786" t="s">
        <v>157</v>
      </c>
    </row>
    <row r="787" spans="1:2" x14ac:dyDescent="0.3">
      <c r="A787" t="s">
        <v>442</v>
      </c>
      <c r="B787" t="s">
        <v>157</v>
      </c>
    </row>
    <row r="788" spans="1:2" x14ac:dyDescent="0.3">
      <c r="A788" t="s">
        <v>387</v>
      </c>
      <c r="B788" t="s">
        <v>157</v>
      </c>
    </row>
    <row r="789" spans="1:2" x14ac:dyDescent="0.3">
      <c r="A789" t="s">
        <v>723</v>
      </c>
      <c r="B789" t="s">
        <v>157</v>
      </c>
    </row>
    <row r="790" spans="1:2" x14ac:dyDescent="0.3">
      <c r="A790" t="s">
        <v>440</v>
      </c>
      <c r="B790" t="s">
        <v>157</v>
      </c>
    </row>
    <row r="791" spans="1:2" x14ac:dyDescent="0.3">
      <c r="A791" t="s">
        <v>427</v>
      </c>
      <c r="B791" t="s">
        <v>157</v>
      </c>
    </row>
    <row r="792" spans="1:2" x14ac:dyDescent="0.3">
      <c r="A792" s="24" t="s">
        <v>938</v>
      </c>
      <c r="B792" s="24" t="s">
        <v>157</v>
      </c>
    </row>
    <row r="793" spans="1:2" x14ac:dyDescent="0.3">
      <c r="A793" t="s">
        <v>425</v>
      </c>
      <c r="B793" t="s">
        <v>157</v>
      </c>
    </row>
    <row r="794" spans="1:2" x14ac:dyDescent="0.3">
      <c r="A794" t="s">
        <v>455</v>
      </c>
      <c r="B794" t="s">
        <v>157</v>
      </c>
    </row>
    <row r="795" spans="1:2" x14ac:dyDescent="0.3">
      <c r="A795" t="s">
        <v>410</v>
      </c>
      <c r="B795" t="s">
        <v>157</v>
      </c>
    </row>
    <row r="796" spans="1:2" x14ac:dyDescent="0.3">
      <c r="A796" t="s">
        <v>730</v>
      </c>
      <c r="B796" t="s">
        <v>157</v>
      </c>
    </row>
    <row r="797" spans="1:2" x14ac:dyDescent="0.3">
      <c r="A797" t="s">
        <v>422</v>
      </c>
      <c r="B797" t="s">
        <v>157</v>
      </c>
    </row>
    <row r="798" spans="1:2" x14ac:dyDescent="0.3">
      <c r="A798" t="s">
        <v>415</v>
      </c>
      <c r="B798" t="s">
        <v>157</v>
      </c>
    </row>
    <row r="799" spans="1:2" x14ac:dyDescent="0.3">
      <c r="A799" t="s">
        <v>414</v>
      </c>
      <c r="B799" t="s">
        <v>157</v>
      </c>
    </row>
    <row r="800" spans="1:2" x14ac:dyDescent="0.3">
      <c r="A800" t="s">
        <v>469</v>
      </c>
      <c r="B800" t="s">
        <v>157</v>
      </c>
    </row>
    <row r="801" spans="1:2" x14ac:dyDescent="0.3">
      <c r="A801" t="s">
        <v>457</v>
      </c>
      <c r="B801" t="s">
        <v>157</v>
      </c>
    </row>
    <row r="802" spans="1:2" x14ac:dyDescent="0.3">
      <c r="A802" t="s">
        <v>435</v>
      </c>
      <c r="B802" t="s">
        <v>157</v>
      </c>
    </row>
    <row r="803" spans="1:2" x14ac:dyDescent="0.3">
      <c r="A803" t="s">
        <v>446</v>
      </c>
      <c r="B803" t="s">
        <v>157</v>
      </c>
    </row>
    <row r="804" spans="1:2" x14ac:dyDescent="0.3">
      <c r="A804" t="s">
        <v>623</v>
      </c>
      <c r="B804" t="s">
        <v>157</v>
      </c>
    </row>
    <row r="805" spans="1:2" x14ac:dyDescent="0.3">
      <c r="A805" t="s">
        <v>464</v>
      </c>
      <c r="B805" t="s">
        <v>157</v>
      </c>
    </row>
    <row r="806" spans="1:2" x14ac:dyDescent="0.3">
      <c r="A806" t="s">
        <v>443</v>
      </c>
      <c r="B806" t="s">
        <v>157</v>
      </c>
    </row>
    <row r="807" spans="1:2" x14ac:dyDescent="0.3">
      <c r="A807" t="s">
        <v>441</v>
      </c>
      <c r="B807" t="s">
        <v>157</v>
      </c>
    </row>
    <row r="808" spans="1:2" x14ac:dyDescent="0.3">
      <c r="A808" t="s">
        <v>449</v>
      </c>
      <c r="B808" t="s">
        <v>157</v>
      </c>
    </row>
    <row r="809" spans="1:2" x14ac:dyDescent="0.3">
      <c r="A809" t="s">
        <v>320</v>
      </c>
      <c r="B809" t="s">
        <v>157</v>
      </c>
    </row>
    <row r="810" spans="1:2" x14ac:dyDescent="0.3">
      <c r="A810" t="s">
        <v>330</v>
      </c>
      <c r="B810" t="s">
        <v>157</v>
      </c>
    </row>
    <row r="811" spans="1:2" x14ac:dyDescent="0.3">
      <c r="A811" t="s">
        <v>322</v>
      </c>
      <c r="B811" t="s">
        <v>157</v>
      </c>
    </row>
    <row r="812" spans="1:2" x14ac:dyDescent="0.3">
      <c r="A812" t="s">
        <v>806</v>
      </c>
      <c r="B812" t="s">
        <v>157</v>
      </c>
    </row>
    <row r="813" spans="1:2" x14ac:dyDescent="0.3">
      <c r="A813" t="s">
        <v>323</v>
      </c>
      <c r="B813" t="s">
        <v>157</v>
      </c>
    </row>
    <row r="814" spans="1:2" x14ac:dyDescent="0.3">
      <c r="A814" t="s">
        <v>324</v>
      </c>
      <c r="B814" t="s">
        <v>157</v>
      </c>
    </row>
    <row r="815" spans="1:2" x14ac:dyDescent="0.3">
      <c r="A815" t="s">
        <v>316</v>
      </c>
      <c r="B815" t="s">
        <v>157</v>
      </c>
    </row>
    <row r="816" spans="1:2" x14ac:dyDescent="0.3">
      <c r="A816" t="s">
        <v>675</v>
      </c>
      <c r="B816" t="s">
        <v>157</v>
      </c>
    </row>
    <row r="817" spans="1:2" x14ac:dyDescent="0.3">
      <c r="A817" t="s">
        <v>321</v>
      </c>
      <c r="B817" t="s">
        <v>157</v>
      </c>
    </row>
    <row r="818" spans="1:2" x14ac:dyDescent="0.3">
      <c r="A818" t="s">
        <v>329</v>
      </c>
      <c r="B818" t="s">
        <v>157</v>
      </c>
    </row>
    <row r="819" spans="1:2" x14ac:dyDescent="0.3">
      <c r="A819" t="s">
        <v>325</v>
      </c>
      <c r="B819" t="s">
        <v>157</v>
      </c>
    </row>
    <row r="820" spans="1:2" x14ac:dyDescent="0.3">
      <c r="A820" t="s">
        <v>764</v>
      </c>
      <c r="B820" t="s">
        <v>188</v>
      </c>
    </row>
    <row r="821" spans="1:2" x14ac:dyDescent="0.3">
      <c r="A821" t="s">
        <v>661</v>
      </c>
      <c r="B821" t="s">
        <v>188</v>
      </c>
    </row>
    <row r="822" spans="1:2" x14ac:dyDescent="0.3">
      <c r="A822" t="s">
        <v>665</v>
      </c>
      <c r="B822" t="s">
        <v>188</v>
      </c>
    </row>
    <row r="823" spans="1:2" x14ac:dyDescent="0.3">
      <c r="A823" t="s">
        <v>662</v>
      </c>
      <c r="B823" t="s">
        <v>188</v>
      </c>
    </row>
    <row r="824" spans="1:2" x14ac:dyDescent="0.3">
      <c r="A824" t="s">
        <v>663</v>
      </c>
      <c r="B824" t="s">
        <v>188</v>
      </c>
    </row>
    <row r="825" spans="1:2" x14ac:dyDescent="0.3">
      <c r="A825" t="s">
        <v>664</v>
      </c>
      <c r="B825" t="s">
        <v>188</v>
      </c>
    </row>
    <row r="826" spans="1:2" x14ac:dyDescent="0.3">
      <c r="A826" t="s">
        <v>327</v>
      </c>
      <c r="B826" t="s">
        <v>188</v>
      </c>
    </row>
    <row r="827" spans="1:2" x14ac:dyDescent="0.3">
      <c r="A827" t="s">
        <v>328</v>
      </c>
      <c r="B827" t="s">
        <v>188</v>
      </c>
    </row>
    <row r="828" spans="1:2" x14ac:dyDescent="0.3">
      <c r="A828" t="s">
        <v>326</v>
      </c>
      <c r="B828" t="s">
        <v>188</v>
      </c>
    </row>
    <row r="829" spans="1:2" x14ac:dyDescent="0.3">
      <c r="A829" t="s">
        <v>872</v>
      </c>
      <c r="B829" t="s">
        <v>879</v>
      </c>
    </row>
    <row r="830" spans="1:2" x14ac:dyDescent="0.3">
      <c r="A830" s="24" t="s">
        <v>1264</v>
      </c>
      <c r="B830" s="24" t="s">
        <v>157</v>
      </c>
    </row>
    <row r="831" spans="1:2" x14ac:dyDescent="0.3">
      <c r="A831" s="24" t="s">
        <v>968</v>
      </c>
      <c r="B831" s="24" t="s">
        <v>184</v>
      </c>
    </row>
    <row r="832" spans="1:2" x14ac:dyDescent="0.3">
      <c r="A832" s="24" t="s">
        <v>969</v>
      </c>
      <c r="B832" s="24" t="s">
        <v>368</v>
      </c>
    </row>
    <row r="833" spans="1:2" x14ac:dyDescent="0.3">
      <c r="A833" s="24" t="s">
        <v>974</v>
      </c>
      <c r="B833" s="24" t="s">
        <v>189</v>
      </c>
    </row>
    <row r="834" spans="1:2" x14ac:dyDescent="0.3">
      <c r="A834" s="24" t="s">
        <v>970</v>
      </c>
      <c r="B834" s="24" t="s">
        <v>189</v>
      </c>
    </row>
    <row r="835" spans="1:2" x14ac:dyDescent="0.3">
      <c r="A835" s="24" t="s">
        <v>971</v>
      </c>
      <c r="B835" s="24" t="s">
        <v>368</v>
      </c>
    </row>
    <row r="836" spans="1:2" x14ac:dyDescent="0.3">
      <c r="A836" s="24" t="s">
        <v>972</v>
      </c>
      <c r="B836" s="24" t="s">
        <v>368</v>
      </c>
    </row>
    <row r="837" spans="1:2" x14ac:dyDescent="0.3">
      <c r="A837" s="24" t="s">
        <v>991</v>
      </c>
      <c r="B837" s="24" t="s">
        <v>189</v>
      </c>
    </row>
    <row r="838" spans="1:2" x14ac:dyDescent="0.3">
      <c r="A838" s="24" t="s">
        <v>992</v>
      </c>
      <c r="B838" s="24" t="s">
        <v>189</v>
      </c>
    </row>
    <row r="839" spans="1:2" x14ac:dyDescent="0.3">
      <c r="A839" s="24" t="s">
        <v>993</v>
      </c>
      <c r="B839" s="24" t="s">
        <v>157</v>
      </c>
    </row>
    <row r="840" spans="1:2" x14ac:dyDescent="0.3">
      <c r="A840" s="24" t="s">
        <v>1431</v>
      </c>
      <c r="B840" s="24" t="s">
        <v>188</v>
      </c>
    </row>
    <row r="841" spans="1:2" x14ac:dyDescent="0.3">
      <c r="A841" s="24" t="s">
        <v>994</v>
      </c>
      <c r="B841" s="24" t="s">
        <v>188</v>
      </c>
    </row>
    <row r="842" spans="1:2" x14ac:dyDescent="0.3">
      <c r="A842" s="24" t="s">
        <v>1000</v>
      </c>
      <c r="B842" s="24" t="s">
        <v>174</v>
      </c>
    </row>
    <row r="843" spans="1:2" x14ac:dyDescent="0.3">
      <c r="A843" s="24" t="s">
        <v>1001</v>
      </c>
      <c r="B843" s="24" t="s">
        <v>174</v>
      </c>
    </row>
    <row r="844" spans="1:2" x14ac:dyDescent="0.3">
      <c r="A844" s="24" t="s">
        <v>1002</v>
      </c>
      <c r="B844" s="24" t="s">
        <v>174</v>
      </c>
    </row>
    <row r="845" spans="1:2" x14ac:dyDescent="0.3">
      <c r="A845" s="24" t="s">
        <v>961</v>
      </c>
      <c r="B845" s="24" t="s">
        <v>999</v>
      </c>
    </row>
    <row r="846" spans="1:2" x14ac:dyDescent="0.3">
      <c r="A846" s="24" t="s">
        <v>1004</v>
      </c>
      <c r="B846" s="24" t="s">
        <v>174</v>
      </c>
    </row>
    <row r="847" spans="1:2" x14ac:dyDescent="0.3">
      <c r="A847" s="24" t="s">
        <v>1005</v>
      </c>
      <c r="B847" s="24" t="s">
        <v>174</v>
      </c>
    </row>
    <row r="848" spans="1:2" x14ac:dyDescent="0.3">
      <c r="A848" s="24" t="s">
        <v>1006</v>
      </c>
      <c r="B848" s="24" t="s">
        <v>174</v>
      </c>
    </row>
    <row r="849" spans="1:2" x14ac:dyDescent="0.3">
      <c r="A849" s="24" t="s">
        <v>1007</v>
      </c>
      <c r="B849" s="24" t="s">
        <v>174</v>
      </c>
    </row>
    <row r="850" spans="1:2" x14ac:dyDescent="0.3">
      <c r="A850" s="24" t="s">
        <v>1008</v>
      </c>
      <c r="B850" s="24" t="s">
        <v>174</v>
      </c>
    </row>
    <row r="851" spans="1:2" x14ac:dyDescent="0.3">
      <c r="A851" s="24" t="s">
        <v>1003</v>
      </c>
      <c r="B851" s="24" t="s">
        <v>157</v>
      </c>
    </row>
    <row r="852" spans="1:2" x14ac:dyDescent="0.3">
      <c r="A852" s="24" t="s">
        <v>995</v>
      </c>
      <c r="B852" s="24" t="s">
        <v>364</v>
      </c>
    </row>
    <row r="853" spans="1:2" x14ac:dyDescent="0.3">
      <c r="A853" s="24" t="s">
        <v>1009</v>
      </c>
      <c r="B853" s="24" t="s">
        <v>157</v>
      </c>
    </row>
    <row r="854" spans="1:2" x14ac:dyDescent="0.3">
      <c r="A854" s="24" t="s">
        <v>1010</v>
      </c>
      <c r="B854" s="24" t="s">
        <v>157</v>
      </c>
    </row>
    <row r="855" spans="1:2" x14ac:dyDescent="0.3">
      <c r="A855" s="24" t="s">
        <v>1090</v>
      </c>
      <c r="B855" s="24" t="s">
        <v>174</v>
      </c>
    </row>
    <row r="856" spans="1:2" x14ac:dyDescent="0.3">
      <c r="A856" s="24" t="s">
        <v>1397</v>
      </c>
      <c r="B856" s="24" t="s">
        <v>188</v>
      </c>
    </row>
    <row r="857" spans="1:2" x14ac:dyDescent="0.3">
      <c r="A857" s="24" t="s">
        <v>1391</v>
      </c>
      <c r="B857" s="24" t="s">
        <v>188</v>
      </c>
    </row>
    <row r="858" spans="1:2" x14ac:dyDescent="0.3">
      <c r="A858" s="24" t="s">
        <v>1392</v>
      </c>
      <c r="B858" s="24" t="s">
        <v>188</v>
      </c>
    </row>
    <row r="859" spans="1:2" x14ac:dyDescent="0.3">
      <c r="A859" s="24" t="s">
        <v>1393</v>
      </c>
      <c r="B859" s="24" t="s">
        <v>188</v>
      </c>
    </row>
    <row r="860" spans="1:2" x14ac:dyDescent="0.3">
      <c r="A860" s="24" t="s">
        <v>1394</v>
      </c>
      <c r="B860" s="24" t="s">
        <v>188</v>
      </c>
    </row>
    <row r="861" spans="1:2" x14ac:dyDescent="0.3">
      <c r="A861" s="24" t="s">
        <v>1406</v>
      </c>
      <c r="B861" s="24" t="s">
        <v>184</v>
      </c>
    </row>
    <row r="862" spans="1:2" x14ac:dyDescent="0.3">
      <c r="A862" s="24" t="s">
        <v>1417</v>
      </c>
      <c r="B862" s="24" t="s">
        <v>157</v>
      </c>
    </row>
    <row r="863" spans="1:2" x14ac:dyDescent="0.3">
      <c r="A863" s="24" t="s">
        <v>1430</v>
      </c>
      <c r="B863" s="24" t="s">
        <v>157</v>
      </c>
    </row>
    <row r="864" spans="1:2" x14ac:dyDescent="0.3">
      <c r="A864" s="24" t="s">
        <v>1420</v>
      </c>
      <c r="B864" s="24" t="s">
        <v>189</v>
      </c>
    </row>
    <row r="865" spans="1:2" x14ac:dyDescent="0.3">
      <c r="A865" s="24" t="s">
        <v>1429</v>
      </c>
      <c r="B865" s="24" t="s">
        <v>174</v>
      </c>
    </row>
    <row r="866" spans="1:2" x14ac:dyDescent="0.3">
      <c r="A866" s="24" t="s">
        <v>1418</v>
      </c>
      <c r="B866" s="24" t="s">
        <v>184</v>
      </c>
    </row>
    <row r="867" spans="1:2" x14ac:dyDescent="0.3">
      <c r="A867" s="24" t="s">
        <v>1424</v>
      </c>
      <c r="B867" s="24" t="s">
        <v>188</v>
      </c>
    </row>
    <row r="868" spans="1:2" x14ac:dyDescent="0.3">
      <c r="A868" s="24" t="s">
        <v>1428</v>
      </c>
      <c r="B868" s="24" t="s">
        <v>174</v>
      </c>
    </row>
    <row r="869" spans="1:2" x14ac:dyDescent="0.3">
      <c r="A869" s="24" t="s">
        <v>1426</v>
      </c>
      <c r="B869" s="24" t="s">
        <v>364</v>
      </c>
    </row>
    <row r="871" spans="1:2" x14ac:dyDescent="0.3">
      <c r="A871" t="s">
        <v>842</v>
      </c>
    </row>
    <row r="872" spans="1:2" x14ac:dyDescent="0.3">
      <c r="A872" t="s">
        <v>293</v>
      </c>
    </row>
    <row r="873" spans="1:2" x14ac:dyDescent="0.3">
      <c r="A873" t="s">
        <v>9</v>
      </c>
    </row>
    <row r="874" spans="1:2" x14ac:dyDescent="0.3">
      <c r="A874" t="s">
        <v>11</v>
      </c>
    </row>
  </sheetData>
  <phoneticPr fontId="7" type="noConversion"/>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59"/>
  <sheetViews>
    <sheetView topLeftCell="A108" zoomScaleNormal="100" workbookViewId="0">
      <selection activeCell="X75" sqref="X75"/>
    </sheetView>
  </sheetViews>
  <sheetFormatPr defaultRowHeight="14.4" x14ac:dyDescent="0.3"/>
  <cols>
    <col min="2" max="2" width="20.77734375" customWidth="1"/>
    <col min="3" max="3" width="70.77734375" customWidth="1"/>
  </cols>
  <sheetData>
    <row r="1" spans="1:21" ht="14.4" customHeight="1" x14ac:dyDescent="0.3">
      <c r="A1" t="s">
        <v>150</v>
      </c>
      <c r="B1" s="27" t="s">
        <v>149</v>
      </c>
      <c r="C1" t="s">
        <v>1180</v>
      </c>
      <c r="D1" t="s">
        <v>1181</v>
      </c>
      <c r="E1" t="s">
        <v>1182</v>
      </c>
      <c r="F1" s="6" t="s">
        <v>1183</v>
      </c>
      <c r="G1" s="89" t="s">
        <v>910</v>
      </c>
      <c r="H1" t="s">
        <v>1184</v>
      </c>
      <c r="I1" s="6" t="s">
        <v>1185</v>
      </c>
      <c r="J1" s="6" t="s">
        <v>1186</v>
      </c>
      <c r="K1" s="6" t="s">
        <v>1187</v>
      </c>
      <c r="L1" s="6" t="s">
        <v>55</v>
      </c>
      <c r="M1" s="90" t="s">
        <v>1188</v>
      </c>
      <c r="N1" s="90" t="s">
        <v>1442</v>
      </c>
      <c r="O1" s="90" t="s">
        <v>826</v>
      </c>
      <c r="P1" s="90" t="s">
        <v>827</v>
      </c>
      <c r="Q1" s="7" t="s">
        <v>1189</v>
      </c>
      <c r="R1" s="6" t="s">
        <v>753</v>
      </c>
      <c r="S1" s="6" t="s">
        <v>773</v>
      </c>
      <c r="T1" s="6" t="s">
        <v>849</v>
      </c>
      <c r="U1" s="6" t="s">
        <v>1190</v>
      </c>
    </row>
    <row r="2" spans="1:21" ht="14.4" customHeight="1" x14ac:dyDescent="0.3">
      <c r="A2" t="s">
        <v>157</v>
      </c>
      <c r="B2" t="s">
        <v>1026</v>
      </c>
      <c r="C2" t="s">
        <v>1191</v>
      </c>
      <c r="D2">
        <v>10</v>
      </c>
      <c r="E2">
        <v>16</v>
      </c>
      <c r="F2" s="6">
        <v>1.25</v>
      </c>
      <c r="G2" s="91">
        <f>Barrage[[#This Row],[Coefficient]]*Barrage[[#This Row],[Total Rounds]]*Barrage[[#This Row],[Base Damage]]</f>
        <v>200</v>
      </c>
      <c r="H2" t="s">
        <v>161</v>
      </c>
      <c r="I2" s="6">
        <v>1</v>
      </c>
      <c r="J2" s="6">
        <v>1</v>
      </c>
      <c r="K2" s="6">
        <v>1</v>
      </c>
      <c r="L2" s="92"/>
      <c r="M2" s="93"/>
      <c r="N2" s="93"/>
      <c r="O2" s="93"/>
      <c r="P2" s="93"/>
      <c r="Q2" s="7"/>
      <c r="R2" t="s">
        <v>9</v>
      </c>
      <c r="T2">
        <v>1</v>
      </c>
    </row>
    <row r="3" spans="1:21" ht="14.4" customHeight="1" x14ac:dyDescent="0.3">
      <c r="A3" t="s">
        <v>157</v>
      </c>
      <c r="B3" t="s">
        <v>1018</v>
      </c>
      <c r="C3" t="s">
        <v>1192</v>
      </c>
      <c r="D3">
        <v>10</v>
      </c>
      <c r="E3">
        <v>10</v>
      </c>
      <c r="F3" s="6">
        <v>1.25</v>
      </c>
      <c r="G3" s="91">
        <f>Barrage[[#This Row],[Coefficient]]*Barrage[[#This Row],[Total Rounds]]*Barrage[[#This Row],[Base Damage]]</f>
        <v>125</v>
      </c>
      <c r="H3" t="s">
        <v>161</v>
      </c>
      <c r="I3" s="6">
        <v>1</v>
      </c>
      <c r="J3" s="6">
        <v>0.75</v>
      </c>
      <c r="K3" s="6">
        <v>0.4</v>
      </c>
      <c r="L3" s="92"/>
      <c r="M3" s="93"/>
      <c r="N3" s="93"/>
      <c r="O3" s="93"/>
      <c r="P3" s="93"/>
      <c r="Q3" s="7"/>
      <c r="R3" t="s">
        <v>9</v>
      </c>
      <c r="T3">
        <v>1</v>
      </c>
    </row>
    <row r="4" spans="1:21" ht="30" customHeight="1" x14ac:dyDescent="0.3">
      <c r="A4" s="27" t="s">
        <v>157</v>
      </c>
      <c r="B4" s="27" t="s">
        <v>1020</v>
      </c>
      <c r="C4" s="87" t="s">
        <v>1193</v>
      </c>
      <c r="D4">
        <v>10</v>
      </c>
      <c r="E4">
        <v>20</v>
      </c>
      <c r="F4" s="6">
        <v>1.25</v>
      </c>
      <c r="G4" s="91">
        <f>Barrage[[#This Row],[Coefficient]]*Barrage[[#This Row],[Total Rounds]]*Barrage[[#This Row],[Base Damage]]</f>
        <v>250</v>
      </c>
      <c r="H4" t="s">
        <v>161</v>
      </c>
      <c r="I4" s="6">
        <v>1</v>
      </c>
      <c r="J4" s="6">
        <v>0.75</v>
      </c>
      <c r="K4" s="6">
        <v>0.4</v>
      </c>
      <c r="L4" s="92"/>
      <c r="M4" s="93"/>
      <c r="N4" s="93"/>
      <c r="O4" s="93"/>
      <c r="P4" s="93"/>
      <c r="Q4" s="7"/>
      <c r="R4" t="s">
        <v>9</v>
      </c>
      <c r="T4">
        <v>1</v>
      </c>
    </row>
    <row r="5" spans="1:21" ht="14.4" customHeight="1" x14ac:dyDescent="0.3">
      <c r="A5" t="s">
        <v>157</v>
      </c>
      <c r="B5" t="s">
        <v>1027</v>
      </c>
      <c r="C5" t="s">
        <v>1194</v>
      </c>
      <c r="D5">
        <v>10</v>
      </c>
      <c r="E5">
        <v>12</v>
      </c>
      <c r="F5" s="6">
        <v>1.25</v>
      </c>
      <c r="G5" s="91">
        <f>Barrage[[#This Row],[Coefficient]]*Barrage[[#This Row],[Total Rounds]]*Barrage[[#This Row],[Base Damage]]</f>
        <v>150</v>
      </c>
      <c r="H5" t="s">
        <v>161</v>
      </c>
      <c r="I5" s="6">
        <v>1</v>
      </c>
      <c r="J5" s="6">
        <v>0.75</v>
      </c>
      <c r="K5" s="6">
        <v>0.4</v>
      </c>
      <c r="L5" s="92"/>
      <c r="M5" s="93"/>
      <c r="N5" s="93"/>
      <c r="O5" s="93"/>
      <c r="P5" s="93"/>
      <c r="Q5" s="7"/>
      <c r="R5" t="s">
        <v>9</v>
      </c>
      <c r="T5">
        <v>1</v>
      </c>
    </row>
    <row r="6" spans="1:21" ht="14.4" customHeight="1" x14ac:dyDescent="0.3">
      <c r="A6" t="s">
        <v>157</v>
      </c>
      <c r="B6" t="s">
        <v>1046</v>
      </c>
      <c r="C6" t="s">
        <v>1195</v>
      </c>
      <c r="D6">
        <v>10</v>
      </c>
      <c r="E6">
        <v>12</v>
      </c>
      <c r="F6" s="6">
        <v>1.25</v>
      </c>
      <c r="G6" s="91">
        <f>Barrage[[#This Row],[Coefficient]]*Barrage[[#This Row],[Total Rounds]]*Barrage[[#This Row],[Base Damage]]</f>
        <v>150</v>
      </c>
      <c r="H6" t="s">
        <v>161</v>
      </c>
      <c r="I6" s="6">
        <v>1</v>
      </c>
      <c r="J6" s="6">
        <v>0.5</v>
      </c>
      <c r="K6" s="6">
        <v>0.2</v>
      </c>
      <c r="L6" s="92"/>
      <c r="M6" s="93"/>
      <c r="N6" s="93"/>
      <c r="O6" s="93"/>
      <c r="P6" s="93"/>
      <c r="Q6" s="7"/>
      <c r="R6" t="s">
        <v>9</v>
      </c>
      <c r="T6">
        <v>1</v>
      </c>
    </row>
    <row r="7" spans="1:21" ht="14.4" customHeight="1" x14ac:dyDescent="0.3">
      <c r="A7" t="s">
        <v>157</v>
      </c>
      <c r="B7" s="27" t="s">
        <v>1040</v>
      </c>
      <c r="C7" s="87" t="s">
        <v>1196</v>
      </c>
      <c r="D7">
        <v>10</v>
      </c>
      <c r="E7">
        <v>10</v>
      </c>
      <c r="F7" s="6">
        <v>1.25</v>
      </c>
      <c r="G7" s="91">
        <f>Barrage[[#This Row],[Coefficient]]*Barrage[[#This Row],[Total Rounds]]*Barrage[[#This Row],[Base Damage]]</f>
        <v>125</v>
      </c>
      <c r="H7" t="s">
        <v>161</v>
      </c>
      <c r="I7" s="6">
        <v>1</v>
      </c>
      <c r="J7" s="6">
        <v>0.8</v>
      </c>
      <c r="K7" s="6">
        <v>0.6</v>
      </c>
      <c r="L7" s="92"/>
      <c r="M7" s="93"/>
      <c r="N7" s="93"/>
      <c r="O7" s="93"/>
      <c r="P7" s="93"/>
      <c r="Q7" s="7"/>
      <c r="R7" t="s">
        <v>9</v>
      </c>
      <c r="T7">
        <v>1</v>
      </c>
    </row>
    <row r="8" spans="1:21" ht="14.4" customHeight="1" x14ac:dyDescent="0.3">
      <c r="A8" t="s">
        <v>157</v>
      </c>
      <c r="B8" t="s">
        <v>1019</v>
      </c>
      <c r="C8" t="s">
        <v>1197</v>
      </c>
      <c r="D8">
        <v>10</v>
      </c>
      <c r="E8">
        <v>12</v>
      </c>
      <c r="F8" s="6">
        <v>1.25</v>
      </c>
      <c r="G8" s="91">
        <f>Barrage[[#This Row],[Coefficient]]*Barrage[[#This Row],[Total Rounds]]*Barrage[[#This Row],[Base Damage]]</f>
        <v>150</v>
      </c>
      <c r="H8" t="s">
        <v>161</v>
      </c>
      <c r="I8" s="6">
        <v>1</v>
      </c>
      <c r="J8" s="6">
        <v>0.75</v>
      </c>
      <c r="K8" s="6">
        <v>0.4</v>
      </c>
      <c r="L8" s="92"/>
      <c r="M8" s="93"/>
      <c r="N8" s="93"/>
      <c r="O8" s="93"/>
      <c r="P8" s="93"/>
      <c r="Q8" s="7"/>
      <c r="R8" t="s">
        <v>9</v>
      </c>
      <c r="T8">
        <v>1</v>
      </c>
    </row>
    <row r="9" spans="1:21" ht="14.4" customHeight="1" x14ac:dyDescent="0.3">
      <c r="A9" t="s">
        <v>157</v>
      </c>
      <c r="B9" t="s">
        <v>1028</v>
      </c>
      <c r="C9" t="s">
        <v>1198</v>
      </c>
      <c r="D9">
        <v>10</v>
      </c>
      <c r="E9">
        <v>20</v>
      </c>
      <c r="F9" s="6">
        <v>1.25</v>
      </c>
      <c r="G9" s="91">
        <f>Barrage[[#This Row],[Coefficient]]*Barrage[[#This Row],[Total Rounds]]*Barrage[[#This Row],[Base Damage]]</f>
        <v>250</v>
      </c>
      <c r="H9" t="s">
        <v>161</v>
      </c>
      <c r="I9" s="6">
        <v>1</v>
      </c>
      <c r="J9" s="6">
        <v>0.75</v>
      </c>
      <c r="K9" s="6">
        <v>0.4</v>
      </c>
      <c r="L9" s="92"/>
      <c r="M9" s="93"/>
      <c r="N9" s="93"/>
      <c r="O9" s="93"/>
      <c r="P9" s="93"/>
      <c r="Q9" s="7"/>
      <c r="R9" t="s">
        <v>9</v>
      </c>
      <c r="T9">
        <v>1</v>
      </c>
    </row>
    <row r="10" spans="1:21" ht="14.4" customHeight="1" x14ac:dyDescent="0.3">
      <c r="A10" t="s">
        <v>157</v>
      </c>
      <c r="B10" t="s">
        <v>1030</v>
      </c>
      <c r="C10" t="s">
        <v>433</v>
      </c>
      <c r="D10">
        <v>12</v>
      </c>
      <c r="E10">
        <v>12</v>
      </c>
      <c r="F10" s="6">
        <v>1.25</v>
      </c>
      <c r="G10" s="91">
        <f>Barrage[[#This Row],[Coefficient]]*Barrage[[#This Row],[Total Rounds]]*Barrage[[#This Row],[Base Damage]]</f>
        <v>180</v>
      </c>
      <c r="H10" t="s">
        <v>161</v>
      </c>
      <c r="I10" s="6">
        <v>1</v>
      </c>
      <c r="J10" s="6">
        <v>1</v>
      </c>
      <c r="K10" s="6">
        <v>1</v>
      </c>
      <c r="L10" s="92"/>
      <c r="M10" s="93"/>
      <c r="N10" s="93"/>
      <c r="O10" s="93"/>
      <c r="P10" s="93"/>
      <c r="Q10" s="7"/>
      <c r="R10" t="s">
        <v>9</v>
      </c>
      <c r="T10">
        <v>1</v>
      </c>
    </row>
    <row r="11" spans="1:21" ht="14.4" customHeight="1" x14ac:dyDescent="0.3">
      <c r="A11" t="s">
        <v>157</v>
      </c>
      <c r="B11" t="s">
        <v>1029</v>
      </c>
      <c r="C11" t="s">
        <v>432</v>
      </c>
      <c r="D11">
        <v>12</v>
      </c>
      <c r="E11">
        <v>12</v>
      </c>
      <c r="F11" s="6">
        <v>1.25</v>
      </c>
      <c r="G11" s="91">
        <f>Barrage[[#This Row],[Coefficient]]*Barrage[[#This Row],[Total Rounds]]*Barrage[[#This Row],[Base Damage]]</f>
        <v>180</v>
      </c>
      <c r="H11" t="s">
        <v>161</v>
      </c>
      <c r="I11" s="6">
        <v>1</v>
      </c>
      <c r="J11" s="6">
        <v>1</v>
      </c>
      <c r="K11" s="6">
        <v>1</v>
      </c>
      <c r="L11" s="92"/>
      <c r="M11" s="93"/>
      <c r="N11" s="93"/>
      <c r="O11" s="93"/>
      <c r="P11" s="93"/>
      <c r="Q11" s="7"/>
      <c r="R11" t="s">
        <v>9</v>
      </c>
      <c r="T11">
        <v>1</v>
      </c>
    </row>
    <row r="12" spans="1:21" ht="14.4" customHeight="1" x14ac:dyDescent="0.3">
      <c r="A12" t="s">
        <v>157</v>
      </c>
      <c r="B12" t="s">
        <v>1038</v>
      </c>
      <c r="C12" t="s">
        <v>1199</v>
      </c>
      <c r="D12">
        <v>10</v>
      </c>
      <c r="E12">
        <v>20</v>
      </c>
      <c r="F12" s="6">
        <v>1.25</v>
      </c>
      <c r="G12" s="91">
        <f>Barrage[[#This Row],[Coefficient]]*Barrage[[#This Row],[Total Rounds]]*Barrage[[#This Row],[Base Damage]]</f>
        <v>250</v>
      </c>
      <c r="H12" t="s">
        <v>161</v>
      </c>
      <c r="I12" s="6">
        <v>1</v>
      </c>
      <c r="J12" s="6">
        <v>0.75</v>
      </c>
      <c r="K12" s="6">
        <v>0.4</v>
      </c>
      <c r="L12" s="92"/>
      <c r="M12" s="93"/>
      <c r="N12" s="93"/>
      <c r="O12" s="93"/>
      <c r="P12" s="93"/>
      <c r="Q12" s="7"/>
      <c r="R12" t="s">
        <v>9</v>
      </c>
      <c r="T12">
        <v>1</v>
      </c>
    </row>
    <row r="13" spans="1:21" ht="14.4" customHeight="1" x14ac:dyDescent="0.3">
      <c r="A13" t="s">
        <v>157</v>
      </c>
      <c r="B13" t="s">
        <v>1032</v>
      </c>
      <c r="C13" t="s">
        <v>377</v>
      </c>
      <c r="D13">
        <v>12</v>
      </c>
      <c r="E13">
        <v>24</v>
      </c>
      <c r="F13" s="6">
        <v>1.25</v>
      </c>
      <c r="G13" s="91">
        <f>Barrage[[#This Row],[Coefficient]]*Barrage[[#This Row],[Total Rounds]]*Barrage[[#This Row],[Base Damage]]</f>
        <v>360</v>
      </c>
      <c r="H13" s="94" t="s">
        <v>167</v>
      </c>
      <c r="I13" s="6">
        <v>0.9</v>
      </c>
      <c r="J13" s="6">
        <v>0.7</v>
      </c>
      <c r="K13" s="6">
        <v>0.4</v>
      </c>
      <c r="L13" s="92"/>
      <c r="M13" s="93"/>
      <c r="N13" s="93"/>
      <c r="O13" s="93"/>
      <c r="P13" s="93"/>
      <c r="Q13" s="7">
        <v>1</v>
      </c>
      <c r="R13" t="s">
        <v>9</v>
      </c>
      <c r="T13">
        <v>1</v>
      </c>
    </row>
    <row r="14" spans="1:21" ht="14.4" customHeight="1" x14ac:dyDescent="0.3">
      <c r="A14" t="s">
        <v>157</v>
      </c>
      <c r="B14" t="s">
        <v>1034</v>
      </c>
      <c r="C14" t="s">
        <v>435</v>
      </c>
      <c r="D14">
        <v>12</v>
      </c>
      <c r="E14">
        <v>18</v>
      </c>
      <c r="F14" s="6">
        <v>1.25</v>
      </c>
      <c r="G14" s="91">
        <f>Barrage[[#This Row],[Coefficient]]*Barrage[[#This Row],[Total Rounds]]*Barrage[[#This Row],[Base Damage]]</f>
        <v>270</v>
      </c>
      <c r="H14" t="s">
        <v>161</v>
      </c>
      <c r="I14" s="6">
        <v>1</v>
      </c>
      <c r="J14" s="6">
        <v>0.75</v>
      </c>
      <c r="K14" s="6">
        <v>0.4</v>
      </c>
      <c r="L14" s="92"/>
      <c r="M14" s="93"/>
      <c r="N14" s="93"/>
      <c r="O14" s="93"/>
      <c r="P14" s="93"/>
      <c r="Q14" s="7"/>
      <c r="R14" t="s">
        <v>9</v>
      </c>
      <c r="T14">
        <v>1</v>
      </c>
    </row>
    <row r="15" spans="1:21" ht="14.4" customHeight="1" x14ac:dyDescent="0.3">
      <c r="A15" t="s">
        <v>157</v>
      </c>
      <c r="B15" t="s">
        <v>1021</v>
      </c>
      <c r="C15" t="s">
        <v>317</v>
      </c>
      <c r="D15">
        <v>12</v>
      </c>
      <c r="E15">
        <v>28</v>
      </c>
      <c r="F15" s="6">
        <v>1.25</v>
      </c>
      <c r="G15" s="91">
        <f>Barrage[[#This Row],[Coefficient]]*Barrage[[#This Row],[Total Rounds]]*Barrage[[#This Row],[Base Damage]]</f>
        <v>420</v>
      </c>
      <c r="H15" s="95" t="s">
        <v>169</v>
      </c>
      <c r="I15" s="6">
        <v>1.2</v>
      </c>
      <c r="J15" s="6">
        <v>0.6</v>
      </c>
      <c r="K15" s="6">
        <v>0.6</v>
      </c>
      <c r="L15" s="92">
        <v>0.01</v>
      </c>
      <c r="M15" s="93">
        <v>1</v>
      </c>
      <c r="N15" s="93"/>
      <c r="O15" s="93"/>
      <c r="P15" s="93"/>
      <c r="Q15" s="7"/>
      <c r="R15" t="s">
        <v>9</v>
      </c>
      <c r="T15">
        <v>1</v>
      </c>
    </row>
    <row r="16" spans="1:21" ht="14.4" customHeight="1" x14ac:dyDescent="0.3">
      <c r="A16" t="s">
        <v>157</v>
      </c>
      <c r="B16" t="s">
        <v>1042</v>
      </c>
      <c r="C16" t="s">
        <v>320</v>
      </c>
      <c r="D16">
        <v>12</v>
      </c>
      <c r="E16">
        <v>24</v>
      </c>
      <c r="F16" s="6">
        <v>1.25</v>
      </c>
      <c r="G16" s="91">
        <f>Barrage[[#This Row],[Coefficient]]*Barrage[[#This Row],[Total Rounds]]*Barrage[[#This Row],[Base Damage]]</f>
        <v>360</v>
      </c>
      <c r="H16" t="s">
        <v>161</v>
      </c>
      <c r="I16" s="6">
        <v>1</v>
      </c>
      <c r="J16" s="6">
        <v>0.5</v>
      </c>
      <c r="K16" s="6">
        <v>0.2</v>
      </c>
      <c r="L16" s="92"/>
      <c r="M16" s="93"/>
      <c r="N16" s="93"/>
      <c r="O16" s="93"/>
      <c r="P16" s="93"/>
      <c r="Q16" s="7"/>
      <c r="R16" t="s">
        <v>9</v>
      </c>
      <c r="T16">
        <v>1</v>
      </c>
    </row>
    <row r="17" spans="1:21" ht="14.4" customHeight="1" x14ac:dyDescent="0.3">
      <c r="A17" t="s">
        <v>157</v>
      </c>
      <c r="B17" t="s">
        <v>1043</v>
      </c>
      <c r="C17" t="s">
        <v>316</v>
      </c>
      <c r="D17">
        <v>12</v>
      </c>
      <c r="E17">
        <v>20</v>
      </c>
      <c r="F17" s="6">
        <v>1.25</v>
      </c>
      <c r="G17" s="91">
        <f>Barrage[[#This Row],[Coefficient]]*Barrage[[#This Row],[Total Rounds]]*Barrage[[#This Row],[Base Damage]]</f>
        <v>300</v>
      </c>
      <c r="H17" s="94" t="s">
        <v>167</v>
      </c>
      <c r="I17" s="6">
        <v>1</v>
      </c>
      <c r="J17" s="6">
        <v>0.8</v>
      </c>
      <c r="K17" s="6">
        <v>0.6</v>
      </c>
      <c r="L17" s="92"/>
      <c r="M17" s="93"/>
      <c r="N17" s="93"/>
      <c r="O17" s="93"/>
      <c r="P17" s="93"/>
      <c r="Q17" s="7">
        <v>1</v>
      </c>
      <c r="R17" t="s">
        <v>9</v>
      </c>
      <c r="T17">
        <v>1</v>
      </c>
    </row>
    <row r="18" spans="1:21" ht="14.4" customHeight="1" x14ac:dyDescent="0.3">
      <c r="A18" t="s">
        <v>157</v>
      </c>
      <c r="B18" t="s">
        <v>1025</v>
      </c>
      <c r="C18" t="s">
        <v>1200</v>
      </c>
      <c r="D18">
        <v>10</v>
      </c>
      <c r="E18">
        <v>10</v>
      </c>
      <c r="F18" s="6">
        <v>1.25</v>
      </c>
      <c r="G18" s="91">
        <f>Barrage[[#This Row],[Coefficient]]*Barrage[[#This Row],[Total Rounds]]*Barrage[[#This Row],[Base Damage]]</f>
        <v>125</v>
      </c>
      <c r="H18" t="s">
        <v>161</v>
      </c>
      <c r="I18" s="6">
        <v>1</v>
      </c>
      <c r="J18" s="6">
        <v>0.8</v>
      </c>
      <c r="K18" s="6">
        <v>0.6</v>
      </c>
      <c r="L18" s="92"/>
      <c r="M18" s="93"/>
      <c r="N18" s="93"/>
      <c r="O18" s="93"/>
      <c r="P18" s="93"/>
      <c r="Q18" s="7"/>
      <c r="R18" t="s">
        <v>9</v>
      </c>
      <c r="T18">
        <v>1</v>
      </c>
    </row>
    <row r="19" spans="1:21" ht="14.4" customHeight="1" x14ac:dyDescent="0.3">
      <c r="A19" t="s">
        <v>157</v>
      </c>
      <c r="B19" t="s">
        <v>1037</v>
      </c>
      <c r="C19" t="s">
        <v>1201</v>
      </c>
      <c r="D19">
        <v>10</v>
      </c>
      <c r="E19">
        <v>17</v>
      </c>
      <c r="F19" s="6">
        <v>1.25</v>
      </c>
      <c r="G19" s="91">
        <f>Barrage[[#This Row],[Coefficient]]*Barrage[[#This Row],[Total Rounds]]*Barrage[[#This Row],[Base Damage]]</f>
        <v>212.5</v>
      </c>
      <c r="H19" t="s">
        <v>161</v>
      </c>
      <c r="I19" s="6">
        <v>1</v>
      </c>
      <c r="J19" s="6">
        <v>0.9</v>
      </c>
      <c r="K19" s="6">
        <v>0.5</v>
      </c>
      <c r="L19" s="92"/>
      <c r="M19" s="93"/>
      <c r="N19" s="93"/>
      <c r="O19" s="93"/>
      <c r="P19" s="93"/>
      <c r="Q19" s="7"/>
      <c r="R19" t="s">
        <v>9</v>
      </c>
      <c r="T19">
        <v>1</v>
      </c>
    </row>
    <row r="20" spans="1:21" ht="14.4" customHeight="1" x14ac:dyDescent="0.3">
      <c r="A20" t="s">
        <v>157</v>
      </c>
      <c r="B20" t="s">
        <v>1033</v>
      </c>
      <c r="C20" t="s">
        <v>1202</v>
      </c>
      <c r="D20">
        <v>10</v>
      </c>
      <c r="E20">
        <v>24</v>
      </c>
      <c r="F20" s="6">
        <v>1.25</v>
      </c>
      <c r="G20" s="91">
        <f>Barrage[[#This Row],[Coefficient]]*Barrage[[#This Row],[Total Rounds]]*Barrage[[#This Row],[Base Damage]]</f>
        <v>300</v>
      </c>
      <c r="H20" t="s">
        <v>161</v>
      </c>
      <c r="I20" s="6">
        <v>1</v>
      </c>
      <c r="J20" s="6">
        <v>0.75</v>
      </c>
      <c r="K20" s="6">
        <v>0.4</v>
      </c>
      <c r="L20" s="92"/>
      <c r="M20" s="93"/>
      <c r="N20" s="93"/>
      <c r="O20" s="93"/>
      <c r="P20" s="93"/>
      <c r="Q20" s="7"/>
      <c r="R20" t="s">
        <v>9</v>
      </c>
      <c r="T20">
        <v>1</v>
      </c>
    </row>
    <row r="21" spans="1:21" ht="14.4" customHeight="1" x14ac:dyDescent="0.3">
      <c r="A21" t="s">
        <v>157</v>
      </c>
      <c r="B21" t="s">
        <v>1023</v>
      </c>
      <c r="C21" t="s">
        <v>1203</v>
      </c>
      <c r="D21">
        <v>10</v>
      </c>
      <c r="E21">
        <v>24</v>
      </c>
      <c r="F21" s="6">
        <v>1.25</v>
      </c>
      <c r="G21" s="91">
        <f>Barrage[[#This Row],[Coefficient]]*Barrage[[#This Row],[Total Rounds]]*Barrage[[#This Row],[Base Damage]]</f>
        <v>300</v>
      </c>
      <c r="H21" t="s">
        <v>161</v>
      </c>
      <c r="I21" s="6">
        <v>1</v>
      </c>
      <c r="J21" s="6">
        <v>0.75</v>
      </c>
      <c r="K21" s="6">
        <v>0.4</v>
      </c>
      <c r="L21" s="92"/>
      <c r="M21" s="93"/>
      <c r="N21" s="93"/>
      <c r="O21" s="93"/>
      <c r="P21" s="93"/>
      <c r="Q21" s="7"/>
      <c r="R21" t="s">
        <v>9</v>
      </c>
      <c r="T21">
        <v>1</v>
      </c>
    </row>
    <row r="22" spans="1:21" ht="14.4" customHeight="1" x14ac:dyDescent="0.3">
      <c r="A22" t="s">
        <v>157</v>
      </c>
      <c r="B22" t="s">
        <v>1022</v>
      </c>
      <c r="C22" t="s">
        <v>1204</v>
      </c>
      <c r="D22">
        <v>10</v>
      </c>
      <c r="E22">
        <v>15</v>
      </c>
      <c r="F22" s="6">
        <v>1.25</v>
      </c>
      <c r="G22" s="91">
        <f>Barrage[[#This Row],[Coefficient]]*Barrage[[#This Row],[Total Rounds]]*Barrage[[#This Row],[Base Damage]]</f>
        <v>187.5</v>
      </c>
      <c r="H22" t="s">
        <v>161</v>
      </c>
      <c r="I22" s="6">
        <v>1</v>
      </c>
      <c r="J22" s="6">
        <v>1</v>
      </c>
      <c r="K22" s="6">
        <v>1</v>
      </c>
      <c r="L22" s="92"/>
      <c r="M22" s="93"/>
      <c r="N22" s="93"/>
      <c r="O22" s="93"/>
      <c r="P22" s="93"/>
      <c r="Q22" s="7"/>
      <c r="R22" t="s">
        <v>9</v>
      </c>
      <c r="T22">
        <v>1</v>
      </c>
    </row>
    <row r="23" spans="1:21" ht="14.4" customHeight="1" x14ac:dyDescent="0.3">
      <c r="A23" t="s">
        <v>157</v>
      </c>
      <c r="B23" s="27" t="s">
        <v>1041</v>
      </c>
      <c r="C23" s="87" t="s">
        <v>1205</v>
      </c>
      <c r="D23">
        <v>10</v>
      </c>
      <c r="E23">
        <v>12</v>
      </c>
      <c r="F23" s="6">
        <v>1.25</v>
      </c>
      <c r="G23" s="91">
        <f>Barrage[[#This Row],[Coefficient]]*Barrage[[#This Row],[Total Rounds]]*Barrage[[#This Row],[Base Damage]]</f>
        <v>150</v>
      </c>
      <c r="H23" t="s">
        <v>161</v>
      </c>
      <c r="I23" s="6">
        <v>1</v>
      </c>
      <c r="J23" s="6">
        <v>0.5</v>
      </c>
      <c r="K23" s="6">
        <v>0.2</v>
      </c>
      <c r="L23" s="92"/>
      <c r="M23" s="93"/>
      <c r="N23" s="93"/>
      <c r="O23" s="93"/>
      <c r="P23" s="93"/>
      <c r="Q23" s="7"/>
      <c r="R23" t="s">
        <v>9</v>
      </c>
      <c r="T23">
        <v>1</v>
      </c>
    </row>
    <row r="24" spans="1:21" ht="14.4" customHeight="1" x14ac:dyDescent="0.3">
      <c r="A24" s="87" t="s">
        <v>157</v>
      </c>
      <c r="B24" s="96" t="s">
        <v>1048</v>
      </c>
      <c r="C24" s="87" t="s">
        <v>1206</v>
      </c>
      <c r="D24" s="87">
        <v>10</v>
      </c>
      <c r="E24" s="87">
        <v>27</v>
      </c>
      <c r="F24" s="97">
        <v>1.25</v>
      </c>
      <c r="G24" s="91">
        <f>Barrage[[#This Row],[Coefficient]]*Barrage[[#This Row],[Total Rounds]]*Barrage[[#This Row],[Base Damage]]</f>
        <v>337.5</v>
      </c>
      <c r="H24" s="98" t="s">
        <v>169</v>
      </c>
      <c r="I24" s="97">
        <v>1.2</v>
      </c>
      <c r="J24" s="97">
        <v>0.6</v>
      </c>
      <c r="K24" s="97">
        <v>0.6</v>
      </c>
      <c r="L24" s="99">
        <v>0.01</v>
      </c>
      <c r="M24" s="100">
        <v>1</v>
      </c>
      <c r="N24" s="100"/>
      <c r="O24" s="100"/>
      <c r="P24" s="100"/>
      <c r="Q24" s="101"/>
      <c r="R24" t="s">
        <v>9</v>
      </c>
      <c r="T24">
        <v>1</v>
      </c>
      <c r="U24" s="87"/>
    </row>
    <row r="25" spans="1:21" ht="14.4" customHeight="1" x14ac:dyDescent="0.3">
      <c r="A25" t="s">
        <v>157</v>
      </c>
      <c r="B25" t="s">
        <v>1047</v>
      </c>
      <c r="C25" t="s">
        <v>1207</v>
      </c>
      <c r="D25">
        <v>10</v>
      </c>
      <c r="E25">
        <v>26</v>
      </c>
      <c r="F25" s="6">
        <v>1.25</v>
      </c>
      <c r="G25" s="91">
        <f>Barrage[[#This Row],[Coefficient]]*Barrage[[#This Row],[Total Rounds]]*Barrage[[#This Row],[Base Damage]]</f>
        <v>325</v>
      </c>
      <c r="H25" s="95" t="s">
        <v>169</v>
      </c>
      <c r="I25" s="6">
        <v>1.2</v>
      </c>
      <c r="J25" s="6">
        <v>0.6</v>
      </c>
      <c r="K25" s="6">
        <v>0.6</v>
      </c>
      <c r="L25" s="92">
        <v>0.01</v>
      </c>
      <c r="M25" s="93">
        <v>1</v>
      </c>
      <c r="N25" s="93"/>
      <c r="O25" s="93"/>
      <c r="P25" s="93"/>
      <c r="Q25" s="7"/>
      <c r="R25" t="s">
        <v>9</v>
      </c>
      <c r="T25">
        <v>1</v>
      </c>
    </row>
    <row r="26" spans="1:21" ht="14.4" customHeight="1" x14ac:dyDescent="0.3">
      <c r="A26" t="s">
        <v>157</v>
      </c>
      <c r="B26" t="s">
        <v>1321</v>
      </c>
      <c r="C26" t="s">
        <v>441</v>
      </c>
      <c r="D26">
        <v>12</v>
      </c>
      <c r="E26">
        <v>30</v>
      </c>
      <c r="F26" s="6">
        <v>1.25</v>
      </c>
      <c r="G26" s="91">
        <f>Barrage[[#This Row],[Coefficient]]*Barrage[[#This Row],[Total Rounds]]*Barrage[[#This Row],[Base Damage]]</f>
        <v>450</v>
      </c>
      <c r="H26" s="95" t="s">
        <v>169</v>
      </c>
      <c r="I26" s="6">
        <v>1.2</v>
      </c>
      <c r="J26" s="6">
        <v>1</v>
      </c>
      <c r="K26" s="6">
        <v>0.9</v>
      </c>
      <c r="L26" s="92">
        <v>0.01</v>
      </c>
      <c r="M26" s="93">
        <v>1</v>
      </c>
      <c r="N26" s="93"/>
      <c r="O26" s="93"/>
      <c r="P26" s="93"/>
      <c r="Q26" s="7"/>
      <c r="R26" t="s">
        <v>9</v>
      </c>
      <c r="T26">
        <v>1</v>
      </c>
    </row>
    <row r="27" spans="1:21" ht="14.4" customHeight="1" x14ac:dyDescent="0.3">
      <c r="A27" t="s">
        <v>157</v>
      </c>
      <c r="B27" t="s">
        <v>1322</v>
      </c>
      <c r="C27" t="s">
        <v>441</v>
      </c>
      <c r="D27">
        <v>45</v>
      </c>
      <c r="E27">
        <v>4</v>
      </c>
      <c r="F27" s="6">
        <v>1</v>
      </c>
      <c r="G27" s="91">
        <f>Barrage[[#This Row],[Coefficient]]*Barrage[[#This Row],[Total Rounds]]*Barrage[[#This Row],[Base Damage]]</f>
        <v>180</v>
      </c>
      <c r="H27" t="s">
        <v>79</v>
      </c>
      <c r="I27" s="6">
        <v>0.7</v>
      </c>
      <c r="J27" s="6">
        <v>0.9</v>
      </c>
      <c r="K27" s="6">
        <v>1.2</v>
      </c>
      <c r="L27" s="92"/>
      <c r="M27" s="93"/>
      <c r="N27" s="93"/>
      <c r="O27" s="93"/>
      <c r="P27" s="93"/>
      <c r="Q27" s="7"/>
      <c r="R27" t="s">
        <v>11</v>
      </c>
      <c r="T27">
        <v>0.8</v>
      </c>
      <c r="U27" t="s">
        <v>1208</v>
      </c>
    </row>
    <row r="28" spans="1:21" ht="14.4" customHeight="1" x14ac:dyDescent="0.3">
      <c r="A28" t="s">
        <v>157</v>
      </c>
      <c r="B28" t="s">
        <v>1320</v>
      </c>
      <c r="C28" t="s">
        <v>325</v>
      </c>
      <c r="D28">
        <v>12</v>
      </c>
      <c r="E28">
        <v>48</v>
      </c>
      <c r="F28" s="6">
        <v>1.25</v>
      </c>
      <c r="G28" s="91">
        <f>Barrage[[#This Row],[Coefficient]]*Barrage[[#This Row],[Total Rounds]]*Barrage[[#This Row],[Base Damage]]</f>
        <v>720</v>
      </c>
      <c r="H28" s="94" t="s">
        <v>167</v>
      </c>
      <c r="I28" s="6">
        <v>0.9</v>
      </c>
      <c r="J28" s="6">
        <v>0.7</v>
      </c>
      <c r="K28" s="6">
        <v>0.4</v>
      </c>
      <c r="L28" s="92"/>
      <c r="M28" s="93"/>
      <c r="N28" s="93"/>
      <c r="O28" s="93"/>
      <c r="P28" s="93"/>
      <c r="Q28" s="7">
        <v>0</v>
      </c>
      <c r="R28" t="s">
        <v>9</v>
      </c>
      <c r="T28">
        <v>1</v>
      </c>
      <c r="U28" t="s">
        <v>1209</v>
      </c>
    </row>
    <row r="29" spans="1:21" ht="14.4" customHeight="1" x14ac:dyDescent="0.3">
      <c r="A29" t="s">
        <v>157</v>
      </c>
      <c r="B29" t="s">
        <v>1404</v>
      </c>
      <c r="C29" t="s">
        <v>325</v>
      </c>
      <c r="D29">
        <v>40</v>
      </c>
      <c r="E29">
        <v>4</v>
      </c>
      <c r="F29" s="6">
        <v>1</v>
      </c>
      <c r="G29" s="91">
        <f>Barrage[[#This Row],[Coefficient]]*Barrage[[#This Row],[Total Rounds]]*Barrage[[#This Row],[Base Damage]]</f>
        <v>160</v>
      </c>
      <c r="H29" t="s">
        <v>79</v>
      </c>
      <c r="I29" s="6">
        <v>0.7</v>
      </c>
      <c r="J29" s="6">
        <v>0.9</v>
      </c>
      <c r="K29" s="6">
        <v>1.2</v>
      </c>
      <c r="L29" s="92"/>
      <c r="M29" s="93"/>
      <c r="N29" s="93"/>
      <c r="O29" s="93"/>
      <c r="P29" s="93"/>
      <c r="Q29" s="7"/>
      <c r="R29" t="s">
        <v>11</v>
      </c>
      <c r="T29">
        <v>1</v>
      </c>
    </row>
    <row r="30" spans="1:21" ht="14.4" customHeight="1" x14ac:dyDescent="0.3">
      <c r="A30" t="s">
        <v>157</v>
      </c>
      <c r="B30" t="s">
        <v>1024</v>
      </c>
      <c r="C30" t="s">
        <v>428</v>
      </c>
      <c r="D30">
        <v>12</v>
      </c>
      <c r="E30">
        <v>36</v>
      </c>
      <c r="F30" s="6">
        <v>1</v>
      </c>
      <c r="G30" s="91">
        <f>Barrage[[#This Row],[Coefficient]]*Barrage[[#This Row],[Total Rounds]]*Barrage[[#This Row],[Base Damage]]</f>
        <v>432</v>
      </c>
      <c r="H30" s="94" t="s">
        <v>167</v>
      </c>
      <c r="I30" s="6">
        <v>1.2</v>
      </c>
      <c r="J30" s="6">
        <v>1.2</v>
      </c>
      <c r="K30" s="6">
        <v>1.2</v>
      </c>
      <c r="L30" s="92"/>
      <c r="M30" s="93"/>
      <c r="N30" s="93"/>
      <c r="O30" s="93"/>
      <c r="P30" s="93"/>
      <c r="Q30" s="7">
        <v>1</v>
      </c>
      <c r="R30" t="s">
        <v>9</v>
      </c>
      <c r="T30">
        <v>1</v>
      </c>
    </row>
    <row r="31" spans="1:21" ht="14.4" customHeight="1" x14ac:dyDescent="0.3">
      <c r="A31" t="s">
        <v>157</v>
      </c>
      <c r="B31" t="s">
        <v>1036</v>
      </c>
      <c r="C31" t="s">
        <v>385</v>
      </c>
      <c r="D31">
        <v>12</v>
      </c>
      <c r="E31">
        <v>36</v>
      </c>
      <c r="F31" s="6">
        <v>1.25</v>
      </c>
      <c r="G31" s="91">
        <f>Barrage[[#This Row],[Coefficient]]*Barrage[[#This Row],[Total Rounds]]*Barrage[[#This Row],[Base Damage]]</f>
        <v>540</v>
      </c>
      <c r="H31" s="95" t="s">
        <v>169</v>
      </c>
      <c r="I31" s="6">
        <v>1.2</v>
      </c>
      <c r="J31" s="6">
        <v>0.6</v>
      </c>
      <c r="K31" s="6">
        <v>0.6</v>
      </c>
      <c r="L31" s="92">
        <v>0.01</v>
      </c>
      <c r="M31" s="93">
        <v>1</v>
      </c>
      <c r="N31" s="93"/>
      <c r="O31" s="93"/>
      <c r="P31" s="93"/>
      <c r="Q31" s="7"/>
      <c r="R31" t="s">
        <v>9</v>
      </c>
      <c r="T31">
        <v>1</v>
      </c>
    </row>
    <row r="32" spans="1:21" ht="14.4" customHeight="1" x14ac:dyDescent="0.3">
      <c r="A32" t="s">
        <v>157</v>
      </c>
      <c r="B32" t="s">
        <v>1049</v>
      </c>
      <c r="C32" t="s">
        <v>1210</v>
      </c>
      <c r="D32">
        <v>10</v>
      </c>
      <c r="E32">
        <v>16</v>
      </c>
      <c r="F32" s="6">
        <v>1.25</v>
      </c>
      <c r="G32" s="91">
        <f>Barrage[[#This Row],[Coefficient]]*Barrage[[#This Row],[Total Rounds]]*Barrage[[#This Row],[Base Damage]]</f>
        <v>200</v>
      </c>
      <c r="H32" s="95" t="s">
        <v>169</v>
      </c>
      <c r="I32" s="6">
        <v>1.4</v>
      </c>
      <c r="J32" s="6">
        <v>0.9</v>
      </c>
      <c r="K32" s="6">
        <v>0.7</v>
      </c>
      <c r="L32" s="92">
        <v>0.03</v>
      </c>
      <c r="M32" s="93">
        <v>2</v>
      </c>
      <c r="N32" s="93"/>
      <c r="O32" s="93"/>
      <c r="P32" s="93"/>
      <c r="Q32" s="7"/>
      <c r="R32" t="s">
        <v>9</v>
      </c>
      <c r="T32">
        <v>1</v>
      </c>
      <c r="U32" t="s">
        <v>1211</v>
      </c>
    </row>
    <row r="33" spans="1:21" ht="14.4" customHeight="1" x14ac:dyDescent="0.3">
      <c r="A33" t="s">
        <v>157</v>
      </c>
      <c r="B33" t="s">
        <v>1035</v>
      </c>
      <c r="C33" t="s">
        <v>436</v>
      </c>
      <c r="D33">
        <v>10</v>
      </c>
      <c r="E33">
        <v>16</v>
      </c>
      <c r="F33" s="6">
        <v>1.25</v>
      </c>
      <c r="G33" s="91">
        <f>Barrage[[#This Row],[Coefficient]]*Barrage[[#This Row],[Total Rounds]]*Barrage[[#This Row],[Base Damage]]</f>
        <v>200</v>
      </c>
      <c r="H33" t="s">
        <v>161</v>
      </c>
      <c r="I33" s="6">
        <v>1</v>
      </c>
      <c r="J33" s="6">
        <v>0.9</v>
      </c>
      <c r="K33" s="6">
        <v>0.5</v>
      </c>
      <c r="L33" s="92"/>
      <c r="M33" s="93"/>
      <c r="N33" s="93"/>
      <c r="O33" s="93"/>
      <c r="P33" s="93"/>
      <c r="Q33" s="7"/>
      <c r="R33" t="s">
        <v>9</v>
      </c>
      <c r="T33">
        <v>1</v>
      </c>
    </row>
    <row r="34" spans="1:21" ht="14.4" customHeight="1" x14ac:dyDescent="0.3">
      <c r="A34" t="s">
        <v>157</v>
      </c>
      <c r="B34" t="s">
        <v>1045</v>
      </c>
      <c r="C34" t="s">
        <v>1212</v>
      </c>
      <c r="D34">
        <v>12</v>
      </c>
      <c r="E34">
        <v>20</v>
      </c>
      <c r="F34" s="6">
        <v>1.25</v>
      </c>
      <c r="G34" s="91">
        <f>Barrage[[#This Row],[Coefficient]]*Barrage[[#This Row],[Total Rounds]]*Barrage[[#This Row],[Base Damage]]</f>
        <v>300</v>
      </c>
      <c r="H34" t="s">
        <v>161</v>
      </c>
      <c r="I34" s="6">
        <v>1.3</v>
      </c>
      <c r="J34" s="6">
        <v>0.9</v>
      </c>
      <c r="K34" s="6">
        <v>0.6</v>
      </c>
      <c r="L34" s="92"/>
      <c r="M34" s="93"/>
      <c r="N34" s="93"/>
      <c r="O34" s="93"/>
      <c r="P34" s="93"/>
      <c r="Q34" s="7"/>
      <c r="R34" t="s">
        <v>9</v>
      </c>
      <c r="T34">
        <v>1</v>
      </c>
    </row>
    <row r="35" spans="1:21" ht="14.4" customHeight="1" x14ac:dyDescent="0.3">
      <c r="A35" t="s">
        <v>157</v>
      </c>
      <c r="B35" t="s">
        <v>1050</v>
      </c>
      <c r="C35" t="s">
        <v>1213</v>
      </c>
      <c r="D35">
        <v>10</v>
      </c>
      <c r="E35">
        <v>26</v>
      </c>
      <c r="F35" s="6">
        <v>1.25</v>
      </c>
      <c r="G35" s="91">
        <f>Barrage[[#This Row],[Coefficient]]*Barrage[[#This Row],[Total Rounds]]*Barrage[[#This Row],[Base Damage]]</f>
        <v>325</v>
      </c>
      <c r="H35" t="s">
        <v>161</v>
      </c>
      <c r="I35" s="6">
        <v>1</v>
      </c>
      <c r="J35" s="6">
        <v>0.75</v>
      </c>
      <c r="K35" s="6">
        <v>0.4</v>
      </c>
      <c r="L35" s="92"/>
      <c r="M35" s="93"/>
      <c r="N35" s="93"/>
      <c r="O35" s="93"/>
      <c r="P35" s="93"/>
      <c r="Q35" s="7"/>
      <c r="R35" t="s">
        <v>9</v>
      </c>
      <c r="T35">
        <v>1</v>
      </c>
    </row>
    <row r="36" spans="1:21" ht="14.4" customHeight="1" x14ac:dyDescent="0.3">
      <c r="A36" t="s">
        <v>157</v>
      </c>
      <c r="B36" t="s">
        <v>1039</v>
      </c>
      <c r="C36" t="s">
        <v>443</v>
      </c>
      <c r="D36">
        <v>12</v>
      </c>
      <c r="E36">
        <v>18</v>
      </c>
      <c r="F36" s="6">
        <v>1.25</v>
      </c>
      <c r="G36" s="91">
        <f>Barrage[[#This Row],[Coefficient]]*Barrage[[#This Row],[Total Rounds]]*Barrage[[#This Row],[Base Damage]]</f>
        <v>270</v>
      </c>
      <c r="H36" s="95" t="s">
        <v>169</v>
      </c>
      <c r="I36" s="6">
        <v>1.2</v>
      </c>
      <c r="J36" s="6">
        <v>0.6</v>
      </c>
      <c r="K36" s="6">
        <v>0.6</v>
      </c>
      <c r="L36" s="92">
        <v>0.01</v>
      </c>
      <c r="M36" s="93">
        <v>1</v>
      </c>
      <c r="N36" s="93"/>
      <c r="O36" s="93"/>
      <c r="P36" s="93"/>
      <c r="Q36" s="7"/>
      <c r="R36" t="s">
        <v>9</v>
      </c>
      <c r="T36">
        <v>1</v>
      </c>
    </row>
    <row r="37" spans="1:21" ht="14.4" customHeight="1" x14ac:dyDescent="0.3">
      <c r="A37" t="s">
        <v>157</v>
      </c>
      <c r="B37" t="s">
        <v>1039</v>
      </c>
      <c r="C37" t="s">
        <v>443</v>
      </c>
      <c r="D37">
        <v>60</v>
      </c>
      <c r="E37">
        <v>4</v>
      </c>
      <c r="F37" s="6">
        <v>1</v>
      </c>
      <c r="G37" s="91">
        <f>Barrage[[#This Row],[Coefficient]]*Barrage[[#This Row],[Total Rounds]]*Barrage[[#This Row],[Base Damage]]</f>
        <v>240</v>
      </c>
      <c r="H37" t="s">
        <v>79</v>
      </c>
      <c r="I37" s="6">
        <v>0.8</v>
      </c>
      <c r="J37" s="6">
        <v>1</v>
      </c>
      <c r="K37" s="6">
        <v>1.3</v>
      </c>
      <c r="L37" s="92"/>
      <c r="M37" s="93"/>
      <c r="N37" s="93"/>
      <c r="O37" s="93"/>
      <c r="P37" s="93"/>
      <c r="Q37" s="7"/>
      <c r="R37" t="s">
        <v>11</v>
      </c>
      <c r="T37">
        <v>1</v>
      </c>
    </row>
    <row r="38" spans="1:21" ht="14.4" customHeight="1" x14ac:dyDescent="0.3">
      <c r="A38" t="s">
        <v>157</v>
      </c>
      <c r="B38" t="s">
        <v>1051</v>
      </c>
      <c r="C38" t="s">
        <v>1214</v>
      </c>
      <c r="D38">
        <v>10</v>
      </c>
      <c r="E38">
        <v>18</v>
      </c>
      <c r="F38" s="6">
        <v>1.25</v>
      </c>
      <c r="G38" s="91">
        <f>Barrage[[#This Row],[Coefficient]]*Barrage[[#This Row],[Total Rounds]]*Barrage[[#This Row],[Base Damage]]</f>
        <v>225</v>
      </c>
      <c r="H38" s="95" t="s">
        <v>169</v>
      </c>
      <c r="I38" s="6">
        <v>1</v>
      </c>
      <c r="J38" s="6">
        <v>0.8</v>
      </c>
      <c r="K38" s="6">
        <v>0.6</v>
      </c>
      <c r="L38" s="92">
        <v>0.01</v>
      </c>
      <c r="M38" s="93">
        <v>1</v>
      </c>
      <c r="N38" s="93"/>
      <c r="O38" s="93"/>
      <c r="P38" s="93"/>
      <c r="Q38" s="7"/>
      <c r="R38" t="s">
        <v>9</v>
      </c>
      <c r="T38">
        <v>1</v>
      </c>
    </row>
    <row r="39" spans="1:21" ht="14.4" customHeight="1" x14ac:dyDescent="0.3">
      <c r="A39" t="s">
        <v>157</v>
      </c>
      <c r="B39" t="s">
        <v>1323</v>
      </c>
      <c r="C39" t="s">
        <v>462</v>
      </c>
      <c r="D39">
        <v>12</v>
      </c>
      <c r="E39">
        <v>30</v>
      </c>
      <c r="F39" s="6">
        <v>1.25</v>
      </c>
      <c r="G39" s="91">
        <f>Barrage[[#This Row],[Coefficient]]*Barrage[[#This Row],[Total Rounds]]*Barrage[[#This Row],[Base Damage]]</f>
        <v>450</v>
      </c>
      <c r="H39" t="s">
        <v>161</v>
      </c>
      <c r="I39" s="6">
        <v>1.05</v>
      </c>
      <c r="J39" s="6">
        <v>0.9</v>
      </c>
      <c r="K39" s="6">
        <v>0.85</v>
      </c>
      <c r="L39" s="92"/>
      <c r="M39" s="93"/>
      <c r="N39" s="93"/>
      <c r="O39" s="93"/>
      <c r="P39" s="93"/>
      <c r="Q39" s="7"/>
      <c r="R39" t="s">
        <v>9</v>
      </c>
      <c r="T39">
        <v>1</v>
      </c>
    </row>
    <row r="40" spans="1:21" ht="14.4" customHeight="1" x14ac:dyDescent="0.3">
      <c r="A40" t="s">
        <v>157</v>
      </c>
      <c r="B40" t="s">
        <v>1324</v>
      </c>
      <c r="C40" t="s">
        <v>462</v>
      </c>
      <c r="D40">
        <v>45</v>
      </c>
      <c r="E40">
        <v>4</v>
      </c>
      <c r="F40" s="6">
        <v>1</v>
      </c>
      <c r="G40" s="91">
        <f>Barrage[[#This Row],[Coefficient]]*Barrage[[#This Row],[Total Rounds]]*Barrage[[#This Row],[Base Damage]]</f>
        <v>180</v>
      </c>
      <c r="H40" t="s">
        <v>79</v>
      </c>
      <c r="I40" s="6">
        <v>0.7</v>
      </c>
      <c r="J40" s="6">
        <v>0.9</v>
      </c>
      <c r="K40" s="6">
        <v>1.25</v>
      </c>
      <c r="L40" s="92"/>
      <c r="M40" s="93"/>
      <c r="N40" s="93"/>
      <c r="O40" s="93"/>
      <c r="P40" s="93"/>
      <c r="Q40" s="7"/>
      <c r="R40" t="s">
        <v>11</v>
      </c>
      <c r="T40">
        <v>0.8</v>
      </c>
      <c r="U40" t="s">
        <v>1208</v>
      </c>
    </row>
    <row r="41" spans="1:21" ht="14.4" customHeight="1" x14ac:dyDescent="0.3">
      <c r="A41" t="s">
        <v>157</v>
      </c>
      <c r="B41" t="s">
        <v>1044</v>
      </c>
      <c r="C41" t="s">
        <v>321</v>
      </c>
      <c r="D41">
        <v>12</v>
      </c>
      <c r="E41">
        <v>18</v>
      </c>
      <c r="F41" s="6">
        <v>1.25</v>
      </c>
      <c r="G41" s="91">
        <f>Barrage[[#This Row],[Coefficient]]*Barrage[[#This Row],[Total Rounds]]*Barrage[[#This Row],[Base Damage]]</f>
        <v>270</v>
      </c>
      <c r="H41" s="94" t="s">
        <v>167</v>
      </c>
      <c r="I41" s="6">
        <v>1.1000000000000001</v>
      </c>
      <c r="J41" s="6">
        <v>0.9</v>
      </c>
      <c r="K41" s="6">
        <v>0.7</v>
      </c>
      <c r="L41" s="92"/>
      <c r="M41" s="93"/>
      <c r="N41" s="93"/>
      <c r="O41" s="93"/>
      <c r="P41" s="93"/>
      <c r="Q41" s="7">
        <v>1</v>
      </c>
      <c r="R41" t="s">
        <v>9</v>
      </c>
      <c r="T41">
        <v>1</v>
      </c>
    </row>
    <row r="42" spans="1:21" ht="14.4" customHeight="1" x14ac:dyDescent="0.3">
      <c r="A42" t="s">
        <v>157</v>
      </c>
      <c r="B42" t="s">
        <v>1052</v>
      </c>
      <c r="C42" t="s">
        <v>1215</v>
      </c>
      <c r="D42">
        <v>10</v>
      </c>
      <c r="E42">
        <v>24</v>
      </c>
      <c r="F42" s="6">
        <v>1.25</v>
      </c>
      <c r="G42" s="91">
        <f>Barrage[[#This Row],[Coefficient]]*Barrage[[#This Row],[Total Rounds]]*Barrage[[#This Row],[Base Damage]]</f>
        <v>300</v>
      </c>
      <c r="H42" s="95" t="s">
        <v>169</v>
      </c>
      <c r="I42" s="6">
        <v>1.2</v>
      </c>
      <c r="J42" s="6">
        <v>0.6</v>
      </c>
      <c r="K42" s="6">
        <v>0.6</v>
      </c>
      <c r="L42" s="92"/>
      <c r="M42" s="93"/>
      <c r="N42" s="93"/>
      <c r="O42" s="93"/>
      <c r="P42" s="93"/>
      <c r="Q42" s="7"/>
      <c r="R42" t="s">
        <v>9</v>
      </c>
      <c r="T42">
        <v>1</v>
      </c>
    </row>
    <row r="43" spans="1:21" ht="14.4" customHeight="1" x14ac:dyDescent="0.3">
      <c r="A43" t="s">
        <v>157</v>
      </c>
      <c r="B43" t="s">
        <v>1057</v>
      </c>
      <c r="C43" t="s">
        <v>806</v>
      </c>
      <c r="D43">
        <v>10</v>
      </c>
      <c r="E43">
        <v>16</v>
      </c>
      <c r="F43" s="6">
        <v>1.25</v>
      </c>
      <c r="G43" s="91">
        <f>Barrage[[#This Row],[Coefficient]]*Barrage[[#This Row],[Total Rounds]]*Barrage[[#This Row],[Base Damage]]</f>
        <v>200</v>
      </c>
      <c r="H43" s="94" t="s">
        <v>167</v>
      </c>
      <c r="I43" s="6">
        <v>0.9</v>
      </c>
      <c r="J43" s="6">
        <v>0.7</v>
      </c>
      <c r="K43" s="6">
        <v>0.4</v>
      </c>
      <c r="L43" s="92"/>
      <c r="M43" s="93"/>
      <c r="N43" s="93"/>
      <c r="O43" s="93"/>
      <c r="P43" s="93"/>
      <c r="Q43" s="7">
        <v>0</v>
      </c>
      <c r="R43" t="s">
        <v>9</v>
      </c>
      <c r="T43">
        <v>1</v>
      </c>
    </row>
    <row r="44" spans="1:21" ht="14.4" customHeight="1" x14ac:dyDescent="0.3">
      <c r="A44" t="s">
        <v>157</v>
      </c>
      <c r="B44" t="s">
        <v>1058</v>
      </c>
      <c r="C44" s="102">
        <v>22</v>
      </c>
      <c r="D44">
        <v>10</v>
      </c>
      <c r="E44">
        <v>32</v>
      </c>
      <c r="F44" s="6">
        <v>1</v>
      </c>
      <c r="G44" s="91">
        <f>Barrage[[#This Row],[Coefficient]]*Barrage[[#This Row],[Total Rounds]]*Barrage[[#This Row],[Base Damage]]</f>
        <v>320</v>
      </c>
      <c r="H44" t="s">
        <v>161</v>
      </c>
      <c r="I44" s="6">
        <v>1</v>
      </c>
      <c r="J44" s="6">
        <v>0.8</v>
      </c>
      <c r="K44" s="6">
        <v>0.6</v>
      </c>
      <c r="L44" s="92"/>
      <c r="M44" s="93"/>
      <c r="N44" s="93"/>
      <c r="O44" s="93"/>
      <c r="P44" s="93"/>
      <c r="Q44" s="7"/>
      <c r="R44" t="s">
        <v>9</v>
      </c>
      <c r="T44">
        <v>1</v>
      </c>
    </row>
    <row r="45" spans="1:21" ht="14.4" customHeight="1" x14ac:dyDescent="0.3">
      <c r="A45" t="s">
        <v>157</v>
      </c>
      <c r="B45" t="s">
        <v>1059</v>
      </c>
      <c r="C45" s="102">
        <v>33</v>
      </c>
      <c r="D45">
        <v>10</v>
      </c>
      <c r="E45">
        <v>32</v>
      </c>
      <c r="F45" s="6">
        <v>1</v>
      </c>
      <c r="G45" s="91">
        <f>Barrage[[#This Row],[Coefficient]]*Barrage[[#This Row],[Total Rounds]]*Barrage[[#This Row],[Base Damage]]</f>
        <v>320</v>
      </c>
      <c r="H45" t="s">
        <v>161</v>
      </c>
      <c r="I45" s="6">
        <v>1</v>
      </c>
      <c r="J45" s="6">
        <v>0.8</v>
      </c>
      <c r="K45" s="6">
        <v>0.6</v>
      </c>
      <c r="L45" s="92"/>
      <c r="M45" s="93"/>
      <c r="N45" s="93"/>
      <c r="O45" s="93"/>
      <c r="P45" s="93"/>
      <c r="Q45" s="7"/>
      <c r="R45" t="s">
        <v>9</v>
      </c>
      <c r="T45">
        <v>1</v>
      </c>
    </row>
    <row r="46" spans="1:21" ht="14.4" customHeight="1" x14ac:dyDescent="0.3">
      <c r="A46" t="s">
        <v>157</v>
      </c>
      <c r="B46" t="s">
        <v>1325</v>
      </c>
      <c r="C46" t="s">
        <v>477</v>
      </c>
      <c r="D46">
        <v>12</v>
      </c>
      <c r="E46">
        <v>12</v>
      </c>
      <c r="F46" s="6">
        <v>1.25</v>
      </c>
      <c r="G46" s="91">
        <f>Barrage[[#This Row],[Coefficient]]*Barrage[[#This Row],[Total Rounds]]*Barrage[[#This Row],[Base Damage]]</f>
        <v>180</v>
      </c>
      <c r="H46" t="s">
        <v>1216</v>
      </c>
      <c r="I46" s="6">
        <v>1</v>
      </c>
      <c r="J46" s="6">
        <v>0.75</v>
      </c>
      <c r="K46" s="6">
        <v>0.4</v>
      </c>
      <c r="L46" s="92"/>
      <c r="M46" s="93"/>
      <c r="N46" s="93"/>
      <c r="O46" s="93"/>
      <c r="P46" s="93"/>
      <c r="Q46" s="7"/>
      <c r="R46" t="s">
        <v>9</v>
      </c>
      <c r="T46">
        <v>1</v>
      </c>
    </row>
    <row r="47" spans="1:21" ht="14.4" customHeight="1" x14ac:dyDescent="0.3">
      <c r="A47" t="s">
        <v>157</v>
      </c>
      <c r="B47" t="s">
        <v>1326</v>
      </c>
      <c r="C47" t="s">
        <v>477</v>
      </c>
      <c r="D47">
        <v>12</v>
      </c>
      <c r="E47">
        <v>12</v>
      </c>
      <c r="F47" s="6">
        <v>1.25</v>
      </c>
      <c r="G47" s="91">
        <f>Barrage[[#This Row],[Coefficient]]*Barrage[[#This Row],[Total Rounds]]*Barrage[[#This Row],[Base Damage]]</f>
        <v>180</v>
      </c>
      <c r="H47" t="s">
        <v>1217</v>
      </c>
      <c r="I47" s="6">
        <v>1</v>
      </c>
      <c r="J47" s="6">
        <v>0.8</v>
      </c>
      <c r="K47" s="6">
        <v>0.6</v>
      </c>
      <c r="L47" s="92"/>
      <c r="M47" s="93"/>
      <c r="N47" s="93"/>
      <c r="O47" s="93"/>
      <c r="P47" s="93"/>
      <c r="Q47" s="7"/>
      <c r="R47" t="s">
        <v>9</v>
      </c>
      <c r="T47">
        <v>1</v>
      </c>
    </row>
    <row r="48" spans="1:21" ht="14.4" customHeight="1" x14ac:dyDescent="0.3">
      <c r="A48" t="s">
        <v>157</v>
      </c>
      <c r="B48" t="s">
        <v>1327</v>
      </c>
      <c r="C48" t="s">
        <v>477</v>
      </c>
      <c r="D48">
        <v>12</v>
      </c>
      <c r="E48">
        <v>12</v>
      </c>
      <c r="F48" s="6">
        <v>1.25</v>
      </c>
      <c r="G48" s="91">
        <f>Barrage[[#This Row],[Coefficient]]*Barrage[[#This Row],[Total Rounds]]*Barrage[[#This Row],[Base Damage]]</f>
        <v>180</v>
      </c>
      <c r="H48" t="s">
        <v>1218</v>
      </c>
      <c r="I48" s="6">
        <v>1.2</v>
      </c>
      <c r="J48" s="6">
        <v>0.6</v>
      </c>
      <c r="K48" s="6">
        <v>0.6</v>
      </c>
      <c r="L48" s="92"/>
      <c r="M48" s="93"/>
      <c r="N48" s="93"/>
      <c r="O48" s="93"/>
      <c r="P48" s="93"/>
      <c r="Q48" s="7"/>
      <c r="R48" t="s">
        <v>9</v>
      </c>
      <c r="T48">
        <v>1</v>
      </c>
    </row>
    <row r="49" spans="1:21" ht="14.4" customHeight="1" x14ac:dyDescent="0.3">
      <c r="A49" t="s">
        <v>157</v>
      </c>
      <c r="B49" t="s">
        <v>1328</v>
      </c>
      <c r="C49" t="s">
        <v>477</v>
      </c>
      <c r="D49">
        <v>45</v>
      </c>
      <c r="E49">
        <v>3</v>
      </c>
      <c r="F49" s="6">
        <v>1</v>
      </c>
      <c r="G49" s="91">
        <f>Barrage[[#This Row],[Coefficient]]*Barrage[[#This Row],[Total Rounds]]*Barrage[[#This Row],[Base Damage]]</f>
        <v>135</v>
      </c>
      <c r="H49" t="s">
        <v>79</v>
      </c>
      <c r="I49" s="6">
        <v>0.7</v>
      </c>
      <c r="J49" s="6">
        <v>0.9</v>
      </c>
      <c r="K49" s="6">
        <v>1.25</v>
      </c>
      <c r="L49" s="92"/>
      <c r="M49" s="93"/>
      <c r="N49" s="93"/>
      <c r="O49" s="93"/>
      <c r="P49" s="93"/>
      <c r="Q49" s="7"/>
      <c r="R49" t="s">
        <v>11</v>
      </c>
      <c r="T49">
        <v>1</v>
      </c>
    </row>
    <row r="50" spans="1:21" ht="14.4" customHeight="1" x14ac:dyDescent="0.3">
      <c r="A50" t="s">
        <v>157</v>
      </c>
      <c r="B50" t="s">
        <v>1055</v>
      </c>
      <c r="C50" t="s">
        <v>1219</v>
      </c>
      <c r="D50">
        <v>10</v>
      </c>
      <c r="E50">
        <v>24</v>
      </c>
      <c r="F50" s="6">
        <v>1.25</v>
      </c>
      <c r="G50" s="91">
        <f>Barrage[[#This Row],[Coefficient]]*Barrage[[#This Row],[Total Rounds]]*Barrage[[#This Row],[Base Damage]]</f>
        <v>300</v>
      </c>
      <c r="H50" s="95" t="s">
        <v>169</v>
      </c>
      <c r="I50" s="6">
        <v>1.2</v>
      </c>
      <c r="J50" s="6">
        <v>0.6</v>
      </c>
      <c r="K50" s="6">
        <v>0.6</v>
      </c>
      <c r="L50" s="92"/>
      <c r="M50" s="93"/>
      <c r="N50" s="93"/>
      <c r="O50" s="93"/>
      <c r="P50" s="93"/>
      <c r="Q50" s="7"/>
      <c r="R50" t="s">
        <v>9</v>
      </c>
      <c r="T50">
        <v>1</v>
      </c>
    </row>
    <row r="51" spans="1:21" ht="14.4" customHeight="1" x14ac:dyDescent="0.3">
      <c r="A51" t="s">
        <v>157</v>
      </c>
      <c r="B51" t="s">
        <v>1060</v>
      </c>
      <c r="C51" t="s">
        <v>479</v>
      </c>
      <c r="D51">
        <v>12</v>
      </c>
      <c r="E51">
        <v>18</v>
      </c>
      <c r="F51" s="6">
        <v>1.25</v>
      </c>
      <c r="G51" s="91">
        <f>Barrage[[#This Row],[Coefficient]]*Barrage[[#This Row],[Total Rounds]]*Barrage[[#This Row],[Base Damage]]</f>
        <v>270</v>
      </c>
      <c r="H51" t="s">
        <v>161</v>
      </c>
      <c r="I51" s="6">
        <v>1</v>
      </c>
      <c r="J51" s="6">
        <v>0.75</v>
      </c>
      <c r="K51" s="6">
        <v>0.4</v>
      </c>
      <c r="L51" s="92"/>
      <c r="M51" s="93"/>
      <c r="N51" s="93"/>
      <c r="O51" s="93"/>
      <c r="P51" s="93"/>
      <c r="Q51" s="7"/>
      <c r="R51" t="s">
        <v>9</v>
      </c>
      <c r="T51">
        <v>1</v>
      </c>
    </row>
    <row r="52" spans="1:21" ht="14.4" customHeight="1" x14ac:dyDescent="0.3">
      <c r="A52" t="s">
        <v>157</v>
      </c>
      <c r="B52" t="s">
        <v>1056</v>
      </c>
      <c r="C52" t="s">
        <v>484</v>
      </c>
      <c r="D52">
        <v>10</v>
      </c>
      <c r="E52">
        <v>12</v>
      </c>
      <c r="F52" s="6">
        <v>1.25</v>
      </c>
      <c r="G52" s="91">
        <f>Barrage[[#This Row],[Coefficient]]*Barrage[[#This Row],[Total Rounds]]*Barrage[[#This Row],[Base Damage]]</f>
        <v>150</v>
      </c>
      <c r="H52" t="s">
        <v>161</v>
      </c>
      <c r="I52" s="6">
        <v>1</v>
      </c>
      <c r="J52" s="6">
        <v>0.8</v>
      </c>
      <c r="K52" s="6">
        <v>0.6</v>
      </c>
      <c r="L52" s="92"/>
      <c r="M52" s="93"/>
      <c r="N52" s="93"/>
      <c r="O52" s="93"/>
      <c r="P52" s="93"/>
      <c r="Q52" s="7"/>
      <c r="R52" t="s">
        <v>9</v>
      </c>
      <c r="T52">
        <v>1</v>
      </c>
    </row>
    <row r="53" spans="1:21" ht="14.4" customHeight="1" x14ac:dyDescent="0.3">
      <c r="A53" t="s">
        <v>157</v>
      </c>
      <c r="B53" t="s">
        <v>1031</v>
      </c>
      <c r="C53" t="s">
        <v>1220</v>
      </c>
      <c r="D53">
        <v>10</v>
      </c>
      <c r="E53">
        <v>14</v>
      </c>
      <c r="F53" s="6">
        <v>1.25</v>
      </c>
      <c r="G53" s="91">
        <f>Barrage[[#This Row],[Coefficient]]*Barrage[[#This Row],[Total Rounds]]*Barrage[[#This Row],[Base Damage]]</f>
        <v>175</v>
      </c>
      <c r="H53" t="s">
        <v>161</v>
      </c>
      <c r="I53" s="6">
        <v>1</v>
      </c>
      <c r="J53" s="6">
        <v>0.8</v>
      </c>
      <c r="K53" s="6">
        <v>0.6</v>
      </c>
      <c r="L53" s="92"/>
      <c r="M53" s="93"/>
      <c r="N53" s="93"/>
      <c r="O53" s="93"/>
      <c r="P53" s="93"/>
      <c r="Q53" s="7"/>
      <c r="R53" t="s">
        <v>9</v>
      </c>
      <c r="T53">
        <v>1</v>
      </c>
    </row>
    <row r="54" spans="1:21" ht="14.4" customHeight="1" x14ac:dyDescent="0.3">
      <c r="A54" t="s">
        <v>157</v>
      </c>
      <c r="B54" t="s">
        <v>1329</v>
      </c>
      <c r="C54" t="s">
        <v>930</v>
      </c>
      <c r="D54">
        <v>12</v>
      </c>
      <c r="E54">
        <v>32</v>
      </c>
      <c r="F54" s="6">
        <v>1</v>
      </c>
      <c r="G54" s="91">
        <f>Barrage[[#This Row],[Coefficient]]*Barrage[[#This Row],[Total Rounds]]*Barrage[[#This Row],[Base Damage]]</f>
        <v>384</v>
      </c>
      <c r="H54" s="95" t="s">
        <v>169</v>
      </c>
      <c r="I54" s="6">
        <v>1.1000000000000001</v>
      </c>
      <c r="J54" s="6">
        <v>0.6</v>
      </c>
      <c r="K54" s="6">
        <v>0.3</v>
      </c>
      <c r="L54" s="92">
        <v>0.01</v>
      </c>
      <c r="M54" s="93">
        <v>1</v>
      </c>
      <c r="N54" s="93"/>
      <c r="O54" s="93"/>
      <c r="P54" s="93"/>
      <c r="Q54" s="7"/>
      <c r="R54" t="s">
        <v>9</v>
      </c>
      <c r="T54">
        <v>1</v>
      </c>
    </row>
    <row r="55" spans="1:21" ht="14.4" customHeight="1" x14ac:dyDescent="0.3">
      <c r="A55" t="s">
        <v>157</v>
      </c>
      <c r="B55" t="s">
        <v>1330</v>
      </c>
      <c r="C55" t="s">
        <v>930</v>
      </c>
      <c r="D55">
        <v>78</v>
      </c>
      <c r="E55">
        <v>6</v>
      </c>
      <c r="F55" s="6">
        <v>1</v>
      </c>
      <c r="G55" s="91">
        <f>Barrage[[#This Row],[Coefficient]]*Barrage[[#This Row],[Total Rounds]]*Barrage[[#This Row],[Base Damage]]</f>
        <v>468</v>
      </c>
      <c r="H55" s="9" t="s">
        <v>79</v>
      </c>
      <c r="I55" s="6">
        <v>0.8</v>
      </c>
      <c r="J55" s="6">
        <v>1</v>
      </c>
      <c r="K55" s="6">
        <v>1.3</v>
      </c>
      <c r="L55" s="92"/>
      <c r="M55" s="93"/>
      <c r="N55" s="93"/>
      <c r="O55" s="93"/>
      <c r="P55" s="93"/>
      <c r="Q55" s="7"/>
      <c r="R55" t="s">
        <v>11</v>
      </c>
      <c r="T55">
        <v>0.8</v>
      </c>
      <c r="U55" t="s">
        <v>1208</v>
      </c>
    </row>
    <row r="56" spans="1:21" ht="14.4" customHeight="1" x14ac:dyDescent="0.3">
      <c r="A56" t="s">
        <v>157</v>
      </c>
      <c r="B56" t="s">
        <v>1331</v>
      </c>
      <c r="C56" t="s">
        <v>1009</v>
      </c>
      <c r="D56">
        <v>18</v>
      </c>
      <c r="E56">
        <v>32</v>
      </c>
      <c r="F56" s="6">
        <v>1.25</v>
      </c>
      <c r="G56" s="91">
        <f>Barrage[[#This Row],[Coefficient]]*Barrage[[#This Row],[Total Rounds]]*Barrage[[#This Row],[Base Damage]]</f>
        <v>720</v>
      </c>
      <c r="H56" t="s">
        <v>161</v>
      </c>
      <c r="I56" s="6">
        <v>1.2</v>
      </c>
      <c r="J56" s="6">
        <v>0.6</v>
      </c>
      <c r="K56" s="6">
        <v>0.6</v>
      </c>
      <c r="L56" s="92"/>
      <c r="M56" s="93"/>
      <c r="N56" s="93"/>
      <c r="O56" s="93"/>
      <c r="P56" s="93"/>
      <c r="Q56" s="7"/>
      <c r="R56" t="s">
        <v>9</v>
      </c>
      <c r="T56">
        <v>1</v>
      </c>
    </row>
    <row r="57" spans="1:21" ht="14.4" customHeight="1" x14ac:dyDescent="0.3">
      <c r="A57" t="s">
        <v>157</v>
      </c>
      <c r="B57" t="s">
        <v>1332</v>
      </c>
      <c r="C57" t="s">
        <v>1009</v>
      </c>
      <c r="D57">
        <v>45</v>
      </c>
      <c r="E57">
        <v>3</v>
      </c>
      <c r="F57" s="6">
        <v>1</v>
      </c>
      <c r="G57" s="91">
        <f>Barrage[[#This Row],[Coefficient]]*Barrage[[#This Row],[Total Rounds]]*Barrage[[#This Row],[Base Damage]]</f>
        <v>135</v>
      </c>
      <c r="H57" s="9" t="s">
        <v>79</v>
      </c>
      <c r="I57" s="6">
        <v>0.7</v>
      </c>
      <c r="J57" s="6">
        <v>0.9</v>
      </c>
      <c r="K57" s="6">
        <v>1.2</v>
      </c>
      <c r="L57" s="92"/>
      <c r="M57" s="93"/>
      <c r="N57" s="93"/>
      <c r="O57" s="93"/>
      <c r="P57" s="93"/>
      <c r="Q57" s="7"/>
      <c r="R57" t="s">
        <v>11</v>
      </c>
      <c r="T57">
        <v>1</v>
      </c>
    </row>
    <row r="58" spans="1:21" ht="14.4" customHeight="1" x14ac:dyDescent="0.3">
      <c r="A58" t="s">
        <v>157</v>
      </c>
      <c r="B58" t="s">
        <v>1221</v>
      </c>
      <c r="C58" t="s">
        <v>1010</v>
      </c>
      <c r="D58">
        <v>12</v>
      </c>
      <c r="E58">
        <v>18</v>
      </c>
      <c r="F58" s="6">
        <v>1</v>
      </c>
      <c r="G58" s="91">
        <f>Barrage[[#This Row],[Coefficient]]*Barrage[[#This Row],[Total Rounds]]*Barrage[[#This Row],[Base Damage]]</f>
        <v>216</v>
      </c>
      <c r="H58" t="s">
        <v>161</v>
      </c>
      <c r="I58" s="6">
        <v>1</v>
      </c>
      <c r="J58" s="6">
        <v>0.75</v>
      </c>
      <c r="K58" s="6">
        <v>0.4</v>
      </c>
      <c r="L58" s="92"/>
      <c r="M58" s="93"/>
      <c r="N58" s="93"/>
      <c r="O58" s="93"/>
      <c r="P58" s="93"/>
      <c r="Q58" s="7"/>
      <c r="R58" t="s">
        <v>9</v>
      </c>
      <c r="T58">
        <v>1</v>
      </c>
    </row>
    <row r="59" spans="1:21" ht="14.4" customHeight="1" x14ac:dyDescent="0.3">
      <c r="A59" s="87" t="s">
        <v>174</v>
      </c>
      <c r="B59" s="87" t="s">
        <v>1064</v>
      </c>
      <c r="C59" s="87" t="s">
        <v>1222</v>
      </c>
      <c r="D59" s="87">
        <v>20</v>
      </c>
      <c r="E59" s="87">
        <v>14</v>
      </c>
      <c r="F59" s="97">
        <v>1.25</v>
      </c>
      <c r="G59" s="91">
        <f>Barrage[[#This Row],[Coefficient]]*Barrage[[#This Row],[Total Rounds]]*Barrage[[#This Row],[Base Damage]]</f>
        <v>350</v>
      </c>
      <c r="H59" s="87" t="s">
        <v>161</v>
      </c>
      <c r="I59" s="97">
        <v>1</v>
      </c>
      <c r="J59" s="97">
        <v>0.75</v>
      </c>
      <c r="K59" s="97">
        <v>0.4</v>
      </c>
      <c r="L59" s="99"/>
      <c r="M59" s="100"/>
      <c r="N59" s="100"/>
      <c r="O59" s="100"/>
      <c r="P59" s="100"/>
      <c r="Q59" s="101"/>
      <c r="R59" t="s">
        <v>9</v>
      </c>
      <c r="T59">
        <v>1</v>
      </c>
      <c r="U59" s="87"/>
    </row>
    <row r="60" spans="1:21" ht="14.4" customHeight="1" x14ac:dyDescent="0.3">
      <c r="A60" t="s">
        <v>174</v>
      </c>
      <c r="B60" t="s">
        <v>1076</v>
      </c>
      <c r="C60" t="s">
        <v>1223</v>
      </c>
      <c r="D60">
        <v>20</v>
      </c>
      <c r="E60">
        <v>10</v>
      </c>
      <c r="F60" s="6">
        <v>1.25</v>
      </c>
      <c r="G60" s="91">
        <f>Barrage[[#This Row],[Coefficient]]*Barrage[[#This Row],[Total Rounds]]*Barrage[[#This Row],[Base Damage]]</f>
        <v>250</v>
      </c>
      <c r="H60" t="s">
        <v>161</v>
      </c>
      <c r="I60" s="6">
        <v>1</v>
      </c>
      <c r="J60" s="6">
        <v>0.8</v>
      </c>
      <c r="K60" s="6">
        <v>0.6</v>
      </c>
      <c r="L60" s="92"/>
      <c r="M60" s="93"/>
      <c r="N60" s="93"/>
      <c r="O60" s="93"/>
      <c r="P60" s="93"/>
      <c r="Q60" s="7"/>
      <c r="R60" t="s">
        <v>9</v>
      </c>
      <c r="T60">
        <v>1</v>
      </c>
    </row>
    <row r="61" spans="1:21" ht="14.4" customHeight="1" x14ac:dyDescent="0.3">
      <c r="A61" t="s">
        <v>174</v>
      </c>
      <c r="B61" t="s">
        <v>1068</v>
      </c>
      <c r="C61" t="s">
        <v>1224</v>
      </c>
      <c r="D61">
        <v>22</v>
      </c>
      <c r="E61">
        <v>20</v>
      </c>
      <c r="F61" s="6">
        <v>1.25</v>
      </c>
      <c r="G61" s="91">
        <f>Barrage[[#This Row],[Coefficient]]*Barrage[[#This Row],[Total Rounds]]*Barrage[[#This Row],[Base Damage]]</f>
        <v>550</v>
      </c>
      <c r="H61" t="s">
        <v>161</v>
      </c>
      <c r="I61" s="6">
        <v>1</v>
      </c>
      <c r="J61" s="6">
        <v>0.75</v>
      </c>
      <c r="K61" s="6">
        <v>0.4</v>
      </c>
      <c r="L61" s="92"/>
      <c r="M61" s="93"/>
      <c r="N61" s="93"/>
      <c r="O61" s="93"/>
      <c r="P61" s="93"/>
      <c r="Q61" s="7"/>
      <c r="R61" t="s">
        <v>9</v>
      </c>
      <c r="T61">
        <v>1</v>
      </c>
    </row>
    <row r="62" spans="1:21" ht="14.4" customHeight="1" x14ac:dyDescent="0.3">
      <c r="A62" t="s">
        <v>174</v>
      </c>
      <c r="B62" t="s">
        <v>1074</v>
      </c>
      <c r="C62" t="s">
        <v>1225</v>
      </c>
      <c r="D62">
        <v>10</v>
      </c>
      <c r="E62">
        <v>15</v>
      </c>
      <c r="F62" s="6">
        <v>1.25</v>
      </c>
      <c r="G62" s="91">
        <f>Barrage[[#This Row],[Coefficient]]*Barrage[[#This Row],[Total Rounds]]*Barrage[[#This Row],[Base Damage]]</f>
        <v>187.5</v>
      </c>
      <c r="H62" t="s">
        <v>161</v>
      </c>
      <c r="I62" s="6">
        <v>1</v>
      </c>
      <c r="J62" s="6">
        <v>0.75</v>
      </c>
      <c r="K62" s="6">
        <v>0.4</v>
      </c>
      <c r="L62" s="92"/>
      <c r="M62" s="93"/>
      <c r="N62" s="93"/>
      <c r="O62" s="93"/>
      <c r="P62" s="93"/>
      <c r="Q62" s="7"/>
      <c r="R62" t="s">
        <v>9</v>
      </c>
      <c r="T62">
        <v>1</v>
      </c>
    </row>
    <row r="63" spans="1:21" ht="14.4" customHeight="1" x14ac:dyDescent="0.3">
      <c r="A63" s="87" t="s">
        <v>174</v>
      </c>
      <c r="B63" s="87" t="s">
        <v>1065</v>
      </c>
      <c r="C63" s="87" t="s">
        <v>1226</v>
      </c>
      <c r="D63" s="87">
        <v>20</v>
      </c>
      <c r="E63" s="87">
        <v>15</v>
      </c>
      <c r="F63" s="97">
        <v>1.25</v>
      </c>
      <c r="G63" s="91">
        <f>Barrage[[#This Row],[Coefficient]]*Barrage[[#This Row],[Total Rounds]]*Barrage[[#This Row],[Base Damage]]</f>
        <v>375</v>
      </c>
      <c r="H63" s="87" t="s">
        <v>161</v>
      </c>
      <c r="I63" s="97">
        <v>1</v>
      </c>
      <c r="J63" s="97">
        <v>0.75</v>
      </c>
      <c r="K63" s="97">
        <v>0.4</v>
      </c>
      <c r="L63" s="99"/>
      <c r="M63" s="100"/>
      <c r="N63" s="100"/>
      <c r="O63" s="100"/>
      <c r="P63" s="100"/>
      <c r="Q63" s="101"/>
      <c r="R63" t="s">
        <v>9</v>
      </c>
      <c r="T63">
        <v>1</v>
      </c>
      <c r="U63" s="87" t="s">
        <v>1211</v>
      </c>
    </row>
    <row r="64" spans="1:21" ht="14.4" customHeight="1" x14ac:dyDescent="0.3">
      <c r="A64" t="s">
        <v>174</v>
      </c>
      <c r="B64" t="s">
        <v>1079</v>
      </c>
      <c r="C64" t="s">
        <v>1227</v>
      </c>
      <c r="D64">
        <v>18</v>
      </c>
      <c r="E64">
        <v>10</v>
      </c>
      <c r="F64" s="6">
        <v>1.25</v>
      </c>
      <c r="G64" s="91">
        <f>Barrage[[#This Row],[Coefficient]]*Barrage[[#This Row],[Total Rounds]]*Barrage[[#This Row],[Base Damage]]</f>
        <v>225</v>
      </c>
      <c r="H64" t="s">
        <v>161</v>
      </c>
      <c r="I64" s="6">
        <v>1</v>
      </c>
      <c r="J64" s="6">
        <v>0.8</v>
      </c>
      <c r="K64" s="6">
        <v>0.6</v>
      </c>
      <c r="L64" s="92"/>
      <c r="M64" s="93"/>
      <c r="N64" s="93"/>
      <c r="O64" s="93"/>
      <c r="P64" s="93"/>
      <c r="Q64" s="7"/>
      <c r="R64" t="s">
        <v>9</v>
      </c>
      <c r="T64">
        <v>1</v>
      </c>
    </row>
    <row r="65" spans="1:21" ht="14.4" customHeight="1" x14ac:dyDescent="0.3">
      <c r="A65" t="s">
        <v>174</v>
      </c>
      <c r="B65" t="s">
        <v>1070</v>
      </c>
      <c r="C65" t="s">
        <v>1228</v>
      </c>
      <c r="D65">
        <v>22</v>
      </c>
      <c r="E65">
        <v>16</v>
      </c>
      <c r="F65" s="6">
        <v>1.25</v>
      </c>
      <c r="G65" s="91">
        <f>Barrage[[#This Row],[Coefficient]]*Barrage[[#This Row],[Total Rounds]]*Barrage[[#This Row],[Base Damage]]</f>
        <v>440</v>
      </c>
      <c r="H65" t="s">
        <v>161</v>
      </c>
      <c r="I65" s="6">
        <v>1</v>
      </c>
      <c r="J65" s="6">
        <v>0.75</v>
      </c>
      <c r="K65" s="6">
        <v>0.4</v>
      </c>
      <c r="L65" s="92"/>
      <c r="M65" s="93"/>
      <c r="N65" s="93"/>
      <c r="O65" s="93"/>
      <c r="P65" s="93"/>
      <c r="Q65" s="7"/>
      <c r="R65" t="s">
        <v>9</v>
      </c>
      <c r="T65">
        <v>1</v>
      </c>
    </row>
    <row r="66" spans="1:21" ht="14.4" customHeight="1" x14ac:dyDescent="0.3">
      <c r="A66" t="s">
        <v>174</v>
      </c>
      <c r="B66" t="s">
        <v>1073</v>
      </c>
      <c r="C66" t="s">
        <v>502</v>
      </c>
      <c r="D66">
        <v>20</v>
      </c>
      <c r="E66">
        <v>20</v>
      </c>
      <c r="F66" s="6">
        <v>1.25</v>
      </c>
      <c r="G66" s="91">
        <f>Barrage[[#This Row],[Coefficient]]*Barrage[[#This Row],[Total Rounds]]*Barrage[[#This Row],[Base Damage]]</f>
        <v>500</v>
      </c>
      <c r="H66" t="s">
        <v>161</v>
      </c>
      <c r="I66" s="6">
        <v>1</v>
      </c>
      <c r="J66" s="6">
        <v>0.9</v>
      </c>
      <c r="K66" s="6">
        <v>0.5</v>
      </c>
      <c r="L66" s="92"/>
      <c r="M66" s="93"/>
      <c r="N66" s="93"/>
      <c r="O66" s="93"/>
      <c r="P66" s="93"/>
      <c r="Q66" s="7"/>
      <c r="R66" t="s">
        <v>9</v>
      </c>
      <c r="T66">
        <v>1</v>
      </c>
    </row>
    <row r="67" spans="1:21" ht="14.4" customHeight="1" x14ac:dyDescent="0.3">
      <c r="A67" s="87" t="s">
        <v>174</v>
      </c>
      <c r="B67" s="87" t="s">
        <v>1067</v>
      </c>
      <c r="C67" s="87" t="s">
        <v>1229</v>
      </c>
      <c r="D67" s="87">
        <v>20</v>
      </c>
      <c r="E67" s="87">
        <v>24</v>
      </c>
      <c r="F67" s="97">
        <v>1.25</v>
      </c>
      <c r="G67" s="91">
        <f>Barrage[[#This Row],[Coefficient]]*Barrage[[#This Row],[Total Rounds]]*Barrage[[#This Row],[Base Damage]]</f>
        <v>600</v>
      </c>
      <c r="H67" s="87" t="s">
        <v>161</v>
      </c>
      <c r="I67" s="97">
        <v>1</v>
      </c>
      <c r="J67" s="97">
        <v>0.75</v>
      </c>
      <c r="K67" s="97">
        <v>0.4</v>
      </c>
      <c r="L67" s="99"/>
      <c r="M67" s="100"/>
      <c r="N67" s="100"/>
      <c r="O67" s="100"/>
      <c r="P67" s="100"/>
      <c r="Q67" s="101"/>
      <c r="R67" t="s">
        <v>9</v>
      </c>
      <c r="T67">
        <v>1</v>
      </c>
      <c r="U67" s="87" t="s">
        <v>1211</v>
      </c>
    </row>
    <row r="68" spans="1:21" ht="14.4" customHeight="1" x14ac:dyDescent="0.3">
      <c r="A68" t="s">
        <v>174</v>
      </c>
      <c r="B68" t="s">
        <v>1072</v>
      </c>
      <c r="C68" t="s">
        <v>1230</v>
      </c>
      <c r="D68">
        <v>22</v>
      </c>
      <c r="E68">
        <v>14</v>
      </c>
      <c r="F68" s="6">
        <v>1.25</v>
      </c>
      <c r="G68" s="91">
        <f>Barrage[[#This Row],[Coefficient]]*Barrage[[#This Row],[Total Rounds]]*Barrage[[#This Row],[Base Damage]]</f>
        <v>385</v>
      </c>
      <c r="H68" t="s">
        <v>161</v>
      </c>
      <c r="I68" s="97">
        <v>1</v>
      </c>
      <c r="J68" s="97">
        <v>0.75</v>
      </c>
      <c r="K68" s="97">
        <v>0.4</v>
      </c>
      <c r="L68" s="92"/>
      <c r="M68" s="93"/>
      <c r="N68" s="93"/>
      <c r="O68" s="93"/>
      <c r="P68" s="93"/>
      <c r="Q68" s="7"/>
      <c r="R68" t="s">
        <v>9</v>
      </c>
      <c r="T68">
        <v>1</v>
      </c>
    </row>
    <row r="69" spans="1:21" ht="14.4" customHeight="1" x14ac:dyDescent="0.3">
      <c r="A69" t="s">
        <v>174</v>
      </c>
      <c r="B69" t="s">
        <v>1066</v>
      </c>
      <c r="C69" t="s">
        <v>1231</v>
      </c>
      <c r="D69">
        <v>20</v>
      </c>
      <c r="E69">
        <v>20</v>
      </c>
      <c r="F69" s="6">
        <v>1.25</v>
      </c>
      <c r="G69" s="91">
        <f>Barrage[[#This Row],[Coefficient]]*Barrage[[#This Row],[Total Rounds]]*Barrage[[#This Row],[Base Damage]]</f>
        <v>500</v>
      </c>
      <c r="H69" t="s">
        <v>161</v>
      </c>
      <c r="I69" s="97">
        <v>1</v>
      </c>
      <c r="J69" s="97">
        <v>0.75</v>
      </c>
      <c r="K69" s="97">
        <v>0.4</v>
      </c>
      <c r="L69" s="92"/>
      <c r="M69" s="93"/>
      <c r="N69" s="93"/>
      <c r="O69" s="93"/>
      <c r="P69" s="93"/>
      <c r="Q69" s="7"/>
      <c r="R69" t="s">
        <v>9</v>
      </c>
      <c r="T69">
        <v>1</v>
      </c>
    </row>
    <row r="70" spans="1:21" ht="14.4" customHeight="1" x14ac:dyDescent="0.3">
      <c r="A70" t="s">
        <v>174</v>
      </c>
      <c r="B70" t="s">
        <v>1077</v>
      </c>
      <c r="C70" t="s">
        <v>506</v>
      </c>
      <c r="D70">
        <v>20</v>
      </c>
      <c r="E70">
        <v>10</v>
      </c>
      <c r="F70" s="6">
        <v>1.25</v>
      </c>
      <c r="G70" s="91">
        <f>Barrage[[#This Row],[Coefficient]]*Barrage[[#This Row],[Total Rounds]]*Barrage[[#This Row],[Base Damage]]</f>
        <v>250</v>
      </c>
      <c r="H70" t="s">
        <v>161</v>
      </c>
      <c r="I70" s="6">
        <v>1</v>
      </c>
      <c r="J70" s="6">
        <v>0.8</v>
      </c>
      <c r="K70" s="6">
        <v>0.6</v>
      </c>
      <c r="L70" s="92"/>
      <c r="M70" s="93"/>
      <c r="N70" s="93"/>
      <c r="O70" s="93"/>
      <c r="P70" s="93"/>
      <c r="Q70" s="7"/>
      <c r="R70" t="s">
        <v>9</v>
      </c>
      <c r="T70">
        <v>1</v>
      </c>
    </row>
    <row r="71" spans="1:21" ht="14.4" customHeight="1" x14ac:dyDescent="0.3">
      <c r="A71" t="s">
        <v>174</v>
      </c>
      <c r="B71" t="s">
        <v>1071</v>
      </c>
      <c r="C71" t="s">
        <v>498</v>
      </c>
      <c r="D71">
        <v>26</v>
      </c>
      <c r="E71">
        <v>24</v>
      </c>
      <c r="F71" s="6">
        <v>1.25</v>
      </c>
      <c r="G71" s="91">
        <f>Barrage[[#This Row],[Coefficient]]*Barrage[[#This Row],[Total Rounds]]*Barrage[[#This Row],[Base Damage]]</f>
        <v>780</v>
      </c>
      <c r="H71" t="s">
        <v>161</v>
      </c>
      <c r="I71" s="6">
        <v>1</v>
      </c>
      <c r="J71" s="6">
        <v>0.75</v>
      </c>
      <c r="K71" s="6">
        <v>0.4</v>
      </c>
      <c r="L71" s="92"/>
      <c r="M71" s="93"/>
      <c r="N71" s="93"/>
      <c r="O71" s="93"/>
      <c r="P71" s="93"/>
      <c r="Q71" s="7"/>
      <c r="R71" t="s">
        <v>9</v>
      </c>
      <c r="T71">
        <v>1</v>
      </c>
    </row>
    <row r="72" spans="1:21" ht="14.4" customHeight="1" x14ac:dyDescent="0.3">
      <c r="A72" t="s">
        <v>174</v>
      </c>
      <c r="B72" t="s">
        <v>1080</v>
      </c>
      <c r="C72" t="s">
        <v>508</v>
      </c>
      <c r="D72">
        <v>30</v>
      </c>
      <c r="E72">
        <v>10</v>
      </c>
      <c r="F72" s="6">
        <v>1.25</v>
      </c>
      <c r="G72" s="91">
        <f>Barrage[[#This Row],[Coefficient]]*Barrage[[#This Row],[Total Rounds]]*Barrage[[#This Row],[Base Damage]]</f>
        <v>375</v>
      </c>
      <c r="H72" t="s">
        <v>161</v>
      </c>
      <c r="I72" s="6">
        <v>1</v>
      </c>
      <c r="J72" s="6">
        <v>0.8</v>
      </c>
      <c r="K72" s="6">
        <v>0.6</v>
      </c>
      <c r="L72" s="92"/>
      <c r="M72" s="93"/>
      <c r="N72" s="93"/>
      <c r="O72" s="93"/>
      <c r="P72" s="93"/>
      <c r="Q72" s="7"/>
      <c r="R72" t="s">
        <v>9</v>
      </c>
      <c r="T72">
        <v>1</v>
      </c>
      <c r="U72" t="s">
        <v>1211</v>
      </c>
    </row>
    <row r="73" spans="1:21" ht="14.4" customHeight="1" x14ac:dyDescent="0.3">
      <c r="A73" t="s">
        <v>174</v>
      </c>
      <c r="B73" t="s">
        <v>1078</v>
      </c>
      <c r="C73" t="s">
        <v>507</v>
      </c>
      <c r="D73">
        <v>18</v>
      </c>
      <c r="E73">
        <v>22</v>
      </c>
      <c r="F73" s="6">
        <v>1.25</v>
      </c>
      <c r="G73" s="91">
        <f>Barrage[[#This Row],[Coefficient]]*Barrage[[#This Row],[Total Rounds]]*Barrage[[#This Row],[Base Damage]]</f>
        <v>495</v>
      </c>
      <c r="H73" s="95" t="s">
        <v>169</v>
      </c>
      <c r="I73" s="6">
        <v>1.4</v>
      </c>
      <c r="J73" s="6">
        <v>0.9</v>
      </c>
      <c r="K73" s="6">
        <v>0.7</v>
      </c>
      <c r="L73" s="92">
        <v>0.03</v>
      </c>
      <c r="M73" s="93">
        <v>2</v>
      </c>
      <c r="N73" s="93"/>
      <c r="O73" s="93"/>
      <c r="P73" s="93"/>
      <c r="Q73" s="7"/>
      <c r="R73" t="s">
        <v>9</v>
      </c>
      <c r="T73">
        <v>1</v>
      </c>
      <c r="U73" t="s">
        <v>1211</v>
      </c>
    </row>
    <row r="74" spans="1:21" ht="14.4" customHeight="1" x14ac:dyDescent="0.3">
      <c r="A74" t="s">
        <v>174</v>
      </c>
      <c r="B74" t="s">
        <v>1081</v>
      </c>
      <c r="C74" t="s">
        <v>1232</v>
      </c>
      <c r="D74">
        <v>20</v>
      </c>
      <c r="E74">
        <v>36</v>
      </c>
      <c r="F74" s="6">
        <v>1.25</v>
      </c>
      <c r="G74" s="91">
        <f>Barrage[[#This Row],[Coefficient]]*Barrage[[#This Row],[Total Rounds]]*Barrage[[#This Row],[Base Damage]]</f>
        <v>900</v>
      </c>
      <c r="H74" t="s">
        <v>161</v>
      </c>
      <c r="I74" s="6">
        <v>1</v>
      </c>
      <c r="J74" s="6">
        <v>0.5</v>
      </c>
      <c r="K74" s="6">
        <v>0.2</v>
      </c>
      <c r="L74" s="92"/>
      <c r="M74" s="93"/>
      <c r="N74" s="93"/>
      <c r="O74" s="93"/>
      <c r="P74" s="93"/>
      <c r="Q74" s="7"/>
      <c r="R74" t="s">
        <v>9</v>
      </c>
      <c r="T74">
        <v>1</v>
      </c>
    </row>
    <row r="75" spans="1:21" ht="14.4" customHeight="1" x14ac:dyDescent="0.3">
      <c r="A75" t="s">
        <v>174</v>
      </c>
      <c r="B75" t="s">
        <v>1083</v>
      </c>
      <c r="C75" t="s">
        <v>1233</v>
      </c>
      <c r="D75">
        <v>22</v>
      </c>
      <c r="E75">
        <v>27</v>
      </c>
      <c r="F75" s="6">
        <v>1.25</v>
      </c>
      <c r="G75" s="91">
        <f>Barrage[[#This Row],[Coefficient]]*Barrage[[#This Row],[Total Rounds]]*Barrage[[#This Row],[Base Damage]]</f>
        <v>742.5</v>
      </c>
      <c r="H75" t="s">
        <v>161</v>
      </c>
      <c r="I75" s="6">
        <v>1.05</v>
      </c>
      <c r="J75" s="6">
        <v>0.8</v>
      </c>
      <c r="K75" s="6">
        <v>0.45</v>
      </c>
      <c r="L75" s="92"/>
      <c r="M75" s="93"/>
      <c r="N75" s="93"/>
      <c r="O75" s="93"/>
      <c r="P75" s="93"/>
      <c r="Q75" s="7"/>
      <c r="R75" t="s">
        <v>9</v>
      </c>
      <c r="T75">
        <v>1</v>
      </c>
    </row>
    <row r="76" spans="1:21" ht="14.4" customHeight="1" x14ac:dyDescent="0.3">
      <c r="A76" t="s">
        <v>174</v>
      </c>
      <c r="B76" t="s">
        <v>1069</v>
      </c>
      <c r="C76" t="s">
        <v>1234</v>
      </c>
      <c r="D76">
        <v>22</v>
      </c>
      <c r="E76">
        <v>24</v>
      </c>
      <c r="F76" s="6">
        <v>1.25</v>
      </c>
      <c r="G76" s="91">
        <f>Barrage[[#This Row],[Coefficient]]*Barrage[[#This Row],[Total Rounds]]*Barrage[[#This Row],[Base Damage]]</f>
        <v>660</v>
      </c>
      <c r="H76" t="s">
        <v>161</v>
      </c>
      <c r="I76" s="6">
        <v>1.1000000000000001</v>
      </c>
      <c r="J76" s="6">
        <v>0.85</v>
      </c>
      <c r="K76" s="6">
        <v>0.5</v>
      </c>
      <c r="L76" s="92"/>
      <c r="M76" s="93"/>
      <c r="N76" s="93"/>
      <c r="O76" s="93"/>
      <c r="P76" s="93"/>
      <c r="Q76" s="7"/>
      <c r="R76" t="s">
        <v>9</v>
      </c>
      <c r="T76">
        <v>1</v>
      </c>
    </row>
    <row r="77" spans="1:21" ht="14.4" customHeight="1" x14ac:dyDescent="0.3">
      <c r="A77" t="s">
        <v>174</v>
      </c>
      <c r="B77" t="s">
        <v>1082</v>
      </c>
      <c r="C77" t="s">
        <v>513</v>
      </c>
      <c r="D77">
        <v>20</v>
      </c>
      <c r="E77">
        <v>24</v>
      </c>
      <c r="F77" s="6">
        <v>1.25</v>
      </c>
      <c r="G77" s="91">
        <f>Barrage[[#This Row],[Coefficient]]*Barrage[[#This Row],[Total Rounds]]*Barrage[[#This Row],[Base Damage]]</f>
        <v>600</v>
      </c>
      <c r="H77" s="95" t="s">
        <v>169</v>
      </c>
      <c r="I77" s="6">
        <v>1</v>
      </c>
      <c r="J77" s="6">
        <v>0.9</v>
      </c>
      <c r="K77" s="6">
        <v>0.7</v>
      </c>
      <c r="L77" s="92">
        <v>0.03</v>
      </c>
      <c r="M77" s="93">
        <v>2</v>
      </c>
      <c r="N77" s="93"/>
      <c r="O77" s="93"/>
      <c r="P77" s="93"/>
      <c r="Q77" s="7"/>
      <c r="R77" t="s">
        <v>9</v>
      </c>
      <c r="T77">
        <v>1</v>
      </c>
    </row>
    <row r="78" spans="1:21" ht="14.4" customHeight="1" x14ac:dyDescent="0.3">
      <c r="A78" t="s">
        <v>174</v>
      </c>
      <c r="B78" t="s">
        <v>1075</v>
      </c>
      <c r="C78" t="s">
        <v>1235</v>
      </c>
      <c r="D78">
        <v>18</v>
      </c>
      <c r="E78">
        <v>15</v>
      </c>
      <c r="F78" s="6">
        <v>1</v>
      </c>
      <c r="G78" s="91">
        <f>Barrage[[#This Row],[Coefficient]]*Barrage[[#This Row],[Total Rounds]]*Barrage[[#This Row],[Base Damage]]</f>
        <v>270</v>
      </c>
      <c r="H78" s="95" t="s">
        <v>169</v>
      </c>
      <c r="I78" s="6">
        <v>1.2</v>
      </c>
      <c r="J78" s="6">
        <v>0.8</v>
      </c>
      <c r="K78" s="6">
        <v>0.6</v>
      </c>
      <c r="L78" s="92">
        <v>0.03</v>
      </c>
      <c r="M78" s="93">
        <v>2</v>
      </c>
      <c r="N78" s="93"/>
      <c r="O78" s="93"/>
      <c r="P78" s="93"/>
      <c r="Q78" s="7"/>
      <c r="R78" t="s">
        <v>9</v>
      </c>
      <c r="T78">
        <v>1</v>
      </c>
    </row>
    <row r="79" spans="1:21" ht="14.4" customHeight="1" x14ac:dyDescent="0.3">
      <c r="A79" t="s">
        <v>174</v>
      </c>
      <c r="B79" t="s">
        <v>1088</v>
      </c>
      <c r="C79" t="s">
        <v>1236</v>
      </c>
      <c r="D79">
        <v>20</v>
      </c>
      <c r="E79">
        <v>64</v>
      </c>
      <c r="F79" s="6">
        <v>1.1000000000000001</v>
      </c>
      <c r="G79" s="91">
        <f>Barrage[[#This Row],[Coefficient]]*Barrage[[#This Row],[Total Rounds]]*Barrage[[#This Row],[Base Damage]]</f>
        <v>1408</v>
      </c>
      <c r="H79" s="94" t="s">
        <v>167</v>
      </c>
      <c r="I79" s="6">
        <v>1</v>
      </c>
      <c r="J79" s="6">
        <v>0.8</v>
      </c>
      <c r="K79" s="6">
        <v>0.6</v>
      </c>
      <c r="L79" s="92"/>
      <c r="M79" s="93"/>
      <c r="N79" s="93"/>
      <c r="O79" s="93"/>
      <c r="P79" s="93"/>
      <c r="Q79" s="7">
        <v>0</v>
      </c>
      <c r="R79" t="s">
        <v>9</v>
      </c>
      <c r="T79">
        <v>1</v>
      </c>
      <c r="U79" t="s">
        <v>1209</v>
      </c>
    </row>
    <row r="80" spans="1:21" ht="14.4" customHeight="1" x14ac:dyDescent="0.3">
      <c r="A80" t="s">
        <v>174</v>
      </c>
      <c r="B80" t="s">
        <v>1084</v>
      </c>
      <c r="C80" t="s">
        <v>519</v>
      </c>
      <c r="D80">
        <v>18</v>
      </c>
      <c r="E80">
        <v>20</v>
      </c>
      <c r="F80" s="6">
        <v>1.25</v>
      </c>
      <c r="G80" s="91">
        <f>Barrage[[#This Row],[Coefficient]]*Barrage[[#This Row],[Total Rounds]]*Barrage[[#This Row],[Base Damage]]</f>
        <v>450</v>
      </c>
      <c r="H80" t="s">
        <v>161</v>
      </c>
      <c r="I80" s="6">
        <v>1</v>
      </c>
      <c r="J80" s="6">
        <v>0.8</v>
      </c>
      <c r="K80" s="6">
        <v>0.6</v>
      </c>
      <c r="L80" s="92"/>
      <c r="M80" s="93"/>
      <c r="N80" s="93"/>
      <c r="O80" s="93"/>
      <c r="P80" s="93"/>
      <c r="Q80" s="7"/>
      <c r="R80" t="s">
        <v>9</v>
      </c>
      <c r="T80">
        <v>1</v>
      </c>
    </row>
    <row r="81" spans="1:21" ht="14.4" customHeight="1" x14ac:dyDescent="0.3">
      <c r="A81" t="s">
        <v>174</v>
      </c>
      <c r="B81" t="s">
        <v>1087</v>
      </c>
      <c r="C81" t="s">
        <v>697</v>
      </c>
      <c r="D81">
        <v>22</v>
      </c>
      <c r="E81">
        <v>20</v>
      </c>
      <c r="F81" s="6">
        <v>1.25</v>
      </c>
      <c r="G81" s="91">
        <f>Barrage[[#This Row],[Coefficient]]*Barrage[[#This Row],[Total Rounds]]*Barrage[[#This Row],[Base Damage]]</f>
        <v>550</v>
      </c>
      <c r="H81" t="s">
        <v>161</v>
      </c>
      <c r="I81" s="6">
        <v>1</v>
      </c>
      <c r="J81" s="6">
        <v>0.75</v>
      </c>
      <c r="K81" s="6">
        <v>0.4</v>
      </c>
      <c r="L81" s="92"/>
      <c r="M81" s="93"/>
      <c r="N81" s="93"/>
      <c r="O81" s="93"/>
      <c r="P81" s="93"/>
      <c r="Q81" s="7"/>
      <c r="R81" t="s">
        <v>9</v>
      </c>
      <c r="T81">
        <v>1</v>
      </c>
      <c r="U81" t="s">
        <v>1211</v>
      </c>
    </row>
    <row r="82" spans="1:21" ht="14.4" customHeight="1" x14ac:dyDescent="0.3">
      <c r="A82" t="s">
        <v>174</v>
      </c>
      <c r="B82" t="s">
        <v>1086</v>
      </c>
      <c r="C82" t="s">
        <v>1237</v>
      </c>
      <c r="D82">
        <v>22</v>
      </c>
      <c r="E82">
        <v>15</v>
      </c>
      <c r="F82" s="6">
        <v>1.25</v>
      </c>
      <c r="G82" s="91">
        <f>Barrage[[#This Row],[Coefficient]]*Barrage[[#This Row],[Total Rounds]]*Barrage[[#This Row],[Base Damage]]</f>
        <v>412.5</v>
      </c>
      <c r="H82" t="s">
        <v>161</v>
      </c>
      <c r="I82" s="6">
        <v>1</v>
      </c>
      <c r="J82" s="6">
        <v>1</v>
      </c>
      <c r="K82" s="6">
        <v>1</v>
      </c>
      <c r="L82" s="92"/>
      <c r="M82" s="93"/>
      <c r="N82" s="93"/>
      <c r="O82" s="93"/>
      <c r="P82" s="93"/>
      <c r="Q82" s="7"/>
      <c r="R82" t="s">
        <v>9</v>
      </c>
      <c r="T82">
        <v>1</v>
      </c>
    </row>
    <row r="83" spans="1:21" ht="14.4" customHeight="1" x14ac:dyDescent="0.3">
      <c r="A83" t="s">
        <v>174</v>
      </c>
      <c r="B83" t="s">
        <v>1085</v>
      </c>
      <c r="C83" t="s">
        <v>522</v>
      </c>
      <c r="D83">
        <v>34</v>
      </c>
      <c r="E83">
        <v>20</v>
      </c>
      <c r="F83" s="6">
        <v>1.25</v>
      </c>
      <c r="G83" s="91">
        <f>Barrage[[#This Row],[Coefficient]]*Barrage[[#This Row],[Total Rounds]]*Barrage[[#This Row],[Base Damage]]</f>
        <v>850</v>
      </c>
      <c r="H83" t="s">
        <v>161</v>
      </c>
      <c r="I83" s="6">
        <v>1</v>
      </c>
      <c r="J83" s="6">
        <v>0.8</v>
      </c>
      <c r="K83" s="6">
        <v>0.6</v>
      </c>
      <c r="L83" s="92"/>
      <c r="M83" s="93"/>
      <c r="N83" s="93"/>
      <c r="O83" s="93"/>
      <c r="P83" s="93"/>
      <c r="Q83" s="7"/>
      <c r="R83" t="s">
        <v>9</v>
      </c>
      <c r="T83">
        <v>1</v>
      </c>
    </row>
    <row r="84" spans="1:21" ht="14.4" customHeight="1" x14ac:dyDescent="0.3">
      <c r="A84" t="s">
        <v>174</v>
      </c>
      <c r="B84" t="s">
        <v>1089</v>
      </c>
      <c r="C84" t="s">
        <v>932</v>
      </c>
      <c r="D84">
        <v>20</v>
      </c>
      <c r="E84">
        <v>36</v>
      </c>
      <c r="F84" s="6">
        <v>1</v>
      </c>
      <c r="G84" s="91">
        <f>Barrage[[#This Row],[Coefficient]]*Barrage[[#This Row],[Total Rounds]]*Barrage[[#This Row],[Base Damage]]</f>
        <v>720</v>
      </c>
      <c r="H84" s="95" t="s">
        <v>169</v>
      </c>
      <c r="I84" s="6">
        <v>1.1000000000000001</v>
      </c>
      <c r="J84" s="6">
        <v>0.9</v>
      </c>
      <c r="K84" s="6">
        <v>0.7</v>
      </c>
      <c r="L84" s="92"/>
      <c r="M84" s="93"/>
      <c r="N84" s="93"/>
      <c r="O84" s="93"/>
      <c r="P84" s="93"/>
      <c r="Q84" s="7"/>
      <c r="R84" t="s">
        <v>9</v>
      </c>
      <c r="T84">
        <v>1</v>
      </c>
    </row>
    <row r="85" spans="1:21" ht="14.4" customHeight="1" x14ac:dyDescent="0.3">
      <c r="A85" t="s">
        <v>184</v>
      </c>
      <c r="B85" t="s">
        <v>1111</v>
      </c>
      <c r="C85" t="s">
        <v>1005</v>
      </c>
      <c r="D85">
        <v>34</v>
      </c>
      <c r="E85">
        <v>18</v>
      </c>
      <c r="F85" s="6">
        <v>1.25</v>
      </c>
      <c r="G85" s="91">
        <f>Barrage[[#This Row],[Coefficient]]*Barrage[[#This Row],[Total Rounds]]*Barrage[[#This Row],[Base Damage]]</f>
        <v>765</v>
      </c>
      <c r="H85" s="94" t="s">
        <v>167</v>
      </c>
      <c r="I85" s="6">
        <v>1</v>
      </c>
      <c r="J85" s="6">
        <v>0.8</v>
      </c>
      <c r="K85" s="6">
        <v>0.6</v>
      </c>
      <c r="L85" s="92"/>
      <c r="M85" s="93"/>
      <c r="N85" s="93"/>
      <c r="O85" s="93"/>
      <c r="P85" s="93"/>
      <c r="Q85" s="7">
        <v>0</v>
      </c>
      <c r="R85" t="s">
        <v>9</v>
      </c>
      <c r="T85">
        <v>1</v>
      </c>
    </row>
    <row r="86" spans="1:21" ht="14.4" customHeight="1" x14ac:dyDescent="0.3">
      <c r="A86" t="s">
        <v>184</v>
      </c>
      <c r="B86" t="s">
        <v>1102</v>
      </c>
      <c r="C86" t="s">
        <v>1238</v>
      </c>
      <c r="D86">
        <v>38</v>
      </c>
      <c r="E86">
        <v>6</v>
      </c>
      <c r="F86" s="6">
        <v>1</v>
      </c>
      <c r="G86" s="91">
        <f>Barrage[[#This Row],[Coefficient]]*Barrage[[#This Row],[Total Rounds]]*Barrage[[#This Row],[Base Damage]]</f>
        <v>228</v>
      </c>
      <c r="H86" s="95" t="s">
        <v>169</v>
      </c>
      <c r="I86" s="6">
        <v>1</v>
      </c>
      <c r="J86" s="6">
        <v>0.8</v>
      </c>
      <c r="K86" s="6">
        <v>0.6</v>
      </c>
      <c r="L86" s="92">
        <v>0.3</v>
      </c>
      <c r="M86" s="93">
        <v>1</v>
      </c>
      <c r="N86" s="93"/>
      <c r="O86" s="93"/>
      <c r="P86" s="93"/>
      <c r="Q86" s="7"/>
      <c r="R86" t="s">
        <v>9</v>
      </c>
      <c r="T86">
        <v>1</v>
      </c>
    </row>
    <row r="87" spans="1:21" ht="14.4" customHeight="1" x14ac:dyDescent="0.3">
      <c r="A87" t="s">
        <v>184</v>
      </c>
      <c r="B87" t="s">
        <v>1103</v>
      </c>
      <c r="C87" t="s">
        <v>1239</v>
      </c>
      <c r="D87">
        <v>38</v>
      </c>
      <c r="E87">
        <v>6</v>
      </c>
      <c r="F87" s="6">
        <v>1</v>
      </c>
      <c r="G87" s="91">
        <f>Barrage[[#This Row],[Coefficient]]*Barrage[[#This Row],[Total Rounds]]*Barrage[[#This Row],[Base Damage]]</f>
        <v>228</v>
      </c>
      <c r="H87" s="95" t="s">
        <v>169</v>
      </c>
      <c r="I87" s="6">
        <v>1</v>
      </c>
      <c r="J87" s="6">
        <v>0.8</v>
      </c>
      <c r="K87" s="6">
        <v>0.6</v>
      </c>
      <c r="L87" s="92">
        <v>0.3</v>
      </c>
      <c r="M87" s="93">
        <v>2</v>
      </c>
      <c r="N87" s="93"/>
      <c r="O87" s="93"/>
      <c r="P87" s="93"/>
      <c r="Q87" s="7"/>
      <c r="R87" t="s">
        <v>9</v>
      </c>
      <c r="T87">
        <v>1</v>
      </c>
    </row>
    <row r="88" spans="1:21" ht="14.4" customHeight="1" x14ac:dyDescent="0.3">
      <c r="A88" t="s">
        <v>184</v>
      </c>
      <c r="B88" t="s">
        <v>1093</v>
      </c>
      <c r="C88" t="s">
        <v>1240</v>
      </c>
      <c r="D88">
        <v>40</v>
      </c>
      <c r="E88">
        <v>8</v>
      </c>
      <c r="F88" s="6">
        <v>1</v>
      </c>
      <c r="G88" s="91">
        <f>Barrage[[#This Row],[Coefficient]]*Barrage[[#This Row],[Total Rounds]]*Barrage[[#This Row],[Base Damage]]</f>
        <v>320</v>
      </c>
      <c r="H88" t="s">
        <v>161</v>
      </c>
      <c r="I88" s="6">
        <v>1</v>
      </c>
      <c r="J88" s="6">
        <v>1</v>
      </c>
      <c r="K88" s="6">
        <v>1</v>
      </c>
      <c r="L88" s="92"/>
      <c r="M88" s="93"/>
      <c r="N88" s="93"/>
      <c r="O88" s="93"/>
      <c r="P88" s="93"/>
      <c r="Q88" s="7"/>
      <c r="R88" t="s">
        <v>9</v>
      </c>
      <c r="T88">
        <v>1</v>
      </c>
      <c r="U88" t="s">
        <v>1211</v>
      </c>
    </row>
    <row r="89" spans="1:21" ht="14.4" customHeight="1" x14ac:dyDescent="0.3">
      <c r="A89" t="s">
        <v>184</v>
      </c>
      <c r="B89" t="s">
        <v>1101</v>
      </c>
      <c r="C89" t="s">
        <v>1241</v>
      </c>
      <c r="D89">
        <v>38</v>
      </c>
      <c r="E89">
        <v>8</v>
      </c>
      <c r="F89" s="6">
        <v>1</v>
      </c>
      <c r="G89" s="91">
        <f>Barrage[[#This Row],[Coefficient]]*Barrage[[#This Row],[Total Rounds]]*Barrage[[#This Row],[Base Damage]]</f>
        <v>304</v>
      </c>
      <c r="H89" t="s">
        <v>161</v>
      </c>
      <c r="I89" s="6">
        <v>1</v>
      </c>
      <c r="J89" s="6">
        <v>0.8</v>
      </c>
      <c r="K89" s="6">
        <v>0.6</v>
      </c>
      <c r="L89" s="92"/>
      <c r="M89" s="93"/>
      <c r="N89" s="93"/>
      <c r="O89" s="93"/>
      <c r="P89" s="93"/>
      <c r="Q89" s="7"/>
      <c r="R89" t="s">
        <v>9</v>
      </c>
      <c r="T89">
        <v>1</v>
      </c>
    </row>
    <row r="90" spans="1:21" ht="14.4" customHeight="1" x14ac:dyDescent="0.3">
      <c r="A90" t="s">
        <v>184</v>
      </c>
      <c r="B90" t="s">
        <v>1094</v>
      </c>
      <c r="C90" t="s">
        <v>1242</v>
      </c>
      <c r="D90">
        <v>40</v>
      </c>
      <c r="E90">
        <v>6</v>
      </c>
      <c r="F90" s="6">
        <v>1</v>
      </c>
      <c r="G90" s="91">
        <f>Barrage[[#This Row],[Coefficient]]*Barrage[[#This Row],[Total Rounds]]*Barrage[[#This Row],[Base Damage]]</f>
        <v>240</v>
      </c>
      <c r="H90" s="95" t="s">
        <v>169</v>
      </c>
      <c r="I90" s="6">
        <v>1</v>
      </c>
      <c r="J90" s="6">
        <v>0.8</v>
      </c>
      <c r="K90" s="6">
        <v>0.6</v>
      </c>
      <c r="L90" s="92">
        <v>0.3</v>
      </c>
      <c r="M90" s="93">
        <v>1</v>
      </c>
      <c r="N90" s="93"/>
      <c r="O90" s="93"/>
      <c r="P90" s="93"/>
      <c r="Q90" s="7"/>
      <c r="R90" t="s">
        <v>9</v>
      </c>
      <c r="T90">
        <v>1</v>
      </c>
      <c r="U90" t="s">
        <v>1211</v>
      </c>
    </row>
    <row r="91" spans="1:21" ht="14.4" customHeight="1" x14ac:dyDescent="0.3">
      <c r="A91" t="s">
        <v>184</v>
      </c>
      <c r="B91" t="s">
        <v>1106</v>
      </c>
      <c r="C91" t="s">
        <v>1243</v>
      </c>
      <c r="D91">
        <v>40</v>
      </c>
      <c r="E91">
        <v>6</v>
      </c>
      <c r="F91" s="6">
        <v>1</v>
      </c>
      <c r="G91" s="91">
        <f>Barrage[[#This Row],[Coefficient]]*Barrage[[#This Row],[Total Rounds]]*Barrage[[#This Row],[Base Damage]]</f>
        <v>240</v>
      </c>
      <c r="H91" s="95" t="s">
        <v>169</v>
      </c>
      <c r="I91" s="6">
        <v>1</v>
      </c>
      <c r="J91" s="6">
        <v>0.8</v>
      </c>
      <c r="K91" s="6">
        <v>0.6</v>
      </c>
      <c r="L91" s="92">
        <v>0.3</v>
      </c>
      <c r="M91" s="93">
        <v>2</v>
      </c>
      <c r="N91" s="93"/>
      <c r="O91" s="93"/>
      <c r="P91" s="93"/>
      <c r="Q91" s="7"/>
      <c r="R91" t="s">
        <v>9</v>
      </c>
      <c r="T91">
        <v>1</v>
      </c>
    </row>
    <row r="92" spans="1:21" ht="14.4" customHeight="1" x14ac:dyDescent="0.3">
      <c r="A92" t="s">
        <v>184</v>
      </c>
      <c r="B92" t="s">
        <v>1095</v>
      </c>
      <c r="C92" t="s">
        <v>1244</v>
      </c>
      <c r="D92">
        <v>40</v>
      </c>
      <c r="E92">
        <v>6</v>
      </c>
      <c r="F92" s="6">
        <v>1</v>
      </c>
      <c r="G92" s="91">
        <f>Barrage[[#This Row],[Coefficient]]*Barrage[[#This Row],[Total Rounds]]*Barrage[[#This Row],[Base Damage]]</f>
        <v>240</v>
      </c>
      <c r="H92" s="95" t="s">
        <v>169</v>
      </c>
      <c r="I92" s="6">
        <v>1</v>
      </c>
      <c r="J92" s="6">
        <v>0.8</v>
      </c>
      <c r="K92" s="6">
        <v>0.6</v>
      </c>
      <c r="L92" s="92">
        <v>0.3</v>
      </c>
      <c r="M92" s="93">
        <v>3</v>
      </c>
      <c r="N92" s="93"/>
      <c r="O92" s="93"/>
      <c r="P92" s="93"/>
      <c r="Q92" s="7"/>
      <c r="R92" t="s">
        <v>9</v>
      </c>
      <c r="T92">
        <v>1</v>
      </c>
      <c r="U92" t="s">
        <v>1211</v>
      </c>
    </row>
    <row r="93" spans="1:21" ht="14.4" customHeight="1" x14ac:dyDescent="0.3">
      <c r="A93" t="s">
        <v>184</v>
      </c>
      <c r="B93" t="s">
        <v>1333</v>
      </c>
      <c r="C93" t="s">
        <v>1245</v>
      </c>
      <c r="D93">
        <v>40</v>
      </c>
      <c r="E93">
        <v>12</v>
      </c>
      <c r="F93" s="6">
        <v>1</v>
      </c>
      <c r="G93" s="91">
        <f>Barrage[[#This Row],[Coefficient]]*Barrage[[#This Row],[Total Rounds]]*Barrage[[#This Row],[Base Damage]]</f>
        <v>480</v>
      </c>
      <c r="H93" s="94" t="s">
        <v>167</v>
      </c>
      <c r="I93" s="6">
        <v>0.75</v>
      </c>
      <c r="J93" s="6">
        <v>1.1000000000000001</v>
      </c>
      <c r="K93" s="6">
        <v>0.75</v>
      </c>
      <c r="L93" s="92"/>
      <c r="M93" s="93"/>
      <c r="N93" s="93"/>
      <c r="O93" s="93"/>
      <c r="P93" s="93"/>
      <c r="Q93" s="7">
        <v>1</v>
      </c>
      <c r="R93" t="s">
        <v>9</v>
      </c>
      <c r="T93">
        <v>1</v>
      </c>
    </row>
    <row r="94" spans="1:21" ht="14.4" customHeight="1" x14ac:dyDescent="0.3">
      <c r="A94" t="s">
        <v>184</v>
      </c>
      <c r="B94" t="s">
        <v>1334</v>
      </c>
      <c r="C94" t="s">
        <v>1245</v>
      </c>
      <c r="D94">
        <v>40</v>
      </c>
      <c r="E94">
        <v>11</v>
      </c>
      <c r="F94" s="6">
        <v>1</v>
      </c>
      <c r="G94" s="91">
        <f>Barrage[[#This Row],[Coefficient]]*Barrage[[#This Row],[Total Rounds]]*Barrage[[#This Row],[Base Damage]]</f>
        <v>440</v>
      </c>
      <c r="H94" t="s">
        <v>161</v>
      </c>
      <c r="I94" s="6">
        <v>1</v>
      </c>
      <c r="J94" s="6">
        <v>0.8</v>
      </c>
      <c r="K94" s="6">
        <v>0.6</v>
      </c>
      <c r="L94" s="92"/>
      <c r="M94" s="93"/>
      <c r="N94" s="93"/>
      <c r="O94" s="93"/>
      <c r="P94" s="93"/>
      <c r="Q94" s="7"/>
      <c r="R94" t="s">
        <v>9</v>
      </c>
      <c r="T94">
        <v>1</v>
      </c>
    </row>
    <row r="95" spans="1:21" ht="14.4" customHeight="1" x14ac:dyDescent="0.3">
      <c r="A95" t="s">
        <v>184</v>
      </c>
      <c r="B95" t="s">
        <v>1097</v>
      </c>
      <c r="C95" t="s">
        <v>534</v>
      </c>
      <c r="D95">
        <v>40</v>
      </c>
      <c r="E95">
        <v>6</v>
      </c>
      <c r="F95" s="6">
        <v>1</v>
      </c>
      <c r="G95" s="91">
        <f>Barrage[[#This Row],[Coefficient]]*Barrage[[#This Row],[Total Rounds]]*Barrage[[#This Row],[Base Damage]]</f>
        <v>240</v>
      </c>
      <c r="H95" s="95" t="s">
        <v>169</v>
      </c>
      <c r="I95" s="6">
        <v>1</v>
      </c>
      <c r="J95" s="6">
        <v>0.8</v>
      </c>
      <c r="K95" s="6">
        <v>0.6</v>
      </c>
      <c r="L95" s="92">
        <v>0.3</v>
      </c>
      <c r="M95" s="93">
        <v>1</v>
      </c>
      <c r="N95" s="93"/>
      <c r="O95" s="93"/>
      <c r="P95" s="93"/>
      <c r="Q95" s="7"/>
      <c r="R95" t="s">
        <v>9</v>
      </c>
      <c r="T95">
        <v>1</v>
      </c>
      <c r="U95" t="s">
        <v>1211</v>
      </c>
    </row>
    <row r="96" spans="1:21" ht="14.4" customHeight="1" x14ac:dyDescent="0.3">
      <c r="A96" t="s">
        <v>184</v>
      </c>
      <c r="B96" t="s">
        <v>1100</v>
      </c>
      <c r="C96" t="s">
        <v>1246</v>
      </c>
      <c r="D96">
        <v>38</v>
      </c>
      <c r="E96">
        <v>6</v>
      </c>
      <c r="F96" s="6">
        <v>1</v>
      </c>
      <c r="G96" s="91">
        <f>Barrage[[#This Row],[Coefficient]]*Barrage[[#This Row],[Total Rounds]]*Barrage[[#This Row],[Base Damage]]</f>
        <v>228</v>
      </c>
      <c r="H96" t="s">
        <v>161</v>
      </c>
      <c r="I96" s="6">
        <v>1</v>
      </c>
      <c r="J96" s="6">
        <v>0.8</v>
      </c>
      <c r="K96" s="6">
        <v>0.6</v>
      </c>
      <c r="L96" s="92"/>
      <c r="M96" s="93"/>
      <c r="N96" s="93"/>
      <c r="O96" s="93"/>
      <c r="P96" s="93"/>
      <c r="Q96" s="7"/>
      <c r="R96" t="s">
        <v>9</v>
      </c>
      <c r="T96">
        <v>1</v>
      </c>
    </row>
    <row r="97" spans="1:21" ht="14.4" customHeight="1" x14ac:dyDescent="0.3">
      <c r="A97" t="s">
        <v>184</v>
      </c>
      <c r="B97" t="s">
        <v>1098</v>
      </c>
      <c r="C97" t="s">
        <v>1247</v>
      </c>
      <c r="D97">
        <v>38</v>
      </c>
      <c r="E97">
        <v>5</v>
      </c>
      <c r="F97" s="6">
        <v>1</v>
      </c>
      <c r="G97" s="91">
        <f>Barrage[[#This Row],[Coefficient]]*Barrage[[#This Row],[Total Rounds]]*Barrage[[#This Row],[Base Damage]]</f>
        <v>190</v>
      </c>
      <c r="H97" s="95" t="s">
        <v>169</v>
      </c>
      <c r="I97" s="6">
        <v>1</v>
      </c>
      <c r="J97" s="6">
        <v>0.8</v>
      </c>
      <c r="K97" s="6">
        <v>0.6</v>
      </c>
      <c r="L97" s="92">
        <v>0.3</v>
      </c>
      <c r="M97" s="93">
        <v>1</v>
      </c>
      <c r="N97" s="93"/>
      <c r="O97" s="93"/>
      <c r="P97" s="93"/>
      <c r="Q97" s="7"/>
      <c r="R97" t="s">
        <v>9</v>
      </c>
      <c r="T97">
        <v>1</v>
      </c>
    </row>
    <row r="98" spans="1:21" ht="14.4" customHeight="1" x14ac:dyDescent="0.3">
      <c r="A98" t="s">
        <v>184</v>
      </c>
      <c r="B98" t="s">
        <v>1099</v>
      </c>
      <c r="C98" t="s">
        <v>1248</v>
      </c>
      <c r="D98">
        <v>38</v>
      </c>
      <c r="E98">
        <v>6</v>
      </c>
      <c r="F98" s="6">
        <v>1</v>
      </c>
      <c r="G98" s="91">
        <f>Barrage[[#This Row],[Coefficient]]*Barrage[[#This Row],[Total Rounds]]*Barrage[[#This Row],[Base Damage]]</f>
        <v>228</v>
      </c>
      <c r="H98" t="s">
        <v>161</v>
      </c>
      <c r="I98" s="6">
        <v>1</v>
      </c>
      <c r="J98" s="6">
        <v>0.8</v>
      </c>
      <c r="K98" s="6">
        <v>0.6</v>
      </c>
      <c r="L98" s="92"/>
      <c r="M98" s="93"/>
      <c r="N98" s="93"/>
      <c r="O98" s="93"/>
      <c r="P98" s="93"/>
      <c r="Q98" s="7"/>
      <c r="R98" t="s">
        <v>9</v>
      </c>
      <c r="T98">
        <v>1</v>
      </c>
    </row>
    <row r="99" spans="1:21" ht="14.4" customHeight="1" x14ac:dyDescent="0.3">
      <c r="A99" t="s">
        <v>184</v>
      </c>
      <c r="B99" t="s">
        <v>1104</v>
      </c>
      <c r="C99" t="s">
        <v>1249</v>
      </c>
      <c r="D99">
        <v>38</v>
      </c>
      <c r="E99">
        <v>6</v>
      </c>
      <c r="F99" s="6">
        <v>1</v>
      </c>
      <c r="G99" s="91">
        <f>Barrage[[#This Row],[Coefficient]]*Barrage[[#This Row],[Total Rounds]]*Barrage[[#This Row],[Base Damage]]</f>
        <v>228</v>
      </c>
      <c r="H99" s="95" t="s">
        <v>169</v>
      </c>
      <c r="I99" s="6">
        <v>1</v>
      </c>
      <c r="J99" s="6">
        <v>0.8</v>
      </c>
      <c r="K99" s="6">
        <v>0.6</v>
      </c>
      <c r="L99" s="92">
        <v>0.3</v>
      </c>
      <c r="M99" s="93">
        <v>1</v>
      </c>
      <c r="N99" s="93"/>
      <c r="O99" s="93"/>
      <c r="P99" s="93"/>
      <c r="Q99" s="7"/>
      <c r="R99" t="s">
        <v>9</v>
      </c>
      <c r="T99">
        <v>1</v>
      </c>
    </row>
    <row r="100" spans="1:21" ht="14.4" customHeight="1" x14ac:dyDescent="0.3">
      <c r="A100" t="s">
        <v>184</v>
      </c>
      <c r="B100" t="s">
        <v>1105</v>
      </c>
      <c r="C100" t="s">
        <v>1250</v>
      </c>
      <c r="D100">
        <v>45</v>
      </c>
      <c r="E100">
        <v>12</v>
      </c>
      <c r="F100" s="6">
        <v>1</v>
      </c>
      <c r="G100" s="91">
        <f>Barrage[[#This Row],[Coefficient]]*Barrage[[#This Row],[Total Rounds]]*Barrage[[#This Row],[Base Damage]]</f>
        <v>540</v>
      </c>
      <c r="H100" t="s">
        <v>161</v>
      </c>
      <c r="I100" s="6">
        <v>1</v>
      </c>
      <c r="J100" s="6">
        <v>1</v>
      </c>
      <c r="K100" s="6">
        <v>1</v>
      </c>
      <c r="L100" s="92"/>
      <c r="M100" s="93"/>
      <c r="N100" s="93"/>
      <c r="O100" s="93"/>
      <c r="P100" s="93"/>
      <c r="Q100" s="7"/>
      <c r="R100" t="s">
        <v>9</v>
      </c>
      <c r="T100">
        <v>1</v>
      </c>
    </row>
    <row r="101" spans="1:21" ht="14.4" customHeight="1" x14ac:dyDescent="0.3">
      <c r="A101" t="s">
        <v>184</v>
      </c>
      <c r="B101" t="s">
        <v>1108</v>
      </c>
      <c r="C101" t="s">
        <v>702</v>
      </c>
      <c r="D101">
        <v>26</v>
      </c>
      <c r="E101">
        <v>15</v>
      </c>
      <c r="F101" s="6">
        <v>1</v>
      </c>
      <c r="G101" s="91">
        <f>Barrage[[#This Row],[Coefficient]]*Barrage[[#This Row],[Total Rounds]]*Barrage[[#This Row],[Base Damage]]</f>
        <v>390</v>
      </c>
      <c r="H101" s="95" t="s">
        <v>169</v>
      </c>
      <c r="I101" s="6">
        <v>1.25</v>
      </c>
      <c r="J101" s="6">
        <v>0.85</v>
      </c>
      <c r="K101" s="6">
        <v>0.65</v>
      </c>
      <c r="L101" s="92">
        <v>0.08</v>
      </c>
      <c r="M101" s="93">
        <v>3</v>
      </c>
      <c r="N101" s="93"/>
      <c r="O101" s="93"/>
      <c r="P101" s="93"/>
      <c r="Q101" s="7"/>
      <c r="R101" t="s">
        <v>9</v>
      </c>
      <c r="T101">
        <v>1</v>
      </c>
      <c r="U101" t="s">
        <v>1251</v>
      </c>
    </row>
    <row r="102" spans="1:21" ht="14.4" customHeight="1" x14ac:dyDescent="0.3">
      <c r="A102" t="s">
        <v>184</v>
      </c>
      <c r="B102" t="s">
        <v>1110</v>
      </c>
      <c r="C102" t="s">
        <v>636</v>
      </c>
      <c r="D102">
        <v>30</v>
      </c>
      <c r="E102">
        <v>16</v>
      </c>
      <c r="F102" s="6">
        <v>1.1000000000000001</v>
      </c>
      <c r="G102" s="91">
        <f>Barrage[[#This Row],[Coefficient]]*Barrage[[#This Row],[Total Rounds]]*Barrage[[#This Row],[Base Damage]]</f>
        <v>528</v>
      </c>
      <c r="H102" s="95" t="s">
        <v>169</v>
      </c>
      <c r="I102" s="6">
        <v>1.35</v>
      </c>
      <c r="J102" s="6">
        <v>0.95</v>
      </c>
      <c r="K102" s="6">
        <v>0.7</v>
      </c>
      <c r="L102" s="92">
        <v>0.08</v>
      </c>
      <c r="M102" s="93">
        <v>3</v>
      </c>
      <c r="N102" s="93"/>
      <c r="O102" s="93"/>
      <c r="P102" s="93"/>
      <c r="Q102" s="7"/>
      <c r="R102" t="s">
        <v>9</v>
      </c>
      <c r="T102">
        <v>1</v>
      </c>
      <c r="U102" t="s">
        <v>1211</v>
      </c>
    </row>
    <row r="103" spans="1:21" ht="14.4" customHeight="1" x14ac:dyDescent="0.3">
      <c r="A103" t="s">
        <v>184</v>
      </c>
      <c r="B103" t="s">
        <v>1109</v>
      </c>
      <c r="C103" t="s">
        <v>633</v>
      </c>
      <c r="D103">
        <v>38</v>
      </c>
      <c r="E103">
        <v>12</v>
      </c>
      <c r="F103" s="6">
        <v>1.1000000000000001</v>
      </c>
      <c r="G103" s="91">
        <f>Barrage[[#This Row],[Coefficient]]*Barrage[[#This Row],[Total Rounds]]*Barrage[[#This Row],[Base Damage]]</f>
        <v>501.6</v>
      </c>
      <c r="H103" s="95" t="s">
        <v>169</v>
      </c>
      <c r="I103" s="6">
        <v>1.1499999999999999</v>
      </c>
      <c r="J103" s="6">
        <v>0.8</v>
      </c>
      <c r="K103" s="6">
        <v>0.6</v>
      </c>
      <c r="L103" s="92">
        <v>0.08</v>
      </c>
      <c r="M103" s="93">
        <v>3</v>
      </c>
      <c r="N103" s="93"/>
      <c r="O103" s="93"/>
      <c r="P103" s="93"/>
      <c r="Q103" s="7"/>
      <c r="R103" t="s">
        <v>9</v>
      </c>
      <c r="T103">
        <v>1</v>
      </c>
    </row>
    <row r="104" spans="1:21" ht="14.4" customHeight="1" x14ac:dyDescent="0.3">
      <c r="A104" t="s">
        <v>184</v>
      </c>
      <c r="B104" t="s">
        <v>1335</v>
      </c>
      <c r="C104" t="s">
        <v>635</v>
      </c>
      <c r="D104">
        <v>30</v>
      </c>
      <c r="E104">
        <v>16</v>
      </c>
      <c r="F104" s="6">
        <v>1.1000000000000001</v>
      </c>
      <c r="G104" s="91">
        <f>Barrage[[#This Row],[Coefficient]]*Barrage[[#This Row],[Total Rounds]]*Barrage[[#This Row],[Base Damage]]</f>
        <v>528</v>
      </c>
      <c r="H104" s="94" t="s">
        <v>167</v>
      </c>
      <c r="I104" s="6">
        <v>0.75</v>
      </c>
      <c r="J104" s="6">
        <v>1.1000000000000001</v>
      </c>
      <c r="K104" s="6">
        <v>0.75</v>
      </c>
      <c r="L104" s="92"/>
      <c r="M104" s="93"/>
      <c r="N104" s="93"/>
      <c r="O104" s="93"/>
      <c r="P104" s="93"/>
      <c r="Q104" s="7"/>
      <c r="R104" t="s">
        <v>9</v>
      </c>
      <c r="T104">
        <v>1</v>
      </c>
      <c r="U104" t="s">
        <v>1211</v>
      </c>
    </row>
    <row r="105" spans="1:21" ht="14.4" customHeight="1" x14ac:dyDescent="0.3">
      <c r="A105" t="s">
        <v>184</v>
      </c>
      <c r="B105" t="s">
        <v>1336</v>
      </c>
      <c r="C105" t="s">
        <v>635</v>
      </c>
      <c r="D105">
        <v>30</v>
      </c>
      <c r="E105">
        <v>16</v>
      </c>
      <c r="F105" s="6">
        <v>1.1000000000000001</v>
      </c>
      <c r="G105" s="91">
        <f>Barrage[[#This Row],[Coefficient]]*Barrage[[#This Row],[Total Rounds]]*Barrage[[#This Row],[Base Damage]]</f>
        <v>528</v>
      </c>
      <c r="H105" s="95" t="s">
        <v>169</v>
      </c>
      <c r="I105" s="6">
        <v>1.35</v>
      </c>
      <c r="J105" s="6">
        <v>0.95</v>
      </c>
      <c r="K105" s="6">
        <v>0.7</v>
      </c>
      <c r="L105" s="92">
        <v>0.08</v>
      </c>
      <c r="M105" s="93">
        <v>3</v>
      </c>
      <c r="N105" s="93"/>
      <c r="O105" s="93"/>
      <c r="P105" s="93"/>
      <c r="Q105" s="7"/>
      <c r="R105" t="s">
        <v>9</v>
      </c>
      <c r="T105">
        <v>1</v>
      </c>
      <c r="U105" t="s">
        <v>1211</v>
      </c>
    </row>
    <row r="106" spans="1:21" ht="14.4" customHeight="1" x14ac:dyDescent="0.3">
      <c r="A106" t="s">
        <v>184</v>
      </c>
      <c r="B106" t="s">
        <v>1096</v>
      </c>
      <c r="C106" t="s">
        <v>1252</v>
      </c>
      <c r="D106">
        <v>40</v>
      </c>
      <c r="E106">
        <v>6</v>
      </c>
      <c r="F106" s="6">
        <v>1</v>
      </c>
      <c r="G106" s="91">
        <f>Barrage[[#This Row],[Coefficient]]*Barrage[[#This Row],[Total Rounds]]*Barrage[[#This Row],[Base Damage]]</f>
        <v>240</v>
      </c>
      <c r="H106" s="95" t="s">
        <v>169</v>
      </c>
      <c r="I106" s="6">
        <v>1</v>
      </c>
      <c r="J106" s="6">
        <v>0.8</v>
      </c>
      <c r="K106" s="6">
        <v>0.6</v>
      </c>
      <c r="L106" s="92">
        <v>0.3</v>
      </c>
      <c r="M106" s="93">
        <v>1</v>
      </c>
      <c r="N106" s="93"/>
      <c r="O106" s="93"/>
      <c r="P106" s="93"/>
      <c r="Q106" s="7"/>
      <c r="R106" t="s">
        <v>9</v>
      </c>
      <c r="T106">
        <v>1</v>
      </c>
      <c r="U106" t="s">
        <v>1211</v>
      </c>
    </row>
    <row r="107" spans="1:21" ht="14.4" customHeight="1" x14ac:dyDescent="0.3">
      <c r="A107" t="s">
        <v>184</v>
      </c>
      <c r="B107" t="s">
        <v>1107</v>
      </c>
      <c r="C107" t="s">
        <v>873</v>
      </c>
      <c r="D107">
        <v>30</v>
      </c>
      <c r="E107">
        <v>15</v>
      </c>
      <c r="F107" s="6">
        <v>1</v>
      </c>
      <c r="G107" s="91">
        <f>Barrage[[#This Row],[Coefficient]]*Barrage[[#This Row],[Total Rounds]]*Barrage[[#This Row],[Base Damage]]</f>
        <v>450</v>
      </c>
      <c r="H107" s="95" t="s">
        <v>169</v>
      </c>
      <c r="I107" s="6">
        <v>1.25</v>
      </c>
      <c r="J107" s="6">
        <v>0.85</v>
      </c>
      <c r="K107" s="6">
        <v>0.65</v>
      </c>
      <c r="L107" s="92"/>
      <c r="M107" s="93"/>
      <c r="N107" s="93"/>
      <c r="O107" s="93"/>
      <c r="P107" s="93"/>
      <c r="Q107" s="7"/>
      <c r="R107" t="s">
        <v>9</v>
      </c>
      <c r="T107">
        <v>1</v>
      </c>
    </row>
    <row r="108" spans="1:21" ht="14.4" customHeight="1" x14ac:dyDescent="0.3">
      <c r="A108" t="s">
        <v>184</v>
      </c>
      <c r="B108" t="s">
        <v>1337</v>
      </c>
      <c r="C108" t="s">
        <v>873</v>
      </c>
      <c r="D108">
        <v>35</v>
      </c>
      <c r="E108">
        <v>15</v>
      </c>
      <c r="F108" s="6">
        <v>1</v>
      </c>
      <c r="G108" s="91">
        <f>Barrage[[#This Row],[Coefficient]]*Barrage[[#This Row],[Total Rounds]]*Barrage[[#This Row],[Base Damage]]</f>
        <v>525</v>
      </c>
      <c r="H108" s="95" t="s">
        <v>169</v>
      </c>
      <c r="I108" s="6">
        <v>1.25</v>
      </c>
      <c r="J108" s="6">
        <v>1</v>
      </c>
      <c r="K108" s="6">
        <v>0.8</v>
      </c>
      <c r="L108" s="92"/>
      <c r="M108" s="93"/>
      <c r="N108" s="93"/>
      <c r="O108" s="93"/>
      <c r="P108" s="93"/>
      <c r="Q108" s="7"/>
      <c r="R108" t="s">
        <v>9</v>
      </c>
      <c r="T108">
        <v>1</v>
      </c>
    </row>
    <row r="109" spans="1:21" ht="14.4" customHeight="1" x14ac:dyDescent="0.3">
      <c r="A109" t="s">
        <v>184</v>
      </c>
      <c r="B109" t="s">
        <v>1338</v>
      </c>
      <c r="C109" t="s">
        <v>873</v>
      </c>
      <c r="D109">
        <v>30</v>
      </c>
      <c r="E109">
        <v>8</v>
      </c>
      <c r="F109" s="6">
        <v>1</v>
      </c>
      <c r="G109" s="91">
        <f>Barrage[[#This Row],[Coefficient]]*Barrage[[#This Row],[Total Rounds]]*Barrage[[#This Row],[Base Damage]]</f>
        <v>240</v>
      </c>
      <c r="H109" s="94" t="s">
        <v>167</v>
      </c>
      <c r="I109" s="6">
        <v>0.75</v>
      </c>
      <c r="J109" s="6">
        <v>1.1000000000000001</v>
      </c>
      <c r="K109" s="6">
        <v>0.75</v>
      </c>
      <c r="L109" s="92"/>
      <c r="M109" s="93"/>
      <c r="N109" s="93"/>
      <c r="O109" s="93"/>
      <c r="P109" s="93"/>
      <c r="Q109" s="7"/>
      <c r="R109" t="s">
        <v>9</v>
      </c>
      <c r="T109">
        <v>1</v>
      </c>
      <c r="U109" t="s">
        <v>1253</v>
      </c>
    </row>
    <row r="110" spans="1:21" ht="14.4" customHeight="1" x14ac:dyDescent="0.3">
      <c r="A110" t="s">
        <v>188</v>
      </c>
      <c r="B110" t="s">
        <v>1400</v>
      </c>
      <c r="C110" t="s">
        <v>1399</v>
      </c>
      <c r="D110">
        <v>60</v>
      </c>
      <c r="E110">
        <v>6</v>
      </c>
      <c r="F110" s="6">
        <v>1</v>
      </c>
      <c r="G110" s="91">
        <f>Barrage[[#This Row],[Coefficient]]*Barrage[[#This Row],[Total Rounds]]*Barrage[[#This Row],[Base Damage]]</f>
        <v>360</v>
      </c>
      <c r="H110" t="s">
        <v>79</v>
      </c>
      <c r="I110" s="6">
        <v>0.8</v>
      </c>
      <c r="J110" s="6">
        <v>1</v>
      </c>
      <c r="K110" s="6">
        <v>1.3</v>
      </c>
      <c r="L110" s="92"/>
      <c r="M110" s="103"/>
      <c r="N110" s="103"/>
      <c r="O110" s="103"/>
      <c r="P110" s="103"/>
      <c r="Q110" s="7"/>
      <c r="R110" t="s">
        <v>11</v>
      </c>
      <c r="T110">
        <v>1</v>
      </c>
    </row>
    <row r="111" spans="1:21" ht="14.4" customHeight="1" x14ac:dyDescent="0.3">
      <c r="A111" t="s">
        <v>188</v>
      </c>
      <c r="B111" t="s">
        <v>1254</v>
      </c>
      <c r="C111" t="s">
        <v>665</v>
      </c>
      <c r="D111">
        <v>60</v>
      </c>
      <c r="E111">
        <v>9</v>
      </c>
      <c r="F111" s="6">
        <v>1</v>
      </c>
      <c r="G111" s="91">
        <f>Barrage[[#This Row],[Coefficient]]*Barrage[[#This Row],[Total Rounds]]*Barrage[[#This Row],[Base Damage]]</f>
        <v>540</v>
      </c>
      <c r="H111" t="s">
        <v>79</v>
      </c>
      <c r="I111" s="6">
        <v>0.8</v>
      </c>
      <c r="J111" s="6">
        <v>1</v>
      </c>
      <c r="K111" s="6">
        <v>1.3</v>
      </c>
      <c r="L111" s="92"/>
      <c r="M111" s="103"/>
      <c r="N111" s="103"/>
      <c r="O111" s="103"/>
      <c r="P111" s="103"/>
      <c r="Q111" s="7"/>
      <c r="R111" t="s">
        <v>11</v>
      </c>
      <c r="T111">
        <v>1</v>
      </c>
    </row>
    <row r="112" spans="1:21" ht="14.4" customHeight="1" x14ac:dyDescent="0.3">
      <c r="A112" t="s">
        <v>188</v>
      </c>
      <c r="B112" t="s">
        <v>1255</v>
      </c>
      <c r="C112" t="s">
        <v>326</v>
      </c>
      <c r="D112">
        <v>60</v>
      </c>
      <c r="E112">
        <v>9</v>
      </c>
      <c r="F112" s="6">
        <v>1</v>
      </c>
      <c r="G112" s="91">
        <f>Barrage[[#This Row],[Coefficient]]*Barrage[[#This Row],[Total Rounds]]*Barrage[[#This Row],[Base Damage]]</f>
        <v>540</v>
      </c>
      <c r="H112" t="s">
        <v>79</v>
      </c>
      <c r="I112" s="6">
        <v>0.8</v>
      </c>
      <c r="J112" s="6">
        <v>1</v>
      </c>
      <c r="K112" s="6">
        <v>1.3</v>
      </c>
      <c r="L112" s="92"/>
      <c r="M112" s="103"/>
      <c r="N112" s="103"/>
      <c r="O112" s="103"/>
      <c r="P112" s="103"/>
      <c r="Q112" s="7"/>
      <c r="R112" t="s">
        <v>11</v>
      </c>
      <c r="T112">
        <v>1</v>
      </c>
    </row>
    <row r="113" spans="1:21" ht="14.4" customHeight="1" x14ac:dyDescent="0.3">
      <c r="A113" t="s">
        <v>188</v>
      </c>
      <c r="B113" t="s">
        <v>1256</v>
      </c>
      <c r="C113" t="s">
        <v>661</v>
      </c>
      <c r="D113">
        <v>60</v>
      </c>
      <c r="E113">
        <v>6</v>
      </c>
      <c r="F113" s="6">
        <v>1</v>
      </c>
      <c r="G113" s="91">
        <f>Barrage[[#This Row],[Coefficient]]*Barrage[[#This Row],[Total Rounds]]*Barrage[[#This Row],[Base Damage]]</f>
        <v>360</v>
      </c>
      <c r="H113" t="s">
        <v>79</v>
      </c>
      <c r="I113" s="6">
        <v>0.8</v>
      </c>
      <c r="J113" s="6">
        <v>1</v>
      </c>
      <c r="K113" s="6">
        <v>1.3</v>
      </c>
      <c r="L113" s="92"/>
      <c r="M113" s="103"/>
      <c r="N113" s="103"/>
      <c r="O113" s="103"/>
      <c r="P113" s="103"/>
      <c r="Q113" s="7"/>
      <c r="R113" t="s">
        <v>11</v>
      </c>
      <c r="T113">
        <v>1</v>
      </c>
    </row>
    <row r="114" spans="1:21" ht="14.4" customHeight="1" x14ac:dyDescent="0.3">
      <c r="A114" t="s">
        <v>188</v>
      </c>
      <c r="B114" t="s">
        <v>1257</v>
      </c>
      <c r="C114" t="s">
        <v>994</v>
      </c>
      <c r="D114">
        <v>55</v>
      </c>
      <c r="E114">
        <v>6</v>
      </c>
      <c r="F114" s="6">
        <v>1</v>
      </c>
      <c r="G114" s="91">
        <f>Barrage[[#This Row],[Coefficient]]*Barrage[[#This Row],[Total Rounds]]*Barrage[[#This Row],[Base Damage]]</f>
        <v>330</v>
      </c>
      <c r="H114" t="s">
        <v>79</v>
      </c>
      <c r="I114" s="6">
        <v>0.8</v>
      </c>
      <c r="J114" s="6">
        <v>1</v>
      </c>
      <c r="K114" s="6">
        <v>1.3</v>
      </c>
      <c r="L114" s="92"/>
      <c r="M114" s="103"/>
      <c r="N114" s="103"/>
      <c r="O114" s="103"/>
      <c r="P114" s="103"/>
      <c r="Q114" s="7"/>
      <c r="R114" t="s">
        <v>11</v>
      </c>
      <c r="T114">
        <v>1</v>
      </c>
    </row>
    <row r="115" spans="1:21" ht="14.4" customHeight="1" x14ac:dyDescent="0.3">
      <c r="A115" t="s">
        <v>188</v>
      </c>
      <c r="B115" t="s">
        <v>1258</v>
      </c>
      <c r="C115" t="s">
        <v>1259</v>
      </c>
      <c r="D115">
        <v>60</v>
      </c>
      <c r="E115">
        <v>6</v>
      </c>
      <c r="F115" s="6">
        <v>1</v>
      </c>
      <c r="G115" s="91">
        <f>Barrage[[#This Row],[Coefficient]]*Barrage[[#This Row],[Total Rounds]]*Barrage[[#This Row],[Base Damage]]</f>
        <v>360</v>
      </c>
      <c r="H115" t="s">
        <v>79</v>
      </c>
      <c r="I115" s="6">
        <v>0.8</v>
      </c>
      <c r="J115" s="6">
        <v>1</v>
      </c>
      <c r="K115" s="6">
        <v>1.3</v>
      </c>
      <c r="L115" s="92"/>
      <c r="M115" s="103"/>
      <c r="N115" s="103"/>
      <c r="O115" s="103"/>
      <c r="P115" s="103"/>
      <c r="Q115" s="7"/>
      <c r="R115" t="s">
        <v>11</v>
      </c>
      <c r="T115">
        <v>1</v>
      </c>
    </row>
    <row r="116" spans="1:21" ht="14.4" customHeight="1" x14ac:dyDescent="0.3">
      <c r="A116" t="s">
        <v>188</v>
      </c>
      <c r="B116" t="s">
        <v>1401</v>
      </c>
      <c r="C116" t="s">
        <v>327</v>
      </c>
      <c r="D116">
        <v>60</v>
      </c>
      <c r="E116">
        <v>9</v>
      </c>
      <c r="F116" s="6">
        <v>1</v>
      </c>
      <c r="G116" s="91">
        <f>Barrage[[#This Row],[Coefficient]]*Barrage[[#This Row],[Total Rounds]]*Barrage[[#This Row],[Base Damage]]</f>
        <v>540</v>
      </c>
      <c r="H116" t="s">
        <v>79</v>
      </c>
      <c r="I116" s="6">
        <v>0.8</v>
      </c>
      <c r="J116" s="6">
        <v>1</v>
      </c>
      <c r="K116" s="6">
        <v>1.3</v>
      </c>
      <c r="L116" s="92"/>
      <c r="M116" s="103"/>
      <c r="N116" s="103"/>
      <c r="O116" s="103"/>
      <c r="P116" s="103"/>
      <c r="Q116" s="7"/>
      <c r="R116" t="s">
        <v>11</v>
      </c>
      <c r="T116">
        <v>1</v>
      </c>
    </row>
    <row r="117" spans="1:21" ht="14.4" customHeight="1" x14ac:dyDescent="0.3">
      <c r="A117" t="s">
        <v>188</v>
      </c>
      <c r="B117" t="s">
        <v>1260</v>
      </c>
      <c r="C117" t="s">
        <v>664</v>
      </c>
      <c r="D117">
        <v>150</v>
      </c>
      <c r="E117">
        <v>4</v>
      </c>
      <c r="F117" s="6">
        <v>1</v>
      </c>
      <c r="G117" s="91">
        <f>Barrage[[#This Row],[Coefficient]]*Barrage[[#This Row],[Total Rounds]]*Barrage[[#This Row],[Base Damage]]</f>
        <v>600</v>
      </c>
      <c r="H117" s="95" t="s">
        <v>169</v>
      </c>
      <c r="I117" s="6">
        <v>1.25</v>
      </c>
      <c r="J117" s="6">
        <v>0.85</v>
      </c>
      <c r="K117" s="6">
        <v>0.65</v>
      </c>
      <c r="L117" s="92">
        <v>0.08</v>
      </c>
      <c r="M117" s="103">
        <v>3</v>
      </c>
      <c r="N117" s="103"/>
      <c r="O117" s="103"/>
      <c r="P117" s="103"/>
      <c r="Q117" s="7"/>
      <c r="R117" t="s">
        <v>9</v>
      </c>
      <c r="T117">
        <v>1</v>
      </c>
    </row>
    <row r="118" spans="1:21" ht="14.4" customHeight="1" x14ac:dyDescent="0.3">
      <c r="A118" t="s">
        <v>188</v>
      </c>
      <c r="B118" t="s">
        <v>1423</v>
      </c>
      <c r="C118" t="s">
        <v>1422</v>
      </c>
      <c r="D118">
        <v>48</v>
      </c>
      <c r="E118">
        <v>12</v>
      </c>
      <c r="F118" s="6">
        <v>1</v>
      </c>
      <c r="G118" s="91">
        <f>Barrage[[#This Row],[Coefficient]]*Barrage[[#This Row],[Total Rounds]]*Barrage[[#This Row],[Base Damage]]</f>
        <v>576</v>
      </c>
      <c r="H118" t="s">
        <v>79</v>
      </c>
      <c r="I118" s="6">
        <v>0.8</v>
      </c>
      <c r="J118" s="6">
        <v>1</v>
      </c>
      <c r="K118" s="6">
        <v>1.3</v>
      </c>
      <c r="L118" s="92"/>
      <c r="M118" s="103"/>
      <c r="N118" s="103"/>
      <c r="O118" s="103"/>
      <c r="P118" s="103"/>
      <c r="Q118" s="7"/>
      <c r="R118" t="s">
        <v>11</v>
      </c>
      <c r="T118">
        <v>1</v>
      </c>
    </row>
    <row r="119" spans="1:21" ht="14.4" customHeight="1" x14ac:dyDescent="0.3">
      <c r="A119" t="s">
        <v>188</v>
      </c>
      <c r="B119" t="s">
        <v>1261</v>
      </c>
      <c r="C119" t="s">
        <v>872</v>
      </c>
      <c r="D119">
        <v>55</v>
      </c>
      <c r="E119">
        <v>9</v>
      </c>
      <c r="F119" s="6">
        <v>1</v>
      </c>
      <c r="G119" s="91">
        <f>Barrage[[#This Row],[Coefficient]]*Barrage[[#This Row],[Total Rounds]]*Barrage[[#This Row],[Base Damage]]</f>
        <v>495</v>
      </c>
      <c r="H119" t="s">
        <v>79</v>
      </c>
      <c r="I119" s="6">
        <v>0.8</v>
      </c>
      <c r="J119" s="6">
        <v>1</v>
      </c>
      <c r="K119" s="6">
        <v>1.3</v>
      </c>
      <c r="L119" s="92"/>
      <c r="M119" s="103"/>
      <c r="N119" s="103"/>
      <c r="O119" s="103"/>
      <c r="P119" s="103"/>
      <c r="Q119" s="7"/>
      <c r="R119" t="s">
        <v>11</v>
      </c>
      <c r="T119">
        <v>1</v>
      </c>
    </row>
    <row r="120" spans="1:21" x14ac:dyDescent="0.3">
      <c r="A120" t="s">
        <v>157</v>
      </c>
      <c r="B120" t="s">
        <v>1339</v>
      </c>
      <c r="C120" t="s">
        <v>721</v>
      </c>
      <c r="D120">
        <v>20</v>
      </c>
      <c r="E120">
        <v>30</v>
      </c>
      <c r="F120" s="6">
        <v>1</v>
      </c>
      <c r="G120" s="91">
        <f>Barrage[[#This Row],[Coefficient]]*Barrage[[#This Row],[Total Rounds]]*Barrage[[#This Row],[Base Damage]]</f>
        <v>600</v>
      </c>
      <c r="H120" s="95" t="s">
        <v>169</v>
      </c>
      <c r="I120" s="6">
        <v>1.2</v>
      </c>
      <c r="J120" s="6">
        <v>0.6</v>
      </c>
      <c r="K120" s="6">
        <v>0.6</v>
      </c>
      <c r="L120" s="106">
        <v>0.01</v>
      </c>
      <c r="M120" s="108">
        <v>1</v>
      </c>
      <c r="N120" s="108"/>
      <c r="O120" s="108"/>
      <c r="P120" s="108"/>
      <c r="Q120" s="7"/>
      <c r="R120" t="s">
        <v>9</v>
      </c>
      <c r="T120">
        <v>1</v>
      </c>
    </row>
    <row r="121" spans="1:21" x14ac:dyDescent="0.3">
      <c r="A121" t="s">
        <v>157</v>
      </c>
      <c r="B121" t="s">
        <v>1340</v>
      </c>
      <c r="C121" t="s">
        <v>721</v>
      </c>
      <c r="D121">
        <v>156</v>
      </c>
      <c r="E121">
        <v>6</v>
      </c>
      <c r="F121" s="6">
        <v>1</v>
      </c>
      <c r="G121" s="91">
        <f>Barrage[[#This Row],[Coefficient]]*Barrage[[#This Row],[Total Rounds]]*Barrage[[#This Row],[Base Damage]]</f>
        <v>936</v>
      </c>
      <c r="H121" s="9" t="s">
        <v>79</v>
      </c>
      <c r="I121" s="6">
        <v>0.8</v>
      </c>
      <c r="J121" s="6">
        <v>1</v>
      </c>
      <c r="K121" s="6">
        <v>1.3</v>
      </c>
      <c r="L121" s="106"/>
      <c r="M121" s="108"/>
      <c r="N121" s="108"/>
      <c r="O121" s="108"/>
      <c r="P121" s="108"/>
      <c r="Q121" s="7"/>
      <c r="R121" t="s">
        <v>11</v>
      </c>
      <c r="T121">
        <v>1</v>
      </c>
    </row>
    <row r="122" spans="1:21" x14ac:dyDescent="0.3">
      <c r="A122" s="27" t="s">
        <v>157</v>
      </c>
      <c r="B122" t="s">
        <v>1341</v>
      </c>
      <c r="C122" s="87" t="s">
        <v>720</v>
      </c>
      <c r="D122">
        <v>24</v>
      </c>
      <c r="E122">
        <v>30</v>
      </c>
      <c r="F122" s="6">
        <v>1</v>
      </c>
      <c r="G122" s="91">
        <f>Barrage[[#This Row],[Coefficient]]*Barrage[[#This Row],[Total Rounds]]*Barrage[[#This Row],[Base Damage]]</f>
        <v>720</v>
      </c>
      <c r="H122" s="94" t="s">
        <v>167</v>
      </c>
      <c r="I122" s="6">
        <v>0.9</v>
      </c>
      <c r="J122" s="6">
        <v>0.7</v>
      </c>
      <c r="K122" s="6">
        <v>0.4</v>
      </c>
      <c r="L122" s="106"/>
      <c r="M122" s="108"/>
      <c r="N122" s="108"/>
      <c r="O122" s="108"/>
      <c r="P122" s="108"/>
      <c r="Q122" s="7">
        <v>1</v>
      </c>
      <c r="R122" t="s">
        <v>9</v>
      </c>
      <c r="T122">
        <v>1</v>
      </c>
    </row>
    <row r="123" spans="1:21" x14ac:dyDescent="0.3">
      <c r="A123" t="s">
        <v>157</v>
      </c>
      <c r="B123" t="s">
        <v>1342</v>
      </c>
      <c r="C123" s="87" t="s">
        <v>720</v>
      </c>
      <c r="D123">
        <v>156</v>
      </c>
      <c r="E123">
        <v>5</v>
      </c>
      <c r="F123" s="6">
        <v>1</v>
      </c>
      <c r="G123" s="91">
        <f>Barrage[[#This Row],[Coefficient]]*Barrage[[#This Row],[Total Rounds]]*Barrage[[#This Row],[Base Damage]]</f>
        <v>780</v>
      </c>
      <c r="H123" s="9" t="s">
        <v>79</v>
      </c>
      <c r="I123" s="6">
        <v>0.8</v>
      </c>
      <c r="J123" s="6">
        <v>1</v>
      </c>
      <c r="K123" s="6">
        <v>1.3</v>
      </c>
      <c r="L123" s="106"/>
      <c r="M123" s="108"/>
      <c r="N123" s="108"/>
      <c r="O123" s="108"/>
      <c r="P123" s="108"/>
      <c r="Q123" s="7"/>
      <c r="R123" t="s">
        <v>11</v>
      </c>
      <c r="T123">
        <v>1</v>
      </c>
    </row>
    <row r="124" spans="1:21" x14ac:dyDescent="0.3">
      <c r="A124" t="s">
        <v>157</v>
      </c>
      <c r="B124" t="s">
        <v>1343</v>
      </c>
      <c r="C124" t="s">
        <v>711</v>
      </c>
      <c r="D124">
        <v>28</v>
      </c>
      <c r="E124">
        <v>35</v>
      </c>
      <c r="F124" s="6">
        <v>1</v>
      </c>
      <c r="G124" s="91">
        <f>Barrage[[#This Row],[Coefficient]]*Barrage[[#This Row],[Total Rounds]]*Barrage[[#This Row],[Base Damage]]</f>
        <v>980</v>
      </c>
      <c r="H124" s="94" t="s">
        <v>167</v>
      </c>
      <c r="I124" s="6">
        <v>0.95</v>
      </c>
      <c r="J124" s="6">
        <v>0.75</v>
      </c>
      <c r="K124" s="6">
        <v>0.45</v>
      </c>
      <c r="L124" s="106"/>
      <c r="M124" s="108"/>
      <c r="N124" s="108"/>
      <c r="O124" s="108"/>
      <c r="P124" s="108"/>
      <c r="Q124" s="7">
        <v>1</v>
      </c>
      <c r="R124" t="s">
        <v>9</v>
      </c>
      <c r="T124">
        <v>1</v>
      </c>
    </row>
    <row r="125" spans="1:21" x14ac:dyDescent="0.3">
      <c r="A125" t="s">
        <v>157</v>
      </c>
      <c r="B125" t="s">
        <v>1344</v>
      </c>
      <c r="C125" t="s">
        <v>711</v>
      </c>
      <c r="D125">
        <v>156</v>
      </c>
      <c r="E125">
        <v>5</v>
      </c>
      <c r="F125" s="6">
        <v>1</v>
      </c>
      <c r="G125" s="91">
        <f>Barrage[[#This Row],[Coefficient]]*Barrage[[#This Row],[Total Rounds]]*Barrage[[#This Row],[Base Damage]]</f>
        <v>780</v>
      </c>
      <c r="H125" s="9" t="s">
        <v>79</v>
      </c>
      <c r="I125" s="6">
        <v>0.8</v>
      </c>
      <c r="J125" s="6">
        <v>1</v>
      </c>
      <c r="K125" s="6">
        <v>1.3</v>
      </c>
      <c r="L125" s="106"/>
      <c r="M125" s="108"/>
      <c r="N125" s="108"/>
      <c r="O125" s="108"/>
      <c r="P125" s="108"/>
      <c r="Q125" s="7"/>
      <c r="R125" t="s">
        <v>11</v>
      </c>
      <c r="T125">
        <v>1</v>
      </c>
    </row>
    <row r="126" spans="1:21" x14ac:dyDescent="0.3">
      <c r="A126" t="s">
        <v>157</v>
      </c>
      <c r="B126" t="s">
        <v>1345</v>
      </c>
      <c r="C126" t="s">
        <v>675</v>
      </c>
      <c r="D126">
        <v>32</v>
      </c>
      <c r="E126">
        <v>22</v>
      </c>
      <c r="F126" s="6">
        <v>1</v>
      </c>
      <c r="G126" s="91">
        <f>Barrage[[#This Row],[Coefficient]]*Barrage[[#This Row],[Total Rounds]]*Barrage[[#This Row],[Base Damage]]</f>
        <v>704</v>
      </c>
      <c r="H126" s="94" t="s">
        <v>167</v>
      </c>
      <c r="I126" s="6">
        <v>1.1000000000000001</v>
      </c>
      <c r="J126" s="6">
        <v>0.9</v>
      </c>
      <c r="K126" s="6">
        <v>0.6</v>
      </c>
      <c r="L126" s="106"/>
      <c r="M126" s="108"/>
      <c r="N126" s="108"/>
      <c r="O126" s="108"/>
      <c r="P126" s="108"/>
      <c r="Q126" s="7">
        <v>1</v>
      </c>
      <c r="R126" t="s">
        <v>9</v>
      </c>
      <c r="T126">
        <v>1</v>
      </c>
    </row>
    <row r="127" spans="1:21" x14ac:dyDescent="0.3">
      <c r="A127" t="s">
        <v>157</v>
      </c>
      <c r="B127" t="s">
        <v>1346</v>
      </c>
      <c r="C127" t="s">
        <v>675</v>
      </c>
      <c r="D127">
        <v>145</v>
      </c>
      <c r="E127">
        <v>4</v>
      </c>
      <c r="F127" s="6">
        <v>1</v>
      </c>
      <c r="G127" s="91">
        <f>Barrage[[#This Row],[Coefficient]]*Barrage[[#This Row],[Total Rounds]]*Barrage[[#This Row],[Base Damage]]</f>
        <v>580</v>
      </c>
      <c r="H127" s="9" t="s">
        <v>79</v>
      </c>
      <c r="I127" s="6">
        <v>0.8</v>
      </c>
      <c r="J127" s="6">
        <v>1</v>
      </c>
      <c r="K127" s="6">
        <v>1.3</v>
      </c>
      <c r="L127" s="106"/>
      <c r="M127" s="108"/>
      <c r="N127" s="108"/>
      <c r="O127" s="108"/>
      <c r="P127" s="108"/>
      <c r="Q127" s="7"/>
      <c r="R127" t="s">
        <v>11</v>
      </c>
      <c r="T127">
        <v>1</v>
      </c>
    </row>
    <row r="128" spans="1:21" x14ac:dyDescent="0.3">
      <c r="A128" t="s">
        <v>157</v>
      </c>
      <c r="B128" t="s">
        <v>1061</v>
      </c>
      <c r="C128" t="s">
        <v>435</v>
      </c>
      <c r="D128">
        <v>130</v>
      </c>
      <c r="E128">
        <v>3</v>
      </c>
      <c r="F128" s="6">
        <v>1</v>
      </c>
      <c r="G128" s="91">
        <f>Barrage[[#This Row],[Coefficient]]*Barrage[[#This Row],[Total Rounds]]*Barrage[[#This Row],[Base Damage]]</f>
        <v>390</v>
      </c>
      <c r="H128" s="9" t="s">
        <v>79</v>
      </c>
      <c r="I128" s="6">
        <v>0.8</v>
      </c>
      <c r="J128" s="6">
        <v>1</v>
      </c>
      <c r="K128" s="6">
        <v>1.3</v>
      </c>
      <c r="L128" s="106"/>
      <c r="M128" s="108"/>
      <c r="N128" s="108"/>
      <c r="O128" s="108"/>
      <c r="P128" s="108"/>
      <c r="Q128" s="7"/>
      <c r="R128" t="s">
        <v>11</v>
      </c>
      <c r="T128">
        <v>0.8</v>
      </c>
      <c r="U128" t="s">
        <v>1208</v>
      </c>
    </row>
    <row r="129" spans="1:21" x14ac:dyDescent="0.3">
      <c r="A129" t="s">
        <v>157</v>
      </c>
      <c r="B129" t="s">
        <v>1347</v>
      </c>
      <c r="C129" t="s">
        <v>623</v>
      </c>
      <c r="D129">
        <v>20</v>
      </c>
      <c r="E129">
        <v>32</v>
      </c>
      <c r="F129" s="6">
        <v>1</v>
      </c>
      <c r="G129" s="91">
        <f>Barrage[[#This Row],[Coefficient]]*Barrage[[#This Row],[Total Rounds]]*Barrage[[#This Row],[Base Damage]]</f>
        <v>640</v>
      </c>
      <c r="H129" s="9" t="s">
        <v>161</v>
      </c>
      <c r="I129" s="6">
        <v>1</v>
      </c>
      <c r="J129" s="6">
        <v>0.7</v>
      </c>
      <c r="K129" s="6">
        <v>0.3</v>
      </c>
      <c r="L129" s="106"/>
      <c r="M129" s="108"/>
      <c r="N129" s="108"/>
      <c r="O129" s="108"/>
      <c r="P129" s="108"/>
      <c r="Q129" s="7"/>
      <c r="R129" t="s">
        <v>9</v>
      </c>
      <c r="T129">
        <v>1</v>
      </c>
    </row>
    <row r="130" spans="1:21" x14ac:dyDescent="0.3">
      <c r="A130" t="s">
        <v>157</v>
      </c>
      <c r="B130" t="s">
        <v>1348</v>
      </c>
      <c r="C130" t="s">
        <v>623</v>
      </c>
      <c r="D130">
        <v>23</v>
      </c>
      <c r="E130">
        <v>24</v>
      </c>
      <c r="F130" s="6">
        <v>1</v>
      </c>
      <c r="G130" s="91">
        <f>Barrage[[#This Row],[Coefficient]]*Barrage[[#This Row],[Total Rounds]]*Barrage[[#This Row],[Base Damage]]</f>
        <v>552</v>
      </c>
      <c r="H130" s="94" t="s">
        <v>167</v>
      </c>
      <c r="I130" s="6">
        <v>1</v>
      </c>
      <c r="J130" s="6">
        <v>0.8</v>
      </c>
      <c r="K130" s="6">
        <v>0.6</v>
      </c>
      <c r="L130" s="106"/>
      <c r="M130" s="108"/>
      <c r="N130" s="108"/>
      <c r="O130" s="108"/>
      <c r="P130" s="108"/>
      <c r="Q130" s="7">
        <v>1</v>
      </c>
      <c r="R130" t="s">
        <v>9</v>
      </c>
      <c r="T130">
        <v>1</v>
      </c>
    </row>
    <row r="131" spans="1:21" x14ac:dyDescent="0.3">
      <c r="A131" t="s">
        <v>157</v>
      </c>
      <c r="B131" t="s">
        <v>1262</v>
      </c>
      <c r="C131" t="s">
        <v>626</v>
      </c>
      <c r="D131">
        <v>56</v>
      </c>
      <c r="E131">
        <v>5</v>
      </c>
      <c r="F131" s="6">
        <v>1.18</v>
      </c>
      <c r="G131" s="91">
        <f>Barrage[[#This Row],[Coefficient]]*Barrage[[#This Row],[Total Rounds]]*Barrage[[#This Row],[Base Damage]]</f>
        <v>330.4</v>
      </c>
      <c r="H131" s="95" t="s">
        <v>169</v>
      </c>
      <c r="I131" s="6">
        <v>1</v>
      </c>
      <c r="J131" s="6">
        <v>1</v>
      </c>
      <c r="K131" s="6">
        <v>1</v>
      </c>
      <c r="L131" s="106">
        <v>1</v>
      </c>
      <c r="M131" s="108">
        <v>1</v>
      </c>
      <c r="N131" s="108"/>
      <c r="O131" s="108"/>
      <c r="P131" s="108"/>
      <c r="Q131" s="7"/>
      <c r="R131" t="s">
        <v>9</v>
      </c>
      <c r="T131">
        <v>1</v>
      </c>
      <c r="U131" t="s">
        <v>1263</v>
      </c>
    </row>
    <row r="132" spans="1:21" x14ac:dyDescent="0.3">
      <c r="A132" t="s">
        <v>157</v>
      </c>
      <c r="B132" t="s">
        <v>1349</v>
      </c>
      <c r="C132" t="s">
        <v>808</v>
      </c>
      <c r="D132">
        <v>10</v>
      </c>
      <c r="E132">
        <v>14</v>
      </c>
      <c r="F132" s="6">
        <v>1.25</v>
      </c>
      <c r="G132" s="91">
        <f>Barrage[[#This Row],[Coefficient]]*Barrage[[#This Row],[Total Rounds]]*Barrage[[#This Row],[Base Damage]]</f>
        <v>175</v>
      </c>
      <c r="H132" s="9" t="s">
        <v>161</v>
      </c>
      <c r="I132" s="6">
        <v>1</v>
      </c>
      <c r="J132" s="6">
        <v>0.75</v>
      </c>
      <c r="K132" s="6">
        <v>0.4</v>
      </c>
      <c r="L132" s="106"/>
      <c r="M132" s="108"/>
      <c r="N132" s="108"/>
      <c r="O132" s="108"/>
      <c r="P132" s="108"/>
      <c r="Q132" s="7"/>
      <c r="R132" t="s">
        <v>9</v>
      </c>
      <c r="T132">
        <v>1</v>
      </c>
    </row>
    <row r="133" spans="1:21" x14ac:dyDescent="0.3">
      <c r="A133" t="s">
        <v>157</v>
      </c>
      <c r="B133" t="s">
        <v>1350</v>
      </c>
      <c r="C133" t="s">
        <v>808</v>
      </c>
      <c r="D133">
        <v>104</v>
      </c>
      <c r="E133">
        <v>7</v>
      </c>
      <c r="F133" s="6">
        <v>1</v>
      </c>
      <c r="G133" s="91">
        <f>Barrage[[#This Row],[Coefficient]]*Barrage[[#This Row],[Total Rounds]]*Barrage[[#This Row],[Base Damage]]</f>
        <v>728</v>
      </c>
      <c r="H133" s="9" t="s">
        <v>79</v>
      </c>
      <c r="I133" s="6">
        <v>0.8</v>
      </c>
      <c r="J133" s="6">
        <v>1</v>
      </c>
      <c r="K133" s="6">
        <v>1.3</v>
      </c>
      <c r="L133" s="106"/>
      <c r="M133" s="108"/>
      <c r="N133" s="108"/>
      <c r="O133" s="108"/>
      <c r="P133" s="108"/>
      <c r="Q133" s="7"/>
      <c r="R133" t="s">
        <v>11</v>
      </c>
      <c r="T133">
        <v>1</v>
      </c>
    </row>
    <row r="134" spans="1:21" x14ac:dyDescent="0.3">
      <c r="A134" t="s">
        <v>157</v>
      </c>
      <c r="B134" t="s">
        <v>1062</v>
      </c>
      <c r="C134" t="s">
        <v>930</v>
      </c>
      <c r="D134">
        <v>72</v>
      </c>
      <c r="E134">
        <v>6</v>
      </c>
      <c r="F134" s="6">
        <v>1</v>
      </c>
      <c r="G134" s="91">
        <f>Barrage[[#This Row],[Coefficient]]*Barrage[[#This Row],[Total Rounds]]*Barrage[[#This Row],[Base Damage]]</f>
        <v>432</v>
      </c>
      <c r="H134" s="9" t="s">
        <v>79</v>
      </c>
      <c r="I134" s="6">
        <v>0.8</v>
      </c>
      <c r="J134" s="6">
        <v>1</v>
      </c>
      <c r="K134" s="6">
        <v>1.3</v>
      </c>
      <c r="L134" s="106"/>
      <c r="M134" s="108"/>
      <c r="N134" s="108"/>
      <c r="O134" s="108"/>
      <c r="P134" s="108"/>
      <c r="Q134" s="7"/>
      <c r="R134" t="s">
        <v>11</v>
      </c>
      <c r="T134">
        <v>1</v>
      </c>
    </row>
    <row r="135" spans="1:21" x14ac:dyDescent="0.3">
      <c r="A135" t="s">
        <v>157</v>
      </c>
      <c r="B135" t="s">
        <v>1063</v>
      </c>
      <c r="C135" t="s">
        <v>1264</v>
      </c>
      <c r="D135">
        <v>104</v>
      </c>
      <c r="E135">
        <v>6</v>
      </c>
      <c r="F135" s="6">
        <v>1</v>
      </c>
      <c r="G135" s="91">
        <f>Barrage[[#This Row],[Coefficient]]*Barrage[[#This Row],[Total Rounds]]*Barrage[[#This Row],[Base Damage]]</f>
        <v>624</v>
      </c>
      <c r="H135" s="9" t="s">
        <v>79</v>
      </c>
      <c r="I135" s="6">
        <v>0.8</v>
      </c>
      <c r="J135" s="6">
        <v>1</v>
      </c>
      <c r="K135" s="6">
        <v>1.3</v>
      </c>
      <c r="L135" s="106"/>
      <c r="M135" s="108"/>
      <c r="N135" s="108"/>
      <c r="O135" s="108"/>
      <c r="P135" s="108"/>
      <c r="Q135" s="7"/>
      <c r="R135" t="s">
        <v>11</v>
      </c>
      <c r="T135">
        <v>1</v>
      </c>
    </row>
    <row r="136" spans="1:21" x14ac:dyDescent="0.3">
      <c r="A136" t="s">
        <v>157</v>
      </c>
      <c r="B136" t="s">
        <v>1265</v>
      </c>
      <c r="C136" t="s">
        <v>996</v>
      </c>
      <c r="D136">
        <v>24</v>
      </c>
      <c r="E136">
        <v>18</v>
      </c>
      <c r="F136" s="6">
        <v>1</v>
      </c>
      <c r="G136" s="91">
        <f>Barrage[[#This Row],[Coefficient]]*Barrage[[#This Row],[Total Rounds]]*Barrage[[#This Row],[Base Damage]]</f>
        <v>432</v>
      </c>
      <c r="H136" s="9" t="s">
        <v>161</v>
      </c>
      <c r="I136" s="6">
        <v>0.9</v>
      </c>
      <c r="J136" s="6">
        <v>0.7</v>
      </c>
      <c r="K136" s="6">
        <v>0.4</v>
      </c>
      <c r="L136" s="106"/>
      <c r="M136" s="108"/>
      <c r="N136" s="108"/>
      <c r="O136" s="108"/>
      <c r="P136" s="108"/>
      <c r="Q136" s="7"/>
      <c r="R136" t="s">
        <v>9</v>
      </c>
      <c r="T136">
        <v>1</v>
      </c>
    </row>
    <row r="137" spans="1:21" x14ac:dyDescent="0.3">
      <c r="A137" t="s">
        <v>157</v>
      </c>
      <c r="B137" t="s">
        <v>1266</v>
      </c>
      <c r="C137" t="s">
        <v>1003</v>
      </c>
      <c r="D137">
        <v>36</v>
      </c>
      <c r="E137">
        <v>30</v>
      </c>
      <c r="F137" s="6">
        <v>1</v>
      </c>
      <c r="G137" s="91">
        <f>Barrage[[#This Row],[Coefficient]]*Barrage[[#This Row],[Total Rounds]]*Barrage[[#This Row],[Base Damage]]</f>
        <v>1080</v>
      </c>
      <c r="H137" s="94" t="s">
        <v>167</v>
      </c>
      <c r="I137" s="6">
        <v>1.2</v>
      </c>
      <c r="J137" s="6">
        <v>0.9</v>
      </c>
      <c r="K137" s="6">
        <v>0.6</v>
      </c>
      <c r="L137" s="106"/>
      <c r="M137" s="108"/>
      <c r="N137" s="108"/>
      <c r="O137" s="108"/>
      <c r="P137" s="108"/>
      <c r="Q137" s="7">
        <v>1</v>
      </c>
      <c r="R137" t="s">
        <v>9</v>
      </c>
      <c r="T137">
        <v>1</v>
      </c>
    </row>
    <row r="138" spans="1:21" x14ac:dyDescent="0.3">
      <c r="A138" t="s">
        <v>174</v>
      </c>
      <c r="B138" t="s">
        <v>1091</v>
      </c>
      <c r="C138" t="s">
        <v>621</v>
      </c>
      <c r="D138">
        <v>21</v>
      </c>
      <c r="E138">
        <v>24</v>
      </c>
      <c r="F138" s="6">
        <v>1</v>
      </c>
      <c r="G138" s="91">
        <f>Barrage[[#This Row],[Coefficient]]*Barrage[[#This Row],[Total Rounds]]*Barrage[[#This Row],[Base Damage]]</f>
        <v>504</v>
      </c>
      <c r="H138" s="9" t="s">
        <v>161</v>
      </c>
      <c r="I138" s="6">
        <v>1</v>
      </c>
      <c r="J138" s="6">
        <v>0.8</v>
      </c>
      <c r="K138" s="6">
        <v>0.6</v>
      </c>
      <c r="L138" s="106"/>
      <c r="M138" s="108"/>
      <c r="N138" s="108"/>
      <c r="O138" s="108"/>
      <c r="P138" s="108"/>
      <c r="Q138" s="7"/>
      <c r="R138" t="s">
        <v>9</v>
      </c>
      <c r="T138">
        <v>1</v>
      </c>
    </row>
    <row r="139" spans="1:21" x14ac:dyDescent="0.3">
      <c r="A139" t="s">
        <v>174</v>
      </c>
      <c r="B139" t="s">
        <v>1351</v>
      </c>
      <c r="C139" t="s">
        <v>621</v>
      </c>
      <c r="D139">
        <v>386</v>
      </c>
      <c r="E139">
        <v>18</v>
      </c>
      <c r="F139" s="6">
        <v>1</v>
      </c>
      <c r="G139" s="91">
        <f>Barrage[[#This Row],[Coefficient]]*Barrage[[#This Row],[Total Rounds]]*Barrage[[#This Row],[Base Damage]]</f>
        <v>6948</v>
      </c>
      <c r="H139" s="94" t="s">
        <v>167</v>
      </c>
      <c r="I139" s="6">
        <v>0.7</v>
      </c>
      <c r="J139" s="6">
        <v>1.1000000000000001</v>
      </c>
      <c r="K139" s="6">
        <v>0.9</v>
      </c>
      <c r="L139" s="106">
        <v>0.2</v>
      </c>
      <c r="M139" s="108">
        <v>2</v>
      </c>
      <c r="N139" s="108"/>
      <c r="O139" s="108"/>
      <c r="P139" s="108"/>
      <c r="Q139" s="7">
        <v>2</v>
      </c>
      <c r="R139" t="s">
        <v>9</v>
      </c>
      <c r="T139">
        <v>1</v>
      </c>
    </row>
    <row r="140" spans="1:21" x14ac:dyDescent="0.3">
      <c r="A140" t="s">
        <v>174</v>
      </c>
      <c r="B140" t="s">
        <v>1352</v>
      </c>
      <c r="C140" t="s">
        <v>621</v>
      </c>
      <c r="D140">
        <v>16</v>
      </c>
      <c r="E140">
        <v>62</v>
      </c>
      <c r="F140" s="6">
        <v>1</v>
      </c>
      <c r="G140" s="91">
        <f>Barrage[[#This Row],[Coefficient]]*Barrage[[#This Row],[Total Rounds]]*Barrage[[#This Row],[Base Damage]]</f>
        <v>992</v>
      </c>
      <c r="H140" s="9" t="s">
        <v>161</v>
      </c>
      <c r="I140" s="6">
        <v>1</v>
      </c>
      <c r="J140" s="6">
        <v>0.5</v>
      </c>
      <c r="K140" s="6">
        <v>0.2</v>
      </c>
      <c r="L140" s="106"/>
      <c r="M140" s="108"/>
      <c r="N140" s="108"/>
      <c r="O140" s="108"/>
      <c r="P140" s="108"/>
      <c r="Q140" s="7"/>
      <c r="R140" t="s">
        <v>9</v>
      </c>
      <c r="T140">
        <v>1</v>
      </c>
    </row>
    <row r="141" spans="1:21" x14ac:dyDescent="0.3">
      <c r="A141" t="s">
        <v>174</v>
      </c>
      <c r="B141" t="s">
        <v>1267</v>
      </c>
      <c r="C141" t="s">
        <v>697</v>
      </c>
      <c r="D141">
        <v>24</v>
      </c>
      <c r="E141">
        <v>30</v>
      </c>
      <c r="F141" s="6">
        <v>1</v>
      </c>
      <c r="G141" s="91">
        <f>Barrage[[#This Row],[Coefficient]]*Barrage[[#This Row],[Total Rounds]]*Barrage[[#This Row],[Base Damage]]</f>
        <v>720</v>
      </c>
      <c r="H141" s="95" t="s">
        <v>169</v>
      </c>
      <c r="I141" s="6">
        <v>1.2</v>
      </c>
      <c r="J141" s="6">
        <v>0.6</v>
      </c>
      <c r="K141" s="6">
        <v>0.6</v>
      </c>
      <c r="L141" s="106">
        <v>0.01</v>
      </c>
      <c r="M141" s="108">
        <v>1</v>
      </c>
      <c r="N141" s="108"/>
      <c r="O141" s="108"/>
      <c r="P141" s="108"/>
      <c r="Q141" s="7"/>
      <c r="R141" t="s">
        <v>9</v>
      </c>
      <c r="T141">
        <v>1</v>
      </c>
      <c r="U141" t="s">
        <v>1268</v>
      </c>
    </row>
    <row r="142" spans="1:21" x14ac:dyDescent="0.3">
      <c r="A142" t="s">
        <v>174</v>
      </c>
      <c r="B142" t="s">
        <v>1092</v>
      </c>
      <c r="C142" t="s">
        <v>627</v>
      </c>
      <c r="D142">
        <v>40</v>
      </c>
      <c r="E142">
        <v>3</v>
      </c>
      <c r="F142" s="6">
        <v>1.1499999999999999</v>
      </c>
      <c r="G142" s="91">
        <f>Barrage[[#This Row],[Coefficient]]*Barrage[[#This Row],[Total Rounds]]*Barrage[[#This Row],[Base Damage]]</f>
        <v>138</v>
      </c>
      <c r="H142" s="9" t="s">
        <v>79</v>
      </c>
      <c r="I142" s="6">
        <v>1</v>
      </c>
      <c r="J142" s="6">
        <v>1</v>
      </c>
      <c r="K142" s="6">
        <v>1</v>
      </c>
      <c r="L142" s="106"/>
      <c r="M142" s="108"/>
      <c r="N142" s="108"/>
      <c r="O142" s="108"/>
      <c r="P142" s="108"/>
      <c r="Q142" s="7"/>
      <c r="R142" t="s">
        <v>11</v>
      </c>
      <c r="T142">
        <v>1</v>
      </c>
      <c r="U142" t="s">
        <v>1269</v>
      </c>
    </row>
    <row r="143" spans="1:21" x14ac:dyDescent="0.3">
      <c r="A143" t="s">
        <v>174</v>
      </c>
      <c r="B143" t="s">
        <v>1270</v>
      </c>
      <c r="C143" t="s">
        <v>627</v>
      </c>
      <c r="D143">
        <v>40</v>
      </c>
      <c r="E143">
        <v>6</v>
      </c>
      <c r="F143" s="6">
        <v>1.45</v>
      </c>
      <c r="G143" s="91">
        <f>Barrage[[#This Row],[Coefficient]]*Barrage[[#This Row],[Total Rounds]]*Barrage[[#This Row],[Base Damage]]</f>
        <v>348</v>
      </c>
      <c r="H143" s="9" t="s">
        <v>79</v>
      </c>
      <c r="I143" s="6">
        <v>1</v>
      </c>
      <c r="J143" s="6">
        <v>1</v>
      </c>
      <c r="K143" s="6">
        <v>1</v>
      </c>
      <c r="L143" s="106"/>
      <c r="M143" s="108"/>
      <c r="N143" s="108"/>
      <c r="O143" s="108"/>
      <c r="P143" s="108"/>
      <c r="Q143" s="7"/>
      <c r="R143" t="s">
        <v>11</v>
      </c>
      <c r="T143">
        <v>1</v>
      </c>
      <c r="U143" t="s">
        <v>1269</v>
      </c>
    </row>
    <row r="144" spans="1:21" x14ac:dyDescent="0.3">
      <c r="A144" t="s">
        <v>174</v>
      </c>
      <c r="B144" t="s">
        <v>1271</v>
      </c>
      <c r="C144" t="s">
        <v>627</v>
      </c>
      <c r="D144">
        <v>40</v>
      </c>
      <c r="E144">
        <v>6</v>
      </c>
      <c r="F144" s="6">
        <v>1.65</v>
      </c>
      <c r="G144" s="91">
        <f>Barrage[[#This Row],[Coefficient]]*Barrage[[#This Row],[Total Rounds]]*Barrage[[#This Row],[Base Damage]]</f>
        <v>395.99999999999994</v>
      </c>
      <c r="H144" s="9" t="s">
        <v>79</v>
      </c>
      <c r="I144" s="6">
        <v>1</v>
      </c>
      <c r="J144" s="6">
        <v>1</v>
      </c>
      <c r="K144" s="6">
        <v>1</v>
      </c>
      <c r="L144" s="106"/>
      <c r="M144" s="108"/>
      <c r="N144" s="108"/>
      <c r="O144" s="108"/>
      <c r="P144" s="108"/>
      <c r="Q144" s="7"/>
      <c r="R144" t="s">
        <v>11</v>
      </c>
      <c r="T144">
        <v>1</v>
      </c>
      <c r="U144" t="s">
        <v>1269</v>
      </c>
    </row>
    <row r="145" spans="1:21" x14ac:dyDescent="0.3">
      <c r="A145" t="s">
        <v>174</v>
      </c>
      <c r="B145" t="s">
        <v>1272</v>
      </c>
      <c r="C145" t="s">
        <v>627</v>
      </c>
      <c r="D145">
        <v>140</v>
      </c>
      <c r="E145">
        <v>1</v>
      </c>
      <c r="F145" s="6">
        <v>3</v>
      </c>
      <c r="G145" s="91">
        <f>Barrage[[#This Row],[Coefficient]]*Barrage[[#This Row],[Total Rounds]]*Barrage[[#This Row],[Base Damage]]</f>
        <v>420</v>
      </c>
      <c r="H145" s="9" t="s">
        <v>79</v>
      </c>
      <c r="I145" s="6">
        <v>1</v>
      </c>
      <c r="J145" s="6">
        <v>1</v>
      </c>
      <c r="K145" s="6">
        <v>1</v>
      </c>
      <c r="L145" s="106"/>
      <c r="M145" s="108"/>
      <c r="N145" s="108"/>
      <c r="O145" s="108"/>
      <c r="P145" s="108"/>
      <c r="Q145" s="7"/>
      <c r="R145" t="s">
        <v>11</v>
      </c>
      <c r="T145">
        <v>1</v>
      </c>
      <c r="U145" t="s">
        <v>1269</v>
      </c>
    </row>
    <row r="146" spans="1:21" x14ac:dyDescent="0.3">
      <c r="A146" t="s">
        <v>174</v>
      </c>
      <c r="B146" t="s">
        <v>1353</v>
      </c>
      <c r="C146" t="s">
        <v>1014</v>
      </c>
      <c r="D146">
        <v>62</v>
      </c>
      <c r="E146">
        <v>12</v>
      </c>
      <c r="F146" s="6">
        <v>1</v>
      </c>
      <c r="G146" s="91">
        <f>Barrage[[#This Row],[Coefficient]]*Barrage[[#This Row],[Total Rounds]]*Barrage[[#This Row],[Base Damage]]</f>
        <v>744</v>
      </c>
      <c r="H146" s="9" t="s">
        <v>161</v>
      </c>
      <c r="I146" s="6">
        <v>1</v>
      </c>
      <c r="J146" s="6">
        <v>0.8</v>
      </c>
      <c r="K146" s="6">
        <v>0.6</v>
      </c>
      <c r="L146" s="106"/>
      <c r="M146" s="108"/>
      <c r="N146" s="108"/>
      <c r="O146" s="108"/>
      <c r="P146" s="108"/>
      <c r="Q146" s="7"/>
      <c r="R146" t="s">
        <v>9</v>
      </c>
      <c r="T146">
        <v>1</v>
      </c>
    </row>
    <row r="147" spans="1:21" x14ac:dyDescent="0.3">
      <c r="A147" t="s">
        <v>174</v>
      </c>
      <c r="B147" t="s">
        <v>1354</v>
      </c>
      <c r="C147" t="s">
        <v>1014</v>
      </c>
      <c r="D147">
        <v>72</v>
      </c>
      <c r="E147">
        <v>12</v>
      </c>
      <c r="F147" s="6">
        <v>1</v>
      </c>
      <c r="G147" s="91">
        <f>Barrage[[#This Row],[Coefficient]]*Barrage[[#This Row],[Total Rounds]]*Barrage[[#This Row],[Base Damage]]</f>
        <v>864</v>
      </c>
      <c r="H147" s="9" t="s">
        <v>79</v>
      </c>
      <c r="I147" s="6">
        <v>0.7</v>
      </c>
      <c r="J147" s="6">
        <v>0.9</v>
      </c>
      <c r="K147" s="6">
        <v>1.2</v>
      </c>
      <c r="L147" s="106"/>
      <c r="M147" s="108"/>
      <c r="N147" s="108"/>
      <c r="O147" s="108"/>
      <c r="P147" s="108"/>
      <c r="Q147" s="7"/>
      <c r="R147" t="s">
        <v>11</v>
      </c>
      <c r="T147">
        <v>1</v>
      </c>
    </row>
    <row r="148" spans="1:21" x14ac:dyDescent="0.3">
      <c r="A148" t="s">
        <v>184</v>
      </c>
      <c r="B148" s="27" t="s">
        <v>1355</v>
      </c>
      <c r="C148" s="87" t="s">
        <v>622</v>
      </c>
      <c r="D148">
        <v>26</v>
      </c>
      <c r="E148">
        <v>12</v>
      </c>
      <c r="F148" s="6">
        <v>1</v>
      </c>
      <c r="G148" s="91">
        <f>Barrage[[#This Row],[Coefficient]]*Barrage[[#This Row],[Total Rounds]]*Barrage[[#This Row],[Base Damage]]</f>
        <v>312</v>
      </c>
      <c r="H148" s="9" t="s">
        <v>161</v>
      </c>
      <c r="I148" s="6">
        <v>1</v>
      </c>
      <c r="J148" s="6">
        <v>0.75</v>
      </c>
      <c r="K148" s="6">
        <v>0.4</v>
      </c>
      <c r="L148" s="106"/>
      <c r="M148" s="108"/>
      <c r="N148" s="108"/>
      <c r="O148" s="108"/>
      <c r="P148" s="108"/>
      <c r="Q148" s="7"/>
      <c r="R148" t="s">
        <v>9</v>
      </c>
      <c r="T148">
        <v>1</v>
      </c>
    </row>
    <row r="149" spans="1:21" x14ac:dyDescent="0.3">
      <c r="A149" t="s">
        <v>184</v>
      </c>
      <c r="B149" s="27" t="s">
        <v>1356</v>
      </c>
      <c r="C149" s="87" t="s">
        <v>622</v>
      </c>
      <c r="D149" s="87">
        <v>26</v>
      </c>
      <c r="E149" s="87">
        <v>12</v>
      </c>
      <c r="F149" s="6">
        <v>1</v>
      </c>
      <c r="G149" s="91">
        <f>Barrage[[#This Row],[Coefficient]]*Barrage[[#This Row],[Total Rounds]]*Barrage[[#This Row],[Base Damage]]</f>
        <v>312</v>
      </c>
      <c r="H149" s="104" t="s">
        <v>167</v>
      </c>
      <c r="I149" s="97">
        <v>1</v>
      </c>
      <c r="J149" s="97">
        <v>0.8</v>
      </c>
      <c r="K149" s="97">
        <v>0.6</v>
      </c>
      <c r="L149" s="107"/>
      <c r="M149" s="109"/>
      <c r="N149" s="109"/>
      <c r="O149" s="109"/>
      <c r="P149" s="109"/>
      <c r="Q149" s="101">
        <v>1</v>
      </c>
      <c r="R149" t="s">
        <v>9</v>
      </c>
      <c r="T149">
        <v>1</v>
      </c>
      <c r="U149" s="87"/>
    </row>
    <row r="150" spans="1:21" x14ac:dyDescent="0.3">
      <c r="A150" t="s">
        <v>184</v>
      </c>
      <c r="B150" s="27" t="s">
        <v>1357</v>
      </c>
      <c r="C150" s="87" t="s">
        <v>622</v>
      </c>
      <c r="D150">
        <v>26</v>
      </c>
      <c r="E150">
        <v>12</v>
      </c>
      <c r="F150" s="6">
        <v>1</v>
      </c>
      <c r="G150" s="91">
        <f>Barrage[[#This Row],[Coefficient]]*Barrage[[#This Row],[Total Rounds]]*Barrage[[#This Row],[Base Damage]]</f>
        <v>312</v>
      </c>
      <c r="H150" s="95" t="s">
        <v>169</v>
      </c>
      <c r="I150" s="6">
        <v>1.35</v>
      </c>
      <c r="J150" s="6">
        <v>1.05</v>
      </c>
      <c r="K150" s="6">
        <v>0.7</v>
      </c>
      <c r="L150" s="106"/>
      <c r="M150" s="108"/>
      <c r="N150" s="108"/>
      <c r="O150" s="108"/>
      <c r="P150" s="108"/>
      <c r="Q150" s="7"/>
      <c r="R150" t="s">
        <v>9</v>
      </c>
      <c r="T150">
        <v>1</v>
      </c>
    </row>
    <row r="151" spans="1:21" x14ac:dyDescent="0.3">
      <c r="A151" t="s">
        <v>184</v>
      </c>
      <c r="B151" t="s">
        <v>1112</v>
      </c>
      <c r="C151" t="s">
        <v>633</v>
      </c>
      <c r="D151">
        <v>104</v>
      </c>
      <c r="E151">
        <v>8</v>
      </c>
      <c r="F151" s="6">
        <v>1</v>
      </c>
      <c r="G151" s="91">
        <f>Barrage[[#This Row],[Coefficient]]*Barrage[[#This Row],[Total Rounds]]*Barrage[[#This Row],[Base Damage]]</f>
        <v>832</v>
      </c>
      <c r="H151" s="9" t="s">
        <v>79</v>
      </c>
      <c r="I151" s="6">
        <v>0.65</v>
      </c>
      <c r="J151" s="6">
        <v>0.85</v>
      </c>
      <c r="K151" s="6">
        <v>1.1499999999999999</v>
      </c>
      <c r="L151" s="106"/>
      <c r="M151" s="108"/>
      <c r="N151" s="108"/>
      <c r="O151" s="108"/>
      <c r="P151" s="108"/>
      <c r="Q151" s="7"/>
      <c r="R151" t="s">
        <v>11</v>
      </c>
      <c r="T151">
        <v>1.2</v>
      </c>
      <c r="U151" t="s">
        <v>1273</v>
      </c>
    </row>
    <row r="152" spans="1:21" x14ac:dyDescent="0.3">
      <c r="A152" t="s">
        <v>184</v>
      </c>
      <c r="B152" t="s">
        <v>1113</v>
      </c>
      <c r="C152" t="s">
        <v>625</v>
      </c>
      <c r="D152">
        <v>7</v>
      </c>
      <c r="E152">
        <v>16</v>
      </c>
      <c r="F152" s="6">
        <v>2.65</v>
      </c>
      <c r="G152" s="91">
        <f>Barrage[[#This Row],[Coefficient]]*Barrage[[#This Row],[Total Rounds]]*Barrage[[#This Row],[Base Damage]]</f>
        <v>296.8</v>
      </c>
      <c r="H152" s="9" t="s">
        <v>79</v>
      </c>
      <c r="I152" s="6">
        <v>1</v>
      </c>
      <c r="J152" s="6">
        <v>1</v>
      </c>
      <c r="K152" s="6">
        <v>1</v>
      </c>
      <c r="L152" s="106"/>
      <c r="M152" s="108"/>
      <c r="N152" s="108"/>
      <c r="O152" s="108"/>
      <c r="P152" s="108"/>
      <c r="Q152" s="7"/>
      <c r="R152" t="s">
        <v>11</v>
      </c>
      <c r="T152">
        <v>1</v>
      </c>
      <c r="U152" t="s">
        <v>1269</v>
      </c>
    </row>
    <row r="153" spans="1:21" x14ac:dyDescent="0.3">
      <c r="A153" t="s">
        <v>184</v>
      </c>
      <c r="B153" t="s">
        <v>1274</v>
      </c>
      <c r="C153" t="s">
        <v>544</v>
      </c>
      <c r="D153">
        <v>20</v>
      </c>
      <c r="E153">
        <v>8</v>
      </c>
      <c r="F153" s="6">
        <v>1</v>
      </c>
      <c r="G153" s="91">
        <f>Barrage[[#This Row],[Coefficient]]*Barrage[[#This Row],[Total Rounds]]*Barrage[[#This Row],[Base Damage]]</f>
        <v>160</v>
      </c>
      <c r="H153" s="95" t="s">
        <v>169</v>
      </c>
      <c r="I153" s="6">
        <v>1.35</v>
      </c>
      <c r="J153" s="6">
        <v>0.95</v>
      </c>
      <c r="K153" s="6">
        <v>0.75</v>
      </c>
      <c r="L153" s="106"/>
      <c r="M153" s="108"/>
      <c r="N153" s="108"/>
      <c r="O153" s="108"/>
      <c r="P153" s="108"/>
      <c r="Q153" s="7"/>
      <c r="R153" t="s">
        <v>9</v>
      </c>
      <c r="T153">
        <v>1</v>
      </c>
    </row>
    <row r="154" spans="1:21" x14ac:dyDescent="0.3">
      <c r="A154" t="s">
        <v>941</v>
      </c>
      <c r="B154" t="s">
        <v>1358</v>
      </c>
      <c r="C154" t="s">
        <v>929</v>
      </c>
      <c r="D154">
        <v>15</v>
      </c>
      <c r="E154">
        <v>32</v>
      </c>
      <c r="F154" s="6">
        <v>1</v>
      </c>
      <c r="G154" s="91">
        <f>Barrage[[#This Row],[Coefficient]]*Barrage[[#This Row],[Total Rounds]]*Barrage[[#This Row],[Base Damage]]</f>
        <v>480</v>
      </c>
      <c r="H154" s="95" t="s">
        <v>169</v>
      </c>
      <c r="I154" s="6">
        <v>0.8</v>
      </c>
      <c r="J154" s="6">
        <v>0.8</v>
      </c>
      <c r="K154" s="6">
        <v>0.8</v>
      </c>
      <c r="L154" s="106"/>
      <c r="M154" s="108"/>
      <c r="N154" s="108"/>
      <c r="O154" s="108"/>
      <c r="P154" s="108"/>
      <c r="Q154" s="7"/>
      <c r="R154" t="s">
        <v>9</v>
      </c>
      <c r="T154">
        <v>1</v>
      </c>
    </row>
    <row r="155" spans="1:21" x14ac:dyDescent="0.3">
      <c r="A155" t="s">
        <v>941</v>
      </c>
      <c r="B155" t="s">
        <v>1114</v>
      </c>
      <c r="C155" t="s">
        <v>929</v>
      </c>
      <c r="D155">
        <v>62</v>
      </c>
      <c r="E155">
        <v>9</v>
      </c>
      <c r="F155" s="6">
        <v>1</v>
      </c>
      <c r="G155" s="91">
        <f>Barrage[[#This Row],[Coefficient]]*Barrage[[#This Row],[Total Rounds]]*Barrage[[#This Row],[Base Damage]]</f>
        <v>558</v>
      </c>
      <c r="H155" s="95" t="s">
        <v>169</v>
      </c>
      <c r="I155" s="6">
        <v>1.35</v>
      </c>
      <c r="J155" s="6">
        <v>0.95</v>
      </c>
      <c r="K155" s="6">
        <v>0.7</v>
      </c>
      <c r="L155" s="106">
        <v>1</v>
      </c>
      <c r="M155" s="108">
        <v>3</v>
      </c>
      <c r="N155" s="108"/>
      <c r="O155" s="108"/>
      <c r="P155" s="108"/>
      <c r="Q155" s="7"/>
      <c r="R155" t="s">
        <v>9</v>
      </c>
      <c r="T155">
        <v>1</v>
      </c>
    </row>
    <row r="156" spans="1:21" x14ac:dyDescent="0.3">
      <c r="A156" t="s">
        <v>941</v>
      </c>
      <c r="B156" t="s">
        <v>1115</v>
      </c>
      <c r="C156" t="s">
        <v>929</v>
      </c>
      <c r="D156">
        <v>62</v>
      </c>
      <c r="E156">
        <v>6</v>
      </c>
      <c r="F156" s="6">
        <v>1</v>
      </c>
      <c r="G156" s="91">
        <f>Barrage[[#This Row],[Coefficient]]*Barrage[[#This Row],[Total Rounds]]*Barrage[[#This Row],[Base Damage]]</f>
        <v>372</v>
      </c>
      <c r="H156" s="95" t="s">
        <v>1275</v>
      </c>
      <c r="I156" s="6">
        <v>1.35</v>
      </c>
      <c r="J156" s="6">
        <v>0.95</v>
      </c>
      <c r="K156" s="6">
        <v>0.7</v>
      </c>
      <c r="L156" s="106">
        <v>1</v>
      </c>
      <c r="M156" s="108">
        <v>3</v>
      </c>
      <c r="N156" s="108"/>
      <c r="O156" s="108"/>
      <c r="P156" s="108"/>
      <c r="Q156" s="7"/>
      <c r="R156" t="s">
        <v>9</v>
      </c>
      <c r="T156">
        <v>1</v>
      </c>
    </row>
    <row r="157" spans="1:21" x14ac:dyDescent="0.3">
      <c r="A157" t="s">
        <v>1276</v>
      </c>
      <c r="B157" t="s">
        <v>1118</v>
      </c>
      <c r="C157" t="s">
        <v>579</v>
      </c>
      <c r="D157">
        <v>174</v>
      </c>
      <c r="E157">
        <v>13</v>
      </c>
      <c r="F157" s="6">
        <v>1</v>
      </c>
      <c r="G157" s="91">
        <f>Barrage[[#This Row],[Coefficient]]*Barrage[[#This Row],[Total Rounds]]*Barrage[[#This Row],[Base Damage]]</f>
        <v>2262</v>
      </c>
      <c r="H157" s="9" t="s">
        <v>161</v>
      </c>
      <c r="I157" s="6">
        <v>0.7</v>
      </c>
      <c r="J157" s="6">
        <v>1</v>
      </c>
      <c r="K157" s="6">
        <v>0.9</v>
      </c>
      <c r="L157" s="106"/>
      <c r="M157" s="108"/>
      <c r="N157" s="108"/>
      <c r="O157" s="108"/>
      <c r="P157" s="108"/>
      <c r="Q157" s="7"/>
      <c r="R157" t="s">
        <v>9</v>
      </c>
      <c r="T157">
        <v>1</v>
      </c>
      <c r="U157" t="s">
        <v>1209</v>
      </c>
    </row>
    <row r="158" spans="1:21" x14ac:dyDescent="0.3">
      <c r="A158" t="s">
        <v>1276</v>
      </c>
      <c r="B158" t="s">
        <v>1119</v>
      </c>
      <c r="C158" t="s">
        <v>584</v>
      </c>
      <c r="D158">
        <v>106</v>
      </c>
      <c r="E158">
        <v>3</v>
      </c>
      <c r="F158" s="6">
        <v>1.1000000000000001</v>
      </c>
      <c r="G158" s="91">
        <f>Barrage[[#This Row],[Coefficient]]*Barrage[[#This Row],[Total Rounds]]*Barrage[[#This Row],[Base Damage]]</f>
        <v>349.8</v>
      </c>
      <c r="H158" s="94" t="s">
        <v>167</v>
      </c>
      <c r="I158" s="6">
        <v>0.3</v>
      </c>
      <c r="J158" s="6">
        <v>1.3</v>
      </c>
      <c r="K158" s="6">
        <v>1.1000000000000001</v>
      </c>
      <c r="L158" s="106"/>
      <c r="M158" s="108"/>
      <c r="N158" s="108"/>
      <c r="O158" s="108"/>
      <c r="P158" s="108"/>
      <c r="Q158" s="7"/>
      <c r="R158" t="s">
        <v>9</v>
      </c>
      <c r="T158">
        <v>1</v>
      </c>
    </row>
    <row r="159" spans="1:21" x14ac:dyDescent="0.3">
      <c r="A159" t="s">
        <v>1276</v>
      </c>
      <c r="B159" t="s">
        <v>1120</v>
      </c>
      <c r="C159" t="s">
        <v>1277</v>
      </c>
      <c r="D159">
        <v>137</v>
      </c>
      <c r="E159">
        <v>3</v>
      </c>
      <c r="F159" s="6">
        <v>1</v>
      </c>
      <c r="G159" s="91">
        <f>Barrage[[#This Row],[Coefficient]]*Barrage[[#This Row],[Total Rounds]]*Barrage[[#This Row],[Base Damage]]</f>
        <v>411</v>
      </c>
      <c r="H159" s="9" t="s">
        <v>79</v>
      </c>
      <c r="I159" s="6">
        <v>0.8</v>
      </c>
      <c r="J159" s="6">
        <v>1</v>
      </c>
      <c r="K159" s="6">
        <v>1.3</v>
      </c>
      <c r="L159" s="106"/>
      <c r="M159" s="108"/>
      <c r="N159" s="108"/>
      <c r="O159" s="108"/>
      <c r="P159" s="108"/>
      <c r="Q159" s="7"/>
      <c r="R159" t="s">
        <v>11</v>
      </c>
      <c r="T159">
        <v>1.2</v>
      </c>
      <c r="U159" t="s">
        <v>1273</v>
      </c>
    </row>
    <row r="160" spans="1:21" x14ac:dyDescent="0.3">
      <c r="A160" t="s">
        <v>1276</v>
      </c>
      <c r="B160" t="s">
        <v>1278</v>
      </c>
      <c r="C160" t="s">
        <v>583</v>
      </c>
      <c r="D160">
        <v>20</v>
      </c>
      <c r="E160">
        <v>128</v>
      </c>
      <c r="F160" s="6">
        <v>1.1000000000000001</v>
      </c>
      <c r="G160" s="91">
        <f>Barrage[[#This Row],[Coefficient]]*Barrage[[#This Row],[Total Rounds]]*Barrage[[#This Row],[Base Damage]]</f>
        <v>2816</v>
      </c>
      <c r="H160" s="95" t="s">
        <v>241</v>
      </c>
      <c r="I160" s="6">
        <v>1.25</v>
      </c>
      <c r="J160" s="6">
        <v>1.1000000000000001</v>
      </c>
      <c r="K160" s="6">
        <v>0.95</v>
      </c>
      <c r="L160" s="106">
        <v>0.5</v>
      </c>
      <c r="M160" s="108">
        <v>3</v>
      </c>
      <c r="N160" s="108"/>
      <c r="O160" s="108"/>
      <c r="P160" s="108"/>
      <c r="Q160" s="7"/>
      <c r="R160" t="s">
        <v>9</v>
      </c>
      <c r="T160">
        <v>1.5</v>
      </c>
      <c r="U160" t="s">
        <v>1279</v>
      </c>
    </row>
    <row r="161" spans="1:21" x14ac:dyDescent="0.3">
      <c r="A161" t="s">
        <v>1276</v>
      </c>
      <c r="B161" t="s">
        <v>1121</v>
      </c>
      <c r="C161" t="s">
        <v>586</v>
      </c>
      <c r="D161">
        <v>140</v>
      </c>
      <c r="E161">
        <v>8</v>
      </c>
      <c r="F161" s="6">
        <v>1</v>
      </c>
      <c r="G161" s="91">
        <f>Barrage[[#This Row],[Coefficient]]*Barrage[[#This Row],[Total Rounds]]*Barrage[[#This Row],[Base Damage]]</f>
        <v>1120</v>
      </c>
      <c r="H161" s="95" t="s">
        <v>169</v>
      </c>
      <c r="I161" s="6">
        <v>1.35</v>
      </c>
      <c r="J161" s="6">
        <v>0.95</v>
      </c>
      <c r="K161" s="6">
        <v>0.7</v>
      </c>
      <c r="L161" s="106">
        <v>0.08</v>
      </c>
      <c r="M161" s="108">
        <v>3</v>
      </c>
      <c r="N161" s="108"/>
      <c r="O161" s="108"/>
      <c r="P161" s="108"/>
      <c r="Q161" s="7"/>
      <c r="R161" t="s">
        <v>9</v>
      </c>
      <c r="T161">
        <v>1</v>
      </c>
    </row>
    <row r="162" spans="1:21" x14ac:dyDescent="0.3">
      <c r="A162" t="s">
        <v>1276</v>
      </c>
      <c r="B162" t="s">
        <v>1359</v>
      </c>
      <c r="C162" t="s">
        <v>586</v>
      </c>
      <c r="D162">
        <v>30</v>
      </c>
      <c r="E162">
        <v>16</v>
      </c>
      <c r="F162" s="6">
        <v>1</v>
      </c>
      <c r="G162" s="91">
        <f>Barrage[[#This Row],[Coefficient]]*Barrage[[#This Row],[Total Rounds]]*Barrage[[#This Row],[Base Damage]]</f>
        <v>480</v>
      </c>
      <c r="H162" s="9" t="s">
        <v>161</v>
      </c>
      <c r="I162" s="6">
        <v>1</v>
      </c>
      <c r="J162" s="6">
        <v>0.8</v>
      </c>
      <c r="K162" s="6">
        <v>0.7</v>
      </c>
      <c r="L162" s="106"/>
      <c r="M162" s="108"/>
      <c r="N162" s="108"/>
      <c r="O162" s="108"/>
      <c r="P162" s="108"/>
      <c r="Q162" s="7"/>
      <c r="R162" t="s">
        <v>9</v>
      </c>
      <c r="T162">
        <v>1</v>
      </c>
    </row>
    <row r="163" spans="1:21" x14ac:dyDescent="0.3">
      <c r="A163" t="s">
        <v>1276</v>
      </c>
      <c r="B163" t="s">
        <v>1360</v>
      </c>
      <c r="C163" t="s">
        <v>587</v>
      </c>
      <c r="D163">
        <v>226</v>
      </c>
      <c r="E163">
        <v>4</v>
      </c>
      <c r="F163" s="6">
        <v>1</v>
      </c>
      <c r="G163" s="91">
        <f>Barrage[[#This Row],[Coefficient]]*Barrage[[#This Row],[Total Rounds]]*Barrage[[#This Row],[Base Damage]]</f>
        <v>904</v>
      </c>
      <c r="H163" s="9" t="s">
        <v>161</v>
      </c>
      <c r="I163" s="6">
        <v>0.9</v>
      </c>
      <c r="J163" s="6">
        <v>1.2</v>
      </c>
      <c r="K163" s="6">
        <v>0.7</v>
      </c>
      <c r="L163" s="106"/>
      <c r="M163" s="108"/>
      <c r="N163" s="108"/>
      <c r="O163" s="108"/>
      <c r="P163" s="108"/>
      <c r="Q163" s="7"/>
      <c r="R163" t="s">
        <v>9</v>
      </c>
      <c r="T163">
        <v>1</v>
      </c>
    </row>
    <row r="164" spans="1:21" x14ac:dyDescent="0.3">
      <c r="A164" t="s">
        <v>1276</v>
      </c>
      <c r="B164" t="s">
        <v>1361</v>
      </c>
      <c r="C164" t="s">
        <v>587</v>
      </c>
      <c r="D164">
        <v>156</v>
      </c>
      <c r="E164">
        <v>6</v>
      </c>
      <c r="F164" s="6">
        <v>1</v>
      </c>
      <c r="G164" s="91">
        <f>Barrage[[#This Row],[Coefficient]]*Barrage[[#This Row],[Total Rounds]]*Barrage[[#This Row],[Base Damage]]</f>
        <v>936</v>
      </c>
      <c r="H164" s="9" t="s">
        <v>161</v>
      </c>
      <c r="I164" s="6">
        <v>0.9</v>
      </c>
      <c r="J164" s="6">
        <v>1.2</v>
      </c>
      <c r="K164" s="6">
        <v>0.7</v>
      </c>
      <c r="L164" s="106"/>
      <c r="M164" s="108"/>
      <c r="N164" s="108"/>
      <c r="O164" s="108"/>
      <c r="P164" s="108"/>
      <c r="Q164" s="7"/>
      <c r="R164" t="s">
        <v>9</v>
      </c>
      <c r="T164">
        <v>1</v>
      </c>
    </row>
    <row r="165" spans="1:21" x14ac:dyDescent="0.3">
      <c r="A165" t="s">
        <v>1276</v>
      </c>
      <c r="B165" t="s">
        <v>1362</v>
      </c>
      <c r="C165" t="s">
        <v>587</v>
      </c>
      <c r="D165">
        <v>25</v>
      </c>
      <c r="E165">
        <v>16</v>
      </c>
      <c r="F165" s="6">
        <v>1</v>
      </c>
      <c r="G165" s="91">
        <f>Barrage[[#This Row],[Coefficient]]*Barrage[[#This Row],[Total Rounds]]*Barrage[[#This Row],[Base Damage]]</f>
        <v>400</v>
      </c>
      <c r="H165" s="94" t="s">
        <v>167</v>
      </c>
      <c r="I165" s="6">
        <v>0.9</v>
      </c>
      <c r="J165" s="6">
        <v>0.7</v>
      </c>
      <c r="K165" s="6">
        <v>0.4</v>
      </c>
      <c r="L165" s="106"/>
      <c r="M165" s="108"/>
      <c r="N165" s="108"/>
      <c r="O165" s="108"/>
      <c r="P165" s="108"/>
      <c r="Q165" s="7"/>
      <c r="R165" t="s">
        <v>9</v>
      </c>
      <c r="T165">
        <v>1</v>
      </c>
    </row>
    <row r="166" spans="1:21" x14ac:dyDescent="0.3">
      <c r="A166" t="s">
        <v>1276</v>
      </c>
      <c r="B166" t="s">
        <v>1363</v>
      </c>
      <c r="C166" t="s">
        <v>587</v>
      </c>
      <c r="D166">
        <v>124</v>
      </c>
      <c r="E166">
        <v>4</v>
      </c>
      <c r="F166" s="6">
        <v>1.1000000000000001</v>
      </c>
      <c r="G166" s="91">
        <f>Barrage[[#This Row],[Coefficient]]*Barrage[[#This Row],[Total Rounds]]*Barrage[[#This Row],[Base Damage]]</f>
        <v>545.6</v>
      </c>
      <c r="H166" s="9" t="s">
        <v>79</v>
      </c>
      <c r="I166" s="6">
        <v>0.8</v>
      </c>
      <c r="J166" s="6">
        <v>1</v>
      </c>
      <c r="K166" s="6">
        <v>1.3</v>
      </c>
      <c r="L166" s="106"/>
      <c r="M166" s="108"/>
      <c r="N166" s="108"/>
      <c r="O166" s="108"/>
      <c r="P166" s="108"/>
      <c r="Q166" s="7"/>
      <c r="R166" t="s">
        <v>11</v>
      </c>
      <c r="T166">
        <v>1</v>
      </c>
    </row>
    <row r="167" spans="1:21" x14ac:dyDescent="0.3">
      <c r="A167" t="s">
        <v>189</v>
      </c>
      <c r="B167" t="s">
        <v>1364</v>
      </c>
      <c r="C167" t="s">
        <v>1280</v>
      </c>
      <c r="D167">
        <v>195</v>
      </c>
      <c r="E167">
        <v>10</v>
      </c>
      <c r="F167" s="6">
        <v>1.1000000000000001</v>
      </c>
      <c r="G167" s="91">
        <f>Barrage[[#This Row],[Coefficient]]*Barrage[[#This Row],[Total Rounds]]*Barrage[[#This Row],[Base Damage]]</f>
        <v>2145</v>
      </c>
      <c r="H167" s="9" t="s">
        <v>161</v>
      </c>
      <c r="I167" s="6">
        <v>0.7</v>
      </c>
      <c r="J167" s="6">
        <v>1</v>
      </c>
      <c r="K167" s="6">
        <v>0.9</v>
      </c>
      <c r="L167" s="106"/>
      <c r="M167" s="108"/>
      <c r="N167" s="108"/>
      <c r="O167" s="108"/>
      <c r="P167" s="108"/>
      <c r="Q167" s="7"/>
      <c r="R167" t="s">
        <v>9</v>
      </c>
      <c r="T167">
        <v>1</v>
      </c>
    </row>
    <row r="168" spans="1:21" x14ac:dyDescent="0.3">
      <c r="A168" t="s">
        <v>189</v>
      </c>
      <c r="B168" t="s">
        <v>1365</v>
      </c>
      <c r="C168" t="s">
        <v>1280</v>
      </c>
      <c r="D168">
        <v>35</v>
      </c>
      <c r="E168">
        <v>20</v>
      </c>
      <c r="F168" s="6">
        <v>1</v>
      </c>
      <c r="G168" s="91">
        <f>Barrage[[#This Row],[Coefficient]]*Barrage[[#This Row],[Total Rounds]]*Barrage[[#This Row],[Base Damage]]</f>
        <v>700</v>
      </c>
      <c r="H168" s="95" t="s">
        <v>169</v>
      </c>
      <c r="I168" s="6">
        <v>1.2</v>
      </c>
      <c r="J168" s="6">
        <v>0.6</v>
      </c>
      <c r="K168" s="6">
        <v>0.6</v>
      </c>
      <c r="L168" s="106">
        <v>0.01</v>
      </c>
      <c r="M168" s="108">
        <v>1</v>
      </c>
      <c r="N168" s="108"/>
      <c r="O168" s="108"/>
      <c r="P168" s="108"/>
      <c r="Q168" s="7"/>
      <c r="R168" t="s">
        <v>9</v>
      </c>
      <c r="T168">
        <v>1</v>
      </c>
    </row>
    <row r="169" spans="1:21" x14ac:dyDescent="0.3">
      <c r="A169" t="s">
        <v>189</v>
      </c>
      <c r="B169" t="s">
        <v>1122</v>
      </c>
      <c r="C169" t="s">
        <v>1280</v>
      </c>
      <c r="D169">
        <v>96</v>
      </c>
      <c r="E169">
        <v>8</v>
      </c>
      <c r="F169" s="6">
        <v>1.1000000000000001</v>
      </c>
      <c r="G169" s="91">
        <f>Barrage[[#This Row],[Coefficient]]*Barrage[[#This Row],[Total Rounds]]*Barrage[[#This Row],[Base Damage]]</f>
        <v>844.80000000000007</v>
      </c>
      <c r="H169" s="9" t="s">
        <v>79</v>
      </c>
      <c r="I169" s="6">
        <v>0.8</v>
      </c>
      <c r="J169" s="6">
        <v>1</v>
      </c>
      <c r="K169" s="6">
        <v>1.3</v>
      </c>
      <c r="L169" s="106"/>
      <c r="M169" s="108"/>
      <c r="N169" s="108"/>
      <c r="O169" s="108"/>
      <c r="P169" s="108"/>
      <c r="Q169" s="7"/>
      <c r="R169" t="s">
        <v>11</v>
      </c>
      <c r="T169">
        <v>1</v>
      </c>
    </row>
    <row r="170" spans="1:21" x14ac:dyDescent="0.3">
      <c r="A170" t="s">
        <v>189</v>
      </c>
      <c r="B170" t="s">
        <v>1123</v>
      </c>
      <c r="C170" s="87" t="s">
        <v>1281</v>
      </c>
      <c r="D170">
        <v>156</v>
      </c>
      <c r="E170">
        <v>44</v>
      </c>
      <c r="F170" s="6">
        <v>1</v>
      </c>
      <c r="G170" s="91">
        <f>Barrage[[#This Row],[Coefficient]]*Barrage[[#This Row],[Total Rounds]]*Barrage[[#This Row],[Base Damage]]</f>
        <v>6864</v>
      </c>
      <c r="H170" s="9" t="s">
        <v>161</v>
      </c>
      <c r="I170" s="6">
        <v>1</v>
      </c>
      <c r="J170" s="6">
        <v>0.8</v>
      </c>
      <c r="K170" s="6">
        <v>0.7</v>
      </c>
      <c r="L170" s="106"/>
      <c r="M170" s="108"/>
      <c r="N170" s="108"/>
      <c r="O170" s="108"/>
      <c r="P170" s="108"/>
      <c r="Q170" s="7"/>
      <c r="R170" t="s">
        <v>9</v>
      </c>
      <c r="T170">
        <v>1</v>
      </c>
    </row>
    <row r="171" spans="1:21" x14ac:dyDescent="0.3">
      <c r="A171" t="s">
        <v>189</v>
      </c>
      <c r="B171" t="s">
        <v>1124</v>
      </c>
      <c r="C171" t="s">
        <v>555</v>
      </c>
      <c r="D171">
        <v>120</v>
      </c>
      <c r="E171">
        <v>12</v>
      </c>
      <c r="F171" s="6">
        <v>1</v>
      </c>
      <c r="G171" s="91">
        <f>Barrage[[#This Row],[Coefficient]]*Barrage[[#This Row],[Total Rounds]]*Barrage[[#This Row],[Base Damage]]</f>
        <v>1440</v>
      </c>
      <c r="H171" s="9" t="s">
        <v>161</v>
      </c>
      <c r="I171" s="6">
        <v>0.7</v>
      </c>
      <c r="J171" s="6">
        <v>1</v>
      </c>
      <c r="K171" s="6">
        <v>0.9</v>
      </c>
      <c r="L171" s="106"/>
      <c r="M171" s="108"/>
      <c r="N171" s="108"/>
      <c r="O171" s="108"/>
      <c r="P171" s="108"/>
      <c r="Q171" s="7"/>
      <c r="R171" t="s">
        <v>9</v>
      </c>
      <c r="T171">
        <v>1</v>
      </c>
    </row>
    <row r="172" spans="1:21" x14ac:dyDescent="0.3">
      <c r="A172" t="s">
        <v>189</v>
      </c>
      <c r="B172" t="s">
        <v>1125</v>
      </c>
      <c r="C172" s="102" t="s">
        <v>572</v>
      </c>
      <c r="D172">
        <v>137</v>
      </c>
      <c r="E172">
        <v>4</v>
      </c>
      <c r="F172" s="6">
        <v>1</v>
      </c>
      <c r="G172" s="91">
        <f>Barrage[[#This Row],[Coefficient]]*Barrage[[#This Row],[Total Rounds]]*Barrage[[#This Row],[Base Damage]]</f>
        <v>548</v>
      </c>
      <c r="H172" s="9" t="s">
        <v>79</v>
      </c>
      <c r="I172" s="6">
        <v>0.8</v>
      </c>
      <c r="J172" s="6">
        <v>1</v>
      </c>
      <c r="K172" s="6">
        <v>1.3</v>
      </c>
      <c r="L172" s="106"/>
      <c r="M172" s="108"/>
      <c r="N172" s="108"/>
      <c r="O172" s="108"/>
      <c r="P172" s="108"/>
      <c r="Q172" s="7"/>
      <c r="R172" t="s">
        <v>11</v>
      </c>
      <c r="T172">
        <v>1.5</v>
      </c>
      <c r="U172" t="s">
        <v>1282</v>
      </c>
    </row>
    <row r="173" spans="1:21" x14ac:dyDescent="0.3">
      <c r="A173" t="s">
        <v>189</v>
      </c>
      <c r="B173" t="s">
        <v>1126</v>
      </c>
      <c r="C173" s="102" t="s">
        <v>384</v>
      </c>
      <c r="D173">
        <v>154</v>
      </c>
      <c r="E173">
        <v>2</v>
      </c>
      <c r="F173" s="6">
        <v>1.1000000000000001</v>
      </c>
      <c r="G173" s="91">
        <f>Barrage[[#This Row],[Coefficient]]*Barrage[[#This Row],[Total Rounds]]*Barrage[[#This Row],[Base Damage]]</f>
        <v>338.8</v>
      </c>
      <c r="H173" s="94" t="s">
        <v>167</v>
      </c>
      <c r="I173" s="6">
        <v>0.3</v>
      </c>
      <c r="J173" s="6">
        <v>1.3</v>
      </c>
      <c r="K173" s="6">
        <v>1.1000000000000001</v>
      </c>
      <c r="L173" s="106"/>
      <c r="M173" s="108"/>
      <c r="N173" s="108"/>
      <c r="O173" s="108"/>
      <c r="P173" s="108"/>
      <c r="Q173" s="7"/>
      <c r="R173" t="s">
        <v>9</v>
      </c>
      <c r="T173">
        <v>0.8</v>
      </c>
      <c r="U173" t="s">
        <v>1283</v>
      </c>
    </row>
    <row r="174" spans="1:21" x14ac:dyDescent="0.3">
      <c r="A174" t="s">
        <v>189</v>
      </c>
      <c r="B174" t="s">
        <v>1127</v>
      </c>
      <c r="C174" s="102" t="s">
        <v>686</v>
      </c>
      <c r="D174">
        <v>184</v>
      </c>
      <c r="E174">
        <v>2</v>
      </c>
      <c r="F174" s="6">
        <v>1.1000000000000001</v>
      </c>
      <c r="G174" s="91">
        <f>Barrage[[#This Row],[Coefficient]]*Barrage[[#This Row],[Total Rounds]]*Barrage[[#This Row],[Base Damage]]</f>
        <v>404.8</v>
      </c>
      <c r="H174" s="94" t="s">
        <v>167</v>
      </c>
      <c r="I174" s="6">
        <v>0.3</v>
      </c>
      <c r="J174" s="6">
        <v>1.3</v>
      </c>
      <c r="K174" s="6">
        <v>1.1000000000000001</v>
      </c>
      <c r="L174" s="106"/>
      <c r="M174" s="108"/>
      <c r="N174" s="108"/>
      <c r="O174" s="108"/>
      <c r="P174" s="108"/>
      <c r="Q174" s="7"/>
      <c r="R174" t="s">
        <v>9</v>
      </c>
      <c r="S174">
        <v>1</v>
      </c>
      <c r="T174">
        <v>0.8</v>
      </c>
      <c r="U174" t="s">
        <v>1284</v>
      </c>
    </row>
    <row r="175" spans="1:21" x14ac:dyDescent="0.3">
      <c r="A175" t="s">
        <v>189</v>
      </c>
      <c r="B175" t="s">
        <v>1128</v>
      </c>
      <c r="C175" t="s">
        <v>569</v>
      </c>
      <c r="D175">
        <v>108</v>
      </c>
      <c r="E175">
        <v>4</v>
      </c>
      <c r="F175" s="6">
        <v>1.1000000000000001</v>
      </c>
      <c r="G175" s="91">
        <f>Barrage[[#This Row],[Coefficient]]*Barrage[[#This Row],[Total Rounds]]*Barrage[[#This Row],[Base Damage]]</f>
        <v>475.20000000000005</v>
      </c>
      <c r="H175" s="9" t="s">
        <v>161</v>
      </c>
      <c r="I175" s="6">
        <v>0.7</v>
      </c>
      <c r="J175" s="6">
        <v>1</v>
      </c>
      <c r="K175" s="6">
        <v>0.9</v>
      </c>
      <c r="L175" s="106"/>
      <c r="M175" s="108"/>
      <c r="N175" s="108"/>
      <c r="O175" s="108"/>
      <c r="P175" s="108"/>
      <c r="Q175" s="7"/>
      <c r="R175" t="s">
        <v>9</v>
      </c>
      <c r="T175">
        <v>1</v>
      </c>
    </row>
    <row r="176" spans="1:21" x14ac:dyDescent="0.3">
      <c r="A176" t="s">
        <v>189</v>
      </c>
      <c r="B176" t="s">
        <v>1129</v>
      </c>
      <c r="C176" t="s">
        <v>563</v>
      </c>
      <c r="D176">
        <v>174</v>
      </c>
      <c r="E176">
        <v>9</v>
      </c>
      <c r="F176" s="6">
        <v>1</v>
      </c>
      <c r="G176" s="91">
        <f>Barrage[[#This Row],[Coefficient]]*Barrage[[#This Row],[Total Rounds]]*Barrage[[#This Row],[Base Damage]]</f>
        <v>1566</v>
      </c>
      <c r="H176" s="9" t="s">
        <v>161</v>
      </c>
      <c r="I176" s="6">
        <v>0.7</v>
      </c>
      <c r="J176" s="6">
        <v>1</v>
      </c>
      <c r="K176" s="6">
        <v>0.9</v>
      </c>
      <c r="L176" s="106"/>
      <c r="M176" s="108"/>
      <c r="N176" s="108"/>
      <c r="O176" s="108"/>
      <c r="P176" s="108"/>
      <c r="Q176" s="7"/>
      <c r="R176" t="s">
        <v>9</v>
      </c>
      <c r="T176">
        <v>1</v>
      </c>
    </row>
    <row r="177" spans="1:21" x14ac:dyDescent="0.3">
      <c r="A177" t="s">
        <v>189</v>
      </c>
      <c r="B177" t="s">
        <v>1366</v>
      </c>
      <c r="C177" t="s">
        <v>563</v>
      </c>
      <c r="D177">
        <v>20</v>
      </c>
      <c r="E177">
        <v>30</v>
      </c>
      <c r="F177" s="6">
        <v>1</v>
      </c>
      <c r="G177" s="91">
        <f>Barrage[[#This Row],[Coefficient]]*Barrage[[#This Row],[Total Rounds]]*Barrage[[#This Row],[Base Damage]]</f>
        <v>600</v>
      </c>
      <c r="H177" s="95" t="s">
        <v>169</v>
      </c>
      <c r="I177" s="6">
        <v>1.2</v>
      </c>
      <c r="J177" s="6">
        <v>0.6</v>
      </c>
      <c r="K177" s="6">
        <v>0.6</v>
      </c>
      <c r="L177" s="106">
        <v>0.01</v>
      </c>
      <c r="M177" s="108">
        <v>1</v>
      </c>
      <c r="N177" s="108"/>
      <c r="O177" s="108"/>
      <c r="P177" s="108"/>
      <c r="Q177" s="7"/>
      <c r="R177" t="s">
        <v>9</v>
      </c>
      <c r="T177">
        <v>1</v>
      </c>
    </row>
    <row r="178" spans="1:21" x14ac:dyDescent="0.3">
      <c r="A178" t="s">
        <v>189</v>
      </c>
      <c r="B178" t="s">
        <v>1285</v>
      </c>
      <c r="C178" t="s">
        <v>634</v>
      </c>
      <c r="D178">
        <v>104</v>
      </c>
      <c r="E178">
        <v>36</v>
      </c>
      <c r="F178" s="6">
        <v>1</v>
      </c>
      <c r="G178" s="91">
        <f>Barrage[[#This Row],[Coefficient]]*Barrage[[#This Row],[Total Rounds]]*Barrage[[#This Row],[Base Damage]]</f>
        <v>3744</v>
      </c>
      <c r="H178" s="94" t="s">
        <v>167</v>
      </c>
      <c r="I178" s="6">
        <v>0.5</v>
      </c>
      <c r="J178" s="6">
        <v>1.35</v>
      </c>
      <c r="K178" s="6">
        <v>1.2</v>
      </c>
      <c r="L178" s="106"/>
      <c r="M178" s="108"/>
      <c r="N178" s="108"/>
      <c r="O178" s="108"/>
      <c r="P178" s="108"/>
      <c r="Q178" s="7">
        <v>1</v>
      </c>
      <c r="R178" t="s">
        <v>9</v>
      </c>
      <c r="T178">
        <v>1.2</v>
      </c>
      <c r="U178" t="s">
        <v>1286</v>
      </c>
    </row>
    <row r="179" spans="1:21" x14ac:dyDescent="0.3">
      <c r="A179" t="s">
        <v>189</v>
      </c>
      <c r="B179" t="s">
        <v>1368</v>
      </c>
      <c r="C179" t="s">
        <v>634</v>
      </c>
      <c r="D179">
        <v>104</v>
      </c>
      <c r="E179">
        <v>18</v>
      </c>
      <c r="F179" s="6">
        <v>1</v>
      </c>
      <c r="G179" s="91">
        <f>Barrage[[#This Row],[Coefficient]]*Barrage[[#This Row],[Total Rounds]]*Barrage[[#This Row],[Base Damage]]</f>
        <v>1872</v>
      </c>
      <c r="H179" s="94" t="s">
        <v>167</v>
      </c>
      <c r="I179" s="6">
        <v>0.5</v>
      </c>
      <c r="J179" s="6">
        <v>1.35</v>
      </c>
      <c r="K179" s="6">
        <v>1.2</v>
      </c>
      <c r="L179" s="106"/>
      <c r="M179" s="108"/>
      <c r="N179" s="108"/>
      <c r="O179" s="108"/>
      <c r="P179" s="108"/>
      <c r="Q179" s="7">
        <v>1</v>
      </c>
      <c r="R179" t="s">
        <v>9</v>
      </c>
      <c r="T179">
        <v>1.2</v>
      </c>
      <c r="U179" t="s">
        <v>1286</v>
      </c>
    </row>
    <row r="180" spans="1:21" x14ac:dyDescent="0.3">
      <c r="A180" t="s">
        <v>189</v>
      </c>
      <c r="B180" t="s">
        <v>1367</v>
      </c>
      <c r="C180" t="s">
        <v>634</v>
      </c>
      <c r="D180">
        <v>104</v>
      </c>
      <c r="E180">
        <v>18</v>
      </c>
      <c r="F180" s="6">
        <v>1</v>
      </c>
      <c r="G180" s="91">
        <f>Barrage[[#This Row],[Coefficient]]*Barrage[[#This Row],[Total Rounds]]*Barrage[[#This Row],[Base Damage]]</f>
        <v>1872</v>
      </c>
      <c r="H180" s="9" t="s">
        <v>161</v>
      </c>
      <c r="I180" s="6">
        <v>0.5</v>
      </c>
      <c r="J180" s="6">
        <v>1.35</v>
      </c>
      <c r="K180" s="6">
        <v>1.2</v>
      </c>
      <c r="L180" s="106"/>
      <c r="M180" s="108"/>
      <c r="N180" s="108"/>
      <c r="O180" s="108"/>
      <c r="P180" s="108"/>
      <c r="Q180" s="7">
        <v>0</v>
      </c>
      <c r="R180" t="s">
        <v>9</v>
      </c>
      <c r="T180">
        <v>1.2</v>
      </c>
      <c r="U180" t="s">
        <v>1287</v>
      </c>
    </row>
    <row r="181" spans="1:21" x14ac:dyDescent="0.3">
      <c r="A181" t="s">
        <v>189</v>
      </c>
      <c r="B181" t="s">
        <v>1130</v>
      </c>
      <c r="C181" t="s">
        <v>632</v>
      </c>
      <c r="D181">
        <v>158</v>
      </c>
      <c r="E181">
        <v>13</v>
      </c>
      <c r="F181" s="6">
        <v>1</v>
      </c>
      <c r="G181" s="91">
        <f>Barrage[[#This Row],[Coefficient]]*Barrage[[#This Row],[Total Rounds]]*Barrage[[#This Row],[Base Damage]]</f>
        <v>2054</v>
      </c>
      <c r="H181" s="94" t="s">
        <v>167</v>
      </c>
      <c r="I181" s="6">
        <v>0.4</v>
      </c>
      <c r="J181" s="6">
        <v>1.25</v>
      </c>
      <c r="K181" s="6">
        <v>1.2</v>
      </c>
      <c r="L181" s="106"/>
      <c r="M181" s="108"/>
      <c r="N181" s="108"/>
      <c r="O181" s="108"/>
      <c r="P181" s="108"/>
      <c r="Q181" s="7"/>
      <c r="R181" t="s">
        <v>9</v>
      </c>
      <c r="T181">
        <v>1.2</v>
      </c>
      <c r="U181" t="s">
        <v>1286</v>
      </c>
    </row>
    <row r="182" spans="1:21" x14ac:dyDescent="0.3">
      <c r="A182" t="s">
        <v>189</v>
      </c>
      <c r="B182" t="s">
        <v>1369</v>
      </c>
      <c r="C182" t="s">
        <v>1288</v>
      </c>
      <c r="D182">
        <v>125</v>
      </c>
      <c r="E182">
        <v>44</v>
      </c>
      <c r="F182" s="6">
        <v>1</v>
      </c>
      <c r="G182" s="91">
        <f>Barrage[[#This Row],[Coefficient]]*Barrage[[#This Row],[Total Rounds]]*Barrage[[#This Row],[Base Damage]]</f>
        <v>5500</v>
      </c>
      <c r="H182" s="95" t="s">
        <v>169</v>
      </c>
      <c r="I182" s="6">
        <v>1.2</v>
      </c>
      <c r="J182" s="6">
        <v>1</v>
      </c>
      <c r="K182" s="6">
        <v>0.8</v>
      </c>
      <c r="L182" s="106">
        <v>0.3</v>
      </c>
      <c r="M182" s="108">
        <v>1</v>
      </c>
      <c r="N182" s="108"/>
      <c r="O182" s="108"/>
      <c r="P182" s="108"/>
      <c r="Q182" s="7"/>
      <c r="R182" t="s">
        <v>9</v>
      </c>
      <c r="T182">
        <v>1</v>
      </c>
    </row>
    <row r="183" spans="1:21" x14ac:dyDescent="0.3">
      <c r="A183" t="s">
        <v>189</v>
      </c>
      <c r="B183" t="s">
        <v>1131</v>
      </c>
      <c r="C183" t="s">
        <v>1288</v>
      </c>
      <c r="D183">
        <v>125</v>
      </c>
      <c r="E183">
        <v>16</v>
      </c>
      <c r="F183" s="6">
        <v>1</v>
      </c>
      <c r="G183" s="91">
        <f>Barrage[[#This Row],[Coefficient]]*Barrage[[#This Row],[Total Rounds]]*Barrage[[#This Row],[Base Damage]]</f>
        <v>2000</v>
      </c>
      <c r="H183" s="95" t="s">
        <v>169</v>
      </c>
      <c r="I183" s="6">
        <v>0.9</v>
      </c>
      <c r="J183" s="6">
        <v>1.2</v>
      </c>
      <c r="K183" s="6">
        <v>0.7</v>
      </c>
      <c r="L183" s="106">
        <v>0.3</v>
      </c>
      <c r="M183" s="108">
        <v>1</v>
      </c>
      <c r="N183" s="108"/>
      <c r="O183" s="108"/>
      <c r="P183" s="108"/>
      <c r="Q183" s="7"/>
      <c r="R183" t="s">
        <v>9</v>
      </c>
      <c r="T183">
        <v>1</v>
      </c>
    </row>
    <row r="184" spans="1:21" x14ac:dyDescent="0.3">
      <c r="A184" t="s">
        <v>189</v>
      </c>
      <c r="B184" t="s">
        <v>1132</v>
      </c>
      <c r="C184" t="s">
        <v>928</v>
      </c>
      <c r="D184">
        <v>239</v>
      </c>
      <c r="E184">
        <v>4</v>
      </c>
      <c r="F184" s="6">
        <v>1.1000000000000001</v>
      </c>
      <c r="G184" s="91">
        <f>Barrage[[#This Row],[Coefficient]]*Barrage[[#This Row],[Total Rounds]]*Barrage[[#This Row],[Base Damage]]</f>
        <v>1051.6000000000001</v>
      </c>
      <c r="H184" s="94" t="s">
        <v>167</v>
      </c>
      <c r="I184" s="6">
        <v>0.65</v>
      </c>
      <c r="J184" s="6">
        <v>1.35</v>
      </c>
      <c r="K184" s="6">
        <v>1.1499999999999999</v>
      </c>
      <c r="L184" s="106"/>
      <c r="M184" s="108"/>
      <c r="N184" s="108"/>
      <c r="O184" s="108"/>
      <c r="P184" s="108"/>
      <c r="Q184" s="7"/>
      <c r="R184" t="s">
        <v>9</v>
      </c>
      <c r="S184">
        <v>1</v>
      </c>
      <c r="T184">
        <v>1</v>
      </c>
      <c r="U184" t="s">
        <v>1289</v>
      </c>
    </row>
    <row r="185" spans="1:21" x14ac:dyDescent="0.3">
      <c r="A185" t="s">
        <v>189</v>
      </c>
      <c r="B185" t="s">
        <v>1370</v>
      </c>
      <c r="C185" t="s">
        <v>928</v>
      </c>
      <c r="D185">
        <v>35</v>
      </c>
      <c r="E185">
        <v>36</v>
      </c>
      <c r="F185" s="6">
        <v>1</v>
      </c>
      <c r="G185" s="91">
        <f>Barrage[[#This Row],[Coefficient]]*Barrage[[#This Row],[Total Rounds]]*Barrage[[#This Row],[Base Damage]]</f>
        <v>1260</v>
      </c>
      <c r="H185" s="95" t="s">
        <v>169</v>
      </c>
      <c r="I185" s="6">
        <v>1.2</v>
      </c>
      <c r="J185" s="6">
        <v>0.8</v>
      </c>
      <c r="K185" s="6">
        <v>0.6</v>
      </c>
      <c r="L185" s="106">
        <v>0.01</v>
      </c>
      <c r="M185" s="108">
        <v>1</v>
      </c>
      <c r="N185" s="108"/>
      <c r="O185" s="108"/>
      <c r="P185" s="108"/>
      <c r="Q185" s="7"/>
      <c r="R185" t="s">
        <v>9</v>
      </c>
      <c r="S185">
        <v>1</v>
      </c>
      <c r="T185">
        <v>1</v>
      </c>
      <c r="U185" t="s">
        <v>1289</v>
      </c>
    </row>
    <row r="186" spans="1:21" x14ac:dyDescent="0.3">
      <c r="A186" t="s">
        <v>189</v>
      </c>
      <c r="B186" t="s">
        <v>1371</v>
      </c>
      <c r="C186" t="s">
        <v>931</v>
      </c>
      <c r="D186">
        <v>54</v>
      </c>
      <c r="E186">
        <v>10</v>
      </c>
      <c r="F186" s="6">
        <v>1</v>
      </c>
      <c r="G186" s="91">
        <f>Barrage[[#This Row],[Coefficient]]*Barrage[[#This Row],[Total Rounds]]*Barrage[[#This Row],[Base Damage]]</f>
        <v>540</v>
      </c>
      <c r="H186" s="9" t="s">
        <v>161</v>
      </c>
      <c r="I186" s="6">
        <v>1.2</v>
      </c>
      <c r="J186" s="6">
        <v>0.8</v>
      </c>
      <c r="K186" s="6">
        <v>0.8</v>
      </c>
      <c r="L186" s="106"/>
      <c r="M186" s="108"/>
      <c r="N186" s="108"/>
      <c r="O186" s="108"/>
      <c r="P186" s="108"/>
      <c r="Q186" s="7"/>
      <c r="R186" t="s">
        <v>9</v>
      </c>
      <c r="T186">
        <v>1</v>
      </c>
    </row>
    <row r="187" spans="1:21" x14ac:dyDescent="0.3">
      <c r="A187" t="s">
        <v>189</v>
      </c>
      <c r="B187" t="s">
        <v>1372</v>
      </c>
      <c r="C187" t="s">
        <v>931</v>
      </c>
      <c r="D187">
        <v>54</v>
      </c>
      <c r="E187">
        <v>10</v>
      </c>
      <c r="F187" s="6">
        <v>1</v>
      </c>
      <c r="G187" s="91">
        <f>Barrage[[#This Row],[Coefficient]]*Barrage[[#This Row],[Total Rounds]]*Barrage[[#This Row],[Base Damage]]</f>
        <v>540</v>
      </c>
      <c r="H187" s="9" t="s">
        <v>161</v>
      </c>
      <c r="I187" s="6">
        <v>0.8</v>
      </c>
      <c r="J187" s="6">
        <v>1.2</v>
      </c>
      <c r="K187" s="6">
        <v>0.8</v>
      </c>
      <c r="L187" s="106"/>
      <c r="M187" s="108"/>
      <c r="N187" s="108"/>
      <c r="O187" s="108"/>
      <c r="P187" s="108"/>
      <c r="Q187" s="7"/>
      <c r="R187" t="s">
        <v>9</v>
      </c>
      <c r="T187">
        <v>1</v>
      </c>
    </row>
    <row r="188" spans="1:21" x14ac:dyDescent="0.3">
      <c r="A188" t="s">
        <v>189</v>
      </c>
      <c r="B188" t="s">
        <v>1373</v>
      </c>
      <c r="C188" t="s">
        <v>931</v>
      </c>
      <c r="D188">
        <v>54</v>
      </c>
      <c r="E188">
        <v>10</v>
      </c>
      <c r="F188" s="6">
        <v>1</v>
      </c>
      <c r="G188" s="91">
        <f>Barrage[[#This Row],[Coefficient]]*Barrage[[#This Row],[Total Rounds]]*Barrage[[#This Row],[Base Damage]]</f>
        <v>540</v>
      </c>
      <c r="H188" s="9" t="s">
        <v>161</v>
      </c>
      <c r="I188" s="6">
        <v>0.8</v>
      </c>
      <c r="J188" s="6">
        <v>0.8</v>
      </c>
      <c r="K188" s="6">
        <v>1.2</v>
      </c>
      <c r="L188" s="106"/>
      <c r="M188" s="108"/>
      <c r="N188" s="108"/>
      <c r="O188" s="108"/>
      <c r="P188" s="108"/>
      <c r="Q188" s="7"/>
      <c r="R188" t="s">
        <v>9</v>
      </c>
      <c r="T188">
        <v>1</v>
      </c>
    </row>
    <row r="189" spans="1:21" x14ac:dyDescent="0.3">
      <c r="A189" t="s">
        <v>189</v>
      </c>
      <c r="B189" t="s">
        <v>1133</v>
      </c>
      <c r="C189" t="s">
        <v>1290</v>
      </c>
      <c r="D189">
        <v>46</v>
      </c>
      <c r="E189">
        <v>48</v>
      </c>
      <c r="F189" s="6">
        <v>1</v>
      </c>
      <c r="G189" s="91">
        <f>Barrage[[#This Row],[Coefficient]]*Barrage[[#This Row],[Total Rounds]]*Barrage[[#This Row],[Base Damage]]</f>
        <v>2208</v>
      </c>
      <c r="H189" s="9" t="s">
        <v>161</v>
      </c>
      <c r="I189" s="6">
        <v>1</v>
      </c>
      <c r="J189" s="6">
        <v>1</v>
      </c>
      <c r="K189" s="6">
        <v>1</v>
      </c>
      <c r="L189" s="106"/>
      <c r="M189" s="108"/>
      <c r="N189" s="108"/>
      <c r="O189" s="108"/>
      <c r="P189" s="108"/>
      <c r="Q189" s="7"/>
      <c r="R189" t="s">
        <v>9</v>
      </c>
      <c r="T189">
        <v>1</v>
      </c>
    </row>
    <row r="190" spans="1:21" x14ac:dyDescent="0.3">
      <c r="A190" t="s">
        <v>189</v>
      </c>
      <c r="B190" t="s">
        <v>1374</v>
      </c>
      <c r="C190" t="s">
        <v>1290</v>
      </c>
      <c r="D190">
        <v>181</v>
      </c>
      <c r="E190">
        <v>4</v>
      </c>
      <c r="F190" s="6">
        <v>1</v>
      </c>
      <c r="G190" s="91">
        <f>Barrage[[#This Row],[Coefficient]]*Barrage[[#This Row],[Total Rounds]]*Barrage[[#This Row],[Base Damage]]</f>
        <v>724</v>
      </c>
      <c r="H190" s="98" t="s">
        <v>169</v>
      </c>
      <c r="I190" s="6">
        <v>1.4</v>
      </c>
      <c r="J190" s="6">
        <v>1.1000000000000001</v>
      </c>
      <c r="K190" s="6">
        <v>0.9</v>
      </c>
      <c r="L190" s="106">
        <v>0.5</v>
      </c>
      <c r="M190" s="108">
        <v>4</v>
      </c>
      <c r="N190" s="108"/>
      <c r="O190" s="108"/>
      <c r="P190" s="108"/>
      <c r="Q190" s="7"/>
      <c r="R190" t="s">
        <v>9</v>
      </c>
      <c r="T190">
        <v>1</v>
      </c>
    </row>
    <row r="191" spans="1:21" x14ac:dyDescent="0.3">
      <c r="A191" t="s">
        <v>189</v>
      </c>
      <c r="B191" t="s">
        <v>1375</v>
      </c>
      <c r="C191" t="s">
        <v>1291</v>
      </c>
      <c r="D191">
        <v>62</v>
      </c>
      <c r="E191">
        <v>20</v>
      </c>
      <c r="F191" s="6">
        <v>1</v>
      </c>
      <c r="G191" s="91">
        <f>Barrage[[#This Row],[Coefficient]]*Barrage[[#This Row],[Total Rounds]]*Barrage[[#This Row],[Base Damage]]</f>
        <v>1240</v>
      </c>
      <c r="H191" s="94" t="s">
        <v>167</v>
      </c>
      <c r="I191" s="6">
        <v>1.1000000000000001</v>
      </c>
      <c r="J191" s="6">
        <v>0.9</v>
      </c>
      <c r="K191" s="6">
        <v>0.7</v>
      </c>
      <c r="L191" s="106"/>
      <c r="M191" s="108"/>
      <c r="N191" s="108"/>
      <c r="O191" s="108"/>
      <c r="P191" s="108"/>
      <c r="Q191" s="7"/>
      <c r="R191" t="s">
        <v>9</v>
      </c>
      <c r="T191">
        <v>1</v>
      </c>
    </row>
    <row r="192" spans="1:21" x14ac:dyDescent="0.3">
      <c r="A192" t="s">
        <v>189</v>
      </c>
      <c r="B192" t="s">
        <v>1134</v>
      </c>
      <c r="C192" t="s">
        <v>1291</v>
      </c>
      <c r="D192">
        <v>144</v>
      </c>
      <c r="E192">
        <v>6</v>
      </c>
      <c r="F192" s="6">
        <v>1</v>
      </c>
      <c r="G192" s="91">
        <f>Barrage[[#This Row],[Coefficient]]*Barrage[[#This Row],[Total Rounds]]*Barrage[[#This Row],[Base Damage]]</f>
        <v>864</v>
      </c>
      <c r="H192" s="9" t="s">
        <v>79</v>
      </c>
      <c r="I192" s="6">
        <v>0.8</v>
      </c>
      <c r="J192" s="6">
        <v>1</v>
      </c>
      <c r="K192" s="6">
        <v>1.3</v>
      </c>
      <c r="L192" s="106"/>
      <c r="M192" s="108"/>
      <c r="N192" s="108"/>
      <c r="O192" s="108"/>
      <c r="P192" s="108"/>
      <c r="Q192" s="7"/>
      <c r="R192" t="s">
        <v>11</v>
      </c>
      <c r="T192">
        <v>1</v>
      </c>
    </row>
    <row r="193" spans="1:21" x14ac:dyDescent="0.3">
      <c r="A193" t="s">
        <v>189</v>
      </c>
      <c r="B193" t="s">
        <v>1135</v>
      </c>
      <c r="C193" t="s">
        <v>970</v>
      </c>
      <c r="D193">
        <v>72</v>
      </c>
      <c r="E193">
        <v>8</v>
      </c>
      <c r="F193" s="6">
        <v>1</v>
      </c>
      <c r="G193" s="91">
        <f>Barrage[[#This Row],[Coefficient]]*Barrage[[#This Row],[Total Rounds]]*Barrage[[#This Row],[Base Damage]]</f>
        <v>576</v>
      </c>
      <c r="H193" s="9" t="s">
        <v>79</v>
      </c>
      <c r="I193" s="6">
        <v>0.8</v>
      </c>
      <c r="J193" s="6">
        <v>1</v>
      </c>
      <c r="K193" s="6">
        <v>1.3</v>
      </c>
      <c r="L193" s="106"/>
      <c r="M193" s="108"/>
      <c r="N193" s="108"/>
      <c r="O193" s="108"/>
      <c r="P193" s="108"/>
      <c r="Q193" s="7"/>
      <c r="R193" t="s">
        <v>11</v>
      </c>
      <c r="T193">
        <v>1</v>
      </c>
    </row>
    <row r="194" spans="1:21" x14ac:dyDescent="0.3">
      <c r="A194" t="s">
        <v>189</v>
      </c>
      <c r="B194" t="s">
        <v>1136</v>
      </c>
      <c r="C194" t="s">
        <v>992</v>
      </c>
      <c r="D194">
        <v>110</v>
      </c>
      <c r="E194">
        <v>8</v>
      </c>
      <c r="F194" s="6">
        <v>1</v>
      </c>
      <c r="G194" s="91">
        <f>Barrage[[#This Row],[Coefficient]]*Barrage[[#This Row],[Total Rounds]]*Barrage[[#This Row],[Base Damage]]</f>
        <v>880</v>
      </c>
      <c r="H194" s="9" t="s">
        <v>161</v>
      </c>
      <c r="I194" s="6">
        <v>0.7</v>
      </c>
      <c r="J194" s="6">
        <v>1</v>
      </c>
      <c r="K194" s="6">
        <v>0.9</v>
      </c>
      <c r="L194" s="106"/>
      <c r="M194" s="108"/>
      <c r="N194" s="108"/>
      <c r="O194" s="108"/>
      <c r="P194" s="108"/>
      <c r="Q194" s="7"/>
      <c r="R194" t="s">
        <v>9</v>
      </c>
      <c r="T194">
        <v>1</v>
      </c>
    </row>
    <row r="195" spans="1:21" x14ac:dyDescent="0.3">
      <c r="A195" t="s">
        <v>189</v>
      </c>
      <c r="B195" t="s">
        <v>1376</v>
      </c>
      <c r="C195" t="s">
        <v>992</v>
      </c>
      <c r="D195">
        <v>20</v>
      </c>
      <c r="E195">
        <v>14</v>
      </c>
      <c r="F195" s="6">
        <v>1</v>
      </c>
      <c r="G195" s="91">
        <f>Barrage[[#This Row],[Coefficient]]*Barrage[[#This Row],[Total Rounds]]*Barrage[[#This Row],[Base Damage]]</f>
        <v>280</v>
      </c>
      <c r="H195" s="98" t="s">
        <v>169</v>
      </c>
      <c r="I195" s="6">
        <v>1.2</v>
      </c>
      <c r="J195" s="6">
        <v>0.6</v>
      </c>
      <c r="K195" s="6">
        <v>0.6</v>
      </c>
      <c r="L195" s="106">
        <v>0.01</v>
      </c>
      <c r="M195" s="108">
        <v>1</v>
      </c>
      <c r="N195" s="108"/>
      <c r="O195" s="108"/>
      <c r="P195" s="108"/>
      <c r="Q195" s="7"/>
      <c r="R195" t="s">
        <v>9</v>
      </c>
      <c r="T195">
        <v>1</v>
      </c>
    </row>
    <row r="196" spans="1:21" x14ac:dyDescent="0.3">
      <c r="A196" t="s">
        <v>189</v>
      </c>
      <c r="B196" t="s">
        <v>1137</v>
      </c>
      <c r="C196" t="s">
        <v>991</v>
      </c>
      <c r="D196">
        <v>121</v>
      </c>
      <c r="E196">
        <v>6</v>
      </c>
      <c r="F196" s="6">
        <v>1</v>
      </c>
      <c r="G196" s="91">
        <f>Barrage[[#This Row],[Coefficient]]*Barrage[[#This Row],[Total Rounds]]*Barrage[[#This Row],[Base Damage]]</f>
        <v>726</v>
      </c>
      <c r="H196" s="9" t="s">
        <v>161</v>
      </c>
      <c r="I196" s="6">
        <v>0.8</v>
      </c>
      <c r="J196" s="6">
        <v>1</v>
      </c>
      <c r="K196" s="6">
        <v>1.3</v>
      </c>
      <c r="L196" s="106"/>
      <c r="M196" s="108"/>
      <c r="N196" s="108"/>
      <c r="O196" s="108"/>
      <c r="P196" s="108"/>
      <c r="Q196" s="7"/>
      <c r="R196" t="s">
        <v>9</v>
      </c>
      <c r="T196">
        <v>1</v>
      </c>
      <c r="U196" t="s">
        <v>1292</v>
      </c>
    </row>
    <row r="197" spans="1:21" x14ac:dyDescent="0.3">
      <c r="A197" t="s">
        <v>189</v>
      </c>
      <c r="B197" t="s">
        <v>1138</v>
      </c>
      <c r="C197" t="s">
        <v>991</v>
      </c>
      <c r="D197">
        <v>138</v>
      </c>
      <c r="E197">
        <v>8</v>
      </c>
      <c r="F197" s="6">
        <v>1</v>
      </c>
      <c r="G197" s="91">
        <f>Barrage[[#This Row],[Coefficient]]*Barrage[[#This Row],[Total Rounds]]*Barrage[[#This Row],[Base Damage]]</f>
        <v>1104</v>
      </c>
      <c r="H197" s="9" t="s">
        <v>161</v>
      </c>
      <c r="I197" s="6">
        <v>0.8</v>
      </c>
      <c r="J197" s="6">
        <v>1</v>
      </c>
      <c r="K197" s="6">
        <v>1.3</v>
      </c>
      <c r="L197" s="106"/>
      <c r="M197" s="108"/>
      <c r="N197" s="108"/>
      <c r="O197" s="108"/>
      <c r="P197" s="108"/>
      <c r="Q197" s="7"/>
      <c r="R197" t="s">
        <v>9</v>
      </c>
      <c r="T197">
        <v>1</v>
      </c>
      <c r="U197" t="s">
        <v>1293</v>
      </c>
    </row>
    <row r="198" spans="1:21" x14ac:dyDescent="0.3">
      <c r="A198" t="s">
        <v>189</v>
      </c>
      <c r="B198" t="s">
        <v>1377</v>
      </c>
      <c r="C198" t="s">
        <v>991</v>
      </c>
      <c r="D198">
        <v>20</v>
      </c>
      <c r="E198">
        <v>16</v>
      </c>
      <c r="F198" s="6">
        <v>1</v>
      </c>
      <c r="G198" s="91">
        <f>Barrage[[#This Row],[Coefficient]]*Barrage[[#This Row],[Total Rounds]]*Barrage[[#This Row],[Base Damage]]</f>
        <v>320</v>
      </c>
      <c r="H198" s="9" t="s">
        <v>161</v>
      </c>
      <c r="I198" s="6">
        <v>1.2</v>
      </c>
      <c r="J198" s="6">
        <v>0.6</v>
      </c>
      <c r="K198" s="6">
        <v>0.6</v>
      </c>
      <c r="L198" s="106"/>
      <c r="M198" s="108"/>
      <c r="N198" s="108"/>
      <c r="O198" s="108"/>
      <c r="P198" s="108"/>
      <c r="Q198" s="7"/>
      <c r="R198" t="s">
        <v>9</v>
      </c>
      <c r="T198">
        <v>1</v>
      </c>
      <c r="U198" t="s">
        <v>1294</v>
      </c>
    </row>
    <row r="199" spans="1:21" x14ac:dyDescent="0.3">
      <c r="A199" s="87" t="s">
        <v>1295</v>
      </c>
      <c r="B199" s="87" t="s">
        <v>1378</v>
      </c>
      <c r="C199" s="87" t="s">
        <v>1296</v>
      </c>
      <c r="D199" s="87">
        <v>108</v>
      </c>
      <c r="E199" s="87">
        <v>30</v>
      </c>
      <c r="F199" s="97">
        <v>1</v>
      </c>
      <c r="G199" s="91">
        <f>Barrage[[#This Row],[Coefficient]]*Barrage[[#This Row],[Total Rounds]]*Barrage[[#This Row],[Base Damage]]</f>
        <v>3240</v>
      </c>
      <c r="H199" s="98" t="s">
        <v>169</v>
      </c>
      <c r="I199" s="97">
        <v>1</v>
      </c>
      <c r="J199" s="97">
        <v>0.8</v>
      </c>
      <c r="K199" s="97">
        <v>0.6</v>
      </c>
      <c r="L199" s="107">
        <v>0.3</v>
      </c>
      <c r="M199" s="109">
        <v>1</v>
      </c>
      <c r="N199" s="109"/>
      <c r="O199" s="109"/>
      <c r="P199" s="109"/>
      <c r="Q199" s="101"/>
      <c r="R199" t="s">
        <v>9</v>
      </c>
      <c r="T199">
        <v>1</v>
      </c>
      <c r="U199" s="87"/>
    </row>
    <row r="200" spans="1:21" x14ac:dyDescent="0.3">
      <c r="A200" s="87" t="s">
        <v>1295</v>
      </c>
      <c r="B200" s="87" t="s">
        <v>1379</v>
      </c>
      <c r="C200" s="87" t="s">
        <v>1296</v>
      </c>
      <c r="D200">
        <v>108</v>
      </c>
      <c r="E200">
        <v>22</v>
      </c>
      <c r="F200" s="97">
        <v>1</v>
      </c>
      <c r="G200" s="91">
        <f>Barrage[[#This Row],[Coefficient]]*Barrage[[#This Row],[Total Rounds]]*Barrage[[#This Row],[Base Damage]]</f>
        <v>2376</v>
      </c>
      <c r="H200" s="9" t="s">
        <v>161</v>
      </c>
      <c r="I200" s="6">
        <v>1</v>
      </c>
      <c r="J200" s="6">
        <v>0.8</v>
      </c>
      <c r="K200" s="6">
        <v>0.7</v>
      </c>
      <c r="L200" s="106"/>
      <c r="M200" s="108"/>
      <c r="N200" s="108"/>
      <c r="O200" s="108"/>
      <c r="P200" s="108"/>
      <c r="Q200" s="7"/>
      <c r="R200" t="s">
        <v>9</v>
      </c>
      <c r="T200">
        <v>1</v>
      </c>
    </row>
    <row r="201" spans="1:21" x14ac:dyDescent="0.3">
      <c r="A201" t="s">
        <v>1295</v>
      </c>
      <c r="B201" t="s">
        <v>1139</v>
      </c>
      <c r="C201" t="s">
        <v>590</v>
      </c>
      <c r="D201">
        <v>72</v>
      </c>
      <c r="E201">
        <v>40</v>
      </c>
      <c r="F201" s="97">
        <v>1</v>
      </c>
      <c r="G201" s="91">
        <f>Barrage[[#This Row],[Coefficient]]*Barrage[[#This Row],[Total Rounds]]*Barrage[[#This Row],[Base Damage]]</f>
        <v>2880</v>
      </c>
      <c r="H201" s="95" t="s">
        <v>169</v>
      </c>
      <c r="I201" s="6">
        <v>0.9</v>
      </c>
      <c r="J201" s="6">
        <v>1.2</v>
      </c>
      <c r="K201" s="6">
        <v>0.7</v>
      </c>
      <c r="L201" s="106">
        <v>0.3</v>
      </c>
      <c r="M201" s="108">
        <v>1</v>
      </c>
      <c r="N201" s="108"/>
      <c r="O201" s="108"/>
      <c r="P201" s="108"/>
      <c r="Q201" s="7"/>
      <c r="R201" t="s">
        <v>9</v>
      </c>
      <c r="T201">
        <v>1</v>
      </c>
    </row>
    <row r="202" spans="1:21" x14ac:dyDescent="0.3">
      <c r="A202" t="s">
        <v>1295</v>
      </c>
      <c r="B202" t="s">
        <v>1139</v>
      </c>
      <c r="C202" t="s">
        <v>590</v>
      </c>
      <c r="D202">
        <v>108</v>
      </c>
      <c r="E202">
        <v>22</v>
      </c>
      <c r="F202" s="97">
        <v>1</v>
      </c>
      <c r="G202" s="91">
        <f>Barrage[[#This Row],[Coefficient]]*Barrage[[#This Row],[Total Rounds]]*Barrage[[#This Row],[Base Damage]]</f>
        <v>2376</v>
      </c>
      <c r="H202" s="9" t="s">
        <v>161</v>
      </c>
      <c r="I202" s="6">
        <v>1</v>
      </c>
      <c r="J202" s="6">
        <v>0.8</v>
      </c>
      <c r="K202" s="6">
        <v>0.7</v>
      </c>
      <c r="L202" s="106"/>
      <c r="M202" s="108"/>
      <c r="N202" s="108"/>
      <c r="O202" s="108"/>
      <c r="P202" s="108"/>
      <c r="Q202" s="7"/>
      <c r="R202" t="s">
        <v>9</v>
      </c>
      <c r="T202">
        <v>1</v>
      </c>
    </row>
    <row r="203" spans="1:21" x14ac:dyDescent="0.3">
      <c r="A203" s="87" t="s">
        <v>368</v>
      </c>
      <c r="B203" s="87" t="s">
        <v>1144</v>
      </c>
      <c r="C203" s="87" t="s">
        <v>624</v>
      </c>
      <c r="D203" s="87">
        <v>235</v>
      </c>
      <c r="E203" s="87">
        <v>4</v>
      </c>
      <c r="F203" s="97">
        <v>1</v>
      </c>
      <c r="G203" s="91">
        <f>Barrage[[#This Row],[Coefficient]]*Barrage[[#This Row],[Total Rounds]]*Barrage[[#This Row],[Base Damage]]</f>
        <v>940</v>
      </c>
      <c r="H203" s="105" t="s">
        <v>759</v>
      </c>
      <c r="I203" s="97">
        <v>0.8</v>
      </c>
      <c r="J203" s="97">
        <v>0.9</v>
      </c>
      <c r="K203" s="97">
        <v>1.1000000000000001</v>
      </c>
      <c r="L203" s="107"/>
      <c r="M203" s="109"/>
      <c r="N203" s="109"/>
      <c r="O203" s="109"/>
      <c r="P203" s="109"/>
      <c r="Q203" s="101"/>
      <c r="R203" t="s">
        <v>1390</v>
      </c>
      <c r="T203">
        <v>1</v>
      </c>
      <c r="U203" s="87"/>
    </row>
    <row r="204" spans="1:21" x14ac:dyDescent="0.3">
      <c r="A204" s="87" t="s">
        <v>368</v>
      </c>
      <c r="B204" t="s">
        <v>1145</v>
      </c>
      <c r="C204" t="s">
        <v>594</v>
      </c>
      <c r="D204">
        <v>222</v>
      </c>
      <c r="E204">
        <v>12</v>
      </c>
      <c r="F204" s="97">
        <v>1</v>
      </c>
      <c r="G204" s="91">
        <f>Barrage[[#This Row],[Coefficient]]*Barrage[[#This Row],[Total Rounds]]*Barrage[[#This Row],[Base Damage]]</f>
        <v>2664</v>
      </c>
      <c r="H204" s="9" t="s">
        <v>759</v>
      </c>
      <c r="I204" s="6">
        <v>0.8</v>
      </c>
      <c r="J204" s="6">
        <v>0.9</v>
      </c>
      <c r="K204" s="6">
        <v>1.1000000000000001</v>
      </c>
      <c r="L204" s="106"/>
      <c r="M204" s="108"/>
      <c r="N204" s="108"/>
      <c r="O204" s="108"/>
      <c r="P204" s="108"/>
      <c r="Q204" s="7"/>
      <c r="R204" t="s">
        <v>1390</v>
      </c>
      <c r="T204">
        <v>1</v>
      </c>
    </row>
    <row r="205" spans="1:21" x14ac:dyDescent="0.3">
      <c r="A205" s="87" t="s">
        <v>368</v>
      </c>
      <c r="B205" t="s">
        <v>1146</v>
      </c>
      <c r="C205" t="s">
        <v>592</v>
      </c>
      <c r="D205">
        <v>291</v>
      </c>
      <c r="E205">
        <v>3</v>
      </c>
      <c r="F205" s="97">
        <v>1</v>
      </c>
      <c r="G205" s="91">
        <f>Barrage[[#This Row],[Coefficient]]*Barrage[[#This Row],[Total Rounds]]*Barrage[[#This Row],[Base Damage]]</f>
        <v>873</v>
      </c>
      <c r="H205" s="9" t="s">
        <v>759</v>
      </c>
      <c r="I205" s="6">
        <v>0.7</v>
      </c>
      <c r="J205" s="6">
        <v>1.05</v>
      </c>
      <c r="K205" s="6">
        <v>1.25</v>
      </c>
      <c r="L205" s="106"/>
      <c r="M205" s="108"/>
      <c r="N205" s="108"/>
      <c r="O205" s="108"/>
      <c r="P205" s="108"/>
      <c r="Q205" s="7"/>
      <c r="R205" t="s">
        <v>1390</v>
      </c>
      <c r="T205">
        <v>0.8</v>
      </c>
      <c r="U205" t="s">
        <v>1297</v>
      </c>
    </row>
    <row r="206" spans="1:21" x14ac:dyDescent="0.3">
      <c r="A206" s="87" t="s">
        <v>368</v>
      </c>
      <c r="B206" t="s">
        <v>1147</v>
      </c>
      <c r="C206" t="s">
        <v>592</v>
      </c>
      <c r="D206">
        <v>111</v>
      </c>
      <c r="E206">
        <v>6</v>
      </c>
      <c r="F206" s="97">
        <v>1</v>
      </c>
      <c r="G206" s="91">
        <f>Barrage[[#This Row],[Coefficient]]*Barrage[[#This Row],[Total Rounds]]*Barrage[[#This Row],[Base Damage]]</f>
        <v>666</v>
      </c>
      <c r="H206" s="9" t="s">
        <v>759</v>
      </c>
      <c r="I206" s="6">
        <v>0.8</v>
      </c>
      <c r="J206" s="6">
        <v>0.85</v>
      </c>
      <c r="K206" s="6">
        <v>1</v>
      </c>
      <c r="L206" s="106"/>
      <c r="M206" s="108"/>
      <c r="N206" s="108"/>
      <c r="O206" s="108"/>
      <c r="P206" s="108"/>
      <c r="Q206" s="7"/>
      <c r="R206" t="s">
        <v>1390</v>
      </c>
      <c r="T206">
        <v>0.8</v>
      </c>
      <c r="U206" t="s">
        <v>1297</v>
      </c>
    </row>
    <row r="207" spans="1:21" x14ac:dyDescent="0.3">
      <c r="A207" s="87" t="s">
        <v>368</v>
      </c>
      <c r="B207" s="87" t="s">
        <v>1148</v>
      </c>
      <c r="C207" s="87" t="s">
        <v>595</v>
      </c>
      <c r="D207" s="87">
        <v>360</v>
      </c>
      <c r="E207" s="87">
        <v>3</v>
      </c>
      <c r="F207" s="97">
        <v>1</v>
      </c>
      <c r="G207" s="91">
        <f>Barrage[[#This Row],[Coefficient]]*Barrage[[#This Row],[Total Rounds]]*Barrage[[#This Row],[Base Damage]]</f>
        <v>1080</v>
      </c>
      <c r="H207" s="105" t="s">
        <v>759</v>
      </c>
      <c r="I207" s="97">
        <v>0.8</v>
      </c>
      <c r="J207" s="97">
        <v>0.9</v>
      </c>
      <c r="K207" s="97">
        <v>1.1000000000000001</v>
      </c>
      <c r="L207" s="107"/>
      <c r="M207" s="109"/>
      <c r="N207" s="109"/>
      <c r="O207" s="109"/>
      <c r="P207" s="109"/>
      <c r="Q207" s="101"/>
      <c r="R207" t="s">
        <v>1390</v>
      </c>
      <c r="T207">
        <v>0.8</v>
      </c>
      <c r="U207" t="s">
        <v>1297</v>
      </c>
    </row>
    <row r="208" spans="1:21" x14ac:dyDescent="0.3">
      <c r="A208" s="87" t="s">
        <v>368</v>
      </c>
      <c r="B208" t="s">
        <v>1149</v>
      </c>
      <c r="C208" t="s">
        <v>596</v>
      </c>
      <c r="D208">
        <v>70</v>
      </c>
      <c r="E208">
        <v>3</v>
      </c>
      <c r="F208" s="97">
        <v>1</v>
      </c>
      <c r="G208" s="91">
        <f>Barrage[[#This Row],[Coefficient]]*Barrage[[#This Row],[Total Rounds]]*Barrage[[#This Row],[Base Damage]]</f>
        <v>210</v>
      </c>
      <c r="H208" s="9" t="s">
        <v>1298</v>
      </c>
      <c r="I208" s="97">
        <v>1</v>
      </c>
      <c r="J208" s="97">
        <v>0.8</v>
      </c>
      <c r="K208" s="97">
        <v>0.6</v>
      </c>
      <c r="L208" s="106"/>
      <c r="M208" s="108"/>
      <c r="N208" s="108"/>
      <c r="O208" s="108"/>
      <c r="P208" s="108"/>
      <c r="Q208" s="7"/>
      <c r="R208" t="s">
        <v>1390</v>
      </c>
      <c r="T208">
        <v>1.2</v>
      </c>
      <c r="U208" t="s">
        <v>1299</v>
      </c>
    </row>
    <row r="209" spans="1:21" x14ac:dyDescent="0.3">
      <c r="A209" s="87" t="s">
        <v>368</v>
      </c>
      <c r="B209" t="s">
        <v>1150</v>
      </c>
      <c r="C209" t="s">
        <v>1300</v>
      </c>
      <c r="D209">
        <v>120</v>
      </c>
      <c r="E209">
        <v>6</v>
      </c>
      <c r="F209" s="97">
        <v>1.05</v>
      </c>
      <c r="G209" s="91">
        <f>Barrage[[#This Row],[Coefficient]]*Barrage[[#This Row],[Total Rounds]]*Barrage[[#This Row],[Base Damage]]</f>
        <v>756.00000000000011</v>
      </c>
      <c r="H209" s="95" t="s">
        <v>169</v>
      </c>
      <c r="I209" s="97">
        <v>1.1499999999999999</v>
      </c>
      <c r="J209" s="97">
        <v>0.9</v>
      </c>
      <c r="K209" s="97">
        <v>0.7</v>
      </c>
      <c r="L209" s="106">
        <v>0.08</v>
      </c>
      <c r="M209" s="108">
        <v>3</v>
      </c>
      <c r="N209" s="130"/>
      <c r="O209" s="108"/>
      <c r="P209" s="108"/>
      <c r="Q209" s="7"/>
      <c r="R209" t="s">
        <v>1390</v>
      </c>
      <c r="T209">
        <v>1.2</v>
      </c>
      <c r="U209" t="s">
        <v>1299</v>
      </c>
    </row>
    <row r="210" spans="1:21" x14ac:dyDescent="0.3">
      <c r="A210" s="87" t="s">
        <v>368</v>
      </c>
      <c r="B210" t="s">
        <v>1151</v>
      </c>
      <c r="C210" t="s">
        <v>679</v>
      </c>
      <c r="D210">
        <v>336</v>
      </c>
      <c r="E210">
        <v>2</v>
      </c>
      <c r="F210" s="97">
        <v>1</v>
      </c>
      <c r="G210" s="91">
        <f>Barrage[[#This Row],[Coefficient]]*Barrage[[#This Row],[Total Rounds]]*Barrage[[#This Row],[Base Damage]]</f>
        <v>672</v>
      </c>
      <c r="H210" s="95" t="s">
        <v>1301</v>
      </c>
      <c r="I210" s="6">
        <v>0.7</v>
      </c>
      <c r="J210" s="6">
        <v>1.05</v>
      </c>
      <c r="K210" s="6">
        <v>1.25</v>
      </c>
      <c r="L210" s="106">
        <v>1</v>
      </c>
      <c r="M210" s="108">
        <v>2</v>
      </c>
      <c r="N210" s="130">
        <v>0.1</v>
      </c>
      <c r="O210" s="108"/>
      <c r="P210" s="108"/>
      <c r="Q210" s="7"/>
      <c r="R210" t="s">
        <v>1390</v>
      </c>
      <c r="T210">
        <v>1.2</v>
      </c>
      <c r="U210" t="s">
        <v>1302</v>
      </c>
    </row>
    <row r="211" spans="1:21" x14ac:dyDescent="0.3">
      <c r="A211" s="87" t="s">
        <v>368</v>
      </c>
      <c r="B211" t="s">
        <v>1152</v>
      </c>
      <c r="C211" t="s">
        <v>679</v>
      </c>
      <c r="D211">
        <v>121</v>
      </c>
      <c r="E211">
        <v>4</v>
      </c>
      <c r="F211" s="97">
        <v>1</v>
      </c>
      <c r="G211" s="91">
        <f>Barrage[[#This Row],[Coefficient]]*Barrage[[#This Row],[Total Rounds]]*Barrage[[#This Row],[Base Damage]]</f>
        <v>484</v>
      </c>
      <c r="H211" s="95" t="s">
        <v>1301</v>
      </c>
      <c r="I211" s="6">
        <v>0.8</v>
      </c>
      <c r="J211" s="6">
        <v>0.85</v>
      </c>
      <c r="K211" s="6">
        <v>1</v>
      </c>
      <c r="L211" s="106">
        <v>1</v>
      </c>
      <c r="M211" s="108">
        <v>2</v>
      </c>
      <c r="N211" s="130">
        <v>0.1</v>
      </c>
      <c r="O211" s="108"/>
      <c r="P211" s="108"/>
      <c r="Q211" s="7"/>
      <c r="R211" t="s">
        <v>1390</v>
      </c>
      <c r="T211">
        <v>1.2</v>
      </c>
      <c r="U211" t="s">
        <v>1302</v>
      </c>
    </row>
    <row r="212" spans="1:21" x14ac:dyDescent="0.3">
      <c r="A212" s="87" t="s">
        <v>368</v>
      </c>
      <c r="B212" t="s">
        <v>1153</v>
      </c>
      <c r="C212" t="s">
        <v>679</v>
      </c>
      <c r="D212">
        <v>202</v>
      </c>
      <c r="E212">
        <v>4</v>
      </c>
      <c r="F212" s="97">
        <v>1</v>
      </c>
      <c r="G212" s="91">
        <f>Barrage[[#This Row],[Coefficient]]*Barrage[[#This Row],[Total Rounds]]*Barrage[[#This Row],[Base Damage]]</f>
        <v>808</v>
      </c>
      <c r="H212" s="94" t="s">
        <v>1303</v>
      </c>
      <c r="I212" s="6">
        <v>0.8</v>
      </c>
      <c r="J212" s="6">
        <v>1.1000000000000001</v>
      </c>
      <c r="K212" s="6">
        <v>1.3</v>
      </c>
      <c r="L212" s="106"/>
      <c r="M212" s="108"/>
      <c r="N212" s="108"/>
      <c r="O212" s="128">
        <v>1</v>
      </c>
      <c r="P212" s="129">
        <v>0.2</v>
      </c>
      <c r="Q212" s="7"/>
      <c r="R212" t="s">
        <v>1390</v>
      </c>
      <c r="T212">
        <v>1.2</v>
      </c>
      <c r="U212" t="s">
        <v>1304</v>
      </c>
    </row>
    <row r="213" spans="1:21" x14ac:dyDescent="0.3">
      <c r="A213" s="87" t="s">
        <v>368</v>
      </c>
      <c r="B213" t="s">
        <v>1380</v>
      </c>
      <c r="C213" t="s">
        <v>604</v>
      </c>
      <c r="D213">
        <v>260</v>
      </c>
      <c r="E213">
        <v>24</v>
      </c>
      <c r="F213" s="97">
        <v>1</v>
      </c>
      <c r="G213" s="91">
        <f>Barrage[[#This Row],[Coefficient]]*Barrage[[#This Row],[Total Rounds]]*Barrage[[#This Row],[Base Damage]]</f>
        <v>6240</v>
      </c>
      <c r="H213" s="95" t="s">
        <v>1301</v>
      </c>
      <c r="I213" s="6">
        <v>0.8</v>
      </c>
      <c r="J213" s="6">
        <v>0.9</v>
      </c>
      <c r="K213" s="6">
        <v>1.1000000000000001</v>
      </c>
      <c r="L213" s="106"/>
      <c r="M213" s="108"/>
      <c r="N213" s="108"/>
      <c r="O213" s="108"/>
      <c r="P213" s="108"/>
      <c r="Q213" s="7"/>
      <c r="R213" t="s">
        <v>1390</v>
      </c>
      <c r="T213">
        <v>0.8</v>
      </c>
      <c r="U213" t="s">
        <v>1297</v>
      </c>
    </row>
    <row r="214" spans="1:21" x14ac:dyDescent="0.3">
      <c r="A214" s="87" t="s">
        <v>368</v>
      </c>
      <c r="B214" t="s">
        <v>1381</v>
      </c>
      <c r="C214" t="s">
        <v>604</v>
      </c>
      <c r="D214">
        <v>240</v>
      </c>
      <c r="E214">
        <v>18</v>
      </c>
      <c r="F214" s="97">
        <v>1</v>
      </c>
      <c r="G214" s="91">
        <f>Barrage[[#This Row],[Coefficient]]*Barrage[[#This Row],[Total Rounds]]*Barrage[[#This Row],[Base Damage]]</f>
        <v>4320</v>
      </c>
      <c r="H214" s="9" t="s">
        <v>1305</v>
      </c>
      <c r="I214" s="6">
        <v>0.8</v>
      </c>
      <c r="J214" s="6">
        <v>1</v>
      </c>
      <c r="K214" s="6">
        <v>1.3</v>
      </c>
      <c r="L214" s="106"/>
      <c r="M214" s="108"/>
      <c r="N214" s="108"/>
      <c r="O214" s="108"/>
      <c r="P214" s="108"/>
      <c r="Q214" s="7"/>
      <c r="R214" t="s">
        <v>1390</v>
      </c>
      <c r="T214">
        <v>1</v>
      </c>
    </row>
    <row r="215" spans="1:21" x14ac:dyDescent="0.3">
      <c r="A215" s="87" t="s">
        <v>368</v>
      </c>
      <c r="B215" t="s">
        <v>1154</v>
      </c>
      <c r="C215" t="s">
        <v>606</v>
      </c>
      <c r="D215">
        <v>301</v>
      </c>
      <c r="E215">
        <v>8</v>
      </c>
      <c r="F215" s="6">
        <v>1</v>
      </c>
      <c r="G215" s="91">
        <f>Barrage[[#This Row],[Coefficient]]*Barrage[[#This Row],[Total Rounds]]*Barrage[[#This Row],[Base Damage]]</f>
        <v>2408</v>
      </c>
      <c r="H215" s="94" t="s">
        <v>1303</v>
      </c>
      <c r="I215" s="6">
        <v>0.8</v>
      </c>
      <c r="J215" s="6">
        <v>1.1000000000000001</v>
      </c>
      <c r="K215" s="6">
        <v>1.3</v>
      </c>
      <c r="L215" s="106"/>
      <c r="M215" s="108"/>
      <c r="N215" s="108"/>
      <c r="O215" s="128">
        <v>1</v>
      </c>
      <c r="P215" s="129">
        <v>0.3</v>
      </c>
      <c r="Q215" s="7"/>
      <c r="R215" t="s">
        <v>1390</v>
      </c>
      <c r="T215">
        <v>1</v>
      </c>
      <c r="U215" t="s">
        <v>1306</v>
      </c>
    </row>
    <row r="216" spans="1:21" x14ac:dyDescent="0.3">
      <c r="A216" s="87" t="s">
        <v>368</v>
      </c>
      <c r="B216" t="s">
        <v>1155</v>
      </c>
      <c r="C216" t="s">
        <v>630</v>
      </c>
      <c r="D216">
        <v>176</v>
      </c>
      <c r="E216">
        <v>1</v>
      </c>
      <c r="F216" s="6">
        <v>2.4500000000000002</v>
      </c>
      <c r="G216" s="91">
        <f>Barrage[[#This Row],[Coefficient]]*Barrage[[#This Row],[Total Rounds]]*Barrage[[#This Row],[Base Damage]]</f>
        <v>431.20000000000005</v>
      </c>
      <c r="H216" s="94" t="s">
        <v>1307</v>
      </c>
      <c r="I216" s="6">
        <v>1</v>
      </c>
      <c r="J216" s="6">
        <v>1</v>
      </c>
      <c r="K216" s="6">
        <v>1</v>
      </c>
      <c r="L216" s="106"/>
      <c r="M216" s="108"/>
      <c r="N216" s="108"/>
      <c r="O216" s="108"/>
      <c r="P216" s="108"/>
      <c r="Q216" s="7" t="s">
        <v>1308</v>
      </c>
      <c r="R216" t="s">
        <v>1390</v>
      </c>
      <c r="T216">
        <v>1</v>
      </c>
      <c r="U216" t="s">
        <v>1309</v>
      </c>
    </row>
    <row r="217" spans="1:21" ht="28.8" x14ac:dyDescent="0.3">
      <c r="A217" s="87" t="s">
        <v>368</v>
      </c>
      <c r="B217" s="87" t="s">
        <v>1156</v>
      </c>
      <c r="C217" s="27" t="s">
        <v>683</v>
      </c>
      <c r="D217">
        <v>172</v>
      </c>
      <c r="E217">
        <v>2</v>
      </c>
      <c r="F217" s="6">
        <v>1</v>
      </c>
      <c r="G217" s="91">
        <f>Barrage[[#This Row],[Coefficient]]*Barrage[[#This Row],[Total Rounds]]*Barrage[[#This Row],[Base Damage]]</f>
        <v>344</v>
      </c>
      <c r="H217" s="9" t="s">
        <v>1305</v>
      </c>
      <c r="I217" s="6">
        <v>0.8</v>
      </c>
      <c r="J217" s="6">
        <v>1.1000000000000001</v>
      </c>
      <c r="K217" s="6">
        <v>1.3</v>
      </c>
      <c r="L217" s="106"/>
      <c r="M217" s="108"/>
      <c r="N217" s="108"/>
      <c r="O217" s="108"/>
      <c r="P217" s="108"/>
      <c r="Q217" s="7"/>
      <c r="R217" t="s">
        <v>1390</v>
      </c>
      <c r="T217">
        <v>1</v>
      </c>
    </row>
    <row r="218" spans="1:21" ht="43.2" x14ac:dyDescent="0.3">
      <c r="A218" s="87" t="s">
        <v>368</v>
      </c>
      <c r="B218" s="87" t="s">
        <v>1157</v>
      </c>
      <c r="C218" t="s">
        <v>682</v>
      </c>
      <c r="D218">
        <v>226</v>
      </c>
      <c r="E218">
        <v>1</v>
      </c>
      <c r="F218" s="6">
        <v>1</v>
      </c>
      <c r="G218" s="91">
        <f>Barrage[[#This Row],[Coefficient]]*Barrage[[#This Row],[Total Rounds]]*Barrage[[#This Row],[Base Damage]]</f>
        <v>226</v>
      </c>
      <c r="H218" s="9" t="s">
        <v>759</v>
      </c>
      <c r="I218" s="6">
        <v>0.8</v>
      </c>
      <c r="J218" s="6">
        <v>0.9</v>
      </c>
      <c r="K218" s="6">
        <v>1.1000000000000001</v>
      </c>
      <c r="L218" s="106"/>
      <c r="M218" s="108"/>
      <c r="N218" s="108"/>
      <c r="O218" s="108"/>
      <c r="P218" s="108"/>
      <c r="Q218" s="7"/>
      <c r="R218" t="s">
        <v>1390</v>
      </c>
      <c r="T218">
        <v>0.8</v>
      </c>
      <c r="U218" t="s">
        <v>1297</v>
      </c>
    </row>
    <row r="219" spans="1:21" ht="43.2" x14ac:dyDescent="0.3">
      <c r="A219" s="87" t="s">
        <v>368</v>
      </c>
      <c r="B219" s="87" t="s">
        <v>1158</v>
      </c>
      <c r="C219" t="s">
        <v>682</v>
      </c>
      <c r="D219">
        <v>96</v>
      </c>
      <c r="E219">
        <v>2</v>
      </c>
      <c r="F219" s="6">
        <v>1</v>
      </c>
      <c r="G219" s="91">
        <f>Barrage[[#This Row],[Coefficient]]*Barrage[[#This Row],[Total Rounds]]*Barrage[[#This Row],[Base Damage]]</f>
        <v>192</v>
      </c>
      <c r="H219" s="9" t="s">
        <v>759</v>
      </c>
      <c r="I219" s="6">
        <v>0.8</v>
      </c>
      <c r="J219" s="6">
        <v>0.85</v>
      </c>
      <c r="K219" s="6">
        <v>1</v>
      </c>
      <c r="L219" s="106"/>
      <c r="M219" s="108"/>
      <c r="N219" s="108"/>
      <c r="O219" s="108"/>
      <c r="P219" s="108"/>
      <c r="Q219" s="7"/>
      <c r="R219" t="s">
        <v>1390</v>
      </c>
      <c r="T219">
        <v>0.8</v>
      </c>
      <c r="U219" t="s">
        <v>1297</v>
      </c>
    </row>
    <row r="220" spans="1:21" x14ac:dyDescent="0.3">
      <c r="A220" t="s">
        <v>368</v>
      </c>
      <c r="B220" t="s">
        <v>1159</v>
      </c>
      <c r="C220" t="s">
        <v>777</v>
      </c>
      <c r="D220">
        <v>222</v>
      </c>
      <c r="E220">
        <v>12</v>
      </c>
      <c r="F220" s="6">
        <v>1</v>
      </c>
      <c r="G220" s="91">
        <f>Barrage[[#This Row],[Coefficient]]*Barrage[[#This Row],[Total Rounds]]*Barrage[[#This Row],[Base Damage]]</f>
        <v>2664</v>
      </c>
      <c r="H220" t="s">
        <v>759</v>
      </c>
      <c r="I220" s="6">
        <v>0.8</v>
      </c>
      <c r="J220" s="6">
        <v>0.9</v>
      </c>
      <c r="K220" s="6">
        <v>1</v>
      </c>
      <c r="L220" s="106"/>
      <c r="M220" s="108"/>
      <c r="N220" s="108"/>
      <c r="O220" s="108"/>
      <c r="P220" s="108"/>
      <c r="Q220" s="7"/>
      <c r="R220" t="s">
        <v>1390</v>
      </c>
      <c r="T220">
        <v>1</v>
      </c>
    </row>
    <row r="221" spans="1:21" x14ac:dyDescent="0.3">
      <c r="A221" t="s">
        <v>368</v>
      </c>
      <c r="B221" t="s">
        <v>1160</v>
      </c>
      <c r="C221" t="s">
        <v>863</v>
      </c>
      <c r="D221">
        <v>121</v>
      </c>
      <c r="E221">
        <v>4</v>
      </c>
      <c r="F221" s="6">
        <v>1</v>
      </c>
      <c r="G221" s="91">
        <f>Barrage[[#This Row],[Coefficient]]*Barrage[[#This Row],[Total Rounds]]*Barrage[[#This Row],[Base Damage]]</f>
        <v>484</v>
      </c>
      <c r="H221" t="s">
        <v>759</v>
      </c>
      <c r="I221" s="6">
        <v>0.8</v>
      </c>
      <c r="J221" s="6">
        <v>0.85</v>
      </c>
      <c r="K221" s="6">
        <v>1</v>
      </c>
      <c r="L221" s="106"/>
      <c r="M221" s="108"/>
      <c r="N221" s="108"/>
      <c r="O221" s="108"/>
      <c r="P221" s="108"/>
      <c r="Q221" s="7"/>
      <c r="R221" t="s">
        <v>1390</v>
      </c>
      <c r="T221">
        <v>1.2</v>
      </c>
      <c r="U221" t="s">
        <v>1299</v>
      </c>
    </row>
    <row r="222" spans="1:21" x14ac:dyDescent="0.3">
      <c r="A222" t="s">
        <v>368</v>
      </c>
      <c r="B222" t="s">
        <v>1161</v>
      </c>
      <c r="C222" t="s">
        <v>863</v>
      </c>
      <c r="D222">
        <v>456</v>
      </c>
      <c r="E222">
        <v>2</v>
      </c>
      <c r="F222" s="6">
        <v>1</v>
      </c>
      <c r="G222" s="91">
        <f>Barrage[[#This Row],[Coefficient]]*Barrage[[#This Row],[Total Rounds]]*Barrage[[#This Row],[Base Damage]]</f>
        <v>912</v>
      </c>
      <c r="H222" t="s">
        <v>759</v>
      </c>
      <c r="I222" s="6">
        <v>0.7</v>
      </c>
      <c r="J222" s="6">
        <v>1.05</v>
      </c>
      <c r="K222" s="6">
        <v>1.25</v>
      </c>
      <c r="L222" s="106"/>
      <c r="M222" s="108"/>
      <c r="N222" s="108"/>
      <c r="O222" s="108"/>
      <c r="P222" s="108"/>
      <c r="Q222" s="7"/>
      <c r="R222" t="s">
        <v>1390</v>
      </c>
      <c r="T222">
        <v>1.2</v>
      </c>
      <c r="U222" t="s">
        <v>1299</v>
      </c>
    </row>
    <row r="223" spans="1:21" x14ac:dyDescent="0.3">
      <c r="A223" t="s">
        <v>368</v>
      </c>
      <c r="B223" t="s">
        <v>1162</v>
      </c>
      <c r="C223" t="s">
        <v>863</v>
      </c>
      <c r="D223">
        <v>121</v>
      </c>
      <c r="E223">
        <v>4</v>
      </c>
      <c r="F223" s="6">
        <v>1</v>
      </c>
      <c r="G223" s="91">
        <f>Barrage[[#This Row],[Coefficient]]*Barrage[[#This Row],[Total Rounds]]*Barrage[[#This Row],[Base Damage]]</f>
        <v>484</v>
      </c>
      <c r="H223" t="s">
        <v>759</v>
      </c>
      <c r="I223" s="6">
        <v>0.8</v>
      </c>
      <c r="J223" s="6">
        <v>0.85</v>
      </c>
      <c r="K223" s="6">
        <v>1</v>
      </c>
      <c r="L223" s="106"/>
      <c r="M223" s="108"/>
      <c r="N223" s="108"/>
      <c r="O223" s="108"/>
      <c r="P223" s="108"/>
      <c r="Q223" s="7"/>
      <c r="R223" t="s">
        <v>1390</v>
      </c>
      <c r="T223">
        <v>1.2</v>
      </c>
      <c r="U223" t="s">
        <v>1299</v>
      </c>
    </row>
    <row r="224" spans="1:21" x14ac:dyDescent="0.3">
      <c r="A224" t="s">
        <v>368</v>
      </c>
      <c r="B224" t="s">
        <v>1163</v>
      </c>
      <c r="C224" t="s">
        <v>863</v>
      </c>
      <c r="D224">
        <v>240</v>
      </c>
      <c r="E224">
        <v>6</v>
      </c>
      <c r="F224" s="6">
        <v>1</v>
      </c>
      <c r="G224" s="91">
        <f>Barrage[[#This Row],[Coefficient]]*Barrage[[#This Row],[Total Rounds]]*Barrage[[#This Row],[Base Damage]]</f>
        <v>1440</v>
      </c>
      <c r="H224" t="s">
        <v>79</v>
      </c>
      <c r="I224" s="6">
        <v>0.8</v>
      </c>
      <c r="J224" s="6">
        <v>1.1000000000000001</v>
      </c>
      <c r="K224" s="6">
        <v>1.3</v>
      </c>
      <c r="L224" s="106"/>
      <c r="M224" s="108"/>
      <c r="N224" s="108"/>
      <c r="O224" s="108"/>
      <c r="P224" s="108"/>
      <c r="Q224" s="7"/>
      <c r="R224" t="s">
        <v>1390</v>
      </c>
      <c r="T224">
        <v>1</v>
      </c>
      <c r="U224" t="s">
        <v>1309</v>
      </c>
    </row>
    <row r="225" spans="1:21" x14ac:dyDescent="0.3">
      <c r="A225" t="s">
        <v>368</v>
      </c>
      <c r="B225" t="s">
        <v>1164</v>
      </c>
      <c r="C225" t="s">
        <v>1310</v>
      </c>
      <c r="D225">
        <v>322</v>
      </c>
      <c r="E225">
        <v>3</v>
      </c>
      <c r="F225" s="6">
        <v>1</v>
      </c>
      <c r="G225" s="91">
        <f>Barrage[[#This Row],[Coefficient]]*Barrage[[#This Row],[Total Rounds]]*Barrage[[#This Row],[Base Damage]]</f>
        <v>966</v>
      </c>
      <c r="H225" t="s">
        <v>759</v>
      </c>
      <c r="I225" s="6">
        <v>0.8</v>
      </c>
      <c r="J225" s="6">
        <v>0.85</v>
      </c>
      <c r="K225" s="6">
        <v>1</v>
      </c>
      <c r="L225" s="106"/>
      <c r="M225" s="108"/>
      <c r="N225" s="108"/>
      <c r="O225" s="108"/>
      <c r="P225" s="108"/>
      <c r="Q225" s="7"/>
      <c r="R225" t="s">
        <v>1390</v>
      </c>
      <c r="T225">
        <v>0.8</v>
      </c>
      <c r="U225" t="s">
        <v>1297</v>
      </c>
    </row>
    <row r="226" spans="1:21" x14ac:dyDescent="0.3">
      <c r="A226" t="s">
        <v>368</v>
      </c>
      <c r="B226" t="s">
        <v>1165</v>
      </c>
      <c r="C226" t="s">
        <v>1310</v>
      </c>
      <c r="D226">
        <v>138</v>
      </c>
      <c r="E226">
        <v>6</v>
      </c>
      <c r="F226" s="6">
        <v>1</v>
      </c>
      <c r="G226" s="91">
        <f>Barrage[[#This Row],[Coefficient]]*Barrage[[#This Row],[Total Rounds]]*Barrage[[#This Row],[Base Damage]]</f>
        <v>828</v>
      </c>
      <c r="H226" t="s">
        <v>759</v>
      </c>
      <c r="I226" s="6">
        <v>0.8</v>
      </c>
      <c r="J226" s="6">
        <v>0.95</v>
      </c>
      <c r="K226" s="6">
        <v>1.1499999999999999</v>
      </c>
      <c r="L226" s="106"/>
      <c r="M226" s="108"/>
      <c r="N226" s="108"/>
      <c r="O226" s="108"/>
      <c r="P226" s="108"/>
      <c r="Q226" s="7"/>
      <c r="R226" t="s">
        <v>1390</v>
      </c>
      <c r="T226">
        <v>0.8</v>
      </c>
      <c r="U226" t="s">
        <v>1297</v>
      </c>
    </row>
    <row r="227" spans="1:21" x14ac:dyDescent="0.3">
      <c r="A227" t="s">
        <v>368</v>
      </c>
      <c r="B227" t="s">
        <v>1384</v>
      </c>
      <c r="C227" t="s">
        <v>971</v>
      </c>
      <c r="D227">
        <v>28</v>
      </c>
      <c r="E227">
        <v>16</v>
      </c>
      <c r="F227" s="6">
        <v>1</v>
      </c>
      <c r="G227" s="91">
        <f>Barrage[[#This Row],[Coefficient]]*Barrage[[#This Row],[Total Rounds]]*Barrage[[#This Row],[Base Damage]]</f>
        <v>448</v>
      </c>
      <c r="H227" s="94" t="s">
        <v>167</v>
      </c>
      <c r="I227" s="6">
        <v>1.1000000000000001</v>
      </c>
      <c r="J227" s="6">
        <v>0.9</v>
      </c>
      <c r="K227" s="6">
        <v>0.7</v>
      </c>
      <c r="L227" s="106"/>
      <c r="M227" s="108"/>
      <c r="N227" s="108"/>
      <c r="O227" s="108"/>
      <c r="P227" s="108"/>
      <c r="Q227" s="7"/>
      <c r="R227" t="s">
        <v>1390</v>
      </c>
      <c r="T227">
        <v>1</v>
      </c>
    </row>
    <row r="228" spans="1:21" x14ac:dyDescent="0.3">
      <c r="A228" t="s">
        <v>368</v>
      </c>
      <c r="B228" t="s">
        <v>1383</v>
      </c>
      <c r="C228" t="s">
        <v>971</v>
      </c>
      <c r="D228">
        <v>20</v>
      </c>
      <c r="E228">
        <v>24</v>
      </c>
      <c r="F228" s="6">
        <v>1</v>
      </c>
      <c r="G228" s="91">
        <f>Barrage[[#This Row],[Coefficient]]*Barrage[[#This Row],[Total Rounds]]*Barrage[[#This Row],[Base Damage]]</f>
        <v>480</v>
      </c>
      <c r="H228" s="95" t="s">
        <v>169</v>
      </c>
      <c r="I228" s="6">
        <v>1.2</v>
      </c>
      <c r="J228" s="6">
        <v>0.6</v>
      </c>
      <c r="K228" s="6">
        <v>0.6</v>
      </c>
      <c r="L228" s="106"/>
      <c r="M228" s="108"/>
      <c r="N228" s="108"/>
      <c r="O228" s="108"/>
      <c r="P228" s="108"/>
      <c r="Q228" s="7"/>
      <c r="R228" t="s">
        <v>1390</v>
      </c>
      <c r="T228">
        <v>1</v>
      </c>
    </row>
    <row r="229" spans="1:21" x14ac:dyDescent="0.3">
      <c r="A229" t="s">
        <v>368</v>
      </c>
      <c r="B229" t="s">
        <v>1382</v>
      </c>
      <c r="C229" t="s">
        <v>971</v>
      </c>
      <c r="D229">
        <v>31</v>
      </c>
      <c r="E229">
        <v>24</v>
      </c>
      <c r="F229" s="6">
        <v>1</v>
      </c>
      <c r="G229" s="91">
        <f>Barrage[[#This Row],[Coefficient]]*Barrage[[#This Row],[Total Rounds]]*Barrage[[#This Row],[Base Damage]]</f>
        <v>744</v>
      </c>
      <c r="H229" s="94" t="s">
        <v>167</v>
      </c>
      <c r="I229" s="6">
        <v>1.1000000000000001</v>
      </c>
      <c r="J229" s="6">
        <v>0.9</v>
      </c>
      <c r="K229" s="6">
        <v>0.7</v>
      </c>
      <c r="L229" s="106"/>
      <c r="M229" s="108"/>
      <c r="N229" s="108"/>
      <c r="O229" s="108"/>
      <c r="P229" s="108"/>
      <c r="Q229" s="7"/>
      <c r="R229" t="s">
        <v>1390</v>
      </c>
      <c r="T229">
        <v>1</v>
      </c>
    </row>
    <row r="230" spans="1:21" x14ac:dyDescent="0.3">
      <c r="A230" t="s">
        <v>368</v>
      </c>
      <c r="B230" t="s">
        <v>1167</v>
      </c>
      <c r="C230" t="s">
        <v>972</v>
      </c>
      <c r="D230">
        <v>226</v>
      </c>
      <c r="E230">
        <v>3</v>
      </c>
      <c r="F230" s="6">
        <v>1</v>
      </c>
      <c r="G230" s="91">
        <f>Barrage[[#This Row],[Coefficient]]*Barrage[[#This Row],[Total Rounds]]*Barrage[[#This Row],[Base Damage]]</f>
        <v>678</v>
      </c>
      <c r="H230" t="s">
        <v>759</v>
      </c>
      <c r="I230" s="6">
        <v>0.8</v>
      </c>
      <c r="J230" s="6">
        <v>0.9</v>
      </c>
      <c r="K230" s="6">
        <v>1.1000000000000001</v>
      </c>
      <c r="L230" s="106"/>
      <c r="M230" s="108"/>
      <c r="N230" s="108"/>
      <c r="O230" s="108"/>
      <c r="P230" s="108"/>
      <c r="Q230" s="7"/>
      <c r="R230" t="s">
        <v>1390</v>
      </c>
      <c r="T230">
        <v>0.8</v>
      </c>
      <c r="U230" t="s">
        <v>1297</v>
      </c>
    </row>
    <row r="231" spans="1:21" x14ac:dyDescent="0.3">
      <c r="A231" t="s">
        <v>368</v>
      </c>
      <c r="B231" t="s">
        <v>1168</v>
      </c>
      <c r="C231" t="s">
        <v>972</v>
      </c>
      <c r="D231">
        <v>96</v>
      </c>
      <c r="E231">
        <v>6</v>
      </c>
      <c r="F231" s="6">
        <v>1</v>
      </c>
      <c r="G231" s="91">
        <f>Barrage[[#This Row],[Coefficient]]*Barrage[[#This Row],[Total Rounds]]*Barrage[[#This Row],[Base Damage]]</f>
        <v>576</v>
      </c>
      <c r="H231" t="s">
        <v>759</v>
      </c>
      <c r="I231" s="6">
        <v>0.8</v>
      </c>
      <c r="J231" s="6">
        <v>0.85</v>
      </c>
      <c r="K231" s="6">
        <v>1</v>
      </c>
      <c r="L231" s="106"/>
      <c r="M231" s="108"/>
      <c r="N231" s="108"/>
      <c r="O231" s="108"/>
      <c r="P231" s="108"/>
      <c r="Q231" s="7"/>
      <c r="R231" t="s">
        <v>1390</v>
      </c>
      <c r="T231">
        <v>0.8</v>
      </c>
      <c r="U231" t="s">
        <v>1297</v>
      </c>
    </row>
    <row r="232" spans="1:21" x14ac:dyDescent="0.3">
      <c r="A232" t="s">
        <v>364</v>
      </c>
      <c r="B232" t="s">
        <v>1169</v>
      </c>
      <c r="C232" t="s">
        <v>612</v>
      </c>
      <c r="D232">
        <v>202</v>
      </c>
      <c r="E232">
        <v>12</v>
      </c>
      <c r="F232" s="6">
        <v>1</v>
      </c>
      <c r="G232" s="91">
        <f>Barrage[[#This Row],[Coefficient]]*Barrage[[#This Row],[Total Rounds]]*Barrage[[#This Row],[Base Damage]]</f>
        <v>2424</v>
      </c>
      <c r="H232" s="9" t="s">
        <v>1305</v>
      </c>
      <c r="I232" s="6">
        <v>0.8</v>
      </c>
      <c r="J232" s="6">
        <v>1.1000000000000001</v>
      </c>
      <c r="K232" s="6">
        <v>1.3</v>
      </c>
      <c r="L232" s="106"/>
      <c r="M232" s="108"/>
      <c r="N232" s="108"/>
      <c r="O232" s="108"/>
      <c r="P232" s="108"/>
      <c r="Q232" s="7"/>
      <c r="R232" t="s">
        <v>1390</v>
      </c>
      <c r="T232">
        <v>1</v>
      </c>
    </row>
    <row r="233" spans="1:21" x14ac:dyDescent="0.3">
      <c r="A233" t="s">
        <v>364</v>
      </c>
      <c r="B233" t="s">
        <v>1170</v>
      </c>
      <c r="C233" t="s">
        <v>1311</v>
      </c>
      <c r="D233">
        <v>240</v>
      </c>
      <c r="E233">
        <v>9</v>
      </c>
      <c r="F233" s="6">
        <v>1</v>
      </c>
      <c r="G233" s="91">
        <f>Barrage[[#This Row],[Coefficient]]*Barrage[[#This Row],[Total Rounds]]*Barrage[[#This Row],[Base Damage]]</f>
        <v>2160</v>
      </c>
      <c r="H233" s="9" t="s">
        <v>1305</v>
      </c>
      <c r="I233" s="6">
        <v>0.8</v>
      </c>
      <c r="J233" s="6">
        <v>1.1000000000000001</v>
      </c>
      <c r="K233" s="6">
        <v>1.3</v>
      </c>
      <c r="L233" s="106"/>
      <c r="M233" s="108"/>
      <c r="N233" s="108"/>
      <c r="O233" s="108"/>
      <c r="P233" s="108"/>
      <c r="Q233" s="7"/>
      <c r="R233" t="s">
        <v>1390</v>
      </c>
      <c r="T233">
        <v>1</v>
      </c>
    </row>
    <row r="234" spans="1:21" x14ac:dyDescent="0.3">
      <c r="A234" t="s">
        <v>364</v>
      </c>
      <c r="B234" t="s">
        <v>1171</v>
      </c>
      <c r="C234" t="s">
        <v>1312</v>
      </c>
      <c r="D234">
        <v>225</v>
      </c>
      <c r="E234">
        <v>1</v>
      </c>
      <c r="F234" s="6">
        <v>2</v>
      </c>
      <c r="G234" s="91">
        <f>Barrage[[#This Row],[Coefficient]]*Barrage[[#This Row],[Total Rounds]]*Barrage[[#This Row],[Base Damage]]</f>
        <v>450</v>
      </c>
      <c r="H234" s="94" t="s">
        <v>167</v>
      </c>
      <c r="I234" s="6">
        <v>1</v>
      </c>
      <c r="J234" s="6">
        <v>1</v>
      </c>
      <c r="K234" s="6">
        <v>1</v>
      </c>
      <c r="L234" s="106"/>
      <c r="M234" s="108"/>
      <c r="N234" s="108"/>
      <c r="O234" s="108"/>
      <c r="P234" s="108"/>
      <c r="Q234" s="7"/>
      <c r="R234" t="s">
        <v>1390</v>
      </c>
      <c r="T234">
        <v>1</v>
      </c>
      <c r="U234" t="s">
        <v>1309</v>
      </c>
    </row>
    <row r="235" spans="1:21" x14ac:dyDescent="0.3">
      <c r="A235" t="s">
        <v>364</v>
      </c>
      <c r="B235" t="s">
        <v>1172</v>
      </c>
      <c r="C235" t="s">
        <v>611</v>
      </c>
      <c r="D235">
        <v>332</v>
      </c>
      <c r="E235">
        <v>1</v>
      </c>
      <c r="F235" s="6">
        <v>1</v>
      </c>
      <c r="G235" s="91">
        <f>Barrage[[#This Row],[Coefficient]]*Barrage[[#This Row],[Total Rounds]]*Barrage[[#This Row],[Base Damage]]</f>
        <v>332</v>
      </c>
      <c r="H235" s="9" t="s">
        <v>759</v>
      </c>
      <c r="I235" s="6">
        <v>0.8</v>
      </c>
      <c r="J235" s="6">
        <v>0.95</v>
      </c>
      <c r="K235" s="6">
        <v>1.1499999999999999</v>
      </c>
      <c r="L235" s="106"/>
      <c r="M235" s="108"/>
      <c r="N235" s="108"/>
      <c r="O235" s="108"/>
      <c r="P235" s="108"/>
      <c r="Q235" s="7"/>
      <c r="R235" t="s">
        <v>1390</v>
      </c>
      <c r="T235">
        <v>0.8</v>
      </c>
      <c r="U235" t="s">
        <v>1297</v>
      </c>
    </row>
    <row r="236" spans="1:21" x14ac:dyDescent="0.3">
      <c r="A236" t="s">
        <v>364</v>
      </c>
      <c r="B236" t="s">
        <v>1173</v>
      </c>
      <c r="C236" t="s">
        <v>611</v>
      </c>
      <c r="D236">
        <v>138</v>
      </c>
      <c r="E236">
        <v>2</v>
      </c>
      <c r="F236" s="6">
        <v>1</v>
      </c>
      <c r="G236" s="91">
        <f>Barrage[[#This Row],[Coefficient]]*Barrage[[#This Row],[Total Rounds]]*Barrage[[#This Row],[Base Damage]]</f>
        <v>276</v>
      </c>
      <c r="H236" s="9" t="s">
        <v>759</v>
      </c>
      <c r="I236" s="6">
        <v>0.8</v>
      </c>
      <c r="J236" s="6">
        <v>0.85</v>
      </c>
      <c r="K236" s="6">
        <v>1</v>
      </c>
      <c r="L236" s="106"/>
      <c r="M236" s="108"/>
      <c r="N236" s="108"/>
      <c r="O236" s="108"/>
      <c r="P236" s="108"/>
      <c r="Q236" s="7"/>
      <c r="R236" t="s">
        <v>1390</v>
      </c>
      <c r="T236">
        <v>0.8</v>
      </c>
      <c r="U236" t="s">
        <v>1297</v>
      </c>
    </row>
    <row r="237" spans="1:21" x14ac:dyDescent="0.3">
      <c r="A237" t="s">
        <v>364</v>
      </c>
      <c r="B237" t="s">
        <v>1174</v>
      </c>
      <c r="C237" t="s">
        <v>613</v>
      </c>
      <c r="D237">
        <v>288</v>
      </c>
      <c r="E237">
        <v>6</v>
      </c>
      <c r="F237" s="6">
        <v>1</v>
      </c>
      <c r="G237" s="91">
        <f>Barrage[[#This Row],[Coefficient]]*Barrage[[#This Row],[Total Rounds]]*Barrage[[#This Row],[Base Damage]]</f>
        <v>1728</v>
      </c>
      <c r="H237" s="9" t="s">
        <v>1298</v>
      </c>
      <c r="I237" s="6">
        <v>0.8</v>
      </c>
      <c r="J237" s="6">
        <v>1.1000000000000001</v>
      </c>
      <c r="K237" s="6">
        <v>1.3</v>
      </c>
      <c r="L237" s="106"/>
      <c r="M237" s="108"/>
      <c r="N237" s="108"/>
      <c r="O237" s="108"/>
      <c r="P237" s="108"/>
      <c r="Q237" s="7"/>
      <c r="R237" t="s">
        <v>1390</v>
      </c>
      <c r="T237">
        <v>0.8</v>
      </c>
      <c r="U237" t="s">
        <v>1297</v>
      </c>
    </row>
    <row r="238" spans="1:21" x14ac:dyDescent="0.3">
      <c r="A238" t="s">
        <v>364</v>
      </c>
      <c r="B238" t="s">
        <v>1175</v>
      </c>
      <c r="C238" t="s">
        <v>776</v>
      </c>
      <c r="D238">
        <v>207</v>
      </c>
      <c r="E238">
        <v>3</v>
      </c>
      <c r="F238" s="6">
        <v>1</v>
      </c>
      <c r="G238" s="91">
        <f>Barrage[[#This Row],[Coefficient]]*Barrage[[#This Row],[Total Rounds]]*Barrage[[#This Row],[Base Damage]]</f>
        <v>621</v>
      </c>
      <c r="H238" t="s">
        <v>79</v>
      </c>
      <c r="I238" s="6">
        <v>0.8</v>
      </c>
      <c r="J238" s="6">
        <v>1.1000000000000001</v>
      </c>
      <c r="K238" s="6">
        <v>1.3</v>
      </c>
      <c r="L238" s="106"/>
      <c r="M238" s="108"/>
      <c r="N238" s="108"/>
      <c r="O238" s="108"/>
      <c r="P238" s="108"/>
      <c r="Q238" s="7"/>
      <c r="R238" t="s">
        <v>1390</v>
      </c>
      <c r="T238">
        <v>1</v>
      </c>
    </row>
    <row r="239" spans="1:21" x14ac:dyDescent="0.3">
      <c r="A239" t="s">
        <v>364</v>
      </c>
      <c r="B239" t="s">
        <v>1176</v>
      </c>
      <c r="C239" t="s">
        <v>776</v>
      </c>
      <c r="D239">
        <v>207</v>
      </c>
      <c r="E239">
        <v>6</v>
      </c>
      <c r="F239" s="6">
        <v>1</v>
      </c>
      <c r="G239" s="91">
        <f>Barrage[[#This Row],[Coefficient]]*Barrage[[#This Row],[Total Rounds]]*Barrage[[#This Row],[Base Damage]]</f>
        <v>1242</v>
      </c>
      <c r="H239" t="s">
        <v>79</v>
      </c>
      <c r="I239" s="6">
        <v>0.8</v>
      </c>
      <c r="J239" s="6">
        <v>1.1000000000000001</v>
      </c>
      <c r="K239" s="6">
        <v>1.3</v>
      </c>
      <c r="L239" s="106"/>
      <c r="M239" s="108"/>
      <c r="N239" s="108"/>
      <c r="O239" s="108"/>
      <c r="P239" s="108"/>
      <c r="Q239" s="7"/>
      <c r="R239" t="s">
        <v>1390</v>
      </c>
      <c r="T239">
        <v>1</v>
      </c>
    </row>
    <row r="240" spans="1:21" x14ac:dyDescent="0.3">
      <c r="A240" t="s">
        <v>364</v>
      </c>
      <c r="B240" t="s">
        <v>1385</v>
      </c>
      <c r="C240" t="s">
        <v>995</v>
      </c>
      <c r="D240">
        <v>294</v>
      </c>
      <c r="E240">
        <v>1</v>
      </c>
      <c r="F240" s="6">
        <v>1</v>
      </c>
      <c r="G240" s="91">
        <f>Barrage[[#This Row],[Coefficient]]*Barrage[[#This Row],[Total Rounds]]*Barrage[[#This Row],[Base Damage]]</f>
        <v>294</v>
      </c>
      <c r="H240" s="95" t="s">
        <v>1301</v>
      </c>
      <c r="I240" s="6">
        <v>1</v>
      </c>
      <c r="J240" s="6">
        <v>1</v>
      </c>
      <c r="K240" s="6">
        <v>1</v>
      </c>
      <c r="L240" s="106">
        <v>0.5</v>
      </c>
      <c r="M240" s="108">
        <v>3</v>
      </c>
      <c r="N240" s="130">
        <v>0.3</v>
      </c>
      <c r="O240" s="108"/>
      <c r="P240" s="108"/>
      <c r="Q240" s="7"/>
      <c r="R240" t="s">
        <v>1390</v>
      </c>
      <c r="T240">
        <v>1</v>
      </c>
      <c r="U240" t="s">
        <v>1313</v>
      </c>
    </row>
    <row r="241" spans="1:21" x14ac:dyDescent="0.3">
      <c r="A241" t="s">
        <v>364</v>
      </c>
      <c r="B241" t="s">
        <v>1386</v>
      </c>
      <c r="C241" t="s">
        <v>995</v>
      </c>
      <c r="D241">
        <v>248</v>
      </c>
      <c r="E241">
        <v>3</v>
      </c>
      <c r="F241" s="6">
        <v>1</v>
      </c>
      <c r="G241" s="91">
        <f>Barrage[[#This Row],[Coefficient]]*Barrage[[#This Row],[Total Rounds]]*Barrage[[#This Row],[Base Damage]]</f>
        <v>744</v>
      </c>
      <c r="H241" s="94" t="s">
        <v>1314</v>
      </c>
      <c r="I241" s="6">
        <v>1</v>
      </c>
      <c r="J241" s="6">
        <v>1</v>
      </c>
      <c r="K241" s="6">
        <v>1</v>
      </c>
      <c r="L241" s="106"/>
      <c r="M241" s="108"/>
      <c r="N241" s="108"/>
      <c r="O241" s="108"/>
      <c r="P241" s="108"/>
      <c r="Q241" s="7"/>
      <c r="R241" t="s">
        <v>1390</v>
      </c>
      <c r="T241">
        <v>1</v>
      </c>
    </row>
    <row r="242" spans="1:21" x14ac:dyDescent="0.3">
      <c r="A242" t="s">
        <v>364</v>
      </c>
      <c r="B242" t="s">
        <v>1387</v>
      </c>
      <c r="C242" t="s">
        <v>995</v>
      </c>
      <c r="D242">
        <v>72</v>
      </c>
      <c r="E242">
        <v>24</v>
      </c>
      <c r="F242" s="6">
        <v>1</v>
      </c>
      <c r="G242" s="91">
        <f>Barrage[[#This Row],[Coefficient]]*Barrage[[#This Row],[Total Rounds]]*Barrage[[#This Row],[Base Damage]]</f>
        <v>1728</v>
      </c>
      <c r="H242" t="s">
        <v>759</v>
      </c>
      <c r="I242" s="6">
        <v>1</v>
      </c>
      <c r="J242" s="6">
        <v>1</v>
      </c>
      <c r="K242" s="6">
        <v>1</v>
      </c>
      <c r="L242" s="106"/>
      <c r="M242" s="108"/>
      <c r="N242" s="108"/>
      <c r="O242" s="108"/>
      <c r="P242" s="108"/>
      <c r="Q242" s="7"/>
      <c r="R242" t="s">
        <v>1390</v>
      </c>
      <c r="T242">
        <v>1</v>
      </c>
    </row>
    <row r="243" spans="1:21" x14ac:dyDescent="0.3">
      <c r="A243" t="s">
        <v>834</v>
      </c>
      <c r="B243" t="s">
        <v>1140</v>
      </c>
      <c r="C243" t="s">
        <v>1315</v>
      </c>
      <c r="D243">
        <v>173</v>
      </c>
      <c r="E243">
        <v>15</v>
      </c>
      <c r="F243" s="6">
        <v>1</v>
      </c>
      <c r="G243" s="91">
        <f>Barrage[[#This Row],[Coefficient]]*Barrage[[#This Row],[Total Rounds]]*Barrage[[#This Row],[Base Damage]]</f>
        <v>2595</v>
      </c>
      <c r="H243" t="s">
        <v>759</v>
      </c>
      <c r="I243" s="6">
        <v>0.8</v>
      </c>
      <c r="J243" s="6">
        <v>0.85</v>
      </c>
      <c r="K243" s="6">
        <v>1</v>
      </c>
      <c r="L243" s="106"/>
      <c r="M243" s="108"/>
      <c r="N243" s="108"/>
      <c r="O243" s="108"/>
      <c r="P243" s="108"/>
      <c r="Q243" s="7"/>
      <c r="R243" t="s">
        <v>1390</v>
      </c>
      <c r="T243">
        <v>0.8</v>
      </c>
      <c r="U243" t="s">
        <v>1297</v>
      </c>
    </row>
    <row r="244" spans="1:21" x14ac:dyDescent="0.3">
      <c r="A244" t="s">
        <v>834</v>
      </c>
      <c r="B244" t="s">
        <v>1141</v>
      </c>
      <c r="C244" t="s">
        <v>690</v>
      </c>
      <c r="D244">
        <v>100</v>
      </c>
      <c r="E244">
        <v>8</v>
      </c>
      <c r="F244" s="6">
        <v>1</v>
      </c>
      <c r="G244" s="91">
        <f>Barrage[[#This Row],[Coefficient]]*Barrage[[#This Row],[Total Rounds]]*Barrage[[#This Row],[Base Damage]]</f>
        <v>800</v>
      </c>
      <c r="H244" s="95" t="s">
        <v>169</v>
      </c>
      <c r="I244" s="6">
        <v>1.4</v>
      </c>
      <c r="J244" s="6">
        <v>1.1000000000000001</v>
      </c>
      <c r="K244" s="6">
        <v>0.9</v>
      </c>
      <c r="L244" s="106"/>
      <c r="M244" s="108"/>
      <c r="N244" s="108"/>
      <c r="O244" s="108"/>
      <c r="P244" s="108"/>
      <c r="Q244" s="7"/>
      <c r="R244" t="s">
        <v>9</v>
      </c>
      <c r="T244">
        <v>1</v>
      </c>
    </row>
    <row r="245" spans="1:21" x14ac:dyDescent="0.3">
      <c r="A245" t="s">
        <v>834</v>
      </c>
      <c r="B245" t="s">
        <v>1142</v>
      </c>
      <c r="C245" t="s">
        <v>689</v>
      </c>
      <c r="D245">
        <v>332</v>
      </c>
      <c r="E245">
        <v>2</v>
      </c>
      <c r="F245" s="6">
        <v>1</v>
      </c>
      <c r="G245" s="91">
        <f>Barrage[[#This Row],[Coefficient]]*Barrage[[#This Row],[Total Rounds]]*Barrage[[#This Row],[Base Damage]]</f>
        <v>664</v>
      </c>
      <c r="H245" s="9" t="s">
        <v>759</v>
      </c>
      <c r="I245" s="6">
        <v>0.8</v>
      </c>
      <c r="J245" s="6">
        <v>0.95</v>
      </c>
      <c r="K245" s="6">
        <v>1.1499999999999999</v>
      </c>
      <c r="L245" s="106"/>
      <c r="M245" s="108"/>
      <c r="N245" s="108"/>
      <c r="O245" s="108"/>
      <c r="P245" s="108"/>
      <c r="Q245" s="7"/>
      <c r="R245" t="s">
        <v>1390</v>
      </c>
      <c r="T245">
        <v>0.8</v>
      </c>
      <c r="U245" t="s">
        <v>1297</v>
      </c>
    </row>
    <row r="246" spans="1:21" x14ac:dyDescent="0.3">
      <c r="A246" t="s">
        <v>834</v>
      </c>
      <c r="B246" t="s">
        <v>1143</v>
      </c>
      <c r="C246" t="s">
        <v>689</v>
      </c>
      <c r="D246">
        <v>276</v>
      </c>
      <c r="E246">
        <v>2</v>
      </c>
      <c r="F246" s="6">
        <v>1</v>
      </c>
      <c r="G246" s="91">
        <f>Barrage[[#This Row],[Coefficient]]*Barrage[[#This Row],[Total Rounds]]*Barrage[[#This Row],[Base Damage]]</f>
        <v>552</v>
      </c>
      <c r="H246" s="9" t="s">
        <v>759</v>
      </c>
      <c r="I246" s="6">
        <v>0.8</v>
      </c>
      <c r="J246" s="6">
        <v>0.85</v>
      </c>
      <c r="K246" s="6">
        <v>1</v>
      </c>
      <c r="L246" s="106"/>
      <c r="M246" s="108"/>
      <c r="N246" s="108"/>
      <c r="O246" s="108"/>
      <c r="P246" s="108"/>
      <c r="Q246" s="7"/>
      <c r="R246" t="s">
        <v>1390</v>
      </c>
      <c r="T246">
        <v>0.8</v>
      </c>
      <c r="U246" t="s">
        <v>1297</v>
      </c>
    </row>
    <row r="247" spans="1:21" x14ac:dyDescent="0.3">
      <c r="A247" t="s">
        <v>188</v>
      </c>
      <c r="B247" t="s">
        <v>1177</v>
      </c>
      <c r="C247" t="s">
        <v>663</v>
      </c>
      <c r="D247">
        <v>50</v>
      </c>
      <c r="E247">
        <v>7</v>
      </c>
      <c r="F247" s="6">
        <v>1</v>
      </c>
      <c r="G247" s="91">
        <f>Barrage[[#This Row],[Coefficient]]*Barrage[[#This Row],[Total Rounds]]*Barrage[[#This Row],[Base Damage]]</f>
        <v>350</v>
      </c>
      <c r="H247" s="9" t="s">
        <v>79</v>
      </c>
      <c r="I247" s="6">
        <v>0.8</v>
      </c>
      <c r="J247" s="6">
        <v>1</v>
      </c>
      <c r="K247" s="6">
        <v>1.3</v>
      </c>
      <c r="L247" s="106"/>
      <c r="M247" s="110"/>
      <c r="N247" s="110"/>
      <c r="O247" s="110"/>
      <c r="P247" s="110"/>
      <c r="Q247" s="7"/>
      <c r="R247" t="s">
        <v>11</v>
      </c>
      <c r="T247">
        <v>1</v>
      </c>
    </row>
    <row r="248" spans="1:21" x14ac:dyDescent="0.3">
      <c r="A248" t="s">
        <v>188</v>
      </c>
      <c r="B248" t="s">
        <v>1178</v>
      </c>
      <c r="C248" t="s">
        <v>665</v>
      </c>
      <c r="D248">
        <v>48</v>
      </c>
      <c r="E248">
        <v>6</v>
      </c>
      <c r="F248" s="6">
        <v>1</v>
      </c>
      <c r="G248" s="91">
        <f>Barrage[[#This Row],[Coefficient]]*Barrage[[#This Row],[Total Rounds]]*Barrage[[#This Row],[Base Damage]]</f>
        <v>288</v>
      </c>
      <c r="H248" s="94" t="s">
        <v>1316</v>
      </c>
      <c r="I248" s="6">
        <v>0.8</v>
      </c>
      <c r="J248" s="6">
        <v>1</v>
      </c>
      <c r="K248" s="6">
        <v>1.3</v>
      </c>
      <c r="L248" s="106"/>
      <c r="M248" s="110"/>
      <c r="N248" s="110"/>
      <c r="O248" s="110"/>
      <c r="P248" s="110"/>
      <c r="Q248" s="7"/>
      <c r="R248" t="s">
        <v>11</v>
      </c>
      <c r="T248">
        <v>1.2</v>
      </c>
      <c r="U248" t="s">
        <v>1317</v>
      </c>
    </row>
    <row r="249" spans="1:21" x14ac:dyDescent="0.3">
      <c r="A249" t="s">
        <v>188</v>
      </c>
      <c r="B249" t="s">
        <v>1179</v>
      </c>
      <c r="C249" t="s">
        <v>764</v>
      </c>
      <c r="D249">
        <v>40</v>
      </c>
      <c r="E249">
        <v>6</v>
      </c>
      <c r="F249" s="6">
        <v>1</v>
      </c>
      <c r="G249" s="91">
        <f>Barrage[[#This Row],[Coefficient]]*Barrage[[#This Row],[Total Rounds]]*Barrage[[#This Row],[Base Damage]]</f>
        <v>240</v>
      </c>
      <c r="H249" s="95" t="s">
        <v>1318</v>
      </c>
      <c r="I249" s="6">
        <v>0.8</v>
      </c>
      <c r="J249" s="6">
        <v>1</v>
      </c>
      <c r="K249" s="6">
        <v>1.3</v>
      </c>
      <c r="L249" s="106">
        <v>0.7</v>
      </c>
      <c r="M249" s="110">
        <v>2</v>
      </c>
      <c r="N249" s="110"/>
      <c r="O249" s="110"/>
      <c r="P249" s="110"/>
      <c r="Q249" s="7"/>
      <c r="R249" t="s">
        <v>11</v>
      </c>
      <c r="T249">
        <v>1</v>
      </c>
    </row>
    <row r="250" spans="1:21" x14ac:dyDescent="0.3">
      <c r="A250" t="s">
        <v>188</v>
      </c>
      <c r="B250" t="s">
        <v>1395</v>
      </c>
      <c r="C250" t="s">
        <v>1391</v>
      </c>
      <c r="D250">
        <v>60</v>
      </c>
      <c r="E250">
        <v>9</v>
      </c>
      <c r="F250" s="6">
        <v>1</v>
      </c>
      <c r="G250" s="91">
        <f>Barrage[[#This Row],[Coefficient]]*Barrage[[#This Row],[Total Rounds]]*Barrage[[#This Row],[Base Damage]]</f>
        <v>540</v>
      </c>
      <c r="H250" t="s">
        <v>79</v>
      </c>
      <c r="I250" s="6">
        <v>0.8</v>
      </c>
      <c r="J250" s="6">
        <v>1</v>
      </c>
      <c r="K250" s="6">
        <v>1.3</v>
      </c>
      <c r="L250" s="92"/>
      <c r="M250" s="93"/>
      <c r="N250" s="93"/>
      <c r="O250" s="93"/>
      <c r="P250" s="93"/>
      <c r="Q250" s="7"/>
      <c r="R250" t="s">
        <v>11</v>
      </c>
      <c r="T250">
        <v>1</v>
      </c>
    </row>
    <row r="251" spans="1:21" x14ac:dyDescent="0.3">
      <c r="A251" t="s">
        <v>188</v>
      </c>
      <c r="B251" t="s">
        <v>1396</v>
      </c>
      <c r="C251" t="s">
        <v>1397</v>
      </c>
      <c r="D251">
        <v>60</v>
      </c>
      <c r="E251">
        <v>9</v>
      </c>
      <c r="F251" s="6">
        <v>1</v>
      </c>
      <c r="G251" s="91">
        <f>Barrage[[#This Row],[Coefficient]]*Barrage[[#This Row],[Total Rounds]]*Barrage[[#This Row],[Base Damage]]</f>
        <v>540</v>
      </c>
      <c r="H251" t="s">
        <v>79</v>
      </c>
      <c r="I251" s="6">
        <v>0.8</v>
      </c>
      <c r="J251" s="6">
        <v>1</v>
      </c>
      <c r="K251" s="6">
        <v>1.3</v>
      </c>
      <c r="L251" s="92"/>
      <c r="M251" s="93"/>
      <c r="N251" s="93"/>
      <c r="O251" s="93"/>
      <c r="P251" s="93"/>
      <c r="Q251" s="7"/>
      <c r="R251" t="s">
        <v>11</v>
      </c>
      <c r="T251">
        <v>1</v>
      </c>
    </row>
    <row r="252" spans="1:21" x14ac:dyDescent="0.3">
      <c r="A252" t="s">
        <v>188</v>
      </c>
      <c r="B252" t="s">
        <v>1398</v>
      </c>
      <c r="C252" t="s">
        <v>1394</v>
      </c>
      <c r="D252">
        <v>60</v>
      </c>
      <c r="E252">
        <v>6</v>
      </c>
      <c r="F252" s="6">
        <v>1</v>
      </c>
      <c r="G252" s="91">
        <f>Barrage[[#This Row],[Coefficient]]*Barrage[[#This Row],[Total Rounds]]*Barrage[[#This Row],[Base Damage]]</f>
        <v>360</v>
      </c>
      <c r="H252" t="s">
        <v>79</v>
      </c>
      <c r="I252" s="6">
        <v>0.8</v>
      </c>
      <c r="J252" s="6">
        <v>1</v>
      </c>
      <c r="K252" s="6">
        <v>1.3</v>
      </c>
      <c r="L252" s="92"/>
      <c r="M252" s="93"/>
      <c r="N252" s="93"/>
      <c r="O252" s="93"/>
      <c r="P252" s="93"/>
      <c r="Q252" s="7"/>
      <c r="R252" t="s">
        <v>11</v>
      </c>
      <c r="T252">
        <v>1</v>
      </c>
    </row>
    <row r="253" spans="1:21" x14ac:dyDescent="0.3">
      <c r="A253" t="s">
        <v>188</v>
      </c>
      <c r="B253" t="s">
        <v>1402</v>
      </c>
      <c r="C253" t="s">
        <v>1397</v>
      </c>
      <c r="D253">
        <v>60</v>
      </c>
      <c r="E253">
        <v>10</v>
      </c>
      <c r="F253" s="6">
        <v>1</v>
      </c>
      <c r="G253" s="91">
        <f>Barrage[[#This Row],[Coefficient]]*Barrage[[#This Row],[Total Rounds]]*Barrage[[#This Row],[Base Damage]]</f>
        <v>600</v>
      </c>
      <c r="H253" s="9" t="s">
        <v>79</v>
      </c>
      <c r="I253" s="6">
        <v>0.8</v>
      </c>
      <c r="J253" s="6">
        <v>1</v>
      </c>
      <c r="K253" s="6">
        <v>1.3</v>
      </c>
      <c r="L253" s="92"/>
      <c r="M253" s="103"/>
      <c r="N253" s="103"/>
      <c r="O253" s="103"/>
      <c r="P253" s="103"/>
      <c r="Q253" s="7"/>
      <c r="R253" t="s">
        <v>11</v>
      </c>
      <c r="T253">
        <v>1</v>
      </c>
    </row>
    <row r="254" spans="1:21" x14ac:dyDescent="0.3">
      <c r="A254" t="s">
        <v>188</v>
      </c>
      <c r="B254" t="s">
        <v>1403</v>
      </c>
      <c r="C254" t="s">
        <v>1392</v>
      </c>
      <c r="D254">
        <v>36</v>
      </c>
      <c r="E254">
        <v>12</v>
      </c>
      <c r="F254" s="6">
        <v>1</v>
      </c>
      <c r="G254" s="91">
        <f>Barrage[[#This Row],[Coefficient]]*Barrage[[#This Row],[Total Rounds]]*Barrage[[#This Row],[Base Damage]]</f>
        <v>432</v>
      </c>
      <c r="H254" s="9" t="s">
        <v>79</v>
      </c>
      <c r="I254" s="6">
        <v>1</v>
      </c>
      <c r="J254" s="6">
        <v>1</v>
      </c>
      <c r="K254" s="6">
        <v>1</v>
      </c>
      <c r="L254" s="92"/>
      <c r="M254" s="103"/>
      <c r="N254" s="103"/>
      <c r="O254" s="103"/>
      <c r="P254" s="103"/>
      <c r="Q254" s="7"/>
      <c r="R254" t="s">
        <v>11</v>
      </c>
      <c r="T254">
        <v>1</v>
      </c>
    </row>
    <row r="255" spans="1:21" x14ac:dyDescent="0.3">
      <c r="A255" t="s">
        <v>184</v>
      </c>
      <c r="B255" t="s">
        <v>1419</v>
      </c>
      <c r="C255" t="s">
        <v>1418</v>
      </c>
      <c r="D255">
        <v>42</v>
      </c>
      <c r="E255">
        <v>6</v>
      </c>
      <c r="F255" s="6">
        <v>1</v>
      </c>
      <c r="G255" s="91">
        <f>Barrage[[#This Row],[Coefficient]]*Barrage[[#This Row],[Total Rounds]]*Barrage[[#This Row],[Base Damage]]</f>
        <v>252</v>
      </c>
      <c r="H255" s="94" t="s">
        <v>167</v>
      </c>
      <c r="I255" s="6">
        <v>0.85</v>
      </c>
      <c r="J255" s="6">
        <v>1.2</v>
      </c>
      <c r="K255" s="6">
        <v>0.85</v>
      </c>
      <c r="L255" s="92"/>
      <c r="M255" s="103"/>
      <c r="N255" s="103"/>
      <c r="O255" s="103"/>
      <c r="P255" s="103"/>
      <c r="Q255" s="7"/>
      <c r="R255" t="s">
        <v>9</v>
      </c>
      <c r="T255">
        <v>1</v>
      </c>
    </row>
    <row r="256" spans="1:21" x14ac:dyDescent="0.3">
      <c r="A256" t="s">
        <v>189</v>
      </c>
      <c r="B256" t="s">
        <v>1421</v>
      </c>
      <c r="C256" t="s">
        <v>1420</v>
      </c>
      <c r="D256">
        <v>170</v>
      </c>
      <c r="E256">
        <v>9</v>
      </c>
      <c r="F256" s="6">
        <v>1</v>
      </c>
      <c r="G256" s="91">
        <f>Barrage[[#This Row],[Coefficient]]*Barrage[[#This Row],[Total Rounds]]*Barrage[[#This Row],[Base Damage]]</f>
        <v>1530</v>
      </c>
      <c r="H256" s="94" t="s">
        <v>167</v>
      </c>
      <c r="I256" s="6">
        <v>0.5</v>
      </c>
      <c r="J256" s="6">
        <v>1.2</v>
      </c>
      <c r="K256" s="6">
        <v>1.1499999999999999</v>
      </c>
      <c r="L256" s="120"/>
      <c r="M256" s="121"/>
      <c r="N256" s="121"/>
      <c r="O256" s="121"/>
      <c r="P256" s="121"/>
      <c r="Q256" s="7"/>
      <c r="R256" t="s">
        <v>9</v>
      </c>
      <c r="T256">
        <v>1</v>
      </c>
    </row>
    <row r="257" spans="1:21" x14ac:dyDescent="0.3">
      <c r="A257" t="s">
        <v>189</v>
      </c>
      <c r="B257" t="s">
        <v>1425</v>
      </c>
      <c r="C257" t="s">
        <v>1420</v>
      </c>
      <c r="D257">
        <v>20</v>
      </c>
      <c r="E257">
        <v>30</v>
      </c>
      <c r="F257" s="6">
        <v>1</v>
      </c>
      <c r="G257" s="91">
        <f>Barrage[[#This Row],[Coefficient]]*Barrage[[#This Row],[Total Rounds]]*Barrage[[#This Row],[Base Damage]]</f>
        <v>600</v>
      </c>
      <c r="H257" s="95" t="s">
        <v>169</v>
      </c>
      <c r="I257" s="6">
        <v>1.2</v>
      </c>
      <c r="J257" s="6">
        <v>0.6</v>
      </c>
      <c r="K257" s="6">
        <v>0.6</v>
      </c>
      <c r="L257" s="120"/>
      <c r="M257" s="121"/>
      <c r="N257" s="121"/>
      <c r="O257" s="121"/>
      <c r="P257" s="121"/>
      <c r="Q257" s="7"/>
      <c r="R257" t="s">
        <v>9</v>
      </c>
      <c r="T257">
        <v>1</v>
      </c>
    </row>
    <row r="258" spans="1:21" x14ac:dyDescent="0.3">
      <c r="A258" t="s">
        <v>188</v>
      </c>
      <c r="B258" t="s">
        <v>1432</v>
      </c>
      <c r="C258" t="s">
        <v>1424</v>
      </c>
      <c r="D258">
        <v>36</v>
      </c>
      <c r="E258">
        <v>7</v>
      </c>
      <c r="F258" s="6">
        <v>1</v>
      </c>
      <c r="G258" s="91">
        <f>Barrage[[#This Row],[Coefficient]]*Barrage[[#This Row],[Total Rounds]]*Barrage[[#This Row],[Base Damage]]</f>
        <v>252</v>
      </c>
      <c r="H258" s="9" t="s">
        <v>79</v>
      </c>
      <c r="I258" s="6">
        <v>0.8</v>
      </c>
      <c r="J258" s="6">
        <v>1</v>
      </c>
      <c r="K258" s="6">
        <v>1.3</v>
      </c>
      <c r="L258" s="92"/>
      <c r="M258" s="103"/>
      <c r="N258" s="103"/>
      <c r="O258" s="103"/>
      <c r="P258" s="103"/>
      <c r="Q258" s="7"/>
      <c r="R258" t="s">
        <v>11</v>
      </c>
      <c r="T258">
        <v>1</v>
      </c>
    </row>
    <row r="259" spans="1:21" x14ac:dyDescent="0.3">
      <c r="A259" t="s">
        <v>364</v>
      </c>
      <c r="B259" s="24" t="s">
        <v>1433</v>
      </c>
      <c r="C259" t="s">
        <v>1426</v>
      </c>
      <c r="D259">
        <v>380</v>
      </c>
      <c r="E259">
        <v>6</v>
      </c>
      <c r="F259" s="6">
        <v>1</v>
      </c>
      <c r="G259" s="91">
        <f>Barrage[[#This Row],[Coefficient]]*Barrage[[#This Row],[Total Rounds]]*Barrage[[#This Row],[Base Damage]]</f>
        <v>2280</v>
      </c>
      <c r="H259" t="s">
        <v>759</v>
      </c>
      <c r="I259" s="6">
        <v>0.8</v>
      </c>
      <c r="J259" s="6">
        <v>0.9</v>
      </c>
      <c r="K259" s="6">
        <v>1.1000000000000001</v>
      </c>
      <c r="L259" s="92"/>
      <c r="M259" s="103"/>
      <c r="N259" s="103"/>
      <c r="O259" s="103"/>
      <c r="P259" s="103"/>
      <c r="Q259" s="7"/>
      <c r="R259" t="s">
        <v>1390</v>
      </c>
      <c r="T259">
        <v>0.8</v>
      </c>
      <c r="U259" t="s">
        <v>1427</v>
      </c>
    </row>
  </sheetData>
  <phoneticPr fontId="7" type="noConversion"/>
  <conditionalFormatting sqref="G2:G58">
    <cfRule type="colorScale" priority="10">
      <colorScale>
        <cfvo type="min"/>
        <cfvo type="percentile" val="50"/>
        <cfvo type="max"/>
        <color rgb="FFF8696B"/>
        <color rgb="FFFFEB84"/>
        <color rgb="FF63BE7B"/>
      </colorScale>
    </cfRule>
  </conditionalFormatting>
  <conditionalFormatting sqref="G59:G84">
    <cfRule type="colorScale" priority="9">
      <colorScale>
        <cfvo type="min"/>
        <cfvo type="percentile" val="50"/>
        <cfvo type="max"/>
        <color rgb="FFF8696B"/>
        <color rgb="FFFFEB84"/>
        <color rgb="FF63BE7B"/>
      </colorScale>
    </cfRule>
  </conditionalFormatting>
  <conditionalFormatting sqref="G85:G109">
    <cfRule type="colorScale" priority="8">
      <colorScale>
        <cfvo type="min"/>
        <cfvo type="percentile" val="50"/>
        <cfvo type="max"/>
        <color rgb="FFF8696B"/>
        <color rgb="FFFFEB84"/>
        <color rgb="FF63BE7B"/>
      </colorScale>
    </cfRule>
  </conditionalFormatting>
  <conditionalFormatting sqref="G110:G119">
    <cfRule type="colorScale" priority="7">
      <colorScale>
        <cfvo type="min"/>
        <cfvo type="percentile" val="50"/>
        <cfvo type="max"/>
        <color rgb="FFF8696B"/>
        <color rgb="FFFFEB84"/>
        <color rgb="FF63BE7B"/>
      </colorScale>
    </cfRule>
  </conditionalFormatting>
  <conditionalFormatting sqref="G2:G259">
    <cfRule type="colorScale" priority="2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11"/>
  <sheetViews>
    <sheetView topLeftCell="A232" zoomScaleNormal="100" workbookViewId="0">
      <selection activeCell="E247" sqref="E247"/>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149</v>
      </c>
      <c r="B1" t="s">
        <v>150</v>
      </c>
      <c r="C1" t="s">
        <v>9</v>
      </c>
      <c r="D1" t="s">
        <v>265</v>
      </c>
      <c r="E1" t="s">
        <v>21</v>
      </c>
      <c r="F1" t="s">
        <v>53</v>
      </c>
      <c r="G1" t="s">
        <v>22</v>
      </c>
      <c r="H1" t="s">
        <v>20</v>
      </c>
      <c r="I1" t="s">
        <v>266</v>
      </c>
      <c r="J1" t="s">
        <v>152</v>
      </c>
      <c r="K1" t="s">
        <v>153</v>
      </c>
      <c r="L1" t="s">
        <v>154</v>
      </c>
      <c r="M1" t="s">
        <v>155</v>
      </c>
      <c r="N1" t="s">
        <v>156</v>
      </c>
      <c r="U1" t="s">
        <v>150</v>
      </c>
    </row>
    <row r="2" spans="1:21" x14ac:dyDescent="0.3">
      <c r="A2" t="s">
        <v>211</v>
      </c>
      <c r="B2" t="s">
        <v>157</v>
      </c>
      <c r="C2">
        <v>12</v>
      </c>
      <c r="D2">
        <v>0</v>
      </c>
      <c r="E2">
        <v>7</v>
      </c>
      <c r="F2">
        <v>1.25</v>
      </c>
      <c r="G2">
        <v>1</v>
      </c>
      <c r="H2">
        <v>0</v>
      </c>
      <c r="I2">
        <v>0.76</v>
      </c>
      <c r="J2">
        <v>40</v>
      </c>
      <c r="K2" t="s">
        <v>163</v>
      </c>
      <c r="L2" t="s">
        <v>159</v>
      </c>
      <c r="M2" t="s">
        <v>160</v>
      </c>
      <c r="N2" t="s">
        <v>165</v>
      </c>
      <c r="U2" t="s">
        <v>265</v>
      </c>
    </row>
    <row r="3" spans="1:21" x14ac:dyDescent="0.3">
      <c r="A3" t="s">
        <v>213</v>
      </c>
      <c r="B3" t="s">
        <v>157</v>
      </c>
      <c r="C3">
        <v>12</v>
      </c>
      <c r="D3">
        <v>0</v>
      </c>
      <c r="E3">
        <v>11</v>
      </c>
      <c r="F3">
        <v>1.25</v>
      </c>
      <c r="G3">
        <v>1</v>
      </c>
      <c r="H3">
        <v>0</v>
      </c>
      <c r="I3">
        <v>0.76</v>
      </c>
      <c r="J3">
        <v>45</v>
      </c>
      <c r="K3" t="s">
        <v>162</v>
      </c>
      <c r="L3" t="s">
        <v>159</v>
      </c>
      <c r="M3" t="s">
        <v>160</v>
      </c>
      <c r="N3" t="s">
        <v>161</v>
      </c>
      <c r="U3" t="s">
        <v>189</v>
      </c>
    </row>
    <row r="4" spans="1:21" x14ac:dyDescent="0.3">
      <c r="A4" t="s">
        <v>209</v>
      </c>
      <c r="B4" t="s">
        <v>157</v>
      </c>
      <c r="C4">
        <v>25</v>
      </c>
      <c r="D4">
        <v>0</v>
      </c>
      <c r="E4">
        <v>15</v>
      </c>
      <c r="F4">
        <v>1.25</v>
      </c>
      <c r="G4">
        <v>3</v>
      </c>
      <c r="H4">
        <v>0.3</v>
      </c>
      <c r="I4">
        <v>1.06</v>
      </c>
      <c r="J4">
        <v>60</v>
      </c>
      <c r="K4" t="s">
        <v>168</v>
      </c>
      <c r="L4" t="s">
        <v>159</v>
      </c>
      <c r="M4" t="s">
        <v>160</v>
      </c>
      <c r="N4" t="s">
        <v>169</v>
      </c>
      <c r="U4" t="s">
        <v>184</v>
      </c>
    </row>
    <row r="5" spans="1:21" x14ac:dyDescent="0.3">
      <c r="A5" t="s">
        <v>210</v>
      </c>
      <c r="B5" t="s">
        <v>157</v>
      </c>
      <c r="C5">
        <v>12</v>
      </c>
      <c r="D5">
        <v>0</v>
      </c>
      <c r="E5">
        <v>9</v>
      </c>
      <c r="F5">
        <v>1.25</v>
      </c>
      <c r="G5">
        <v>1</v>
      </c>
      <c r="H5">
        <v>0</v>
      </c>
      <c r="I5">
        <v>1.0900000000000001</v>
      </c>
      <c r="J5">
        <v>45</v>
      </c>
      <c r="K5" t="s">
        <v>166</v>
      </c>
      <c r="L5" t="s">
        <v>159</v>
      </c>
      <c r="M5" t="s">
        <v>160</v>
      </c>
      <c r="N5" t="s">
        <v>167</v>
      </c>
      <c r="U5" t="s">
        <v>174</v>
      </c>
    </row>
    <row r="6" spans="1:21" x14ac:dyDescent="0.3">
      <c r="A6" t="s">
        <v>214</v>
      </c>
      <c r="B6" t="s">
        <v>157</v>
      </c>
      <c r="C6">
        <v>12</v>
      </c>
      <c r="D6">
        <v>0</v>
      </c>
      <c r="E6">
        <v>12</v>
      </c>
      <c r="F6">
        <v>1.25</v>
      </c>
      <c r="G6">
        <v>3</v>
      </c>
      <c r="H6">
        <v>0.3</v>
      </c>
      <c r="I6">
        <v>1.42</v>
      </c>
      <c r="J6">
        <v>65</v>
      </c>
      <c r="K6" t="s">
        <v>158</v>
      </c>
      <c r="L6" t="s">
        <v>159</v>
      </c>
      <c r="M6" t="s">
        <v>160</v>
      </c>
      <c r="N6" t="s">
        <v>161</v>
      </c>
      <c r="U6" t="s">
        <v>157</v>
      </c>
    </row>
    <row r="7" spans="1:21" x14ac:dyDescent="0.3">
      <c r="A7" t="s">
        <v>201</v>
      </c>
      <c r="B7" t="s">
        <v>157</v>
      </c>
      <c r="C7">
        <v>35</v>
      </c>
      <c r="D7">
        <v>0</v>
      </c>
      <c r="E7">
        <v>15</v>
      </c>
      <c r="F7">
        <v>1.1000000000000001</v>
      </c>
      <c r="G7">
        <v>5</v>
      </c>
      <c r="H7">
        <v>0.2</v>
      </c>
      <c r="I7">
        <v>1.6</v>
      </c>
      <c r="J7">
        <v>60</v>
      </c>
      <c r="K7" t="s">
        <v>168</v>
      </c>
      <c r="L7" t="s">
        <v>159</v>
      </c>
      <c r="M7" t="s">
        <v>160</v>
      </c>
      <c r="N7" t="s">
        <v>169</v>
      </c>
      <c r="U7" t="s">
        <v>740</v>
      </c>
    </row>
    <row r="8" spans="1:21" x14ac:dyDescent="0.3">
      <c r="A8" t="s">
        <v>202</v>
      </c>
      <c r="B8" t="s">
        <v>157</v>
      </c>
      <c r="C8">
        <v>25</v>
      </c>
      <c r="D8">
        <v>0</v>
      </c>
      <c r="E8">
        <v>14</v>
      </c>
      <c r="F8">
        <v>1.1000000000000001</v>
      </c>
      <c r="G8">
        <v>5</v>
      </c>
      <c r="H8">
        <v>0.2</v>
      </c>
      <c r="I8">
        <v>1.73</v>
      </c>
      <c r="J8">
        <v>60</v>
      </c>
      <c r="K8" t="s">
        <v>168</v>
      </c>
      <c r="L8" t="s">
        <v>159</v>
      </c>
      <c r="M8" t="s">
        <v>160</v>
      </c>
      <c r="N8" t="s">
        <v>169</v>
      </c>
      <c r="U8" t="s">
        <v>188</v>
      </c>
    </row>
    <row r="9" spans="1:21" x14ac:dyDescent="0.3">
      <c r="A9" t="s">
        <v>212</v>
      </c>
      <c r="B9" t="s">
        <v>157</v>
      </c>
      <c r="C9">
        <v>12</v>
      </c>
      <c r="D9">
        <v>0</v>
      </c>
      <c r="E9">
        <v>7</v>
      </c>
      <c r="F9">
        <v>1.25</v>
      </c>
      <c r="G9">
        <v>1</v>
      </c>
      <c r="H9">
        <v>0</v>
      </c>
      <c r="I9">
        <v>0.67</v>
      </c>
      <c r="J9">
        <v>40</v>
      </c>
      <c r="K9" t="s">
        <v>164</v>
      </c>
      <c r="L9" t="s">
        <v>159</v>
      </c>
      <c r="M9" t="s">
        <v>160</v>
      </c>
      <c r="N9" t="s">
        <v>165</v>
      </c>
      <c r="U9" t="s">
        <v>742</v>
      </c>
    </row>
    <row r="10" spans="1:21" x14ac:dyDescent="0.3">
      <c r="A10" t="s">
        <v>203</v>
      </c>
      <c r="B10" t="s">
        <v>157</v>
      </c>
      <c r="C10">
        <v>15</v>
      </c>
      <c r="D10">
        <v>30</v>
      </c>
      <c r="E10">
        <v>12</v>
      </c>
      <c r="F10">
        <v>1.1000000000000001</v>
      </c>
      <c r="G10">
        <v>4</v>
      </c>
      <c r="H10">
        <v>0.1</v>
      </c>
      <c r="I10">
        <v>0.96</v>
      </c>
      <c r="J10">
        <v>45</v>
      </c>
      <c r="K10" t="s">
        <v>166</v>
      </c>
      <c r="L10" t="s">
        <v>159</v>
      </c>
      <c r="M10" t="s">
        <v>160</v>
      </c>
      <c r="N10" t="s">
        <v>161</v>
      </c>
      <c r="U10" t="s">
        <v>200</v>
      </c>
    </row>
    <row r="11" spans="1:21" x14ac:dyDescent="0.3">
      <c r="A11" t="s">
        <v>736</v>
      </c>
      <c r="B11" t="s">
        <v>157</v>
      </c>
      <c r="C11">
        <v>12</v>
      </c>
      <c r="D11">
        <v>0</v>
      </c>
      <c r="E11">
        <v>7</v>
      </c>
      <c r="F11">
        <v>1.1000000000000001</v>
      </c>
      <c r="G11">
        <v>2</v>
      </c>
      <c r="H11">
        <v>0.15</v>
      </c>
      <c r="I11">
        <v>1.52</v>
      </c>
      <c r="J11">
        <v>40</v>
      </c>
      <c r="K11" t="s">
        <v>166</v>
      </c>
      <c r="L11" t="s">
        <v>159</v>
      </c>
      <c r="M11" t="s">
        <v>160</v>
      </c>
      <c r="N11" t="s">
        <v>161</v>
      </c>
      <c r="U11" t="s">
        <v>1450</v>
      </c>
    </row>
    <row r="12" spans="1:21" x14ac:dyDescent="0.3">
      <c r="A12" t="s">
        <v>206</v>
      </c>
      <c r="B12" t="s">
        <v>157</v>
      </c>
      <c r="C12">
        <v>25</v>
      </c>
      <c r="D12">
        <v>0</v>
      </c>
      <c r="E12">
        <v>15</v>
      </c>
      <c r="F12">
        <v>1.25</v>
      </c>
      <c r="G12">
        <v>4</v>
      </c>
      <c r="H12">
        <v>0.1</v>
      </c>
      <c r="I12">
        <v>1.44</v>
      </c>
      <c r="J12">
        <v>45</v>
      </c>
      <c r="K12" t="s">
        <v>166</v>
      </c>
      <c r="L12" t="s">
        <v>159</v>
      </c>
      <c r="M12" t="s">
        <v>160</v>
      </c>
      <c r="N12" t="s">
        <v>161</v>
      </c>
    </row>
    <row r="13" spans="1:21" x14ac:dyDescent="0.3">
      <c r="A13" t="s">
        <v>208</v>
      </c>
      <c r="B13" t="s">
        <v>157</v>
      </c>
      <c r="C13">
        <v>25</v>
      </c>
      <c r="D13">
        <v>0</v>
      </c>
      <c r="E13">
        <v>12</v>
      </c>
      <c r="F13">
        <v>1.1000000000000001</v>
      </c>
      <c r="G13">
        <v>4</v>
      </c>
      <c r="H13">
        <v>0.1</v>
      </c>
      <c r="I13">
        <v>1.52</v>
      </c>
      <c r="J13">
        <v>45</v>
      </c>
      <c r="K13" t="s">
        <v>168</v>
      </c>
      <c r="L13" t="s">
        <v>159</v>
      </c>
      <c r="M13" t="s">
        <v>160</v>
      </c>
      <c r="N13" t="s">
        <v>169</v>
      </c>
      <c r="U13" t="s">
        <v>150</v>
      </c>
    </row>
    <row r="14" spans="1:21" x14ac:dyDescent="0.3">
      <c r="A14" t="s">
        <v>737</v>
      </c>
      <c r="B14" t="s">
        <v>157</v>
      </c>
      <c r="C14">
        <v>20</v>
      </c>
      <c r="D14">
        <v>25</v>
      </c>
      <c r="E14">
        <v>15</v>
      </c>
      <c r="F14">
        <v>1.1000000000000001</v>
      </c>
      <c r="G14">
        <v>4</v>
      </c>
      <c r="H14">
        <v>0.1</v>
      </c>
      <c r="I14">
        <v>1.53</v>
      </c>
      <c r="J14">
        <v>60</v>
      </c>
      <c r="K14" t="s">
        <v>168</v>
      </c>
      <c r="L14" t="s">
        <v>159</v>
      </c>
      <c r="M14" t="s">
        <v>161</v>
      </c>
      <c r="N14" t="s">
        <v>169</v>
      </c>
      <c r="U14" t="s">
        <v>302</v>
      </c>
    </row>
    <row r="15" spans="1:21" x14ac:dyDescent="0.3">
      <c r="A15" t="s">
        <v>204</v>
      </c>
      <c r="B15" t="s">
        <v>157</v>
      </c>
      <c r="C15">
        <v>15</v>
      </c>
      <c r="D15">
        <v>10</v>
      </c>
      <c r="E15">
        <v>11</v>
      </c>
      <c r="F15">
        <v>1.1499999999999999</v>
      </c>
      <c r="G15">
        <v>4</v>
      </c>
      <c r="H15">
        <v>0.1</v>
      </c>
      <c r="I15">
        <v>1.5</v>
      </c>
      <c r="J15">
        <v>45</v>
      </c>
      <c r="K15" t="s">
        <v>170</v>
      </c>
      <c r="L15" t="s">
        <v>159</v>
      </c>
      <c r="M15" t="s">
        <v>160</v>
      </c>
      <c r="N15" t="s">
        <v>167</v>
      </c>
      <c r="U15" t="s">
        <v>301</v>
      </c>
    </row>
    <row r="16" spans="1:21" x14ac:dyDescent="0.3">
      <c r="A16" t="s">
        <v>205</v>
      </c>
      <c r="B16" t="s">
        <v>157</v>
      </c>
      <c r="C16">
        <v>10</v>
      </c>
      <c r="D16">
        <v>15</v>
      </c>
      <c r="E16">
        <v>11</v>
      </c>
      <c r="F16">
        <v>1.1000000000000001</v>
      </c>
      <c r="G16">
        <v>2</v>
      </c>
      <c r="H16">
        <v>0</v>
      </c>
      <c r="I16">
        <v>1.27</v>
      </c>
      <c r="J16">
        <v>45</v>
      </c>
      <c r="K16" t="s">
        <v>171</v>
      </c>
      <c r="L16" t="s">
        <v>159</v>
      </c>
      <c r="M16" t="s">
        <v>160</v>
      </c>
      <c r="N16" t="s">
        <v>167</v>
      </c>
    </row>
    <row r="17" spans="1:14" x14ac:dyDescent="0.3">
      <c r="A17" t="s">
        <v>207</v>
      </c>
      <c r="B17" t="s">
        <v>157</v>
      </c>
      <c r="C17">
        <v>25</v>
      </c>
      <c r="D17">
        <v>0</v>
      </c>
      <c r="E17">
        <v>10</v>
      </c>
      <c r="F17">
        <v>1.25</v>
      </c>
      <c r="G17">
        <v>3</v>
      </c>
      <c r="H17">
        <v>0.3</v>
      </c>
      <c r="I17">
        <v>2.87</v>
      </c>
      <c r="J17">
        <v>40</v>
      </c>
      <c r="K17" t="s">
        <v>170</v>
      </c>
      <c r="L17" t="s">
        <v>159</v>
      </c>
      <c r="M17" t="s">
        <v>160</v>
      </c>
      <c r="N17" t="s">
        <v>161</v>
      </c>
    </row>
    <row r="19" spans="1:14" x14ac:dyDescent="0.3">
      <c r="A19" t="s">
        <v>149</v>
      </c>
      <c r="B19" t="s">
        <v>150</v>
      </c>
      <c r="C19" t="s">
        <v>9</v>
      </c>
      <c r="D19" t="s">
        <v>265</v>
      </c>
      <c r="E19" t="s">
        <v>21</v>
      </c>
      <c r="F19" t="s">
        <v>53</v>
      </c>
      <c r="G19" t="s">
        <v>22</v>
      </c>
      <c r="H19" t="s">
        <v>20</v>
      </c>
      <c r="I19" t="s">
        <v>266</v>
      </c>
      <c r="J19" t="s">
        <v>152</v>
      </c>
      <c r="K19" t="s">
        <v>153</v>
      </c>
      <c r="L19" t="s">
        <v>154</v>
      </c>
      <c r="M19" t="s">
        <v>155</v>
      </c>
      <c r="N19" t="s">
        <v>156</v>
      </c>
    </row>
    <row r="20" spans="1:14" x14ac:dyDescent="0.3">
      <c r="A20" t="s">
        <v>217</v>
      </c>
      <c r="B20" t="s">
        <v>174</v>
      </c>
      <c r="C20">
        <v>12</v>
      </c>
      <c r="D20">
        <v>0</v>
      </c>
      <c r="E20">
        <v>13</v>
      </c>
      <c r="F20">
        <v>1.25</v>
      </c>
      <c r="G20">
        <v>3</v>
      </c>
      <c r="H20">
        <v>0.3</v>
      </c>
      <c r="I20">
        <v>4.7300000000000004</v>
      </c>
      <c r="J20">
        <v>50</v>
      </c>
      <c r="K20" t="s">
        <v>177</v>
      </c>
      <c r="L20" t="s">
        <v>159</v>
      </c>
      <c r="M20" t="s">
        <v>160</v>
      </c>
      <c r="N20" t="s">
        <v>161</v>
      </c>
    </row>
    <row r="21" spans="1:14" x14ac:dyDescent="0.3">
      <c r="A21" t="s">
        <v>219</v>
      </c>
      <c r="B21" t="s">
        <v>174</v>
      </c>
      <c r="C21">
        <v>25</v>
      </c>
      <c r="D21">
        <v>0</v>
      </c>
      <c r="E21">
        <v>21</v>
      </c>
      <c r="F21">
        <v>1.1000000000000001</v>
      </c>
      <c r="G21">
        <v>1</v>
      </c>
      <c r="H21">
        <v>0</v>
      </c>
      <c r="I21">
        <v>1.38</v>
      </c>
      <c r="J21">
        <v>50</v>
      </c>
      <c r="K21" t="s">
        <v>168</v>
      </c>
      <c r="L21" t="s">
        <v>159</v>
      </c>
      <c r="M21" t="s">
        <v>160</v>
      </c>
      <c r="N21" t="s">
        <v>167</v>
      </c>
    </row>
    <row r="22" spans="1:14" x14ac:dyDescent="0.3">
      <c r="A22" t="s">
        <v>222</v>
      </c>
      <c r="B22" t="s">
        <v>174</v>
      </c>
      <c r="C22">
        <v>12</v>
      </c>
      <c r="D22">
        <v>0</v>
      </c>
      <c r="E22">
        <v>16</v>
      </c>
      <c r="F22">
        <v>1.1000000000000001</v>
      </c>
      <c r="G22">
        <v>3</v>
      </c>
      <c r="H22">
        <v>0</v>
      </c>
      <c r="I22">
        <v>3.35</v>
      </c>
      <c r="J22">
        <v>50</v>
      </c>
      <c r="K22" t="s">
        <v>158</v>
      </c>
      <c r="L22" t="s">
        <v>176</v>
      </c>
      <c r="M22" t="s">
        <v>160</v>
      </c>
      <c r="N22" t="s">
        <v>167</v>
      </c>
    </row>
    <row r="23" spans="1:14" x14ac:dyDescent="0.3">
      <c r="A23" t="s">
        <v>221</v>
      </c>
      <c r="B23" t="s">
        <v>174</v>
      </c>
      <c r="C23">
        <v>12</v>
      </c>
      <c r="D23">
        <v>0</v>
      </c>
      <c r="E23">
        <v>34</v>
      </c>
      <c r="F23">
        <v>1.1000000000000001</v>
      </c>
      <c r="G23">
        <v>3</v>
      </c>
      <c r="H23">
        <v>0.4</v>
      </c>
      <c r="I23">
        <v>2.4300000000000002</v>
      </c>
      <c r="J23">
        <v>55</v>
      </c>
      <c r="K23" t="s">
        <v>178</v>
      </c>
      <c r="L23" t="s">
        <v>176</v>
      </c>
      <c r="M23" t="s">
        <v>160</v>
      </c>
      <c r="N23" t="s">
        <v>161</v>
      </c>
    </row>
    <row r="24" spans="1:14" x14ac:dyDescent="0.3">
      <c r="A24" t="s">
        <v>218</v>
      </c>
      <c r="B24" t="s">
        <v>174</v>
      </c>
      <c r="C24">
        <v>25</v>
      </c>
      <c r="D24">
        <v>0</v>
      </c>
      <c r="E24">
        <v>17</v>
      </c>
      <c r="F24">
        <v>1.1000000000000001</v>
      </c>
      <c r="G24">
        <v>4</v>
      </c>
      <c r="H24">
        <v>0</v>
      </c>
      <c r="I24">
        <v>3.08</v>
      </c>
      <c r="J24">
        <v>60</v>
      </c>
      <c r="K24" t="s">
        <v>175</v>
      </c>
      <c r="L24" t="s">
        <v>176</v>
      </c>
      <c r="M24" t="s">
        <v>179</v>
      </c>
      <c r="N24" t="s">
        <v>172</v>
      </c>
    </row>
    <row r="25" spans="1:14" x14ac:dyDescent="0.3">
      <c r="A25" t="s">
        <v>216</v>
      </c>
      <c r="B25" t="s">
        <v>174</v>
      </c>
      <c r="C25">
        <v>25</v>
      </c>
      <c r="D25">
        <v>0</v>
      </c>
      <c r="E25">
        <v>21</v>
      </c>
      <c r="F25">
        <v>1.05</v>
      </c>
      <c r="G25">
        <v>4</v>
      </c>
      <c r="H25">
        <v>0.1</v>
      </c>
      <c r="I25">
        <v>3</v>
      </c>
      <c r="J25">
        <v>50</v>
      </c>
      <c r="K25" t="s">
        <v>170</v>
      </c>
      <c r="L25" t="s">
        <v>176</v>
      </c>
      <c r="M25" t="s">
        <v>160</v>
      </c>
      <c r="N25" t="s">
        <v>167</v>
      </c>
    </row>
    <row r="26" spans="1:14" x14ac:dyDescent="0.3">
      <c r="A26" t="s">
        <v>226</v>
      </c>
      <c r="B26" t="s">
        <v>174</v>
      </c>
      <c r="C26">
        <v>25</v>
      </c>
      <c r="D26">
        <v>0</v>
      </c>
      <c r="E26">
        <v>22</v>
      </c>
      <c r="F26">
        <v>1.1000000000000001</v>
      </c>
      <c r="G26">
        <v>4</v>
      </c>
      <c r="H26">
        <v>0</v>
      </c>
      <c r="I26">
        <v>3.39</v>
      </c>
      <c r="J26">
        <v>50</v>
      </c>
      <c r="K26" t="s">
        <v>175</v>
      </c>
      <c r="L26" t="s">
        <v>176</v>
      </c>
      <c r="M26" t="s">
        <v>160</v>
      </c>
      <c r="N26" t="s">
        <v>167</v>
      </c>
    </row>
    <row r="27" spans="1:14" x14ac:dyDescent="0.3">
      <c r="A27" t="s">
        <v>224</v>
      </c>
      <c r="B27" t="s">
        <v>174</v>
      </c>
      <c r="C27">
        <v>25</v>
      </c>
      <c r="D27">
        <v>0</v>
      </c>
      <c r="E27">
        <v>18</v>
      </c>
      <c r="F27">
        <v>1.1000000000000001</v>
      </c>
      <c r="G27">
        <v>4</v>
      </c>
      <c r="H27">
        <v>0</v>
      </c>
      <c r="I27">
        <v>4.0599999999999996</v>
      </c>
      <c r="J27">
        <v>50</v>
      </c>
      <c r="K27" t="s">
        <v>175</v>
      </c>
      <c r="L27" t="s">
        <v>176</v>
      </c>
      <c r="M27" t="s">
        <v>160</v>
      </c>
      <c r="N27" t="s">
        <v>169</v>
      </c>
    </row>
    <row r="28" spans="1:14" x14ac:dyDescent="0.3">
      <c r="A28" t="s">
        <v>225</v>
      </c>
      <c r="B28" t="s">
        <v>174</v>
      </c>
      <c r="C28">
        <v>12</v>
      </c>
      <c r="D28">
        <v>0</v>
      </c>
      <c r="E28">
        <v>15</v>
      </c>
      <c r="F28">
        <v>1.1000000000000001</v>
      </c>
      <c r="G28">
        <v>4</v>
      </c>
      <c r="H28">
        <v>0</v>
      </c>
      <c r="I28">
        <v>2.8</v>
      </c>
      <c r="J28">
        <v>60</v>
      </c>
      <c r="K28" t="s">
        <v>175</v>
      </c>
      <c r="L28" t="s">
        <v>176</v>
      </c>
      <c r="M28" t="s">
        <v>160</v>
      </c>
      <c r="N28" t="s">
        <v>161</v>
      </c>
    </row>
    <row r="29" spans="1:14" x14ac:dyDescent="0.3">
      <c r="A29" t="s">
        <v>220</v>
      </c>
      <c r="B29" t="s">
        <v>174</v>
      </c>
      <c r="C29">
        <v>25</v>
      </c>
      <c r="D29">
        <v>0</v>
      </c>
      <c r="E29">
        <v>21</v>
      </c>
      <c r="F29">
        <v>1.05</v>
      </c>
      <c r="G29">
        <v>3</v>
      </c>
      <c r="H29">
        <v>0.3</v>
      </c>
      <c r="I29">
        <v>5.36</v>
      </c>
      <c r="J29">
        <v>50</v>
      </c>
      <c r="K29" t="s">
        <v>177</v>
      </c>
      <c r="L29" t="s">
        <v>176</v>
      </c>
      <c r="M29" t="s">
        <v>160</v>
      </c>
      <c r="N29" t="s">
        <v>167</v>
      </c>
    </row>
    <row r="30" spans="1:14" x14ac:dyDescent="0.3">
      <c r="A30" t="s">
        <v>215</v>
      </c>
      <c r="B30" t="s">
        <v>174</v>
      </c>
      <c r="C30">
        <v>45</v>
      </c>
      <c r="D30">
        <v>0</v>
      </c>
      <c r="E30">
        <v>24</v>
      </c>
      <c r="F30">
        <v>1.05</v>
      </c>
      <c r="G30">
        <v>3</v>
      </c>
      <c r="H30">
        <v>0</v>
      </c>
      <c r="I30">
        <v>2.86</v>
      </c>
      <c r="J30">
        <v>60</v>
      </c>
      <c r="K30" t="s">
        <v>182</v>
      </c>
      <c r="L30" t="s">
        <v>183</v>
      </c>
      <c r="M30" t="s">
        <v>160</v>
      </c>
      <c r="N30" t="s">
        <v>173</v>
      </c>
    </row>
    <row r="31" spans="1:14" x14ac:dyDescent="0.3">
      <c r="A31" t="s">
        <v>228</v>
      </c>
      <c r="B31" t="s">
        <v>174</v>
      </c>
      <c r="C31">
        <v>25</v>
      </c>
      <c r="D31">
        <v>0</v>
      </c>
      <c r="E31">
        <v>22</v>
      </c>
      <c r="F31">
        <v>1.05</v>
      </c>
      <c r="G31">
        <v>6</v>
      </c>
      <c r="H31">
        <v>0</v>
      </c>
      <c r="I31">
        <v>4.1399999999999997</v>
      </c>
      <c r="J31">
        <v>50</v>
      </c>
      <c r="K31" t="s">
        <v>180</v>
      </c>
      <c r="L31" t="s">
        <v>176</v>
      </c>
      <c r="M31" t="s">
        <v>160</v>
      </c>
      <c r="N31" t="s">
        <v>167</v>
      </c>
    </row>
    <row r="32" spans="1:14" x14ac:dyDescent="0.3">
      <c r="A32" t="s">
        <v>223</v>
      </c>
      <c r="B32" t="s">
        <v>174</v>
      </c>
      <c r="C32">
        <v>25</v>
      </c>
      <c r="D32">
        <v>0</v>
      </c>
      <c r="E32">
        <v>19</v>
      </c>
      <c r="F32">
        <v>1.05</v>
      </c>
      <c r="G32">
        <v>6</v>
      </c>
      <c r="H32">
        <v>0</v>
      </c>
      <c r="I32">
        <v>4.59</v>
      </c>
      <c r="J32">
        <v>60</v>
      </c>
      <c r="K32" t="s">
        <v>180</v>
      </c>
      <c r="L32" t="s">
        <v>176</v>
      </c>
      <c r="M32" t="s">
        <v>160</v>
      </c>
      <c r="N32" t="s">
        <v>169</v>
      </c>
    </row>
    <row r="33" spans="1:14" x14ac:dyDescent="0.3">
      <c r="A33" t="s">
        <v>1412</v>
      </c>
      <c r="B33" t="s">
        <v>174</v>
      </c>
      <c r="C33">
        <v>30</v>
      </c>
      <c r="D33">
        <v>15</v>
      </c>
      <c r="E33">
        <v>15</v>
      </c>
      <c r="F33">
        <v>1.05</v>
      </c>
      <c r="G33">
        <v>6</v>
      </c>
      <c r="H33">
        <v>0.15</v>
      </c>
      <c r="I33">
        <v>3.27</v>
      </c>
      <c r="J33">
        <v>55</v>
      </c>
      <c r="K33" t="s">
        <v>926</v>
      </c>
      <c r="L33" t="s">
        <v>756</v>
      </c>
      <c r="M33" t="s">
        <v>160</v>
      </c>
      <c r="N33" t="s">
        <v>920</v>
      </c>
    </row>
    <row r="34" spans="1:14" x14ac:dyDescent="0.3">
      <c r="A34" t="s">
        <v>227</v>
      </c>
      <c r="B34" t="s">
        <v>174</v>
      </c>
      <c r="C34">
        <v>45</v>
      </c>
      <c r="D34">
        <v>0</v>
      </c>
      <c r="E34">
        <v>18</v>
      </c>
      <c r="F34">
        <v>1.05</v>
      </c>
      <c r="G34">
        <v>6</v>
      </c>
      <c r="H34">
        <v>0.15</v>
      </c>
      <c r="I34">
        <v>4.12</v>
      </c>
      <c r="J34">
        <v>50</v>
      </c>
      <c r="K34" t="s">
        <v>181</v>
      </c>
      <c r="L34" t="s">
        <v>176</v>
      </c>
      <c r="M34" t="s">
        <v>160</v>
      </c>
      <c r="N34" t="s">
        <v>172</v>
      </c>
    </row>
    <row r="36" spans="1:14" x14ac:dyDescent="0.3">
      <c r="A36" t="s">
        <v>149</v>
      </c>
      <c r="B36" t="s">
        <v>150</v>
      </c>
      <c r="C36" t="s">
        <v>9</v>
      </c>
      <c r="D36" t="s">
        <v>265</v>
      </c>
      <c r="E36" t="s">
        <v>21</v>
      </c>
      <c r="F36" t="s">
        <v>53</v>
      </c>
      <c r="G36" t="s">
        <v>22</v>
      </c>
      <c r="H36" t="s">
        <v>20</v>
      </c>
      <c r="I36" t="s">
        <v>266</v>
      </c>
      <c r="J36" t="s">
        <v>152</v>
      </c>
      <c r="K36" t="s">
        <v>153</v>
      </c>
      <c r="L36" t="s">
        <v>154</v>
      </c>
      <c r="M36" t="s">
        <v>155</v>
      </c>
      <c r="N36" t="s">
        <v>156</v>
      </c>
    </row>
    <row r="37" spans="1:14" x14ac:dyDescent="0.3">
      <c r="A37" t="s">
        <v>234</v>
      </c>
      <c r="B37" t="s">
        <v>184</v>
      </c>
      <c r="C37">
        <v>25</v>
      </c>
      <c r="D37">
        <v>0</v>
      </c>
      <c r="E37">
        <v>48</v>
      </c>
      <c r="F37">
        <v>1.1000000000000001</v>
      </c>
      <c r="G37">
        <v>4</v>
      </c>
      <c r="H37">
        <v>0.5</v>
      </c>
      <c r="I37">
        <v>6.42</v>
      </c>
      <c r="J37">
        <v>55</v>
      </c>
      <c r="K37" t="s">
        <v>168</v>
      </c>
      <c r="L37" t="s">
        <v>178</v>
      </c>
      <c r="M37" t="s">
        <v>160</v>
      </c>
      <c r="N37" t="s">
        <v>167</v>
      </c>
    </row>
    <row r="38" spans="1:14" x14ac:dyDescent="0.3">
      <c r="A38" t="s">
        <v>236</v>
      </c>
      <c r="B38" t="s">
        <v>184</v>
      </c>
      <c r="C38">
        <v>25</v>
      </c>
      <c r="D38">
        <v>0</v>
      </c>
      <c r="E38">
        <v>46</v>
      </c>
      <c r="F38">
        <v>1.1000000000000001</v>
      </c>
      <c r="G38">
        <v>4</v>
      </c>
      <c r="H38">
        <v>0.5</v>
      </c>
      <c r="I38">
        <v>6.17</v>
      </c>
      <c r="J38">
        <v>55</v>
      </c>
      <c r="K38" t="s">
        <v>168</v>
      </c>
      <c r="L38" t="s">
        <v>178</v>
      </c>
      <c r="M38" t="s">
        <v>160</v>
      </c>
      <c r="N38" t="s">
        <v>169</v>
      </c>
    </row>
    <row r="39" spans="1:14" x14ac:dyDescent="0.3">
      <c r="A39" t="s">
        <v>233</v>
      </c>
      <c r="B39" t="s">
        <v>184</v>
      </c>
      <c r="C39">
        <v>45</v>
      </c>
      <c r="D39">
        <v>0</v>
      </c>
      <c r="E39">
        <v>50</v>
      </c>
      <c r="F39">
        <v>1.1000000000000001</v>
      </c>
      <c r="G39">
        <v>6</v>
      </c>
      <c r="H39">
        <v>1</v>
      </c>
      <c r="I39">
        <v>7.65</v>
      </c>
      <c r="J39">
        <v>55</v>
      </c>
      <c r="K39" t="s">
        <v>168</v>
      </c>
      <c r="L39" t="s">
        <v>178</v>
      </c>
      <c r="M39" t="s">
        <v>160</v>
      </c>
      <c r="N39" t="s">
        <v>167</v>
      </c>
    </row>
    <row r="40" spans="1:14" x14ac:dyDescent="0.3">
      <c r="A40" t="s">
        <v>238</v>
      </c>
      <c r="B40" t="s">
        <v>188</v>
      </c>
      <c r="C40">
        <v>12</v>
      </c>
      <c r="D40">
        <v>0</v>
      </c>
      <c r="E40">
        <v>34</v>
      </c>
      <c r="F40">
        <v>1.05</v>
      </c>
      <c r="G40">
        <v>4</v>
      </c>
      <c r="H40">
        <v>0.5</v>
      </c>
      <c r="I40">
        <v>3.06</v>
      </c>
      <c r="J40">
        <v>80</v>
      </c>
      <c r="K40" t="s">
        <v>171</v>
      </c>
      <c r="L40" t="s">
        <v>178</v>
      </c>
      <c r="M40" t="s">
        <v>160</v>
      </c>
      <c r="N40" t="s">
        <v>161</v>
      </c>
    </row>
    <row r="41" spans="1:14" x14ac:dyDescent="0.3">
      <c r="A41" t="s">
        <v>230</v>
      </c>
      <c r="B41" t="s">
        <v>184</v>
      </c>
      <c r="C41">
        <v>45</v>
      </c>
      <c r="D41">
        <v>0</v>
      </c>
      <c r="E41">
        <v>48</v>
      </c>
      <c r="F41">
        <v>1.1000000000000001</v>
      </c>
      <c r="G41">
        <v>4</v>
      </c>
      <c r="H41">
        <v>0.5</v>
      </c>
      <c r="I41">
        <v>5.92</v>
      </c>
      <c r="J41">
        <v>55</v>
      </c>
      <c r="K41" t="s">
        <v>168</v>
      </c>
      <c r="L41" t="s">
        <v>178</v>
      </c>
      <c r="M41" t="s">
        <v>160</v>
      </c>
      <c r="N41" t="s">
        <v>169</v>
      </c>
    </row>
    <row r="42" spans="1:14" x14ac:dyDescent="0.3">
      <c r="A42" t="s">
        <v>924</v>
      </c>
      <c r="B42" t="s">
        <v>184</v>
      </c>
      <c r="C42">
        <v>45</v>
      </c>
      <c r="D42">
        <v>0</v>
      </c>
      <c r="E42">
        <v>56</v>
      </c>
      <c r="F42">
        <v>1.1000000000000001</v>
      </c>
      <c r="G42">
        <v>6</v>
      </c>
      <c r="H42">
        <v>0.5</v>
      </c>
      <c r="I42">
        <v>10.71</v>
      </c>
      <c r="J42">
        <v>65</v>
      </c>
      <c r="K42" t="s">
        <v>925</v>
      </c>
      <c r="L42" t="s">
        <v>756</v>
      </c>
      <c r="M42" t="s">
        <v>160</v>
      </c>
      <c r="N42" t="s">
        <v>172</v>
      </c>
    </row>
    <row r="43" spans="1:14" x14ac:dyDescent="0.3">
      <c r="A43" t="s">
        <v>235</v>
      </c>
      <c r="B43" t="s">
        <v>184</v>
      </c>
      <c r="C43">
        <v>25</v>
      </c>
      <c r="D43">
        <v>0</v>
      </c>
      <c r="E43">
        <v>52</v>
      </c>
      <c r="F43">
        <v>1.05</v>
      </c>
      <c r="G43">
        <v>3</v>
      </c>
      <c r="H43">
        <v>0</v>
      </c>
      <c r="I43">
        <v>5.59</v>
      </c>
      <c r="J43">
        <v>60</v>
      </c>
      <c r="K43" t="s">
        <v>185</v>
      </c>
      <c r="L43" t="s">
        <v>178</v>
      </c>
      <c r="M43" t="s">
        <v>160</v>
      </c>
      <c r="N43" t="s">
        <v>169</v>
      </c>
    </row>
    <row r="44" spans="1:14" x14ac:dyDescent="0.3">
      <c r="A44" t="s">
        <v>237</v>
      </c>
      <c r="B44" t="s">
        <v>184</v>
      </c>
      <c r="C44">
        <v>12</v>
      </c>
      <c r="D44">
        <v>0</v>
      </c>
      <c r="E44">
        <v>39</v>
      </c>
      <c r="F44">
        <v>1.05</v>
      </c>
      <c r="G44">
        <v>3</v>
      </c>
      <c r="H44">
        <v>0</v>
      </c>
      <c r="I44">
        <v>6.48</v>
      </c>
      <c r="J44">
        <v>60</v>
      </c>
      <c r="K44" t="s">
        <v>185</v>
      </c>
      <c r="L44" t="s">
        <v>178</v>
      </c>
      <c r="M44" t="s">
        <v>160</v>
      </c>
      <c r="N44" t="s">
        <v>169</v>
      </c>
    </row>
    <row r="45" spans="1:14" x14ac:dyDescent="0.3">
      <c r="A45" t="s">
        <v>232</v>
      </c>
      <c r="B45" t="s">
        <v>184</v>
      </c>
      <c r="C45">
        <v>45</v>
      </c>
      <c r="D45">
        <v>0</v>
      </c>
      <c r="E45">
        <v>50</v>
      </c>
      <c r="F45">
        <v>1.1000000000000001</v>
      </c>
      <c r="G45">
        <v>6</v>
      </c>
      <c r="H45">
        <v>0.5</v>
      </c>
      <c r="I45">
        <v>7.32</v>
      </c>
      <c r="J45">
        <v>55</v>
      </c>
      <c r="K45" t="s">
        <v>186</v>
      </c>
      <c r="L45" t="s">
        <v>187</v>
      </c>
      <c r="M45" t="s">
        <v>160</v>
      </c>
      <c r="N45" t="s">
        <v>167</v>
      </c>
    </row>
    <row r="46" spans="1:14" x14ac:dyDescent="0.3">
      <c r="A46" t="s">
        <v>229</v>
      </c>
      <c r="B46" t="s">
        <v>184</v>
      </c>
      <c r="C46">
        <v>45</v>
      </c>
      <c r="D46">
        <v>0</v>
      </c>
      <c r="E46">
        <v>52</v>
      </c>
      <c r="F46">
        <v>1.3</v>
      </c>
      <c r="G46">
        <v>3</v>
      </c>
      <c r="H46">
        <v>0.4</v>
      </c>
      <c r="I46">
        <v>5.39</v>
      </c>
      <c r="J46">
        <v>60</v>
      </c>
      <c r="K46" t="s">
        <v>166</v>
      </c>
      <c r="L46" t="s">
        <v>187</v>
      </c>
      <c r="M46" t="s">
        <v>160</v>
      </c>
      <c r="N46" t="s">
        <v>169</v>
      </c>
    </row>
    <row r="47" spans="1:14" x14ac:dyDescent="0.3">
      <c r="A47" t="s">
        <v>231</v>
      </c>
      <c r="B47" t="s">
        <v>184</v>
      </c>
      <c r="C47">
        <v>25</v>
      </c>
      <c r="D47">
        <v>0</v>
      </c>
      <c r="E47">
        <v>55</v>
      </c>
      <c r="F47">
        <v>1.1000000000000001</v>
      </c>
      <c r="G47">
        <v>6</v>
      </c>
      <c r="H47">
        <v>0.5</v>
      </c>
      <c r="I47">
        <v>8.98</v>
      </c>
      <c r="J47">
        <v>60</v>
      </c>
      <c r="K47" t="s">
        <v>177</v>
      </c>
      <c r="L47" t="s">
        <v>178</v>
      </c>
      <c r="M47" t="s">
        <v>160</v>
      </c>
      <c r="N47" t="s">
        <v>167</v>
      </c>
    </row>
    <row r="49" spans="1:14" x14ac:dyDescent="0.3">
      <c r="A49" t="s">
        <v>149</v>
      </c>
      <c r="B49" t="s">
        <v>150</v>
      </c>
      <c r="C49" t="s">
        <v>9</v>
      </c>
      <c r="D49" t="s">
        <v>265</v>
      </c>
      <c r="E49" t="s">
        <v>21</v>
      </c>
      <c r="F49" t="s">
        <v>53</v>
      </c>
      <c r="G49" t="s">
        <v>22</v>
      </c>
      <c r="H49" t="s">
        <v>20</v>
      </c>
      <c r="I49" t="s">
        <v>266</v>
      </c>
      <c r="J49" t="s">
        <v>152</v>
      </c>
      <c r="K49" t="s">
        <v>153</v>
      </c>
      <c r="L49" t="s">
        <v>154</v>
      </c>
      <c r="M49" t="s">
        <v>155</v>
      </c>
      <c r="N49" t="s">
        <v>156</v>
      </c>
    </row>
    <row r="50" spans="1:14" x14ac:dyDescent="0.3">
      <c r="A50" t="s">
        <v>248</v>
      </c>
      <c r="B50" t="s">
        <v>189</v>
      </c>
      <c r="C50">
        <v>12</v>
      </c>
      <c r="D50">
        <v>0</v>
      </c>
      <c r="E50">
        <v>74</v>
      </c>
      <c r="F50">
        <v>1</v>
      </c>
      <c r="G50">
        <v>2</v>
      </c>
      <c r="H50">
        <v>0</v>
      </c>
      <c r="I50">
        <v>17.420000000000002</v>
      </c>
      <c r="J50">
        <v>200</v>
      </c>
      <c r="K50" t="s">
        <v>170</v>
      </c>
      <c r="L50" t="s">
        <v>197</v>
      </c>
      <c r="M50" t="s">
        <v>240</v>
      </c>
      <c r="N50" t="s">
        <v>161</v>
      </c>
    </row>
    <row r="51" spans="1:14" x14ac:dyDescent="0.3">
      <c r="A51" t="s">
        <v>239</v>
      </c>
      <c r="B51" t="s">
        <v>189</v>
      </c>
      <c r="C51">
        <v>12</v>
      </c>
      <c r="D51">
        <v>0</v>
      </c>
      <c r="E51">
        <v>88</v>
      </c>
      <c r="F51">
        <v>1.1000000000000001</v>
      </c>
      <c r="G51">
        <v>2</v>
      </c>
      <c r="H51">
        <v>0</v>
      </c>
      <c r="I51">
        <v>19.27</v>
      </c>
      <c r="J51">
        <v>200</v>
      </c>
      <c r="K51" t="s">
        <v>170</v>
      </c>
      <c r="L51" t="s">
        <v>197</v>
      </c>
      <c r="M51" t="s">
        <v>240</v>
      </c>
      <c r="N51" t="s">
        <v>169</v>
      </c>
    </row>
    <row r="52" spans="1:14" x14ac:dyDescent="0.3">
      <c r="A52" t="s">
        <v>247</v>
      </c>
      <c r="B52" t="s">
        <v>189</v>
      </c>
      <c r="C52">
        <v>45</v>
      </c>
      <c r="D52">
        <v>0</v>
      </c>
      <c r="E52">
        <v>132</v>
      </c>
      <c r="F52">
        <v>1.1000000000000001</v>
      </c>
      <c r="G52">
        <v>2</v>
      </c>
      <c r="H52">
        <v>0</v>
      </c>
      <c r="I52">
        <v>18.38</v>
      </c>
      <c r="J52">
        <v>200</v>
      </c>
      <c r="K52" t="s">
        <v>170</v>
      </c>
      <c r="L52" t="s">
        <v>197</v>
      </c>
      <c r="M52" t="s">
        <v>240</v>
      </c>
      <c r="N52" t="s">
        <v>167</v>
      </c>
    </row>
    <row r="53" spans="1:14" x14ac:dyDescent="0.3">
      <c r="A53" t="s">
        <v>244</v>
      </c>
      <c r="B53" t="s">
        <v>189</v>
      </c>
      <c r="C53">
        <v>25</v>
      </c>
      <c r="D53">
        <v>0</v>
      </c>
      <c r="E53">
        <v>128</v>
      </c>
      <c r="F53">
        <v>1.1000000000000001</v>
      </c>
      <c r="G53">
        <v>2</v>
      </c>
      <c r="H53">
        <v>0</v>
      </c>
      <c r="I53">
        <v>18.72</v>
      </c>
      <c r="J53">
        <v>200</v>
      </c>
      <c r="K53" t="s">
        <v>170</v>
      </c>
      <c r="L53" t="s">
        <v>197</v>
      </c>
      <c r="M53" t="s">
        <v>240</v>
      </c>
      <c r="N53" t="s">
        <v>167</v>
      </c>
    </row>
    <row r="54" spans="1:14" x14ac:dyDescent="0.3">
      <c r="A54" t="s">
        <v>243</v>
      </c>
      <c r="B54" t="s">
        <v>189</v>
      </c>
      <c r="C54">
        <v>45</v>
      </c>
      <c r="D54">
        <v>0</v>
      </c>
      <c r="E54">
        <v>133</v>
      </c>
      <c r="F54">
        <v>1.1000000000000001</v>
      </c>
      <c r="G54">
        <v>2</v>
      </c>
      <c r="H54">
        <v>0</v>
      </c>
      <c r="I54">
        <v>17.96</v>
      </c>
      <c r="J54">
        <v>200</v>
      </c>
      <c r="K54" t="s">
        <v>186</v>
      </c>
      <c r="L54" t="s">
        <v>197</v>
      </c>
      <c r="M54" t="s">
        <v>240</v>
      </c>
      <c r="N54" t="s">
        <v>169</v>
      </c>
    </row>
    <row r="55" spans="1:14" x14ac:dyDescent="0.3">
      <c r="A55" t="s">
        <v>253</v>
      </c>
      <c r="B55" t="s">
        <v>189</v>
      </c>
      <c r="C55">
        <v>25</v>
      </c>
      <c r="D55">
        <v>0</v>
      </c>
      <c r="E55">
        <v>154</v>
      </c>
      <c r="F55">
        <v>1.1000000000000001</v>
      </c>
      <c r="G55">
        <v>2</v>
      </c>
      <c r="H55">
        <v>0</v>
      </c>
      <c r="I55">
        <v>21.15</v>
      </c>
      <c r="J55">
        <v>200</v>
      </c>
      <c r="K55" t="s">
        <v>170</v>
      </c>
      <c r="L55" t="s">
        <v>197</v>
      </c>
      <c r="M55" t="s">
        <v>240</v>
      </c>
      <c r="N55" t="s">
        <v>167</v>
      </c>
    </row>
    <row r="56" spans="1:14" x14ac:dyDescent="0.3">
      <c r="A56" t="s">
        <v>771</v>
      </c>
      <c r="B56" t="s">
        <v>189</v>
      </c>
      <c r="C56">
        <v>25</v>
      </c>
      <c r="D56">
        <v>25</v>
      </c>
      <c r="E56">
        <v>220</v>
      </c>
      <c r="F56">
        <v>1.1000000000000001</v>
      </c>
      <c r="G56">
        <v>2</v>
      </c>
      <c r="H56">
        <v>0</v>
      </c>
      <c r="I56">
        <v>19.29</v>
      </c>
      <c r="J56">
        <v>200</v>
      </c>
      <c r="K56" t="s">
        <v>170</v>
      </c>
      <c r="L56" t="s">
        <v>197</v>
      </c>
      <c r="M56" t="s">
        <v>240</v>
      </c>
      <c r="N56" t="s">
        <v>241</v>
      </c>
    </row>
    <row r="57" spans="1:14" x14ac:dyDescent="0.3">
      <c r="A57" t="s">
        <v>770</v>
      </c>
      <c r="B57" t="s">
        <v>189</v>
      </c>
      <c r="C57">
        <v>25</v>
      </c>
      <c r="D57">
        <v>0</v>
      </c>
      <c r="E57">
        <v>154</v>
      </c>
      <c r="F57">
        <v>1.1000000000000001</v>
      </c>
      <c r="G57">
        <v>2</v>
      </c>
      <c r="H57">
        <v>0</v>
      </c>
      <c r="I57">
        <v>20.02</v>
      </c>
      <c r="J57">
        <v>200</v>
      </c>
      <c r="K57" t="s">
        <v>170</v>
      </c>
      <c r="L57" t="s">
        <v>197</v>
      </c>
      <c r="M57" t="s">
        <v>240</v>
      </c>
      <c r="N57" t="s">
        <v>169</v>
      </c>
    </row>
    <row r="58" spans="1:14" x14ac:dyDescent="0.3">
      <c r="A58" t="s">
        <v>231</v>
      </c>
      <c r="B58" t="s">
        <v>189</v>
      </c>
      <c r="C58">
        <v>25</v>
      </c>
      <c r="D58">
        <v>0</v>
      </c>
      <c r="E58">
        <v>88</v>
      </c>
      <c r="F58">
        <v>1.05</v>
      </c>
      <c r="G58">
        <v>3</v>
      </c>
      <c r="H58">
        <v>0</v>
      </c>
      <c r="I58">
        <v>16.63</v>
      </c>
      <c r="J58">
        <v>200</v>
      </c>
      <c r="K58" t="s">
        <v>186</v>
      </c>
      <c r="L58" t="s">
        <v>197</v>
      </c>
      <c r="M58" t="s">
        <v>240</v>
      </c>
      <c r="N58" t="s">
        <v>161</v>
      </c>
    </row>
    <row r="59" spans="1:14" x14ac:dyDescent="0.3">
      <c r="A59" t="s">
        <v>242</v>
      </c>
      <c r="B59" t="s">
        <v>189</v>
      </c>
      <c r="C59">
        <v>12</v>
      </c>
      <c r="D59">
        <v>0</v>
      </c>
      <c r="E59">
        <v>84</v>
      </c>
      <c r="F59">
        <v>1.05</v>
      </c>
      <c r="G59">
        <v>3</v>
      </c>
      <c r="H59">
        <v>0</v>
      </c>
      <c r="I59">
        <v>27.11</v>
      </c>
      <c r="J59">
        <v>200</v>
      </c>
      <c r="K59" t="s">
        <v>186</v>
      </c>
      <c r="L59" t="s">
        <v>197</v>
      </c>
      <c r="M59" t="s">
        <v>240</v>
      </c>
      <c r="N59" t="s">
        <v>169</v>
      </c>
    </row>
    <row r="60" spans="1:14" x14ac:dyDescent="0.3">
      <c r="A60" t="s">
        <v>250</v>
      </c>
      <c r="B60" t="s">
        <v>189</v>
      </c>
      <c r="C60">
        <v>45</v>
      </c>
      <c r="D60">
        <v>0</v>
      </c>
      <c r="E60">
        <v>142</v>
      </c>
      <c r="F60">
        <v>1.05</v>
      </c>
      <c r="G60">
        <v>3</v>
      </c>
      <c r="H60">
        <v>0</v>
      </c>
      <c r="I60">
        <v>23.15</v>
      </c>
      <c r="J60">
        <v>200</v>
      </c>
      <c r="K60" t="s">
        <v>186</v>
      </c>
      <c r="L60" t="s">
        <v>197</v>
      </c>
      <c r="M60" t="s">
        <v>240</v>
      </c>
      <c r="N60" t="s">
        <v>169</v>
      </c>
    </row>
    <row r="61" spans="1:14" x14ac:dyDescent="0.3">
      <c r="A61" t="s">
        <v>252</v>
      </c>
      <c r="B61" t="s">
        <v>189</v>
      </c>
      <c r="C61">
        <v>45</v>
      </c>
      <c r="D61">
        <v>0</v>
      </c>
      <c r="E61">
        <v>154</v>
      </c>
      <c r="F61">
        <v>1.05</v>
      </c>
      <c r="G61">
        <v>3</v>
      </c>
      <c r="H61">
        <v>0</v>
      </c>
      <c r="I61">
        <v>24.02</v>
      </c>
      <c r="J61">
        <v>200</v>
      </c>
      <c r="K61" t="s">
        <v>186</v>
      </c>
      <c r="L61" t="s">
        <v>197</v>
      </c>
      <c r="M61" t="s">
        <v>240</v>
      </c>
      <c r="N61" t="s">
        <v>161</v>
      </c>
    </row>
    <row r="62" spans="1:14" x14ac:dyDescent="0.3">
      <c r="A62" t="s">
        <v>246</v>
      </c>
      <c r="B62" t="s">
        <v>189</v>
      </c>
      <c r="C62">
        <v>25</v>
      </c>
      <c r="D62">
        <v>0</v>
      </c>
      <c r="E62">
        <v>156</v>
      </c>
      <c r="F62">
        <v>1.05</v>
      </c>
      <c r="G62">
        <v>3</v>
      </c>
      <c r="H62">
        <v>0</v>
      </c>
      <c r="I62">
        <v>24.02</v>
      </c>
      <c r="J62">
        <v>200</v>
      </c>
      <c r="K62" t="s">
        <v>186</v>
      </c>
      <c r="L62" t="s">
        <v>197</v>
      </c>
      <c r="M62" t="s">
        <v>240</v>
      </c>
      <c r="N62" t="s">
        <v>169</v>
      </c>
    </row>
    <row r="63" spans="1:14" x14ac:dyDescent="0.3">
      <c r="A63" t="s">
        <v>251</v>
      </c>
      <c r="B63" t="s">
        <v>189</v>
      </c>
      <c r="C63">
        <v>45</v>
      </c>
      <c r="D63">
        <v>0</v>
      </c>
      <c r="E63">
        <v>154</v>
      </c>
      <c r="F63">
        <v>1.05</v>
      </c>
      <c r="G63">
        <v>3</v>
      </c>
      <c r="H63">
        <v>0</v>
      </c>
      <c r="I63">
        <v>24.14</v>
      </c>
      <c r="J63">
        <v>200</v>
      </c>
      <c r="K63" t="s">
        <v>186</v>
      </c>
      <c r="L63" t="s">
        <v>197</v>
      </c>
      <c r="M63" t="s">
        <v>240</v>
      </c>
      <c r="N63" t="s">
        <v>167</v>
      </c>
    </row>
    <row r="64" spans="1:14" x14ac:dyDescent="0.3">
      <c r="A64" t="s">
        <v>923</v>
      </c>
      <c r="B64" t="s">
        <v>189</v>
      </c>
      <c r="C64">
        <v>45</v>
      </c>
      <c r="D64">
        <v>0</v>
      </c>
      <c r="E64">
        <v>154</v>
      </c>
      <c r="F64">
        <v>1.1000000000000001</v>
      </c>
      <c r="G64">
        <v>2</v>
      </c>
      <c r="H64">
        <v>0</v>
      </c>
      <c r="I64">
        <v>19.43</v>
      </c>
      <c r="J64">
        <v>200</v>
      </c>
      <c r="K64" t="s">
        <v>170</v>
      </c>
      <c r="L64" t="s">
        <v>756</v>
      </c>
      <c r="M64" t="s">
        <v>240</v>
      </c>
      <c r="N64" t="s">
        <v>169</v>
      </c>
    </row>
    <row r="65" spans="1:14" x14ac:dyDescent="0.3">
      <c r="A65" t="s">
        <v>921</v>
      </c>
      <c r="B65" t="s">
        <v>189</v>
      </c>
      <c r="C65">
        <v>65</v>
      </c>
      <c r="D65">
        <v>0</v>
      </c>
      <c r="E65">
        <v>207</v>
      </c>
      <c r="F65">
        <v>1.05</v>
      </c>
      <c r="G65">
        <v>2</v>
      </c>
      <c r="H65">
        <v>0</v>
      </c>
      <c r="I65">
        <v>20.65</v>
      </c>
      <c r="J65">
        <v>200</v>
      </c>
      <c r="K65" t="s">
        <v>922</v>
      </c>
      <c r="L65" t="s">
        <v>756</v>
      </c>
      <c r="M65" t="s">
        <v>240</v>
      </c>
      <c r="N65" t="s">
        <v>173</v>
      </c>
    </row>
    <row r="66" spans="1:14" x14ac:dyDescent="0.3">
      <c r="A66" t="s">
        <v>245</v>
      </c>
      <c r="B66" t="s">
        <v>189</v>
      </c>
      <c r="C66">
        <v>45</v>
      </c>
      <c r="D66">
        <v>0</v>
      </c>
      <c r="E66">
        <v>108</v>
      </c>
      <c r="F66">
        <v>1</v>
      </c>
      <c r="G66">
        <v>4</v>
      </c>
      <c r="H66">
        <v>0</v>
      </c>
      <c r="I66">
        <v>29.19</v>
      </c>
      <c r="J66">
        <v>200</v>
      </c>
      <c r="K66" t="s">
        <v>177</v>
      </c>
      <c r="L66" t="s">
        <v>197</v>
      </c>
      <c r="M66" t="s">
        <v>240</v>
      </c>
      <c r="N66" t="s">
        <v>169</v>
      </c>
    </row>
    <row r="67" spans="1:14" x14ac:dyDescent="0.3">
      <c r="A67" t="s">
        <v>249</v>
      </c>
      <c r="B67" t="s">
        <v>189</v>
      </c>
      <c r="C67">
        <v>45</v>
      </c>
      <c r="D67">
        <v>0</v>
      </c>
      <c r="E67">
        <v>120</v>
      </c>
      <c r="F67">
        <v>1</v>
      </c>
      <c r="G67">
        <v>4</v>
      </c>
      <c r="H67">
        <v>0</v>
      </c>
      <c r="I67">
        <v>25.8</v>
      </c>
      <c r="J67">
        <v>200</v>
      </c>
      <c r="K67" t="s">
        <v>181</v>
      </c>
      <c r="L67" t="s">
        <v>185</v>
      </c>
      <c r="M67" t="s">
        <v>240</v>
      </c>
      <c r="N67" t="s">
        <v>169</v>
      </c>
    </row>
    <row r="69" spans="1:14" x14ac:dyDescent="0.3">
      <c r="A69" t="s">
        <v>149</v>
      </c>
      <c r="B69" t="s">
        <v>11</v>
      </c>
      <c r="C69" t="s">
        <v>21</v>
      </c>
      <c r="D69" t="s">
        <v>53</v>
      </c>
      <c r="E69" t="s">
        <v>22</v>
      </c>
      <c r="F69" t="s">
        <v>266</v>
      </c>
      <c r="G69" t="s">
        <v>152</v>
      </c>
      <c r="H69" t="s">
        <v>193</v>
      </c>
      <c r="I69" t="s">
        <v>154</v>
      </c>
      <c r="J69" t="s">
        <v>156</v>
      </c>
    </row>
    <row r="70" spans="1:14" x14ac:dyDescent="0.3">
      <c r="A70" t="s">
        <v>254</v>
      </c>
      <c r="B70">
        <v>12</v>
      </c>
      <c r="C70">
        <v>150</v>
      </c>
      <c r="D70">
        <v>1</v>
      </c>
      <c r="E70">
        <v>2</v>
      </c>
      <c r="F70">
        <v>20.8</v>
      </c>
      <c r="G70">
        <v>60</v>
      </c>
      <c r="H70" t="s">
        <v>194</v>
      </c>
      <c r="I70" t="s">
        <v>195</v>
      </c>
      <c r="J70" t="s">
        <v>161</v>
      </c>
    </row>
    <row r="71" spans="1:14" x14ac:dyDescent="0.3">
      <c r="A71" t="s">
        <v>257</v>
      </c>
      <c r="B71">
        <v>12</v>
      </c>
      <c r="C71">
        <v>116</v>
      </c>
      <c r="D71">
        <v>1</v>
      </c>
      <c r="E71">
        <v>3</v>
      </c>
      <c r="F71">
        <v>21.87</v>
      </c>
      <c r="G71">
        <v>50</v>
      </c>
      <c r="H71" t="s">
        <v>178</v>
      </c>
      <c r="I71" t="s">
        <v>195</v>
      </c>
      <c r="J71" t="s">
        <v>161</v>
      </c>
    </row>
    <row r="72" spans="1:14" x14ac:dyDescent="0.3">
      <c r="A72" t="s">
        <v>260</v>
      </c>
      <c r="B72">
        <v>25</v>
      </c>
      <c r="C72">
        <v>145</v>
      </c>
      <c r="D72">
        <v>1</v>
      </c>
      <c r="E72">
        <v>3</v>
      </c>
      <c r="F72">
        <v>22.22</v>
      </c>
      <c r="G72">
        <v>52</v>
      </c>
      <c r="H72" t="s">
        <v>178</v>
      </c>
      <c r="I72" t="s">
        <v>195</v>
      </c>
      <c r="J72" t="s">
        <v>196</v>
      </c>
    </row>
    <row r="73" spans="1:14" x14ac:dyDescent="0.3">
      <c r="A73" t="s">
        <v>264</v>
      </c>
      <c r="B73">
        <v>25</v>
      </c>
      <c r="C73">
        <v>162</v>
      </c>
      <c r="D73">
        <v>1</v>
      </c>
      <c r="E73">
        <v>3</v>
      </c>
      <c r="F73">
        <v>20.68</v>
      </c>
      <c r="G73">
        <v>50</v>
      </c>
      <c r="H73" t="s">
        <v>197</v>
      </c>
      <c r="I73" t="s">
        <v>195</v>
      </c>
      <c r="J73" t="s">
        <v>161</v>
      </c>
    </row>
    <row r="74" spans="1:14" x14ac:dyDescent="0.3">
      <c r="A74" t="s">
        <v>255</v>
      </c>
      <c r="B74">
        <v>25</v>
      </c>
      <c r="C74">
        <v>206</v>
      </c>
      <c r="D74">
        <v>1</v>
      </c>
      <c r="E74">
        <v>3</v>
      </c>
      <c r="F74">
        <v>24.52</v>
      </c>
      <c r="G74">
        <v>60</v>
      </c>
      <c r="H74" t="s">
        <v>178</v>
      </c>
      <c r="I74" t="s">
        <v>195</v>
      </c>
      <c r="J74" t="s">
        <v>161</v>
      </c>
    </row>
    <row r="75" spans="1:14" x14ac:dyDescent="0.3">
      <c r="A75" t="s">
        <v>258</v>
      </c>
      <c r="B75">
        <v>25</v>
      </c>
      <c r="C75">
        <v>156</v>
      </c>
      <c r="D75">
        <v>1</v>
      </c>
      <c r="E75">
        <v>4</v>
      </c>
      <c r="F75">
        <v>23.14</v>
      </c>
      <c r="G75">
        <v>50</v>
      </c>
      <c r="H75" t="s">
        <v>197</v>
      </c>
      <c r="I75" t="s">
        <v>195</v>
      </c>
      <c r="J75" t="s">
        <v>161</v>
      </c>
    </row>
    <row r="76" spans="1:14" x14ac:dyDescent="0.3">
      <c r="A76" t="s">
        <v>259</v>
      </c>
      <c r="B76">
        <v>45</v>
      </c>
      <c r="C76">
        <v>145</v>
      </c>
      <c r="D76">
        <v>1</v>
      </c>
      <c r="E76">
        <v>4</v>
      </c>
      <c r="F76">
        <v>25.47</v>
      </c>
      <c r="G76">
        <v>52</v>
      </c>
      <c r="H76" t="s">
        <v>197</v>
      </c>
      <c r="I76" t="s">
        <v>195</v>
      </c>
      <c r="J76" t="s">
        <v>196</v>
      </c>
    </row>
    <row r="77" spans="1:14" x14ac:dyDescent="0.3">
      <c r="A77" t="s">
        <v>256</v>
      </c>
      <c r="B77">
        <v>45</v>
      </c>
      <c r="C77">
        <v>206</v>
      </c>
      <c r="D77">
        <v>1</v>
      </c>
      <c r="E77">
        <v>4</v>
      </c>
      <c r="F77">
        <v>28.54</v>
      </c>
      <c r="G77">
        <v>60</v>
      </c>
      <c r="H77" t="s">
        <v>197</v>
      </c>
      <c r="I77" t="s">
        <v>195</v>
      </c>
      <c r="J77" t="s">
        <v>161</v>
      </c>
    </row>
    <row r="78" spans="1:14" x14ac:dyDescent="0.3">
      <c r="A78" t="s">
        <v>261</v>
      </c>
      <c r="B78">
        <v>45</v>
      </c>
      <c r="C78">
        <v>156</v>
      </c>
      <c r="D78">
        <v>1</v>
      </c>
      <c r="E78">
        <v>5</v>
      </c>
      <c r="F78">
        <v>26.44</v>
      </c>
      <c r="G78">
        <v>50</v>
      </c>
      <c r="H78" t="s">
        <v>195</v>
      </c>
      <c r="I78" t="s">
        <v>195</v>
      </c>
      <c r="J78" t="s">
        <v>161</v>
      </c>
    </row>
    <row r="79" spans="1:14" x14ac:dyDescent="0.3">
      <c r="A79" t="s">
        <v>262</v>
      </c>
      <c r="B79">
        <v>45</v>
      </c>
      <c r="C79">
        <v>133</v>
      </c>
      <c r="D79">
        <v>1</v>
      </c>
      <c r="E79">
        <v>5</v>
      </c>
      <c r="F79">
        <v>30.93</v>
      </c>
      <c r="G79">
        <v>52</v>
      </c>
      <c r="H79" t="s">
        <v>195</v>
      </c>
      <c r="I79" t="s">
        <v>195</v>
      </c>
      <c r="J79" t="s">
        <v>196</v>
      </c>
    </row>
    <row r="80" spans="1:14" x14ac:dyDescent="0.3">
      <c r="A80" t="s">
        <v>263</v>
      </c>
      <c r="B80">
        <v>70</v>
      </c>
      <c r="C80">
        <v>145</v>
      </c>
      <c r="D80">
        <v>1</v>
      </c>
      <c r="E80">
        <v>5</v>
      </c>
      <c r="F80">
        <v>29.4</v>
      </c>
      <c r="G80">
        <v>52</v>
      </c>
      <c r="H80" t="s">
        <v>195</v>
      </c>
      <c r="I80" t="s">
        <v>195</v>
      </c>
      <c r="J80" t="s">
        <v>196</v>
      </c>
    </row>
    <row r="82" spans="1:4" x14ac:dyDescent="0.3">
      <c r="A82" t="s">
        <v>156</v>
      </c>
      <c r="B82" t="s">
        <v>8</v>
      </c>
      <c r="C82" t="s">
        <v>10</v>
      </c>
      <c r="D82" t="s">
        <v>12</v>
      </c>
    </row>
    <row r="83" spans="1:4" x14ac:dyDescent="0.3">
      <c r="A83" t="s">
        <v>161</v>
      </c>
      <c r="B83">
        <v>1</v>
      </c>
      <c r="C83">
        <v>0.5</v>
      </c>
      <c r="D83">
        <v>0.2</v>
      </c>
    </row>
    <row r="84" spans="1:4" x14ac:dyDescent="0.3">
      <c r="A84" t="s">
        <v>165</v>
      </c>
      <c r="B84">
        <v>1</v>
      </c>
      <c r="C84">
        <v>0.6</v>
      </c>
      <c r="D84">
        <v>0.2</v>
      </c>
    </row>
    <row r="85" spans="1:4" x14ac:dyDescent="0.3">
      <c r="A85" t="s">
        <v>169</v>
      </c>
      <c r="B85">
        <v>1.2</v>
      </c>
      <c r="C85">
        <v>0.6</v>
      </c>
      <c r="D85">
        <v>0.6</v>
      </c>
    </row>
    <row r="86" spans="1:4" x14ac:dyDescent="0.3">
      <c r="A86" t="s">
        <v>167</v>
      </c>
      <c r="B86">
        <v>0.9</v>
      </c>
      <c r="C86">
        <v>0.7</v>
      </c>
      <c r="D86">
        <v>0.4</v>
      </c>
    </row>
    <row r="88" spans="1:4" x14ac:dyDescent="0.3">
      <c r="A88" t="s">
        <v>156</v>
      </c>
      <c r="B88" t="s">
        <v>8</v>
      </c>
      <c r="C88" t="s">
        <v>10</v>
      </c>
      <c r="D88" t="s">
        <v>12</v>
      </c>
    </row>
    <row r="89" spans="1:4" x14ac:dyDescent="0.3">
      <c r="A89" t="s">
        <v>161</v>
      </c>
      <c r="B89">
        <v>1</v>
      </c>
      <c r="C89">
        <v>0.75</v>
      </c>
      <c r="D89">
        <v>0.4</v>
      </c>
    </row>
    <row r="90" spans="1:4" x14ac:dyDescent="0.3">
      <c r="A90" t="s">
        <v>172</v>
      </c>
      <c r="B90">
        <v>1.45</v>
      </c>
      <c r="C90">
        <v>1.05</v>
      </c>
      <c r="D90">
        <v>0.7</v>
      </c>
    </row>
    <row r="91" spans="1:4" x14ac:dyDescent="0.3">
      <c r="A91" t="s">
        <v>169</v>
      </c>
      <c r="B91">
        <v>1.4</v>
      </c>
      <c r="C91">
        <v>0.9</v>
      </c>
      <c r="D91">
        <v>0.7</v>
      </c>
    </row>
    <row r="92" spans="1:4" x14ac:dyDescent="0.3">
      <c r="A92" t="s">
        <v>173</v>
      </c>
      <c r="B92">
        <v>1.1000000000000001</v>
      </c>
      <c r="C92">
        <v>0.9</v>
      </c>
      <c r="D92">
        <v>0.7</v>
      </c>
    </row>
    <row r="93" spans="1:4" x14ac:dyDescent="0.3">
      <c r="A93" t="s">
        <v>167</v>
      </c>
      <c r="B93">
        <v>1</v>
      </c>
      <c r="C93">
        <v>0.8</v>
      </c>
      <c r="D93">
        <v>0.6</v>
      </c>
    </row>
    <row r="94" spans="1:4" x14ac:dyDescent="0.3">
      <c r="A94" t="s">
        <v>920</v>
      </c>
      <c r="B94">
        <v>1.45</v>
      </c>
      <c r="C94">
        <v>1.1000000000000001</v>
      </c>
      <c r="D94">
        <v>0.75</v>
      </c>
    </row>
    <row r="96" spans="1:4" x14ac:dyDescent="0.3">
      <c r="A96" t="s">
        <v>156</v>
      </c>
      <c r="B96" t="s">
        <v>8</v>
      </c>
      <c r="C96" t="s">
        <v>10</v>
      </c>
      <c r="D96" t="s">
        <v>12</v>
      </c>
    </row>
    <row r="97" spans="1:4" x14ac:dyDescent="0.3">
      <c r="A97" t="s">
        <v>169</v>
      </c>
      <c r="B97">
        <v>1.35</v>
      </c>
      <c r="C97">
        <v>0.95</v>
      </c>
      <c r="D97">
        <v>0.7</v>
      </c>
    </row>
    <row r="98" spans="1:4" x14ac:dyDescent="0.3">
      <c r="A98" t="s">
        <v>167</v>
      </c>
      <c r="B98">
        <v>0.75</v>
      </c>
      <c r="C98">
        <v>1.1000000000000001</v>
      </c>
      <c r="D98">
        <v>0.75</v>
      </c>
    </row>
    <row r="99" spans="1:4" x14ac:dyDescent="0.3">
      <c r="A99" t="s">
        <v>161</v>
      </c>
      <c r="B99">
        <v>1</v>
      </c>
      <c r="C99">
        <v>0.9</v>
      </c>
      <c r="D99">
        <v>0.5</v>
      </c>
    </row>
    <row r="100" spans="1:4" x14ac:dyDescent="0.3">
      <c r="A100" t="s">
        <v>172</v>
      </c>
      <c r="B100">
        <v>1.35</v>
      </c>
      <c r="C100">
        <v>1</v>
      </c>
      <c r="D100">
        <v>0.75</v>
      </c>
    </row>
    <row r="102" spans="1:4" x14ac:dyDescent="0.3">
      <c r="A102" t="s">
        <v>156</v>
      </c>
      <c r="B102" t="s">
        <v>8</v>
      </c>
      <c r="C102" t="s">
        <v>10</v>
      </c>
      <c r="D102" t="s">
        <v>12</v>
      </c>
    </row>
    <row r="103" spans="1:4" x14ac:dyDescent="0.3">
      <c r="A103" t="s">
        <v>161</v>
      </c>
      <c r="B103">
        <v>0.7</v>
      </c>
      <c r="C103">
        <v>1</v>
      </c>
      <c r="D103">
        <v>0.9</v>
      </c>
    </row>
    <row r="104" spans="1:4" x14ac:dyDescent="0.3">
      <c r="A104" t="s">
        <v>190</v>
      </c>
      <c r="B104">
        <v>1.4</v>
      </c>
      <c r="C104">
        <v>1.1000000000000001</v>
      </c>
      <c r="D104">
        <v>0.9</v>
      </c>
    </row>
    <row r="105" spans="1:4" x14ac:dyDescent="0.3">
      <c r="A105" t="s">
        <v>191</v>
      </c>
      <c r="B105">
        <v>1.45</v>
      </c>
      <c r="C105">
        <v>1.05</v>
      </c>
      <c r="D105">
        <v>0.7</v>
      </c>
    </row>
    <row r="106" spans="1:4" x14ac:dyDescent="0.3">
      <c r="A106" t="s">
        <v>169</v>
      </c>
      <c r="B106">
        <v>1.4</v>
      </c>
      <c r="C106">
        <v>1.1000000000000001</v>
      </c>
      <c r="D106">
        <v>0.9</v>
      </c>
    </row>
    <row r="107" spans="1:4" x14ac:dyDescent="0.3">
      <c r="A107" t="s">
        <v>167</v>
      </c>
      <c r="B107">
        <v>0.45</v>
      </c>
      <c r="C107">
        <v>1.3</v>
      </c>
      <c r="D107">
        <v>1.1000000000000001</v>
      </c>
    </row>
    <row r="108" spans="1:4" x14ac:dyDescent="0.3">
      <c r="A108" t="s">
        <v>173</v>
      </c>
      <c r="B108">
        <v>0.55000000000000004</v>
      </c>
      <c r="C108">
        <v>1.45</v>
      </c>
      <c r="D108">
        <v>1.25</v>
      </c>
    </row>
    <row r="110" spans="1:4" x14ac:dyDescent="0.3">
      <c r="A110" t="s">
        <v>156</v>
      </c>
      <c r="B110" t="s">
        <v>8</v>
      </c>
      <c r="C110" t="s">
        <v>10</v>
      </c>
      <c r="D110" t="s">
        <v>12</v>
      </c>
    </row>
    <row r="111" spans="1:4" x14ac:dyDescent="0.3">
      <c r="A111" t="s">
        <v>161</v>
      </c>
      <c r="B111">
        <v>0.8</v>
      </c>
      <c r="C111">
        <v>1</v>
      </c>
      <c r="D111">
        <v>1.3</v>
      </c>
    </row>
    <row r="112" spans="1:4" x14ac:dyDescent="0.3">
      <c r="A112" t="s">
        <v>196</v>
      </c>
      <c r="B112">
        <v>0.8</v>
      </c>
      <c r="C112">
        <v>1</v>
      </c>
      <c r="D112">
        <v>1.3</v>
      </c>
    </row>
    <row r="114" spans="1:18" x14ac:dyDescent="0.3">
      <c r="A114" t="s">
        <v>156</v>
      </c>
      <c r="B114" t="s">
        <v>8</v>
      </c>
      <c r="C114" t="s">
        <v>10</v>
      </c>
      <c r="D114" t="s">
        <v>12</v>
      </c>
    </row>
    <row r="115" spans="1:18" x14ac:dyDescent="0.3">
      <c r="A115" t="s">
        <v>161</v>
      </c>
      <c r="B115">
        <v>0.8</v>
      </c>
      <c r="C115">
        <v>1</v>
      </c>
      <c r="D115">
        <v>1.3</v>
      </c>
    </row>
    <row r="116" spans="1:18" x14ac:dyDescent="0.3">
      <c r="A116" t="s">
        <v>890</v>
      </c>
      <c r="B116">
        <v>0.8</v>
      </c>
      <c r="C116">
        <v>1</v>
      </c>
      <c r="D116">
        <v>1.3</v>
      </c>
    </row>
    <row r="118" spans="1:18" x14ac:dyDescent="0.3">
      <c r="A118" t="s">
        <v>150</v>
      </c>
      <c r="B118" t="s">
        <v>15</v>
      </c>
      <c r="C118" t="s">
        <v>267</v>
      </c>
    </row>
    <row r="119" spans="1:18" x14ac:dyDescent="0.3">
      <c r="A119" t="s">
        <v>157</v>
      </c>
      <c r="B119">
        <v>0.01</v>
      </c>
      <c r="C119">
        <v>0.26</v>
      </c>
    </row>
    <row r="120" spans="1:18" x14ac:dyDescent="0.3">
      <c r="A120" t="s">
        <v>174</v>
      </c>
      <c r="B120">
        <v>0.03</v>
      </c>
      <c r="C120">
        <v>0.28000000000000003</v>
      </c>
    </row>
    <row r="121" spans="1:18" x14ac:dyDescent="0.3">
      <c r="A121" t="s">
        <v>184</v>
      </c>
      <c r="B121">
        <v>0.08</v>
      </c>
      <c r="C121">
        <v>0.3</v>
      </c>
    </row>
    <row r="122" spans="1:18" x14ac:dyDescent="0.3">
      <c r="A122" t="s">
        <v>189</v>
      </c>
      <c r="B122">
        <v>0.5</v>
      </c>
      <c r="C122">
        <v>0</v>
      </c>
    </row>
    <row r="123" spans="1:18" x14ac:dyDescent="0.3">
      <c r="A123" t="s">
        <v>368</v>
      </c>
      <c r="B123">
        <v>0</v>
      </c>
      <c r="C123">
        <v>0</v>
      </c>
    </row>
    <row r="124" spans="1:18" x14ac:dyDescent="0.3">
      <c r="A124" t="s">
        <v>364</v>
      </c>
      <c r="B124">
        <v>0</v>
      </c>
      <c r="C124">
        <v>0</v>
      </c>
    </row>
    <row r="125" spans="1:18" x14ac:dyDescent="0.3">
      <c r="A125" t="s">
        <v>188</v>
      </c>
      <c r="B125">
        <v>0</v>
      </c>
      <c r="C125">
        <v>0</v>
      </c>
    </row>
    <row r="127" spans="1:18" x14ac:dyDescent="0.3">
      <c r="A127" t="s">
        <v>149</v>
      </c>
      <c r="B127" t="s">
        <v>7</v>
      </c>
      <c r="C127" t="s">
        <v>9</v>
      </c>
      <c r="D127" t="s">
        <v>265</v>
      </c>
      <c r="E127" t="s">
        <v>11</v>
      </c>
      <c r="F127" t="s">
        <v>293</v>
      </c>
      <c r="G127" t="s">
        <v>14</v>
      </c>
      <c r="H127" t="s">
        <v>294</v>
      </c>
      <c r="I127" t="s">
        <v>6</v>
      </c>
      <c r="J127" t="s">
        <v>295</v>
      </c>
      <c r="K127" t="s">
        <v>297</v>
      </c>
      <c r="L127" t="s">
        <v>296</v>
      </c>
      <c r="M127" t="s">
        <v>298</v>
      </c>
      <c r="N127" t="s">
        <v>271</v>
      </c>
      <c r="O127" t="s">
        <v>17</v>
      </c>
      <c r="P127" t="s">
        <v>300</v>
      </c>
      <c r="Q127" t="s">
        <v>299</v>
      </c>
      <c r="R127" t="s">
        <v>666</v>
      </c>
    </row>
    <row r="128" spans="1:18" x14ac:dyDescent="0.3">
      <c r="A128" t="s">
        <v>272</v>
      </c>
      <c r="B128">
        <v>0</v>
      </c>
      <c r="C128">
        <v>0</v>
      </c>
      <c r="D128">
        <v>0</v>
      </c>
      <c r="E128">
        <v>0</v>
      </c>
      <c r="F128">
        <v>70</v>
      </c>
      <c r="G128">
        <v>0</v>
      </c>
      <c r="H128">
        <v>0</v>
      </c>
      <c r="I128">
        <v>0</v>
      </c>
      <c r="J128">
        <v>0</v>
      </c>
      <c r="K128">
        <v>0</v>
      </c>
      <c r="L128">
        <v>0</v>
      </c>
      <c r="M128">
        <v>0</v>
      </c>
      <c r="O128">
        <v>0</v>
      </c>
      <c r="P128">
        <v>0</v>
      </c>
      <c r="Q128">
        <v>0</v>
      </c>
    </row>
    <row r="129" spans="1:18" x14ac:dyDescent="0.3">
      <c r="A129" t="s">
        <v>273</v>
      </c>
      <c r="B129">
        <v>0</v>
      </c>
      <c r="C129">
        <v>0</v>
      </c>
      <c r="D129">
        <v>0</v>
      </c>
      <c r="E129">
        <v>0</v>
      </c>
      <c r="F129">
        <v>0</v>
      </c>
      <c r="G129">
        <v>0</v>
      </c>
      <c r="H129">
        <v>0</v>
      </c>
      <c r="I129">
        <v>35</v>
      </c>
      <c r="J129">
        <v>0</v>
      </c>
      <c r="K129">
        <v>0</v>
      </c>
      <c r="L129">
        <v>0</v>
      </c>
      <c r="M129">
        <v>0</v>
      </c>
      <c r="O129">
        <v>0</v>
      </c>
      <c r="P129">
        <v>0</v>
      </c>
      <c r="Q129">
        <v>0</v>
      </c>
    </row>
    <row r="130" spans="1:18" x14ac:dyDescent="0.3">
      <c r="A130" t="s">
        <v>274</v>
      </c>
      <c r="B130">
        <v>0</v>
      </c>
      <c r="C130">
        <v>0</v>
      </c>
      <c r="D130">
        <v>70</v>
      </c>
      <c r="E130">
        <v>0</v>
      </c>
      <c r="F130">
        <v>0</v>
      </c>
      <c r="G130">
        <v>0</v>
      </c>
      <c r="H130">
        <v>0</v>
      </c>
      <c r="I130">
        <v>0</v>
      </c>
      <c r="J130">
        <v>0</v>
      </c>
      <c r="K130">
        <v>0</v>
      </c>
      <c r="L130">
        <v>0</v>
      </c>
      <c r="M130">
        <v>0</v>
      </c>
      <c r="O130">
        <v>0</v>
      </c>
      <c r="P130">
        <v>0</v>
      </c>
      <c r="Q130">
        <v>0</v>
      </c>
    </row>
    <row r="131" spans="1:18" x14ac:dyDescent="0.3">
      <c r="A131" t="s">
        <v>276</v>
      </c>
      <c r="B131">
        <v>0</v>
      </c>
      <c r="C131">
        <v>7</v>
      </c>
      <c r="D131">
        <v>0</v>
      </c>
      <c r="E131">
        <v>0</v>
      </c>
      <c r="F131">
        <v>0</v>
      </c>
      <c r="G131">
        <v>35</v>
      </c>
      <c r="H131">
        <v>0</v>
      </c>
      <c r="I131">
        <v>0</v>
      </c>
      <c r="J131">
        <v>0</v>
      </c>
      <c r="K131">
        <v>0</v>
      </c>
      <c r="L131">
        <v>0</v>
      </c>
      <c r="M131">
        <v>0</v>
      </c>
      <c r="O131">
        <v>0</v>
      </c>
      <c r="P131">
        <v>0</v>
      </c>
      <c r="Q131">
        <v>0</v>
      </c>
    </row>
    <row r="132" spans="1:18" x14ac:dyDescent="0.3">
      <c r="A132" t="s">
        <v>277</v>
      </c>
      <c r="B132">
        <v>60</v>
      </c>
      <c r="F132">
        <v>70</v>
      </c>
    </row>
    <row r="133" spans="1:18" x14ac:dyDescent="0.3">
      <c r="A133" t="s">
        <v>997</v>
      </c>
      <c r="R133">
        <v>24</v>
      </c>
    </row>
    <row r="134" spans="1:18" x14ac:dyDescent="0.3">
      <c r="A134" t="s">
        <v>307</v>
      </c>
      <c r="C134">
        <v>21</v>
      </c>
      <c r="I134">
        <v>24</v>
      </c>
    </row>
    <row r="135" spans="1:18" x14ac:dyDescent="0.3">
      <c r="A135" t="s">
        <v>280</v>
      </c>
      <c r="I135">
        <v>35</v>
      </c>
      <c r="J135">
        <v>8</v>
      </c>
    </row>
    <row r="136" spans="1:18" x14ac:dyDescent="0.3">
      <c r="A136" t="s">
        <v>306</v>
      </c>
      <c r="D136">
        <v>100</v>
      </c>
    </row>
    <row r="137" spans="1:18" x14ac:dyDescent="0.3">
      <c r="A137" t="s">
        <v>305</v>
      </c>
      <c r="C137">
        <v>30</v>
      </c>
      <c r="I137">
        <v>36</v>
      </c>
      <c r="N137" t="s">
        <v>282</v>
      </c>
    </row>
    <row r="138" spans="1:18" x14ac:dyDescent="0.3">
      <c r="A138" t="s">
        <v>283</v>
      </c>
      <c r="F138">
        <v>60</v>
      </c>
      <c r="M138">
        <v>0.04</v>
      </c>
    </row>
    <row r="139" spans="1:18" x14ac:dyDescent="0.3">
      <c r="A139" t="s">
        <v>287</v>
      </c>
      <c r="C139">
        <v>5</v>
      </c>
      <c r="G139">
        <v>17</v>
      </c>
    </row>
    <row r="140" spans="1:18" x14ac:dyDescent="0.3">
      <c r="A140" t="s">
        <v>989</v>
      </c>
      <c r="H140">
        <v>15</v>
      </c>
      <c r="I140">
        <v>25</v>
      </c>
    </row>
    <row r="141" spans="1:18" x14ac:dyDescent="0.3">
      <c r="A141" t="s">
        <v>289</v>
      </c>
      <c r="H141">
        <v>15</v>
      </c>
      <c r="I141">
        <v>35</v>
      </c>
    </row>
    <row r="142" spans="1:18" x14ac:dyDescent="0.3">
      <c r="A142" t="s">
        <v>290</v>
      </c>
      <c r="B142">
        <v>75</v>
      </c>
      <c r="F142">
        <v>100</v>
      </c>
    </row>
    <row r="143" spans="1:18" x14ac:dyDescent="0.3">
      <c r="A143" t="s">
        <v>291</v>
      </c>
      <c r="C143">
        <v>70</v>
      </c>
      <c r="L143">
        <v>0.08</v>
      </c>
    </row>
    <row r="144" spans="1:18" x14ac:dyDescent="0.3">
      <c r="A144" t="s">
        <v>303</v>
      </c>
      <c r="C144">
        <v>55</v>
      </c>
      <c r="I144">
        <v>15</v>
      </c>
      <c r="K144">
        <v>0.25</v>
      </c>
    </row>
    <row r="145" spans="1:17" x14ac:dyDescent="0.3">
      <c r="A145" t="s">
        <v>304</v>
      </c>
      <c r="E145">
        <v>100</v>
      </c>
      <c r="G145">
        <v>10</v>
      </c>
    </row>
    <row r="146" spans="1:17" x14ac:dyDescent="0.3">
      <c r="A146" t="s">
        <v>308</v>
      </c>
      <c r="D146">
        <v>55</v>
      </c>
      <c r="I146">
        <v>10</v>
      </c>
    </row>
    <row r="147" spans="1:17" x14ac:dyDescent="0.3">
      <c r="A147" t="s">
        <v>875</v>
      </c>
      <c r="C147">
        <v>32</v>
      </c>
      <c r="N147" t="s">
        <v>876</v>
      </c>
    </row>
    <row r="148" spans="1:17" x14ac:dyDescent="0.3">
      <c r="A148" t="s">
        <v>292</v>
      </c>
      <c r="H148">
        <v>15</v>
      </c>
      <c r="I148">
        <v>10</v>
      </c>
      <c r="L148">
        <v>0.05</v>
      </c>
      <c r="O148">
        <v>5</v>
      </c>
      <c r="P148">
        <v>0.05</v>
      </c>
      <c r="Q148">
        <v>0.05</v>
      </c>
    </row>
    <row r="150" spans="1:17" x14ac:dyDescent="0.3">
      <c r="A150" t="s">
        <v>149</v>
      </c>
      <c r="B150" t="s">
        <v>7</v>
      </c>
      <c r="C150" t="s">
        <v>9</v>
      </c>
      <c r="D150" t="s">
        <v>265</v>
      </c>
      <c r="E150" t="s">
        <v>11</v>
      </c>
      <c r="F150" t="s">
        <v>293</v>
      </c>
      <c r="G150" t="s">
        <v>14</v>
      </c>
      <c r="H150" t="s">
        <v>294</v>
      </c>
      <c r="I150" t="s">
        <v>6</v>
      </c>
      <c r="J150" t="s">
        <v>295</v>
      </c>
      <c r="K150" t="s">
        <v>903</v>
      </c>
      <c r="L150" t="s">
        <v>17</v>
      </c>
    </row>
    <row r="151" spans="1:17" x14ac:dyDescent="0.3">
      <c r="A151" t="s">
        <v>275</v>
      </c>
      <c r="B151">
        <v>350</v>
      </c>
    </row>
    <row r="152" spans="1:17" x14ac:dyDescent="0.3">
      <c r="A152" t="s">
        <v>311</v>
      </c>
      <c r="B152">
        <v>75</v>
      </c>
      <c r="H152">
        <v>35</v>
      </c>
    </row>
    <row r="153" spans="1:17" x14ac:dyDescent="0.3">
      <c r="A153" t="s">
        <v>312</v>
      </c>
      <c r="B153">
        <v>500</v>
      </c>
    </row>
    <row r="154" spans="1:17" x14ac:dyDescent="0.3">
      <c r="A154" t="s">
        <v>277</v>
      </c>
      <c r="B154">
        <v>60</v>
      </c>
      <c r="F154">
        <v>70</v>
      </c>
    </row>
    <row r="155" spans="1:17" x14ac:dyDescent="0.3">
      <c r="A155" t="s">
        <v>278</v>
      </c>
      <c r="B155">
        <v>266</v>
      </c>
    </row>
    <row r="156" spans="1:17" x14ac:dyDescent="0.3">
      <c r="A156" t="s">
        <v>279</v>
      </c>
      <c r="B156">
        <v>350</v>
      </c>
      <c r="H156">
        <v>5</v>
      </c>
    </row>
    <row r="157" spans="1:17" x14ac:dyDescent="0.3">
      <c r="A157" t="s">
        <v>281</v>
      </c>
      <c r="B157">
        <v>300</v>
      </c>
    </row>
    <row r="158" spans="1:17" x14ac:dyDescent="0.3">
      <c r="A158" t="s">
        <v>284</v>
      </c>
      <c r="B158">
        <v>245</v>
      </c>
      <c r="J158">
        <v>8</v>
      </c>
    </row>
    <row r="159" spans="1:17" x14ac:dyDescent="0.3">
      <c r="A159" t="s">
        <v>988</v>
      </c>
      <c r="B159">
        <v>245</v>
      </c>
      <c r="J159">
        <v>8</v>
      </c>
    </row>
    <row r="160" spans="1:17" x14ac:dyDescent="0.3">
      <c r="A160" t="s">
        <v>285</v>
      </c>
      <c r="B160">
        <v>44</v>
      </c>
      <c r="H160">
        <v>17</v>
      </c>
    </row>
    <row r="161" spans="1:12" x14ac:dyDescent="0.3">
      <c r="A161" s="24" t="s">
        <v>1411</v>
      </c>
      <c r="B161" s="24">
        <v>120</v>
      </c>
      <c r="C161" s="24"/>
      <c r="D161" s="24"/>
      <c r="E161" s="24"/>
      <c r="F161" s="24"/>
      <c r="G161" s="24"/>
      <c r="H161" s="24">
        <v>15</v>
      </c>
      <c r="I161" s="24"/>
      <c r="J161" s="24"/>
      <c r="K161" s="24"/>
      <c r="L161" s="24"/>
    </row>
    <row r="162" spans="1:12" x14ac:dyDescent="0.3">
      <c r="A162" t="s">
        <v>902</v>
      </c>
      <c r="K162">
        <v>45</v>
      </c>
    </row>
    <row r="163" spans="1:12" x14ac:dyDescent="0.3">
      <c r="A163" t="s">
        <v>286</v>
      </c>
      <c r="B163">
        <v>500</v>
      </c>
    </row>
    <row r="164" spans="1:12" x14ac:dyDescent="0.3">
      <c r="A164" t="s">
        <v>310</v>
      </c>
      <c r="B164">
        <v>60</v>
      </c>
      <c r="H164">
        <v>40</v>
      </c>
    </row>
    <row r="165" spans="1:12" x14ac:dyDescent="0.3">
      <c r="A165" t="s">
        <v>987</v>
      </c>
      <c r="B165">
        <v>500</v>
      </c>
      <c r="L165">
        <v>2</v>
      </c>
    </row>
    <row r="166" spans="1:12" x14ac:dyDescent="0.3">
      <c r="A166" t="s">
        <v>989</v>
      </c>
      <c r="H166">
        <v>16</v>
      </c>
      <c r="I166">
        <v>25</v>
      </c>
    </row>
    <row r="167" spans="1:12" x14ac:dyDescent="0.3">
      <c r="A167" t="s">
        <v>288</v>
      </c>
      <c r="B167">
        <v>500</v>
      </c>
    </row>
    <row r="168" spans="1:12" x14ac:dyDescent="0.3">
      <c r="A168" t="s">
        <v>901</v>
      </c>
      <c r="K168">
        <v>85</v>
      </c>
    </row>
    <row r="169" spans="1:12" x14ac:dyDescent="0.3">
      <c r="A169" t="s">
        <v>290</v>
      </c>
      <c r="B169">
        <v>75</v>
      </c>
      <c r="F169">
        <v>100</v>
      </c>
    </row>
    <row r="170" spans="1:12" ht="15" customHeight="1" x14ac:dyDescent="0.3">
      <c r="A170" t="s">
        <v>309</v>
      </c>
      <c r="B170">
        <v>44</v>
      </c>
      <c r="H170">
        <v>17</v>
      </c>
    </row>
    <row r="171" spans="1:12" ht="15" customHeight="1" x14ac:dyDescent="0.3">
      <c r="A171" t="s">
        <v>998</v>
      </c>
      <c r="B171">
        <v>150</v>
      </c>
      <c r="H171">
        <v>12</v>
      </c>
    </row>
    <row r="173" spans="1:12" x14ac:dyDescent="0.3">
      <c r="A173" t="s">
        <v>149</v>
      </c>
      <c r="B173" t="s">
        <v>293</v>
      </c>
      <c r="C173" t="s">
        <v>80</v>
      </c>
      <c r="D173" t="s">
        <v>74</v>
      </c>
      <c r="E173" t="s">
        <v>75</v>
      </c>
      <c r="F173" t="s">
        <v>809</v>
      </c>
      <c r="G173" t="s">
        <v>76</v>
      </c>
      <c r="H173" t="s">
        <v>77</v>
      </c>
      <c r="I173" t="s">
        <v>78</v>
      </c>
      <c r="J173" t="s">
        <v>741</v>
      </c>
    </row>
    <row r="174" spans="1:12" x14ac:dyDescent="0.3">
      <c r="A174" t="s">
        <v>1012</v>
      </c>
      <c r="B174">
        <v>45</v>
      </c>
      <c r="C174" t="s">
        <v>85</v>
      </c>
      <c r="H174">
        <v>1</v>
      </c>
      <c r="J174">
        <v>10.38</v>
      </c>
    </row>
    <row r="175" spans="1:12" x14ac:dyDescent="0.3">
      <c r="A175" t="s">
        <v>90</v>
      </c>
      <c r="B175">
        <v>12</v>
      </c>
      <c r="C175" t="s">
        <v>82</v>
      </c>
      <c r="J175">
        <v>10.76</v>
      </c>
    </row>
    <row r="176" spans="1:12" x14ac:dyDescent="0.3">
      <c r="A176" t="s">
        <v>91</v>
      </c>
      <c r="B176">
        <v>25</v>
      </c>
      <c r="C176" t="s">
        <v>82</v>
      </c>
      <c r="D176">
        <v>2</v>
      </c>
      <c r="J176">
        <v>10.27</v>
      </c>
    </row>
    <row r="177" spans="1:10" x14ac:dyDescent="0.3">
      <c r="A177" t="s">
        <v>92</v>
      </c>
      <c r="B177">
        <v>45</v>
      </c>
      <c r="C177" t="s">
        <v>82</v>
      </c>
      <c r="D177">
        <v>2</v>
      </c>
      <c r="J177">
        <v>9.52</v>
      </c>
    </row>
    <row r="178" spans="1:10" x14ac:dyDescent="0.3">
      <c r="A178" t="s">
        <v>93</v>
      </c>
      <c r="B178">
        <v>45</v>
      </c>
      <c r="C178" t="s">
        <v>82</v>
      </c>
      <c r="E178">
        <v>2</v>
      </c>
      <c r="J178">
        <v>10.44</v>
      </c>
    </row>
    <row r="179" spans="1:10" x14ac:dyDescent="0.3">
      <c r="A179" t="s">
        <v>100</v>
      </c>
      <c r="B179">
        <v>25</v>
      </c>
      <c r="C179" t="s">
        <v>82</v>
      </c>
      <c r="D179">
        <v>2</v>
      </c>
      <c r="E179">
        <v>1</v>
      </c>
      <c r="J179">
        <v>10.93</v>
      </c>
    </row>
    <row r="180" spans="1:10" x14ac:dyDescent="0.3">
      <c r="A180" t="s">
        <v>743</v>
      </c>
      <c r="B180">
        <v>25</v>
      </c>
      <c r="C180" t="s">
        <v>82</v>
      </c>
      <c r="J180">
        <v>10.58</v>
      </c>
    </row>
    <row r="181" spans="1:10" x14ac:dyDescent="0.3">
      <c r="A181" t="s">
        <v>97</v>
      </c>
      <c r="B181">
        <v>12</v>
      </c>
      <c r="C181" t="s">
        <v>82</v>
      </c>
      <c r="E181">
        <v>1</v>
      </c>
      <c r="J181">
        <v>11.8</v>
      </c>
    </row>
    <row r="182" spans="1:10" x14ac:dyDescent="0.3">
      <c r="A182" t="s">
        <v>95</v>
      </c>
      <c r="B182">
        <v>45</v>
      </c>
      <c r="C182" t="s">
        <v>82</v>
      </c>
      <c r="H182">
        <v>2</v>
      </c>
      <c r="J182">
        <v>11.71</v>
      </c>
    </row>
    <row r="183" spans="1:10" x14ac:dyDescent="0.3">
      <c r="A183" t="s">
        <v>101</v>
      </c>
      <c r="B183">
        <v>45</v>
      </c>
      <c r="C183" t="s">
        <v>82</v>
      </c>
      <c r="D183">
        <v>2</v>
      </c>
      <c r="G183">
        <v>1</v>
      </c>
      <c r="J183">
        <v>10.44</v>
      </c>
    </row>
    <row r="184" spans="1:10" x14ac:dyDescent="0.3">
      <c r="A184" t="s">
        <v>81</v>
      </c>
      <c r="B184">
        <v>12</v>
      </c>
      <c r="C184" t="s">
        <v>82</v>
      </c>
      <c r="J184">
        <v>11.72</v>
      </c>
    </row>
    <row r="185" spans="1:10" x14ac:dyDescent="0.3">
      <c r="A185" t="s">
        <v>83</v>
      </c>
      <c r="B185">
        <v>25</v>
      </c>
      <c r="C185" t="s">
        <v>82</v>
      </c>
      <c r="J185">
        <v>10.58</v>
      </c>
    </row>
    <row r="186" spans="1:10" x14ac:dyDescent="0.3">
      <c r="A186" t="s">
        <v>84</v>
      </c>
      <c r="B186">
        <v>25</v>
      </c>
      <c r="C186" t="s">
        <v>82</v>
      </c>
      <c r="E186">
        <v>2</v>
      </c>
      <c r="J186">
        <v>11.03</v>
      </c>
    </row>
    <row r="187" spans="1:10" x14ac:dyDescent="0.3">
      <c r="A187" t="s">
        <v>86</v>
      </c>
      <c r="B187">
        <v>45</v>
      </c>
      <c r="C187" t="s">
        <v>82</v>
      </c>
      <c r="E187">
        <v>2</v>
      </c>
      <c r="J187">
        <v>10.9</v>
      </c>
    </row>
    <row r="188" spans="1:10" x14ac:dyDescent="0.3">
      <c r="A188" t="s">
        <v>99</v>
      </c>
      <c r="B188">
        <v>45</v>
      </c>
      <c r="C188" t="s">
        <v>85</v>
      </c>
      <c r="G188">
        <v>2</v>
      </c>
      <c r="J188">
        <v>11.11</v>
      </c>
    </row>
    <row r="189" spans="1:10" x14ac:dyDescent="0.3">
      <c r="A189" t="s">
        <v>98</v>
      </c>
      <c r="B189">
        <v>25</v>
      </c>
      <c r="C189" t="s">
        <v>82</v>
      </c>
      <c r="D189">
        <v>2</v>
      </c>
      <c r="J189">
        <v>9.18</v>
      </c>
    </row>
    <row r="190" spans="1:10" x14ac:dyDescent="0.3">
      <c r="A190" t="s">
        <v>102</v>
      </c>
      <c r="B190">
        <v>25</v>
      </c>
      <c r="C190" t="s">
        <v>82</v>
      </c>
      <c r="D190">
        <v>4</v>
      </c>
      <c r="G190">
        <v>1</v>
      </c>
      <c r="J190">
        <v>11.57</v>
      </c>
    </row>
    <row r="191" spans="1:10" x14ac:dyDescent="0.3">
      <c r="A191" t="s">
        <v>745</v>
      </c>
      <c r="B191">
        <v>45</v>
      </c>
      <c r="C191" t="s">
        <v>85</v>
      </c>
      <c r="D191">
        <v>2</v>
      </c>
      <c r="I191">
        <v>1</v>
      </c>
      <c r="J191">
        <v>11.71</v>
      </c>
    </row>
    <row r="192" spans="1:10" x14ac:dyDescent="0.3">
      <c r="A192" t="s">
        <v>744</v>
      </c>
      <c r="B192">
        <v>45</v>
      </c>
      <c r="C192" t="s">
        <v>82</v>
      </c>
      <c r="J192">
        <v>9.24</v>
      </c>
    </row>
    <row r="193" spans="1:10" x14ac:dyDescent="0.3">
      <c r="A193" t="s">
        <v>96</v>
      </c>
      <c r="B193">
        <v>25</v>
      </c>
      <c r="C193" t="s">
        <v>82</v>
      </c>
      <c r="E193">
        <v>2</v>
      </c>
      <c r="I193">
        <v>1</v>
      </c>
      <c r="J193">
        <v>11.88</v>
      </c>
    </row>
    <row r="194" spans="1:10" x14ac:dyDescent="0.3">
      <c r="A194" t="s">
        <v>94</v>
      </c>
      <c r="B194">
        <v>12</v>
      </c>
      <c r="C194" t="s">
        <v>82</v>
      </c>
      <c r="D194">
        <v>2</v>
      </c>
      <c r="I194">
        <v>1</v>
      </c>
      <c r="J194">
        <v>12.67</v>
      </c>
    </row>
    <row r="195" spans="1:10" x14ac:dyDescent="0.3">
      <c r="A195" t="s">
        <v>89</v>
      </c>
      <c r="B195">
        <v>45</v>
      </c>
      <c r="C195" t="s">
        <v>85</v>
      </c>
      <c r="E195">
        <v>2</v>
      </c>
      <c r="J195">
        <v>10.61</v>
      </c>
    </row>
    <row r="196" spans="1:10" x14ac:dyDescent="0.3">
      <c r="A196" t="s">
        <v>88</v>
      </c>
      <c r="B196">
        <v>12</v>
      </c>
      <c r="C196" t="s">
        <v>82</v>
      </c>
      <c r="J196">
        <v>10.64</v>
      </c>
    </row>
    <row r="197" spans="1:10" x14ac:dyDescent="0.3">
      <c r="A197" t="s">
        <v>748</v>
      </c>
      <c r="B197">
        <v>45</v>
      </c>
      <c r="C197" t="s">
        <v>82</v>
      </c>
      <c r="E197">
        <v>2</v>
      </c>
      <c r="J197">
        <v>10.6</v>
      </c>
    </row>
    <row r="198" spans="1:10" x14ac:dyDescent="0.3">
      <c r="A198" t="s">
        <v>747</v>
      </c>
      <c r="B198">
        <v>25</v>
      </c>
      <c r="C198" t="s">
        <v>82</v>
      </c>
      <c r="E198">
        <v>1</v>
      </c>
      <c r="J198">
        <v>10.85</v>
      </c>
    </row>
    <row r="199" spans="1:10" x14ac:dyDescent="0.3">
      <c r="A199" t="s">
        <v>874</v>
      </c>
      <c r="B199">
        <v>25</v>
      </c>
      <c r="C199" t="s">
        <v>82</v>
      </c>
      <c r="D199">
        <v>0</v>
      </c>
      <c r="E199">
        <v>0</v>
      </c>
      <c r="F199">
        <v>0</v>
      </c>
      <c r="G199">
        <v>0</v>
      </c>
      <c r="H199">
        <v>1</v>
      </c>
      <c r="I199">
        <v>0</v>
      </c>
      <c r="J199">
        <v>14.3</v>
      </c>
    </row>
    <row r="200" spans="1:10" x14ac:dyDescent="0.3">
      <c r="A200" t="s">
        <v>1013</v>
      </c>
      <c r="B200">
        <v>45</v>
      </c>
      <c r="C200" t="s">
        <v>85</v>
      </c>
      <c r="J200">
        <v>9.44</v>
      </c>
    </row>
    <row r="201" spans="1:10" x14ac:dyDescent="0.3">
      <c r="A201" t="s">
        <v>746</v>
      </c>
      <c r="B201">
        <v>45</v>
      </c>
      <c r="C201" t="s">
        <v>85</v>
      </c>
      <c r="F201">
        <v>2</v>
      </c>
      <c r="J201">
        <v>10.199999999999999</v>
      </c>
    </row>
    <row r="202" spans="1:10" x14ac:dyDescent="0.3">
      <c r="A202" t="s">
        <v>87</v>
      </c>
      <c r="B202">
        <v>25</v>
      </c>
      <c r="C202" t="s">
        <v>85</v>
      </c>
      <c r="J202">
        <v>8.98</v>
      </c>
    </row>
    <row r="203" spans="1:10" x14ac:dyDescent="0.3">
      <c r="A203" t="s">
        <v>835</v>
      </c>
      <c r="B203">
        <v>25</v>
      </c>
      <c r="C203" t="s">
        <v>82</v>
      </c>
      <c r="E203">
        <v>1</v>
      </c>
      <c r="J203">
        <v>13.97</v>
      </c>
    </row>
    <row r="205" spans="1:10" x14ac:dyDescent="0.3">
      <c r="A205" t="s">
        <v>149</v>
      </c>
      <c r="B205" t="s">
        <v>293</v>
      </c>
      <c r="C205" t="s">
        <v>80</v>
      </c>
      <c r="D205" t="s">
        <v>79</v>
      </c>
      <c r="E205" t="s">
        <v>52</v>
      </c>
      <c r="F205" t="s">
        <v>132</v>
      </c>
      <c r="G205" t="s">
        <v>741</v>
      </c>
    </row>
    <row r="206" spans="1:10" x14ac:dyDescent="0.3">
      <c r="A206" t="s">
        <v>843</v>
      </c>
      <c r="B206">
        <v>45</v>
      </c>
      <c r="C206" t="s">
        <v>85</v>
      </c>
      <c r="D206">
        <v>3</v>
      </c>
      <c r="E206">
        <v>264</v>
      </c>
      <c r="F206">
        <v>3</v>
      </c>
      <c r="G206">
        <v>10.97</v>
      </c>
    </row>
    <row r="207" spans="1:10" x14ac:dyDescent="0.3">
      <c r="A207" t="s">
        <v>141</v>
      </c>
      <c r="B207">
        <v>45</v>
      </c>
      <c r="C207" t="s">
        <v>82</v>
      </c>
      <c r="D207">
        <v>3</v>
      </c>
      <c r="E207">
        <v>260</v>
      </c>
      <c r="F207">
        <v>3</v>
      </c>
      <c r="G207">
        <v>11.37</v>
      </c>
    </row>
    <row r="208" spans="1:10" x14ac:dyDescent="0.3">
      <c r="A208" t="s">
        <v>138</v>
      </c>
      <c r="B208">
        <v>45</v>
      </c>
      <c r="C208" t="s">
        <v>85</v>
      </c>
      <c r="D208">
        <v>3</v>
      </c>
      <c r="E208">
        <v>288</v>
      </c>
      <c r="F208">
        <v>3</v>
      </c>
      <c r="G208">
        <v>11.64</v>
      </c>
    </row>
    <row r="209" spans="1:7" x14ac:dyDescent="0.3">
      <c r="A209" t="s">
        <v>137</v>
      </c>
      <c r="B209">
        <v>45</v>
      </c>
      <c r="C209" t="s">
        <v>82</v>
      </c>
      <c r="D209">
        <v>3</v>
      </c>
      <c r="E209">
        <v>288</v>
      </c>
      <c r="F209">
        <v>3</v>
      </c>
      <c r="G209">
        <v>10.31</v>
      </c>
    </row>
    <row r="210" spans="1:7" x14ac:dyDescent="0.3">
      <c r="A210" t="s">
        <v>135</v>
      </c>
      <c r="B210">
        <v>25</v>
      </c>
      <c r="C210" t="s">
        <v>82</v>
      </c>
      <c r="D210">
        <v>2</v>
      </c>
      <c r="E210">
        <v>288</v>
      </c>
      <c r="F210">
        <v>2</v>
      </c>
      <c r="G210">
        <v>11.97</v>
      </c>
    </row>
    <row r="211" spans="1:7" x14ac:dyDescent="0.3">
      <c r="A211" t="s">
        <v>139</v>
      </c>
      <c r="B211">
        <v>12</v>
      </c>
      <c r="C211" t="s">
        <v>82</v>
      </c>
      <c r="D211">
        <v>2</v>
      </c>
      <c r="E211">
        <v>164</v>
      </c>
      <c r="F211">
        <v>2</v>
      </c>
      <c r="G211">
        <v>13.33</v>
      </c>
    </row>
    <row r="212" spans="1:7" x14ac:dyDescent="0.3">
      <c r="A212" t="s">
        <v>140</v>
      </c>
      <c r="B212">
        <v>25</v>
      </c>
      <c r="C212" t="s">
        <v>82</v>
      </c>
      <c r="D212">
        <v>3</v>
      </c>
      <c r="E212">
        <v>240</v>
      </c>
      <c r="F212">
        <v>3</v>
      </c>
      <c r="G212">
        <v>11.63</v>
      </c>
    </row>
    <row r="213" spans="1:7" x14ac:dyDescent="0.3">
      <c r="A213" t="s">
        <v>133</v>
      </c>
      <c r="B213">
        <v>12</v>
      </c>
      <c r="C213" t="s">
        <v>82</v>
      </c>
      <c r="D213">
        <v>2</v>
      </c>
      <c r="E213">
        <v>215</v>
      </c>
      <c r="F213">
        <v>2</v>
      </c>
      <c r="G213">
        <v>14.13</v>
      </c>
    </row>
    <row r="214" spans="1:7" x14ac:dyDescent="0.3">
      <c r="A214" t="s">
        <v>134</v>
      </c>
      <c r="B214">
        <v>25</v>
      </c>
      <c r="C214" t="s">
        <v>82</v>
      </c>
      <c r="D214">
        <v>3</v>
      </c>
      <c r="E214">
        <v>288</v>
      </c>
      <c r="F214">
        <v>3</v>
      </c>
      <c r="G214">
        <v>14.57</v>
      </c>
    </row>
    <row r="215" spans="1:7" x14ac:dyDescent="0.3">
      <c r="A215" t="s">
        <v>805</v>
      </c>
      <c r="B215">
        <v>45</v>
      </c>
      <c r="C215" t="s">
        <v>82</v>
      </c>
      <c r="D215">
        <v>3</v>
      </c>
      <c r="E215">
        <v>342</v>
      </c>
      <c r="F215">
        <v>3</v>
      </c>
      <c r="G215">
        <v>12.04</v>
      </c>
    </row>
    <row r="216" spans="1:7" x14ac:dyDescent="0.3">
      <c r="A216" t="s">
        <v>804</v>
      </c>
      <c r="B216">
        <v>45</v>
      </c>
      <c r="C216" t="s">
        <v>82</v>
      </c>
      <c r="D216">
        <v>2</v>
      </c>
      <c r="E216">
        <v>296</v>
      </c>
      <c r="F216">
        <v>2</v>
      </c>
      <c r="G216">
        <v>12.04</v>
      </c>
    </row>
    <row r="218" spans="1:7" x14ac:dyDescent="0.3">
      <c r="A218" t="s">
        <v>73</v>
      </c>
      <c r="B218" t="s">
        <v>758</v>
      </c>
      <c r="C218" t="s">
        <v>8</v>
      </c>
      <c r="D218" t="s">
        <v>10</v>
      </c>
      <c r="E218" t="s">
        <v>12</v>
      </c>
    </row>
    <row r="219" spans="1:7" x14ac:dyDescent="0.3">
      <c r="A219" t="s">
        <v>74</v>
      </c>
      <c r="B219">
        <v>173</v>
      </c>
      <c r="C219" s="6">
        <v>0.8</v>
      </c>
      <c r="D219" s="6">
        <v>0.85</v>
      </c>
      <c r="E219" s="6">
        <v>1</v>
      </c>
    </row>
    <row r="220" spans="1:7" x14ac:dyDescent="0.3">
      <c r="A220" t="s">
        <v>75</v>
      </c>
      <c r="B220">
        <v>360</v>
      </c>
      <c r="C220" s="6">
        <v>0.8</v>
      </c>
      <c r="D220" s="6">
        <v>0.9</v>
      </c>
      <c r="E220" s="6">
        <v>1.1000000000000001</v>
      </c>
    </row>
    <row r="221" spans="1:7" x14ac:dyDescent="0.3">
      <c r="A221" t="s">
        <v>809</v>
      </c>
      <c r="B221">
        <v>380</v>
      </c>
      <c r="C221" s="6">
        <v>0.8</v>
      </c>
      <c r="D221" s="6">
        <v>0.9</v>
      </c>
      <c r="E221" s="6">
        <v>1.1000000000000001</v>
      </c>
    </row>
    <row r="222" spans="1:7" x14ac:dyDescent="0.3">
      <c r="A222" t="s">
        <v>76</v>
      </c>
      <c r="B222">
        <v>402</v>
      </c>
      <c r="C222" s="6">
        <v>0.8</v>
      </c>
      <c r="D222" s="6">
        <v>0.95</v>
      </c>
      <c r="E222" s="6">
        <v>1.1499999999999999</v>
      </c>
    </row>
    <row r="223" spans="1:7" x14ac:dyDescent="0.3">
      <c r="A223" t="s">
        <v>77</v>
      </c>
      <c r="B223">
        <v>429</v>
      </c>
      <c r="C223" s="6">
        <v>0.75</v>
      </c>
      <c r="D223" s="6">
        <v>1</v>
      </c>
      <c r="E223" s="6">
        <v>1.2</v>
      </c>
    </row>
    <row r="224" spans="1:7" x14ac:dyDescent="0.3">
      <c r="A224" t="s">
        <v>78</v>
      </c>
      <c r="B224">
        <v>456</v>
      </c>
      <c r="C224" s="6">
        <v>0.7</v>
      </c>
      <c r="D224" s="6">
        <v>1.05</v>
      </c>
      <c r="E224" s="6">
        <v>1.25</v>
      </c>
    </row>
    <row r="226" spans="1:7" x14ac:dyDescent="0.3">
      <c r="A226" t="s">
        <v>105</v>
      </c>
      <c r="B226" t="s">
        <v>68</v>
      </c>
    </row>
    <row r="227" spans="1:7" x14ac:dyDescent="0.3">
      <c r="A227" t="s">
        <v>8</v>
      </c>
      <c r="B227" s="1">
        <v>0.8</v>
      </c>
    </row>
    <row r="228" spans="1:7" x14ac:dyDescent="0.3">
      <c r="A228" t="s">
        <v>10</v>
      </c>
      <c r="B228" s="1">
        <v>1.1000000000000001</v>
      </c>
    </row>
    <row r="229" spans="1:7" x14ac:dyDescent="0.3">
      <c r="A229" t="s">
        <v>12</v>
      </c>
      <c r="B229" s="1">
        <v>1.3</v>
      </c>
    </row>
    <row r="231" spans="1:7" x14ac:dyDescent="0.3">
      <c r="A231" t="s">
        <v>149</v>
      </c>
      <c r="B231" t="s">
        <v>265</v>
      </c>
      <c r="C231" t="s">
        <v>21</v>
      </c>
      <c r="D231" t="s">
        <v>741</v>
      </c>
      <c r="E231" t="s">
        <v>152</v>
      </c>
      <c r="F231" t="s">
        <v>192</v>
      </c>
      <c r="G231" t="s">
        <v>762</v>
      </c>
    </row>
    <row r="232" spans="1:7" x14ac:dyDescent="0.3">
      <c r="A232" t="s">
        <v>786</v>
      </c>
      <c r="B232">
        <v>12</v>
      </c>
      <c r="C232">
        <v>42</v>
      </c>
      <c r="D232">
        <v>1.24</v>
      </c>
      <c r="E232">
        <v>32</v>
      </c>
      <c r="F232" t="s">
        <v>765</v>
      </c>
      <c r="G232">
        <v>0</v>
      </c>
    </row>
    <row r="233" spans="1:7" x14ac:dyDescent="0.3">
      <c r="A233" t="s">
        <v>780</v>
      </c>
      <c r="B233">
        <v>12</v>
      </c>
      <c r="C233">
        <v>15</v>
      </c>
      <c r="D233">
        <v>0.33</v>
      </c>
      <c r="E233">
        <v>15</v>
      </c>
      <c r="F233" t="s">
        <v>763</v>
      </c>
      <c r="G233">
        <v>0</v>
      </c>
    </row>
    <row r="234" spans="1:7" x14ac:dyDescent="0.3">
      <c r="A234" t="s">
        <v>787</v>
      </c>
      <c r="B234">
        <v>25</v>
      </c>
      <c r="C234">
        <v>116</v>
      </c>
      <c r="D234">
        <v>1.52</v>
      </c>
      <c r="E234">
        <v>35</v>
      </c>
      <c r="F234" t="s">
        <v>766</v>
      </c>
      <c r="G234">
        <v>0</v>
      </c>
    </row>
    <row r="235" spans="1:7" x14ac:dyDescent="0.3">
      <c r="A235" t="s">
        <v>781</v>
      </c>
      <c r="B235">
        <v>12</v>
      </c>
      <c r="C235">
        <v>20</v>
      </c>
      <c r="D235">
        <v>0.47</v>
      </c>
      <c r="E235">
        <v>18</v>
      </c>
      <c r="F235" t="s">
        <v>763</v>
      </c>
      <c r="G235">
        <v>0</v>
      </c>
    </row>
    <row r="236" spans="1:7" x14ac:dyDescent="0.3">
      <c r="A236" t="s">
        <v>782</v>
      </c>
      <c r="B236">
        <v>12</v>
      </c>
      <c r="C236">
        <v>21</v>
      </c>
      <c r="D236">
        <v>0.53</v>
      </c>
      <c r="E236">
        <v>20</v>
      </c>
      <c r="F236" t="s">
        <v>766</v>
      </c>
      <c r="G236">
        <v>0</v>
      </c>
    </row>
    <row r="237" spans="1:7" x14ac:dyDescent="0.3">
      <c r="A237" t="s">
        <v>778</v>
      </c>
      <c r="B237">
        <v>45</v>
      </c>
      <c r="C237">
        <v>126</v>
      </c>
      <c r="D237">
        <v>1.28</v>
      </c>
      <c r="E237">
        <v>32</v>
      </c>
      <c r="F237" t="s">
        <v>766</v>
      </c>
      <c r="G237">
        <v>0</v>
      </c>
    </row>
    <row r="238" spans="1:7" x14ac:dyDescent="0.3">
      <c r="A238" t="s">
        <v>798</v>
      </c>
      <c r="B238">
        <v>45</v>
      </c>
      <c r="C238">
        <v>122</v>
      </c>
      <c r="D238">
        <v>1.24</v>
      </c>
      <c r="E238">
        <v>32</v>
      </c>
      <c r="F238" t="s">
        <v>767</v>
      </c>
      <c r="G238">
        <v>0</v>
      </c>
    </row>
    <row r="239" spans="1:7" x14ac:dyDescent="0.3">
      <c r="A239" t="s">
        <v>799</v>
      </c>
      <c r="B239">
        <v>45</v>
      </c>
      <c r="C239">
        <v>130</v>
      </c>
      <c r="D239">
        <v>1.36</v>
      </c>
      <c r="E239">
        <v>35</v>
      </c>
      <c r="F239" t="s">
        <v>765</v>
      </c>
      <c r="G239">
        <v>0</v>
      </c>
    </row>
    <row r="240" spans="1:7" x14ac:dyDescent="0.3">
      <c r="A240" t="s">
        <v>795</v>
      </c>
      <c r="B240">
        <v>25</v>
      </c>
      <c r="C240">
        <v>45</v>
      </c>
      <c r="D240">
        <v>0.52</v>
      </c>
      <c r="E240">
        <v>18</v>
      </c>
      <c r="F240" t="s">
        <v>763</v>
      </c>
      <c r="G240">
        <v>0</v>
      </c>
    </row>
    <row r="241" spans="1:7" x14ac:dyDescent="0.3">
      <c r="A241" t="s">
        <v>790</v>
      </c>
      <c r="B241">
        <v>25</v>
      </c>
      <c r="C241">
        <v>40</v>
      </c>
      <c r="D241">
        <v>0.61</v>
      </c>
      <c r="E241">
        <v>20</v>
      </c>
      <c r="F241" t="s">
        <v>766</v>
      </c>
      <c r="G241">
        <v>0</v>
      </c>
    </row>
    <row r="242" spans="1:7" x14ac:dyDescent="0.3">
      <c r="A242" t="s">
        <v>794</v>
      </c>
      <c r="B242">
        <v>25</v>
      </c>
      <c r="C242">
        <v>50</v>
      </c>
      <c r="D242">
        <v>0.63</v>
      </c>
      <c r="E242">
        <v>23</v>
      </c>
      <c r="F242" t="s">
        <v>767</v>
      </c>
      <c r="G242">
        <v>0</v>
      </c>
    </row>
    <row r="243" spans="1:7" x14ac:dyDescent="0.3">
      <c r="A243" t="s">
        <v>793</v>
      </c>
      <c r="B243">
        <v>25</v>
      </c>
      <c r="C243">
        <v>62</v>
      </c>
      <c r="D243">
        <v>0.79</v>
      </c>
      <c r="E243">
        <v>28</v>
      </c>
      <c r="F243" t="s">
        <v>763</v>
      </c>
      <c r="G243">
        <v>0</v>
      </c>
    </row>
    <row r="244" spans="1:7" x14ac:dyDescent="0.3">
      <c r="A244" t="s">
        <v>779</v>
      </c>
      <c r="B244">
        <v>45</v>
      </c>
      <c r="C244">
        <v>96</v>
      </c>
      <c r="D244">
        <v>0.8</v>
      </c>
      <c r="E244">
        <v>30</v>
      </c>
      <c r="F244" t="s">
        <v>765</v>
      </c>
      <c r="G244">
        <v>10</v>
      </c>
    </row>
    <row r="245" spans="1:7" x14ac:dyDescent="0.3">
      <c r="A245" t="s">
        <v>784</v>
      </c>
      <c r="B245">
        <v>12</v>
      </c>
      <c r="C245">
        <v>45</v>
      </c>
      <c r="D245">
        <v>0.88</v>
      </c>
      <c r="E245">
        <v>25</v>
      </c>
      <c r="F245" t="s">
        <v>765</v>
      </c>
      <c r="G245">
        <v>0</v>
      </c>
    </row>
    <row r="246" spans="1:7" x14ac:dyDescent="0.3">
      <c r="A246" t="s">
        <v>783</v>
      </c>
      <c r="B246">
        <v>12</v>
      </c>
      <c r="C246">
        <v>24</v>
      </c>
      <c r="D246">
        <v>0.63</v>
      </c>
      <c r="E246">
        <v>23</v>
      </c>
      <c r="F246" t="s">
        <v>767</v>
      </c>
      <c r="G246">
        <v>0</v>
      </c>
    </row>
    <row r="247" spans="1:7" x14ac:dyDescent="0.3">
      <c r="A247" t="s">
        <v>965</v>
      </c>
      <c r="B247">
        <v>45</v>
      </c>
      <c r="C247">
        <v>78</v>
      </c>
      <c r="D247">
        <v>0.73</v>
      </c>
      <c r="E247">
        <v>28</v>
      </c>
      <c r="F247" t="s">
        <v>966</v>
      </c>
      <c r="G247">
        <v>0</v>
      </c>
    </row>
    <row r="248" spans="1:7" x14ac:dyDescent="0.3">
      <c r="A248" t="s">
        <v>789</v>
      </c>
      <c r="B248">
        <v>25</v>
      </c>
      <c r="C248">
        <v>54</v>
      </c>
      <c r="D248">
        <v>0.64</v>
      </c>
      <c r="E248">
        <v>20</v>
      </c>
      <c r="F248" t="s">
        <v>766</v>
      </c>
      <c r="G248">
        <v>0</v>
      </c>
    </row>
    <row r="249" spans="1:7" x14ac:dyDescent="0.3">
      <c r="A249" t="s">
        <v>990</v>
      </c>
      <c r="B249">
        <v>45</v>
      </c>
      <c r="C249">
        <v>96</v>
      </c>
      <c r="D249">
        <v>0.87</v>
      </c>
      <c r="E249">
        <v>30</v>
      </c>
      <c r="F249" t="s">
        <v>763</v>
      </c>
      <c r="G249">
        <v>5</v>
      </c>
    </row>
    <row r="250" spans="1:7" x14ac:dyDescent="0.3">
      <c r="A250" t="s">
        <v>967</v>
      </c>
      <c r="B250">
        <v>45</v>
      </c>
      <c r="C250">
        <v>87</v>
      </c>
      <c r="D250">
        <v>0.71</v>
      </c>
      <c r="E250">
        <v>28</v>
      </c>
      <c r="F250" t="s">
        <v>766</v>
      </c>
      <c r="G250">
        <v>0</v>
      </c>
    </row>
    <row r="251" spans="1:7" x14ac:dyDescent="0.3">
      <c r="A251" t="s">
        <v>785</v>
      </c>
      <c r="B251">
        <v>5</v>
      </c>
      <c r="C251">
        <v>31</v>
      </c>
      <c r="D251">
        <v>0.89</v>
      </c>
      <c r="E251">
        <v>18</v>
      </c>
      <c r="F251" t="s">
        <v>767</v>
      </c>
      <c r="G251">
        <v>0</v>
      </c>
    </row>
    <row r="252" spans="1:7" x14ac:dyDescent="0.3">
      <c r="A252" t="s">
        <v>791</v>
      </c>
      <c r="B252">
        <v>25</v>
      </c>
      <c r="C252">
        <v>72</v>
      </c>
      <c r="D252">
        <v>0.87</v>
      </c>
      <c r="E252">
        <v>21</v>
      </c>
      <c r="F252" t="s">
        <v>763</v>
      </c>
      <c r="G252">
        <v>0</v>
      </c>
    </row>
    <row r="253" spans="1:7" x14ac:dyDescent="0.3">
      <c r="A253" t="s">
        <v>800</v>
      </c>
      <c r="B253">
        <v>45</v>
      </c>
      <c r="C253">
        <v>120</v>
      </c>
      <c r="D253">
        <v>1.04</v>
      </c>
      <c r="E253">
        <v>28</v>
      </c>
      <c r="F253" t="s">
        <v>763</v>
      </c>
      <c r="G253">
        <v>0</v>
      </c>
    </row>
    <row r="254" spans="1:7" x14ac:dyDescent="0.3">
      <c r="A254" t="s">
        <v>792</v>
      </c>
      <c r="B254">
        <v>25</v>
      </c>
      <c r="C254">
        <v>84</v>
      </c>
      <c r="D254">
        <v>1.04</v>
      </c>
      <c r="E254">
        <v>25</v>
      </c>
      <c r="F254" t="s">
        <v>765</v>
      </c>
      <c r="G254">
        <v>0</v>
      </c>
    </row>
    <row r="255" spans="1:7" x14ac:dyDescent="0.3">
      <c r="A255" t="s">
        <v>788</v>
      </c>
      <c r="B255">
        <v>25</v>
      </c>
      <c r="C255">
        <v>54</v>
      </c>
      <c r="D255">
        <v>0.88</v>
      </c>
      <c r="E255">
        <v>30</v>
      </c>
      <c r="F255" t="s">
        <v>763</v>
      </c>
      <c r="G255">
        <v>0</v>
      </c>
    </row>
    <row r="256" spans="1:7" x14ac:dyDescent="0.3">
      <c r="A256" t="s">
        <v>797</v>
      </c>
      <c r="B256">
        <v>45</v>
      </c>
      <c r="C256">
        <v>128</v>
      </c>
      <c r="D256">
        <v>1.17</v>
      </c>
      <c r="E256">
        <v>25</v>
      </c>
      <c r="F256" t="s">
        <v>765</v>
      </c>
      <c r="G256">
        <v>0</v>
      </c>
    </row>
    <row r="257" spans="1:7" x14ac:dyDescent="0.3">
      <c r="A257" t="s">
        <v>796</v>
      </c>
      <c r="B257">
        <v>25</v>
      </c>
      <c r="C257">
        <v>65</v>
      </c>
      <c r="D257">
        <v>0.79</v>
      </c>
      <c r="E257">
        <v>24</v>
      </c>
      <c r="F257" t="s">
        <v>766</v>
      </c>
      <c r="G257">
        <v>0</v>
      </c>
    </row>
    <row r="259" spans="1:7" x14ac:dyDescent="0.3">
      <c r="A259" s="16" t="s">
        <v>149</v>
      </c>
      <c r="B259" s="16" t="s">
        <v>8</v>
      </c>
      <c r="C259" s="16" t="s">
        <v>10</v>
      </c>
      <c r="D259" s="16" t="s">
        <v>12</v>
      </c>
    </row>
    <row r="260" spans="1:7" x14ac:dyDescent="0.3">
      <c r="A260" t="s">
        <v>1012</v>
      </c>
      <c r="B260">
        <f t="shared" ref="B260:B289" si="0">(D174*$B$219*$C$219)+(E174*$B$220*$C$220)+(F174*$B$221*$C$221)+(G174*$B$222*$C$222)+(H174*$B$223*$C$223)+(I174*$B$224*$C$224)</f>
        <v>321.75</v>
      </c>
      <c r="C260">
        <f t="shared" ref="C260:C289" si="1">(D174*$B$219*$D$219)+(E174*$B$220*$D$220)+(F174*$B$221*$D$221)+(G174*$B$222*$D$222)+(H174*$B$223*$D$223)+(I174*$B$224*$D$224)</f>
        <v>429</v>
      </c>
      <c r="D260">
        <f t="shared" ref="D260:D289" si="2">(D174*$B$219*$E$219)+(E174*$B$220*$E$220)+(F174*$B$221*$E$221)+(G174*$B$222*$E$222)+(H174*$B$223*$E$223)+(I174*$B$224*$E$224)</f>
        <v>514.79999999999995</v>
      </c>
    </row>
    <row r="261" spans="1:7" x14ac:dyDescent="0.3">
      <c r="A261" t="s">
        <v>90</v>
      </c>
      <c r="B261">
        <f t="shared" si="0"/>
        <v>0</v>
      </c>
      <c r="C261">
        <f t="shared" si="1"/>
        <v>0</v>
      </c>
      <c r="D261">
        <f t="shared" si="2"/>
        <v>0</v>
      </c>
    </row>
    <row r="262" spans="1:7" x14ac:dyDescent="0.3">
      <c r="A262" t="s">
        <v>91</v>
      </c>
      <c r="B262">
        <f t="shared" si="0"/>
        <v>276.8</v>
      </c>
      <c r="C262">
        <f t="shared" si="1"/>
        <v>294.09999999999997</v>
      </c>
      <c r="D262">
        <f t="shared" si="2"/>
        <v>346</v>
      </c>
    </row>
    <row r="263" spans="1:7" x14ac:dyDescent="0.3">
      <c r="A263" t="s">
        <v>92</v>
      </c>
      <c r="B263">
        <f t="shared" si="0"/>
        <v>276.8</v>
      </c>
      <c r="C263">
        <f t="shared" si="1"/>
        <v>294.09999999999997</v>
      </c>
      <c r="D263">
        <f t="shared" si="2"/>
        <v>346</v>
      </c>
    </row>
    <row r="264" spans="1:7" x14ac:dyDescent="0.3">
      <c r="A264" t="s">
        <v>93</v>
      </c>
      <c r="B264">
        <f t="shared" si="0"/>
        <v>576</v>
      </c>
      <c r="C264">
        <f t="shared" si="1"/>
        <v>648</v>
      </c>
      <c r="D264">
        <f t="shared" si="2"/>
        <v>792.00000000000011</v>
      </c>
    </row>
    <row r="265" spans="1:7" x14ac:dyDescent="0.3">
      <c r="A265" t="s">
        <v>100</v>
      </c>
      <c r="B265">
        <f t="shared" si="0"/>
        <v>564.79999999999995</v>
      </c>
      <c r="C265">
        <f t="shared" si="1"/>
        <v>618.09999999999991</v>
      </c>
      <c r="D265">
        <f t="shared" si="2"/>
        <v>742</v>
      </c>
    </row>
    <row r="266" spans="1:7" x14ac:dyDescent="0.3">
      <c r="A266" t="s">
        <v>743</v>
      </c>
      <c r="B266">
        <f t="shared" si="0"/>
        <v>0</v>
      </c>
      <c r="C266">
        <f t="shared" si="1"/>
        <v>0</v>
      </c>
      <c r="D266">
        <f t="shared" si="2"/>
        <v>0</v>
      </c>
    </row>
    <row r="267" spans="1:7" x14ac:dyDescent="0.3">
      <c r="A267" t="s">
        <v>97</v>
      </c>
      <c r="B267">
        <f t="shared" si="0"/>
        <v>288</v>
      </c>
      <c r="C267">
        <f t="shared" si="1"/>
        <v>324</v>
      </c>
      <c r="D267">
        <f t="shared" si="2"/>
        <v>396.00000000000006</v>
      </c>
    </row>
    <row r="268" spans="1:7" x14ac:dyDescent="0.3">
      <c r="A268" t="s">
        <v>95</v>
      </c>
      <c r="B268">
        <f t="shared" si="0"/>
        <v>643.5</v>
      </c>
      <c r="C268">
        <f t="shared" si="1"/>
        <v>858</v>
      </c>
      <c r="D268">
        <f t="shared" si="2"/>
        <v>1029.5999999999999</v>
      </c>
    </row>
    <row r="269" spans="1:7" x14ac:dyDescent="0.3">
      <c r="A269" t="s">
        <v>101</v>
      </c>
      <c r="B269">
        <f t="shared" si="0"/>
        <v>598.40000000000009</v>
      </c>
      <c r="C269">
        <f t="shared" si="1"/>
        <v>676</v>
      </c>
      <c r="D269">
        <f t="shared" si="2"/>
        <v>808.3</v>
      </c>
    </row>
    <row r="270" spans="1:7" x14ac:dyDescent="0.3">
      <c r="A270" t="s">
        <v>81</v>
      </c>
      <c r="B270">
        <f t="shared" si="0"/>
        <v>0</v>
      </c>
      <c r="C270">
        <f t="shared" si="1"/>
        <v>0</v>
      </c>
      <c r="D270">
        <f t="shared" si="2"/>
        <v>0</v>
      </c>
    </row>
    <row r="271" spans="1:7" x14ac:dyDescent="0.3">
      <c r="A271" t="s">
        <v>83</v>
      </c>
      <c r="B271">
        <f t="shared" si="0"/>
        <v>0</v>
      </c>
      <c r="C271">
        <f t="shared" si="1"/>
        <v>0</v>
      </c>
      <c r="D271">
        <f t="shared" si="2"/>
        <v>0</v>
      </c>
    </row>
    <row r="272" spans="1:7" x14ac:dyDescent="0.3">
      <c r="A272" t="s">
        <v>84</v>
      </c>
      <c r="B272">
        <f t="shared" si="0"/>
        <v>576</v>
      </c>
      <c r="C272">
        <f t="shared" si="1"/>
        <v>648</v>
      </c>
      <c r="D272">
        <f t="shared" si="2"/>
        <v>792.00000000000011</v>
      </c>
    </row>
    <row r="273" spans="1:4" x14ac:dyDescent="0.3">
      <c r="A273" t="s">
        <v>86</v>
      </c>
      <c r="B273">
        <f t="shared" si="0"/>
        <v>576</v>
      </c>
      <c r="C273">
        <f t="shared" si="1"/>
        <v>648</v>
      </c>
      <c r="D273">
        <f t="shared" si="2"/>
        <v>792.00000000000011</v>
      </c>
    </row>
    <row r="274" spans="1:4" x14ac:dyDescent="0.3">
      <c r="A274" t="s">
        <v>99</v>
      </c>
      <c r="B274">
        <f t="shared" si="0"/>
        <v>643.20000000000005</v>
      </c>
      <c r="C274">
        <f t="shared" si="1"/>
        <v>763.8</v>
      </c>
      <c r="D274">
        <f t="shared" si="2"/>
        <v>924.59999999999991</v>
      </c>
    </row>
    <row r="275" spans="1:4" x14ac:dyDescent="0.3">
      <c r="A275" t="s">
        <v>98</v>
      </c>
      <c r="B275">
        <f t="shared" si="0"/>
        <v>276.8</v>
      </c>
      <c r="C275">
        <f t="shared" si="1"/>
        <v>294.09999999999997</v>
      </c>
      <c r="D275">
        <f t="shared" si="2"/>
        <v>346</v>
      </c>
    </row>
    <row r="276" spans="1:4" x14ac:dyDescent="0.3">
      <c r="A276" t="s">
        <v>102</v>
      </c>
      <c r="B276">
        <f t="shared" si="0"/>
        <v>875.2</v>
      </c>
      <c r="C276">
        <f t="shared" si="1"/>
        <v>970.09999999999991</v>
      </c>
      <c r="D276">
        <f t="shared" si="2"/>
        <v>1154.3</v>
      </c>
    </row>
    <row r="277" spans="1:4" x14ac:dyDescent="0.3">
      <c r="A277" t="s">
        <v>745</v>
      </c>
      <c r="B277">
        <f t="shared" si="0"/>
        <v>596</v>
      </c>
      <c r="C277">
        <f t="shared" si="1"/>
        <v>772.9</v>
      </c>
      <c r="D277">
        <f t="shared" si="2"/>
        <v>916</v>
      </c>
    </row>
    <row r="278" spans="1:4" x14ac:dyDescent="0.3">
      <c r="A278" t="s">
        <v>744</v>
      </c>
      <c r="B278">
        <f t="shared" si="0"/>
        <v>0</v>
      </c>
      <c r="C278">
        <f t="shared" si="1"/>
        <v>0</v>
      </c>
      <c r="D278">
        <f t="shared" si="2"/>
        <v>0</v>
      </c>
    </row>
    <row r="279" spans="1:4" x14ac:dyDescent="0.3">
      <c r="A279" t="s">
        <v>96</v>
      </c>
      <c r="B279">
        <f t="shared" si="0"/>
        <v>895.2</v>
      </c>
      <c r="C279">
        <f t="shared" si="1"/>
        <v>1126.8</v>
      </c>
      <c r="D279">
        <f t="shared" si="2"/>
        <v>1362</v>
      </c>
    </row>
    <row r="280" spans="1:4" x14ac:dyDescent="0.3">
      <c r="A280" t="s">
        <v>94</v>
      </c>
      <c r="B280">
        <f t="shared" si="0"/>
        <v>596</v>
      </c>
      <c r="C280">
        <f t="shared" si="1"/>
        <v>772.9</v>
      </c>
      <c r="D280">
        <f t="shared" si="2"/>
        <v>916</v>
      </c>
    </row>
    <row r="281" spans="1:4" x14ac:dyDescent="0.3">
      <c r="A281" t="s">
        <v>89</v>
      </c>
      <c r="B281">
        <f t="shared" si="0"/>
        <v>576</v>
      </c>
      <c r="C281">
        <f t="shared" si="1"/>
        <v>648</v>
      </c>
      <c r="D281">
        <f t="shared" si="2"/>
        <v>792.00000000000011</v>
      </c>
    </row>
    <row r="282" spans="1:4" x14ac:dyDescent="0.3">
      <c r="A282" t="s">
        <v>88</v>
      </c>
      <c r="B282">
        <f t="shared" si="0"/>
        <v>0</v>
      </c>
      <c r="C282">
        <f t="shared" si="1"/>
        <v>0</v>
      </c>
      <c r="D282">
        <f t="shared" si="2"/>
        <v>0</v>
      </c>
    </row>
    <row r="283" spans="1:4" x14ac:dyDescent="0.3">
      <c r="A283" t="s">
        <v>748</v>
      </c>
      <c r="B283">
        <f t="shared" si="0"/>
        <v>576</v>
      </c>
      <c r="C283">
        <f t="shared" si="1"/>
        <v>648</v>
      </c>
      <c r="D283">
        <f t="shared" si="2"/>
        <v>792.00000000000011</v>
      </c>
    </row>
    <row r="284" spans="1:4" x14ac:dyDescent="0.3">
      <c r="A284" t="s">
        <v>747</v>
      </c>
      <c r="B284">
        <f t="shared" si="0"/>
        <v>288</v>
      </c>
      <c r="C284">
        <f t="shared" si="1"/>
        <v>324</v>
      </c>
      <c r="D284">
        <f t="shared" si="2"/>
        <v>396.00000000000006</v>
      </c>
    </row>
    <row r="285" spans="1:4" x14ac:dyDescent="0.3">
      <c r="A285" t="s">
        <v>874</v>
      </c>
      <c r="B285">
        <f t="shared" si="0"/>
        <v>321.75</v>
      </c>
      <c r="C285">
        <f t="shared" si="1"/>
        <v>429</v>
      </c>
      <c r="D285">
        <f t="shared" si="2"/>
        <v>514.79999999999995</v>
      </c>
    </row>
    <row r="286" spans="1:4" x14ac:dyDescent="0.3">
      <c r="A286" t="s">
        <v>1013</v>
      </c>
      <c r="B286">
        <f t="shared" si="0"/>
        <v>0</v>
      </c>
      <c r="C286">
        <f t="shared" si="1"/>
        <v>0</v>
      </c>
      <c r="D286">
        <f t="shared" si="2"/>
        <v>0</v>
      </c>
    </row>
    <row r="287" spans="1:4" x14ac:dyDescent="0.3">
      <c r="A287" t="s">
        <v>746</v>
      </c>
      <c r="B287">
        <f t="shared" si="0"/>
        <v>608</v>
      </c>
      <c r="C287">
        <f t="shared" si="1"/>
        <v>684</v>
      </c>
      <c r="D287">
        <f t="shared" si="2"/>
        <v>836.00000000000011</v>
      </c>
    </row>
    <row r="288" spans="1:4" x14ac:dyDescent="0.3">
      <c r="A288" t="s">
        <v>87</v>
      </c>
      <c r="B288">
        <f t="shared" si="0"/>
        <v>0</v>
      </c>
      <c r="C288">
        <f t="shared" si="1"/>
        <v>0</v>
      </c>
      <c r="D288">
        <f t="shared" si="2"/>
        <v>0</v>
      </c>
    </row>
    <row r="289" spans="1:12" x14ac:dyDescent="0.3">
      <c r="A289" t="s">
        <v>835</v>
      </c>
      <c r="B289">
        <f t="shared" si="0"/>
        <v>288</v>
      </c>
      <c r="C289">
        <f t="shared" si="1"/>
        <v>324</v>
      </c>
      <c r="D289">
        <f t="shared" si="2"/>
        <v>396.00000000000006</v>
      </c>
    </row>
    <row r="291" spans="1:12" x14ac:dyDescent="0.3">
      <c r="A291" t="s">
        <v>149</v>
      </c>
      <c r="B291" t="s">
        <v>8</v>
      </c>
      <c r="C291" t="s">
        <v>10</v>
      </c>
      <c r="D291" t="s">
        <v>12</v>
      </c>
    </row>
    <row r="292" spans="1:12" x14ac:dyDescent="0.3">
      <c r="A292" t="s">
        <v>843</v>
      </c>
      <c r="B292">
        <f t="shared" ref="B292:B302" si="3">E206*F206*$B$227</f>
        <v>633.6</v>
      </c>
      <c r="C292">
        <f t="shared" ref="C292:C302" si="4">E206*F206*$B$228</f>
        <v>871.2</v>
      </c>
      <c r="D292">
        <f t="shared" ref="D292:D302" si="5">E206*F206*$B$229</f>
        <v>1029.6000000000001</v>
      </c>
    </row>
    <row r="293" spans="1:12" x14ac:dyDescent="0.3">
      <c r="A293" t="s">
        <v>141</v>
      </c>
      <c r="B293">
        <f t="shared" si="3"/>
        <v>624</v>
      </c>
      <c r="C293">
        <f t="shared" si="4"/>
        <v>858.00000000000011</v>
      </c>
      <c r="D293">
        <f t="shared" si="5"/>
        <v>1014</v>
      </c>
    </row>
    <row r="294" spans="1:12" x14ac:dyDescent="0.3">
      <c r="A294" t="s">
        <v>138</v>
      </c>
      <c r="B294">
        <f t="shared" si="3"/>
        <v>691.2</v>
      </c>
      <c r="C294">
        <f t="shared" si="4"/>
        <v>950.40000000000009</v>
      </c>
      <c r="D294">
        <f t="shared" si="5"/>
        <v>1123.2</v>
      </c>
    </row>
    <row r="295" spans="1:12" x14ac:dyDescent="0.3">
      <c r="A295" t="s">
        <v>137</v>
      </c>
      <c r="B295">
        <f t="shared" si="3"/>
        <v>691.2</v>
      </c>
      <c r="C295">
        <f t="shared" si="4"/>
        <v>950.40000000000009</v>
      </c>
      <c r="D295">
        <f t="shared" si="5"/>
        <v>1123.2</v>
      </c>
    </row>
    <row r="296" spans="1:12" x14ac:dyDescent="0.3">
      <c r="A296" t="s">
        <v>135</v>
      </c>
      <c r="B296">
        <f t="shared" si="3"/>
        <v>460.8</v>
      </c>
      <c r="C296">
        <f t="shared" si="4"/>
        <v>633.6</v>
      </c>
      <c r="D296">
        <f t="shared" si="5"/>
        <v>748.80000000000007</v>
      </c>
    </row>
    <row r="297" spans="1:12" x14ac:dyDescent="0.3">
      <c r="A297" t="s">
        <v>139</v>
      </c>
      <c r="B297">
        <f t="shared" si="3"/>
        <v>262.40000000000003</v>
      </c>
      <c r="C297">
        <f t="shared" si="4"/>
        <v>360.8</v>
      </c>
      <c r="D297">
        <f t="shared" si="5"/>
        <v>426.40000000000003</v>
      </c>
    </row>
    <row r="298" spans="1:12" x14ac:dyDescent="0.3">
      <c r="A298" t="s">
        <v>140</v>
      </c>
      <c r="B298">
        <f t="shared" si="3"/>
        <v>576</v>
      </c>
      <c r="C298">
        <f t="shared" si="4"/>
        <v>792.00000000000011</v>
      </c>
      <c r="D298">
        <f t="shared" si="5"/>
        <v>936</v>
      </c>
    </row>
    <row r="299" spans="1:12" x14ac:dyDescent="0.3">
      <c r="A299" t="s">
        <v>133</v>
      </c>
      <c r="B299">
        <f t="shared" si="3"/>
        <v>344</v>
      </c>
      <c r="C299">
        <f t="shared" si="4"/>
        <v>473.00000000000006</v>
      </c>
      <c r="D299">
        <f t="shared" si="5"/>
        <v>559</v>
      </c>
    </row>
    <row r="300" spans="1:12" x14ac:dyDescent="0.3">
      <c r="A300" t="s">
        <v>134</v>
      </c>
      <c r="B300">
        <f t="shared" si="3"/>
        <v>691.2</v>
      </c>
      <c r="C300">
        <f t="shared" si="4"/>
        <v>950.40000000000009</v>
      </c>
      <c r="D300">
        <f t="shared" si="5"/>
        <v>1123.2</v>
      </c>
    </row>
    <row r="301" spans="1:12" x14ac:dyDescent="0.3">
      <c r="A301" t="s">
        <v>805</v>
      </c>
      <c r="B301">
        <f t="shared" si="3"/>
        <v>820.80000000000007</v>
      </c>
      <c r="C301">
        <f t="shared" si="4"/>
        <v>1128.6000000000001</v>
      </c>
      <c r="D301">
        <f t="shared" si="5"/>
        <v>1333.8</v>
      </c>
    </row>
    <row r="302" spans="1:12" x14ac:dyDescent="0.3">
      <c r="A302" t="s">
        <v>804</v>
      </c>
      <c r="B302">
        <f t="shared" si="3"/>
        <v>473.6</v>
      </c>
      <c r="C302">
        <f t="shared" si="4"/>
        <v>651.20000000000005</v>
      </c>
      <c r="D302">
        <f t="shared" si="5"/>
        <v>769.6</v>
      </c>
    </row>
    <row r="304" spans="1:12" x14ac:dyDescent="0.3">
      <c r="A304" t="s">
        <v>149</v>
      </c>
      <c r="B304" t="s">
        <v>882</v>
      </c>
      <c r="C304" t="s">
        <v>11</v>
      </c>
      <c r="D304" t="s">
        <v>52</v>
      </c>
      <c r="E304" t="s">
        <v>757</v>
      </c>
      <c r="F304" t="s">
        <v>741</v>
      </c>
      <c r="G304" t="s">
        <v>152</v>
      </c>
      <c r="H304" t="s">
        <v>193</v>
      </c>
      <c r="I304" t="s">
        <v>154</v>
      </c>
      <c r="J304" t="s">
        <v>156</v>
      </c>
      <c r="K304" t="s">
        <v>883</v>
      </c>
      <c r="L304" t="s">
        <v>271</v>
      </c>
    </row>
    <row r="305" spans="1:12" x14ac:dyDescent="0.3">
      <c r="A305" t="s">
        <v>891</v>
      </c>
      <c r="B305" t="s">
        <v>885</v>
      </c>
      <c r="C305">
        <v>25</v>
      </c>
      <c r="D305">
        <v>135</v>
      </c>
      <c r="E305">
        <v>2</v>
      </c>
      <c r="F305">
        <v>15.3</v>
      </c>
      <c r="G305" t="s">
        <v>884</v>
      </c>
      <c r="H305" t="s">
        <v>164</v>
      </c>
      <c r="I305" t="s">
        <v>886</v>
      </c>
      <c r="J305" t="s">
        <v>161</v>
      </c>
      <c r="K305" t="s">
        <v>887</v>
      </c>
      <c r="L305" t="s">
        <v>884</v>
      </c>
    </row>
    <row r="306" spans="1:12" x14ac:dyDescent="0.3">
      <c r="A306" t="s">
        <v>892</v>
      </c>
      <c r="B306" t="s">
        <v>885</v>
      </c>
      <c r="C306">
        <v>25</v>
      </c>
      <c r="D306">
        <v>144</v>
      </c>
      <c r="E306">
        <v>2</v>
      </c>
      <c r="F306">
        <v>14.63</v>
      </c>
      <c r="G306" t="s">
        <v>884</v>
      </c>
      <c r="H306" t="s">
        <v>164</v>
      </c>
      <c r="I306" t="s">
        <v>886</v>
      </c>
      <c r="J306" t="s">
        <v>161</v>
      </c>
      <c r="K306" t="s">
        <v>884</v>
      </c>
      <c r="L306" t="s">
        <v>884</v>
      </c>
    </row>
    <row r="307" spans="1:12" x14ac:dyDescent="0.3">
      <c r="A307" t="s">
        <v>893</v>
      </c>
      <c r="B307" t="s">
        <v>888</v>
      </c>
      <c r="C307">
        <v>45</v>
      </c>
      <c r="D307">
        <v>160</v>
      </c>
      <c r="E307">
        <v>2</v>
      </c>
      <c r="F307">
        <v>13.3</v>
      </c>
      <c r="G307" t="s">
        <v>884</v>
      </c>
      <c r="H307" t="s">
        <v>164</v>
      </c>
      <c r="I307" t="s">
        <v>886</v>
      </c>
      <c r="J307" t="s">
        <v>890</v>
      </c>
      <c r="K307" t="s">
        <v>884</v>
      </c>
      <c r="L307" t="s">
        <v>884</v>
      </c>
    </row>
    <row r="308" spans="1:12" x14ac:dyDescent="0.3">
      <c r="A308" t="s">
        <v>894</v>
      </c>
      <c r="B308" t="s">
        <v>885</v>
      </c>
      <c r="C308">
        <v>25</v>
      </c>
      <c r="D308">
        <v>131</v>
      </c>
      <c r="E308">
        <v>3</v>
      </c>
      <c r="F308">
        <v>25.94</v>
      </c>
      <c r="G308" t="s">
        <v>884</v>
      </c>
      <c r="H308" t="s">
        <v>164</v>
      </c>
      <c r="I308" t="s">
        <v>886</v>
      </c>
      <c r="J308" t="s">
        <v>161</v>
      </c>
      <c r="K308" t="s">
        <v>884</v>
      </c>
      <c r="L308" t="s">
        <v>884</v>
      </c>
    </row>
    <row r="309" spans="1:12" x14ac:dyDescent="0.3">
      <c r="A309" t="s">
        <v>895</v>
      </c>
      <c r="B309" t="s">
        <v>888</v>
      </c>
      <c r="C309">
        <v>45</v>
      </c>
      <c r="D309">
        <v>181</v>
      </c>
      <c r="E309">
        <v>3</v>
      </c>
      <c r="F309">
        <v>24.61</v>
      </c>
      <c r="G309" t="s">
        <v>884</v>
      </c>
      <c r="H309" t="s">
        <v>164</v>
      </c>
      <c r="I309" t="s">
        <v>886</v>
      </c>
      <c r="J309" t="s">
        <v>161</v>
      </c>
      <c r="K309" t="s">
        <v>884</v>
      </c>
      <c r="L309" t="s">
        <v>884</v>
      </c>
    </row>
    <row r="310" spans="1:12" x14ac:dyDescent="0.3">
      <c r="A310" t="s">
        <v>896</v>
      </c>
      <c r="B310" t="s">
        <v>885</v>
      </c>
      <c r="C310">
        <v>25</v>
      </c>
      <c r="D310">
        <v>150</v>
      </c>
      <c r="E310">
        <v>2</v>
      </c>
      <c r="F310">
        <v>15.96</v>
      </c>
      <c r="G310" t="s">
        <v>884</v>
      </c>
      <c r="H310" t="s">
        <v>164</v>
      </c>
      <c r="I310" t="s">
        <v>889</v>
      </c>
      <c r="J310" t="s">
        <v>161</v>
      </c>
      <c r="K310" t="s">
        <v>884</v>
      </c>
      <c r="L310" t="s">
        <v>884</v>
      </c>
    </row>
    <row r="311" spans="1:12" x14ac:dyDescent="0.3">
      <c r="A311" t="s">
        <v>897</v>
      </c>
      <c r="B311" t="s">
        <v>888</v>
      </c>
      <c r="C311">
        <v>45</v>
      </c>
      <c r="D311">
        <v>174</v>
      </c>
      <c r="E311">
        <v>2</v>
      </c>
      <c r="F311">
        <v>14.63</v>
      </c>
      <c r="G311" t="s">
        <v>884</v>
      </c>
      <c r="H311" t="s">
        <v>164</v>
      </c>
      <c r="I311" t="s">
        <v>886</v>
      </c>
      <c r="J311" t="s">
        <v>161</v>
      </c>
      <c r="K311" t="s">
        <v>884</v>
      </c>
      <c r="L311" t="s">
        <v>884</v>
      </c>
    </row>
  </sheetData>
  <pageMargins left="0.7" right="0.7" top="0.75" bottom="0.75" header="0.3" footer="0.3"/>
  <tableParts count="2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75"/>
  <sheetViews>
    <sheetView workbookViewId="0">
      <selection activeCell="R7" sqref="R7"/>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35" x14ac:dyDescent="0.3">
      <c r="A1" s="13"/>
      <c r="B1" s="13"/>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row>
    <row r="2" spans="1:35" x14ac:dyDescent="0.3">
      <c r="A2" s="13"/>
      <c r="B2" s="13"/>
      <c r="C2" s="47" t="s">
        <v>157</v>
      </c>
      <c r="D2" s="46" t="s">
        <v>414</v>
      </c>
      <c r="E2" s="48" t="s">
        <v>2</v>
      </c>
      <c r="F2" s="48" t="s">
        <v>3</v>
      </c>
      <c r="G2" s="48" t="s">
        <v>265</v>
      </c>
      <c r="H2" s="48" t="s">
        <v>54</v>
      </c>
      <c r="I2" s="48" t="s">
        <v>4</v>
      </c>
      <c r="J2" s="32"/>
      <c r="K2" s="4"/>
      <c r="L2" s="4"/>
      <c r="M2" s="4"/>
      <c r="N2" s="4"/>
      <c r="O2" s="4"/>
      <c r="P2" s="4"/>
      <c r="Q2" s="4"/>
      <c r="R2" s="4"/>
      <c r="S2" s="4"/>
      <c r="T2" s="4"/>
      <c r="U2" s="4"/>
      <c r="V2" s="4"/>
      <c r="W2" s="4"/>
      <c r="X2" s="14"/>
      <c r="Y2" s="5" t="s">
        <v>269</v>
      </c>
      <c r="Z2" s="14"/>
      <c r="AA2" s="14"/>
      <c r="AB2" s="14"/>
      <c r="AC2" s="188" t="s">
        <v>1116</v>
      </c>
      <c r="AD2" s="189"/>
      <c r="AE2" s="189"/>
      <c r="AF2" s="14"/>
      <c r="AG2" s="14"/>
      <c r="AH2" s="14"/>
      <c r="AI2" s="14"/>
    </row>
    <row r="3" spans="1:35" x14ac:dyDescent="0.3">
      <c r="A3" s="13"/>
      <c r="B3" s="13"/>
      <c r="C3" s="45" t="s">
        <v>150</v>
      </c>
      <c r="D3" s="34" t="str">
        <f>IFERROR(INDEX(SType[],MATCH(D4,SType[Ship],0),COLUMN(SType[Type])),0)</f>
        <v>Destroyer</v>
      </c>
      <c r="E3" s="47" t="s">
        <v>302</v>
      </c>
      <c r="F3" s="47" t="s">
        <v>301</v>
      </c>
      <c r="G3" s="47" t="s">
        <v>265</v>
      </c>
      <c r="H3" s="47" t="s">
        <v>157</v>
      </c>
      <c r="I3" s="47" t="s">
        <v>200</v>
      </c>
      <c r="J3" s="32"/>
      <c r="K3" s="49" t="str">
        <f>D2</f>
        <v>Universal Bullin</v>
      </c>
      <c r="L3" s="69"/>
      <c r="M3" s="53" t="s">
        <v>25</v>
      </c>
      <c r="N3" s="53" t="s">
        <v>26</v>
      </c>
      <c r="O3" s="37"/>
      <c r="P3" s="53" t="s">
        <v>1466</v>
      </c>
      <c r="Q3" s="37"/>
      <c r="R3" s="53" t="s">
        <v>820</v>
      </c>
      <c r="S3" s="37"/>
      <c r="T3" s="53" t="s">
        <v>1468</v>
      </c>
      <c r="U3" s="37"/>
      <c r="V3" s="53" t="s">
        <v>1464</v>
      </c>
      <c r="W3" s="38"/>
      <c r="X3" s="53" t="s">
        <v>1465</v>
      </c>
      <c r="Y3" s="37"/>
      <c r="Z3" s="53" t="s">
        <v>1467</v>
      </c>
      <c r="AA3" s="38"/>
      <c r="AB3" s="14"/>
      <c r="AC3" s="118" t="s">
        <v>151</v>
      </c>
      <c r="AD3" s="118" t="s">
        <v>268</v>
      </c>
      <c r="AE3" s="118" t="s">
        <v>4</v>
      </c>
      <c r="AF3" s="14"/>
      <c r="AG3" s="14"/>
      <c r="AH3" s="14"/>
      <c r="AI3" s="14"/>
    </row>
    <row r="4" spans="1:35" x14ac:dyDescent="0.3">
      <c r="A4" s="13"/>
      <c r="B4" s="13"/>
      <c r="C4" s="45" t="s">
        <v>149</v>
      </c>
      <c r="D4" s="34" t="str">
        <f>IFERROR(INDEX(Base[],MATCH(D2,Base[Name],0),COLUMN(Base[Type])),0)</f>
        <v>DD</v>
      </c>
      <c r="E4" s="46" t="s">
        <v>288</v>
      </c>
      <c r="F4" s="46" t="s">
        <v>304</v>
      </c>
      <c r="G4" s="46" t="s">
        <v>779</v>
      </c>
      <c r="H4" s="46" t="s">
        <v>737</v>
      </c>
      <c r="I4" s="46" t="s">
        <v>261</v>
      </c>
      <c r="J4" s="32"/>
      <c r="K4" s="55"/>
      <c r="L4" s="56" t="s">
        <v>8</v>
      </c>
      <c r="M4" s="197">
        <f ca="1">D35+I35+F35+K35+SUM(I39:O39)+M35+O35+D38</f>
        <v>141.23966201779055</v>
      </c>
      <c r="N4" s="71">
        <f ca="1">((D35+I35+F35+K35+M35+O35)*AE26+SUM(I39:O39))+D38</f>
        <v>127.14098792372616</v>
      </c>
      <c r="O4" s="37"/>
      <c r="P4" s="71">
        <f ca="1">H29</f>
        <v>109.27734962935091</v>
      </c>
      <c r="Q4" s="37"/>
      <c r="R4" s="71">
        <f ca="1">SUM(N29:T29)*$AE$26</f>
        <v>0</v>
      </c>
      <c r="S4" s="37"/>
      <c r="T4" s="54">
        <f ca="1">SUM(V4,X4,Z4)</f>
        <v>6822.8435449557855</v>
      </c>
      <c r="U4" s="37"/>
      <c r="V4" s="54">
        <f ca="1">D29*FLOOR($Y$18/$M$9,1)*Q9</f>
        <v>3606.1525377685798</v>
      </c>
      <c r="W4" s="38"/>
      <c r="X4" s="54">
        <f ca="1">F29*FLOOR($Y$18/$M$10,1)*Q9</f>
        <v>3216.6910071872062</v>
      </c>
      <c r="Y4" s="37"/>
      <c r="Z4" s="54">
        <f ca="1">N29*FLOOR($Y$18/IF($M$23=0,$AE$30,$M$23),1)+P29*FLOOR($Y$18/IF($M$24=0,$AE$30,$M$24),1)+R29*FLOOR($Y$18/IF($M$25=0,$AE$30,$M$25),1)+T29*FLOOR($Y$18/IF($M$26=0,$AE$30,$M$26),1)</f>
        <v>0</v>
      </c>
      <c r="AA4" s="38"/>
      <c r="AB4" s="14"/>
      <c r="AC4" s="118" t="s">
        <v>150</v>
      </c>
      <c r="AD4" s="118" t="str">
        <f ca="1">IFERROR(INDEX(INDIRECT(H3&amp;"Table"),MATCH(H4,INDIRECT(H3&amp;"Table"&amp;"[Name]"),0),COLUMN(INDIRECT(H3&amp;"Table"&amp;"[Ammo]"))),0)</f>
        <v>HE</v>
      </c>
      <c r="AE4" s="118" t="str">
        <f ca="1">IFERROR(INDEX(INDIRECT(I3&amp;"Table"),MATCH(I4,INDIRECT(I3&amp;"Table"&amp;"[Name]"),0),COLUMN(INDIRECT(I3&amp;"Table"&amp;"[Ammo]"))),0)</f>
        <v>Normal</v>
      </c>
      <c r="AF4" s="14"/>
      <c r="AG4" s="14"/>
      <c r="AH4" s="14"/>
      <c r="AI4" s="14"/>
    </row>
    <row r="5" spans="1:35" x14ac:dyDescent="0.3">
      <c r="A5" s="13"/>
      <c r="B5" s="13"/>
      <c r="C5" s="45" t="s">
        <v>7</v>
      </c>
      <c r="D5" s="44">
        <f ca="1">IFERROR(INDEX(INDIRECT(D3&amp;"Table"),MATCH(D2,INDIRECT(D3&amp;"Table"&amp;"[Name]"),0),COLUMN(INDIRECT(D3&amp;"Table"&amp;"["&amp;C5&amp;"]"))),0)</f>
        <v>245</v>
      </c>
      <c r="E5" s="44">
        <f ca="1">IFERROR(INDEX(INDIRECT(E3&amp;"Table"),MATCH(E4,INDIRECT(E3&amp;"Table"&amp;"[Name]"),0),COLUMN(INDIRECT(E3&amp;"Table"&amp;"["&amp;C5&amp;"]"))),0)</f>
        <v>500</v>
      </c>
      <c r="F5" s="44">
        <f ca="1">IFERROR(INDEX(INDIRECT(F3&amp;"Table"),MATCH(F4,INDIRECT(F3&amp;"Table"&amp;"[Name]"),0),COLUMN(INDIRECT(F3&amp;"Table"&amp;"["&amp;C5&amp;"]"))),0)</f>
        <v>0</v>
      </c>
      <c r="G5" s="44">
        <f ca="1">IFERROR(INDEX(INDIRECT(G3&amp;"Table"),MATCH(G4,INDIRECT(G3&amp;"Table"&amp;"[Name]"),0),COLUMN(INDIRECT(G3&amp;"Table"&amp;"["&amp;C5&amp;"]"))),0)</f>
        <v>0</v>
      </c>
      <c r="H5" s="44">
        <f ca="1">IFERROR(INDEX(INDIRECT(H3&amp;"Table"),MATCH(H4,INDIRECT(H3&amp;"Table"&amp;"[Name]"),0),COLUMN(INDIRECT(H3&amp;"Table"&amp;"["&amp;C5&amp;"]"))),0)</f>
        <v>0</v>
      </c>
      <c r="I5" s="44">
        <f ca="1">IFERROR(INDEX(INDIRECT(H3&amp;"Table"),MATCH(H4,INDIRECT(H3&amp;"Table"&amp;"[Name]"),0),COLUMN(INDIRECT(H3&amp;"Table"&amp;"["&amp;C5&amp;"]"))),0)</f>
        <v>0</v>
      </c>
      <c r="J5" s="32"/>
      <c r="K5" s="55"/>
      <c r="L5" s="56" t="s">
        <v>10</v>
      </c>
      <c r="M5" s="197">
        <f ca="1">D36+I36+F36+K36+SUM(I39:O39)+M36+O36+D38</f>
        <v>125.34289772286756</v>
      </c>
      <c r="N5" s="71">
        <f ca="1">((D36+I36+F36+K36+M36+O36)*AE26+SUM(I39:O39))+D38</f>
        <v>112.83390005829547</v>
      </c>
      <c r="O5" s="37"/>
      <c r="P5" s="71">
        <f ca="1">H30</f>
        <v>54.638674814675454</v>
      </c>
      <c r="Q5" s="37"/>
      <c r="R5" s="71">
        <f ca="1">SUM(N30:T30)*$AE$26</f>
        <v>0</v>
      </c>
      <c r="S5" s="37"/>
      <c r="T5" s="54">
        <f t="shared" ref="T5:T6" ca="1" si="0">SUM(V5,X5,Z5)</f>
        <v>5823.9400278682979</v>
      </c>
      <c r="U5" s="37"/>
      <c r="V5" s="54">
        <f ca="1">D30*FLOOR($Y$18/$M$9,1)*Q9</f>
        <v>1803.0762688842899</v>
      </c>
      <c r="W5" s="38"/>
      <c r="X5" s="54">
        <f ca="1">F30*FLOOR($Y$18/$M$10,1)*Q9</f>
        <v>4020.8637589840077</v>
      </c>
      <c r="Y5" s="37"/>
      <c r="Z5" s="54">
        <f ca="1">N30*FLOOR($Y$18/IF($M$23=0,$AE$30,$M$23),1)+P30*FLOOR($Y$18/IF($M$24=0,$AE$30,$M$24),1)+R30*FLOOR($Y$18/IF($M$25=0,$AE$30,$M$25),1)+T30*FLOOR($Y$18/IF($M$26=0,$AE$30,$M$26),1)</f>
        <v>0</v>
      </c>
      <c r="AA5" s="38"/>
      <c r="AB5" s="14"/>
      <c r="AC5" s="65" t="s">
        <v>8</v>
      </c>
      <c r="AD5" s="44">
        <f ca="1">IF(D2="Kitakaze",1.15,IF(D2="Baltimore",0.85,IF(D2="Massachusetts",0.6,IFERROR(INDEX(INDIRECT(H3&amp;"Coef"),MATCH(AD4,INDIRECT(H3&amp;"Coef"&amp;"[Ammo]"),0),COLUMN(INDIRECT(H3&amp;"Coef"&amp;"["&amp;AC5&amp;"]"))),0))))</f>
        <v>1.2</v>
      </c>
      <c r="AE5" s="44">
        <f ca="1">IF(D2="Kawakaze",1.15,IFERROR(INDEX(INDIRECT(I3&amp;"Coef"),MATCH(AE4,INDIRECT(I3&amp;"Coef"&amp;"[Ammo]"),0),COLUMN(INDIRECT(I3&amp;"Coef"&amp;"["&amp;AC5&amp;"]"))),0))</f>
        <v>0.8</v>
      </c>
      <c r="AF5" s="14"/>
      <c r="AG5" s="14"/>
      <c r="AH5" s="14"/>
      <c r="AI5" s="14"/>
    </row>
    <row r="6" spans="1:35" x14ac:dyDescent="0.3">
      <c r="A6" s="13"/>
      <c r="B6" s="13"/>
      <c r="C6" s="45" t="s">
        <v>9</v>
      </c>
      <c r="D6" s="44">
        <f ca="1">IFERROR(INDEX(INDIRECT(D3&amp;"Table"),MATCH(D2,INDIRECT(D3&amp;"Table"&amp;"[Name]"),0),COLUMN(INDIRECT(D3&amp;"Table"&amp;"["&amp;C6&amp;"]"))),0)</f>
        <v>24</v>
      </c>
      <c r="E6" s="44">
        <f ca="1">IFERROR(INDEX(INDIRECT(E3&amp;"Table"),MATCH(E4,INDIRECT(E3&amp;"Table"&amp;"[Name]"),0),COLUMN(INDIRECT(E3&amp;"Table"&amp;"["&amp;C6&amp;"]"))),0)</f>
        <v>0</v>
      </c>
      <c r="F6" s="44">
        <f ca="1">IFERROR(INDEX(INDIRECT(F3&amp;"Table"),MATCH(F4,INDIRECT(F3&amp;"Table"&amp;"[Name]"),0),COLUMN(INDIRECT(F3&amp;"Table"&amp;"["&amp;C6&amp;"]"))),0)</f>
        <v>0</v>
      </c>
      <c r="G6" s="44">
        <f ca="1">IFERROR(INDEX(INDIRECT(G3&amp;"Table"),MATCH(G4,INDIRECT(G3&amp;"Table"&amp;"[Name]"),0),COLUMN(INDIRECT(G3&amp;"Table"&amp;"["&amp;C6&amp;"]"))),0)</f>
        <v>0</v>
      </c>
      <c r="H6" s="44">
        <f ca="1">IFERROR(INDEX(INDIRECT(H3&amp;"Table"),MATCH(H4,INDIRECT(H3&amp;"Table"&amp;"[Name]"),0),COLUMN(INDIRECT(H3&amp;"Table"&amp;"["&amp;C6&amp;"]"))),0)</f>
        <v>20</v>
      </c>
      <c r="I6" s="44">
        <f ca="1">IFERROR(INDEX(INDIRECT(I3&amp;"Table"),MATCH(I4,INDIRECT(I3&amp;"Table"&amp;"[Name]"),0),COLUMN(INDIRECT(I3&amp;"Table"&amp;"["&amp;C6&amp;"]"))),0)</f>
        <v>0</v>
      </c>
      <c r="J6" s="32"/>
      <c r="K6" s="55"/>
      <c r="L6" s="56" t="s">
        <v>12</v>
      </c>
      <c r="M6" s="197">
        <f ca="1">D37+I37+F37+K37+SUM(I39:O39)+M37+O37+D38</f>
        <v>152.64120081056706</v>
      </c>
      <c r="N6" s="71">
        <f ca="1">((D37+I37+F37+K37+M37+O37)*AE26+SUM(I39:O39))+D38</f>
        <v>137.40237283722502</v>
      </c>
      <c r="O6" s="37"/>
      <c r="P6" s="71">
        <f ca="1">H31</f>
        <v>54.638674814675454</v>
      </c>
      <c r="Q6" s="37"/>
      <c r="R6" s="71">
        <f ca="1">SUM(N31:T31)*$AE$26</f>
        <v>0</v>
      </c>
      <c r="S6" s="37"/>
      <c r="T6" s="54">
        <f t="shared" ca="1" si="0"/>
        <v>7030.1991555634995</v>
      </c>
      <c r="U6" s="37"/>
      <c r="V6" s="54">
        <f ca="1">D31*FLOOR($Y$18/$M$9,1)*Q9</f>
        <v>1803.0762688842899</v>
      </c>
      <c r="W6" s="38"/>
      <c r="X6" s="54">
        <f ca="1">F31*FLOOR($Y$18/$M$10,1)*Q9</f>
        <v>5227.1228866792098</v>
      </c>
      <c r="Y6" s="37"/>
      <c r="Z6" s="54">
        <f ca="1">N31*FLOOR($Y$18/IF($M$23=0,$AE$30,$M$23),1)+P31*FLOOR($Y$18/IF($M$24=0,$AE$30,$M$24),1)+R31*FLOOR($Y$18/IF($M$25=0,$AE$30,$M$25),1)+T31*FLOOR($Y$18/IF($M$26=0,$AE$30,$M$26),1)</f>
        <v>0</v>
      </c>
      <c r="AA6" s="38"/>
      <c r="AB6" s="14"/>
      <c r="AC6" s="65" t="s">
        <v>10</v>
      </c>
      <c r="AD6" s="44">
        <f ca="1">IF(D2="Kitakaze",1.15,IF(D2="Baltimore",1.2,IF(D2="Massachusetts",1.35,IFERROR(INDEX(INDIRECT(H3&amp;"Coef"),MATCH(AD4,INDIRECT(H3&amp;"Coef"&amp;"[Ammo]"),0),COLUMN(INDIRECT(H3&amp;"Coef"&amp;"["&amp;AC6&amp;"]"))),0))))</f>
        <v>0.6</v>
      </c>
      <c r="AE6" s="44">
        <f ca="1">IF(D2="Kawakaze",1.15,IFERROR(INDEX(INDIRECT(I3&amp;"Coef"),MATCH(AE4,INDIRECT(I3&amp;"Coef"&amp;"[Ammo]"),0),COLUMN(INDIRECT(I3&amp;"Coef"&amp;"["&amp;AC6&amp;"]"))),0))</f>
        <v>1</v>
      </c>
      <c r="AF6" s="14"/>
      <c r="AG6" s="14"/>
      <c r="AH6" s="14"/>
      <c r="AI6" s="14"/>
    </row>
    <row r="7" spans="1:35" x14ac:dyDescent="0.3">
      <c r="A7" s="13"/>
      <c r="B7" s="13"/>
      <c r="C7" s="45" t="s">
        <v>11</v>
      </c>
      <c r="D7" s="44">
        <f ca="1">IFERROR(INDEX(INDIRECT(D3&amp;"Table"),MATCH(D2,INDIRECT(D3&amp;"Table"&amp;"[Name]"),0),COLUMN(INDIRECT(D3&amp;"Table"&amp;"["&amp;C7&amp;"]"))),0)</f>
        <v>24</v>
      </c>
      <c r="E7" s="44">
        <f ca="1">IFERROR(INDEX(INDIRECT(E3&amp;"Table"),MATCH(E4,INDIRECT(E3&amp;"Table"&amp;"[Name]"),0),COLUMN(INDIRECT(E3&amp;"Table"&amp;"["&amp;C7&amp;"]"))),0)</f>
        <v>0</v>
      </c>
      <c r="F7" s="44">
        <f ca="1">IFERROR(INDEX(INDIRECT(F3&amp;"Table"),MATCH(F4,INDIRECT(F3&amp;"Table"&amp;"[Name]"),0),COLUMN(INDIRECT(F3&amp;"Table"&amp;"["&amp;C7&amp;"]"))),0)</f>
        <v>100</v>
      </c>
      <c r="G7" s="44">
        <f ca="1">IFERROR(INDEX(INDIRECT(G3&amp;"Table"),MATCH(G4,INDIRECT(G3&amp;"Table"&amp;"[Name]"),0),COLUMN(INDIRECT(G3&amp;"Table"&amp;"["&amp;C7&amp;"]"))),0)</f>
        <v>0</v>
      </c>
      <c r="H7" s="44">
        <f ca="1">IFERROR(INDEX(INDIRECT(H3&amp;"Table"),MATCH(H4,INDIRECT(H3&amp;"Table"&amp;"[Name]"),0),COLUMN(INDIRECT(H3&amp;"Table"&amp;"["&amp;C7&amp;"]"))),0)</f>
        <v>0</v>
      </c>
      <c r="I7" s="44">
        <f ca="1">IFERROR(INDEX(INDIRECT(I3&amp;"Table"),MATCH(I4,INDIRECT(I3&amp;"Table"&amp;"[Name]"),0),COLUMN(INDIRECT(I3&amp;"Table"&amp;"["&amp;C7&amp;"]"))),0)</f>
        <v>45</v>
      </c>
      <c r="J7" s="32"/>
      <c r="K7" s="55"/>
      <c r="L7" s="55"/>
      <c r="M7" s="37"/>
      <c r="N7" s="37"/>
      <c r="O7" s="37"/>
      <c r="P7" s="37"/>
      <c r="Q7" s="37"/>
      <c r="R7" s="39"/>
      <c r="S7" s="37"/>
      <c r="T7" s="37"/>
      <c r="U7" s="37"/>
      <c r="V7" s="37"/>
      <c r="W7" s="37"/>
      <c r="X7" s="37"/>
      <c r="Y7" s="37"/>
      <c r="Z7" s="37"/>
      <c r="AA7" s="37"/>
      <c r="AB7" s="14"/>
      <c r="AC7" s="65" t="s">
        <v>12</v>
      </c>
      <c r="AD7" s="44">
        <f ca="1">IF(D2="Kitakaze",1.15,IF(D2="Baltimore",0.85,IF(D2="Massachusetts",1.15,IFERROR(INDEX(INDIRECT(H3&amp;"Coef"),MATCH(AD4,INDIRECT(H3&amp;"Coef"&amp;"[Ammo]"),0),COLUMN(INDIRECT(H3&amp;"Coef"&amp;"["&amp;AC7&amp;"]"))),0))))</f>
        <v>0.6</v>
      </c>
      <c r="AE7" s="44">
        <f ca="1">IF(D2="Kawakaze",1.15,IFERROR(INDEX(INDIRECT(I3&amp;"Coef"),MATCH(AE4,INDIRECT(I3&amp;"Coef"&amp;"[Ammo]"),0),COLUMN(INDIRECT(I3&amp;"Coef"&amp;"["&amp;AC7&amp;"]"))),0))</f>
        <v>1.3</v>
      </c>
      <c r="AF7" s="14"/>
      <c r="AG7" s="14"/>
      <c r="AH7" s="14"/>
      <c r="AI7" s="14"/>
    </row>
    <row r="8" spans="1:35" x14ac:dyDescent="0.3">
      <c r="A8" s="13"/>
      <c r="B8" s="13"/>
      <c r="C8" s="45" t="s">
        <v>265</v>
      </c>
      <c r="D8" s="44">
        <f ca="1">IFERROR(INDEX(INDIRECT(D3&amp;"Table"),MATCH(D2,INDIRECT(D3&amp;"Table"&amp;"[Name]"),0),COLUMN(INDIRECT(D3&amp;"Table"&amp;"["&amp;C8&amp;"]"))),0)</f>
        <v>24</v>
      </c>
      <c r="E8" s="44">
        <f ca="1">IFERROR(INDEX(INDIRECT(E3&amp;"Table"),MATCH(E4,INDIRECT(E3&amp;"Table"&amp;"[Name]"),0),COLUMN(INDIRECT(E3&amp;"Table"&amp;"["&amp;C8&amp;"]"))),0)</f>
        <v>0</v>
      </c>
      <c r="F8" s="44">
        <f ca="1">IFERROR(INDEX(INDIRECT(F3&amp;"Table"),MATCH(F4,INDIRECT(F3&amp;"Table"&amp;"[Name]"),0),COLUMN(INDIRECT(F3&amp;"Table"&amp;"["&amp;C8&amp;"]"))),0)</f>
        <v>0</v>
      </c>
      <c r="G8" s="44">
        <f ca="1">IFERROR(INDEX(INDIRECT(G3&amp;"Table"),MATCH(G4,INDIRECT(G3&amp;"Table"&amp;"[Name]"),0),COLUMN(INDIRECT(G3&amp;"Table"&amp;"["&amp;C8&amp;"]"))),0)</f>
        <v>45</v>
      </c>
      <c r="H8" s="44">
        <f ca="1">IFERROR(INDEX(INDIRECT(H3&amp;"Table"),MATCH(H4,INDIRECT(H3&amp;"Table"&amp;"[Name]"),0),COLUMN(INDIRECT(H3&amp;"Table"&amp;"["&amp;C8&amp;"]"))),0)</f>
        <v>25</v>
      </c>
      <c r="I8" s="44">
        <f ca="1">IFERROR(INDEX(INDIRECT(I3&amp;"Table"),MATCH(I4,INDIRECT(I3&amp;"Table"&amp;"[Name]"),0),COLUMN(INDIRECT(I3&amp;"Table"&amp;"["&amp;C8&amp;"]"))),0)</f>
        <v>0</v>
      </c>
      <c r="J8" s="32"/>
      <c r="K8" s="55" t="s">
        <v>30</v>
      </c>
      <c r="L8" s="56"/>
      <c r="M8" s="71">
        <f ca="1">AE24</f>
        <v>7450</v>
      </c>
      <c r="N8" s="37"/>
      <c r="O8" s="39"/>
      <c r="P8" s="42"/>
      <c r="Q8" s="37"/>
      <c r="R8" s="42"/>
      <c r="S8" s="51" t="str">
        <f>H4</f>
        <v>2x127mm (Mk 12)</v>
      </c>
      <c r="T8" s="51"/>
      <c r="U8" s="51" t="str">
        <f>F4</f>
        <v>Type 93 Rainbow</v>
      </c>
      <c r="V8" s="38"/>
      <c r="W8" s="51"/>
      <c r="X8" s="51"/>
      <c r="Y8" s="38"/>
      <c r="Z8" s="51"/>
      <c r="AA8" s="38"/>
      <c r="AB8" s="14"/>
      <c r="AC8" s="118" t="s">
        <v>866</v>
      </c>
      <c r="AD8" s="63"/>
      <c r="AE8" s="50">
        <f>IF(H4="2x410mm Gold", 1.2, 0.6)</f>
        <v>0.6</v>
      </c>
      <c r="AF8" s="14"/>
      <c r="AG8" s="14"/>
      <c r="AH8" s="14"/>
      <c r="AI8" s="14"/>
    </row>
    <row r="9" spans="1:35" x14ac:dyDescent="0.3">
      <c r="A9" s="13"/>
      <c r="B9" s="13"/>
      <c r="C9" s="45" t="s">
        <v>14</v>
      </c>
      <c r="D9" s="44">
        <f ca="1">IFERROR(INDEX(INDIRECT(D3&amp;"Table"),MATCH(D2,INDIRECT(D3&amp;"Table"&amp;"[Name]"),0),COLUMN(INDIRECT(D3&amp;"Table"&amp;"["&amp;C9&amp;"]"))),0)</f>
        <v>122</v>
      </c>
      <c r="E9" s="44">
        <f ca="1">IFERROR(INDEX(INDIRECT(E3&amp;"Table"),MATCH(E4,INDIRECT(E3&amp;"Table"&amp;"[Name]"),0),COLUMN(INDIRECT(E3&amp;"Table"&amp;"["&amp;C9&amp;"]"))),0)</f>
        <v>0</v>
      </c>
      <c r="F9" s="44">
        <f ca="1">IFERROR(INDEX(INDIRECT(F3&amp;"Table"),MATCH(F4,INDIRECT(F3&amp;"Table"&amp;"[Name]"),0),COLUMN(INDIRECT(F3&amp;"Table"&amp;"["&amp;C9&amp;"]"))),0)</f>
        <v>10</v>
      </c>
      <c r="G9" s="44">
        <f ca="1">IFERROR(INDEX(INDIRECT(G3&amp;"Table"),MATCH(G4,INDIRECT(G3&amp;"Table"&amp;"[Name]"),0),COLUMN(INDIRECT(G3&amp;"Table"&amp;"["&amp;C9&amp;"]"))),0)</f>
        <v>0</v>
      </c>
      <c r="H9" s="44">
        <f ca="1">IFERROR(INDEX(INDIRECT(H3&amp;"Table"),MATCH(H4,INDIRECT(H3&amp;"Table"&amp;"[Name]"),0),COLUMN(INDIRECT(H3&amp;"Table"&amp;"["&amp;C9&amp;"]"))),0)</f>
        <v>0</v>
      </c>
      <c r="I9" s="44">
        <f ca="1">IFERROR(INDEX(INDIRECT(I3&amp;"Table"),MATCH(I4,INDIRECT(I3&amp;"Table"&amp;"[Name]"),0),COLUMN(INDIRECT(I3&amp;"Table"&amp;"["&amp;C9&amp;"]"))),0)</f>
        <v>0</v>
      </c>
      <c r="J9" s="32"/>
      <c r="K9" s="55" t="s">
        <v>1408</v>
      </c>
      <c r="L9" s="56"/>
      <c r="M9" s="71">
        <f ca="1">Q20*H17+H18*Q12+H19</f>
        <v>1.7805693370544469</v>
      </c>
      <c r="N9" s="37"/>
      <c r="O9" s="55" t="s">
        <v>861</v>
      </c>
      <c r="P9" s="41"/>
      <c r="Q9" s="52">
        <f ca="1">AE26</f>
        <v>0.9</v>
      </c>
      <c r="R9" s="42"/>
      <c r="S9" s="51" t="str">
        <f>I4</f>
        <v>5x533mm</v>
      </c>
      <c r="T9" s="51"/>
      <c r="U9" s="51" t="str">
        <f>G4</f>
        <v>2x40mm STAAG</v>
      </c>
      <c r="V9" s="38"/>
      <c r="W9" s="51"/>
      <c r="X9" s="51"/>
      <c r="Y9" s="38"/>
      <c r="Z9" s="51"/>
      <c r="AA9" s="38"/>
      <c r="AB9" s="14"/>
      <c r="AC9" s="118" t="s">
        <v>55</v>
      </c>
      <c r="AD9" s="63"/>
      <c r="AE9" s="50">
        <f ca="1">IF(OR(AD4="Normal", AD4="Magnetic",AD4="AP",AD4="AP+"), 0,IFERROR(INDEX(BurnT[],MATCH(H3,BurnT[Type],0),COLUMN(BurnT[Burn])),0))</f>
        <v>0.01</v>
      </c>
      <c r="AF9" s="14"/>
      <c r="AG9" s="14"/>
      <c r="AH9" s="14"/>
      <c r="AI9" s="14"/>
    </row>
    <row r="10" spans="1:35" x14ac:dyDescent="0.3">
      <c r="A10" s="13"/>
      <c r="B10" s="13"/>
      <c r="C10" s="45" t="s">
        <v>53</v>
      </c>
      <c r="D10" s="44">
        <f ca="1">IFERROR(INDEX(INDIRECT(D3&amp;"Table"),MATCH(D2,INDIRECT(D3&amp;"Table"&amp;"[Name]"),0),COLUMN(INDIRECT(D3&amp;"Table"&amp;"["&amp;C10&amp;"]"))),0)+IF(D2="Kitakaze",0.15,0)</f>
        <v>1</v>
      </c>
      <c r="E10" s="44">
        <f ca="1">IFERROR(INDEX(INDIRECT(E3&amp;"Table"),MATCH(E4,INDIRECT(E3&amp;"Table"&amp;"[Name]"),0),COLUMN(INDIRECT(E3&amp;"Table"&amp;"["&amp;C10&amp;"]"))),0)</f>
        <v>0</v>
      </c>
      <c r="F10" s="44">
        <f ca="1">IFERROR(INDEX(INDIRECT(F3&amp;"Table"),MATCH(F4,INDIRECT(F3&amp;"Table"&amp;"[Name]"),0),COLUMN(INDIRECT(F3&amp;"Table"&amp;"["&amp;C10&amp;"]"))),0)</f>
        <v>0</v>
      </c>
      <c r="G10" s="44">
        <f ca="1">IFERROR(INDEX(INDIRECT(G3&amp;"Table"),MATCH(G4,INDIRECT(G3&amp;"Table"&amp;"[Name]"),0),COLUMN(INDIRECT(G3&amp;"Table"&amp;"["&amp;C10&amp;"]"))),0)</f>
        <v>0</v>
      </c>
      <c r="H10" s="44">
        <f ca="1">IFERROR(INDEX(INDIRECT(H3&amp;"Table"),MATCH(H4,INDIRECT(H3&amp;"Table"&amp;"[Name]"),0),COLUMN(INDIRECT(H3&amp;"Table"&amp;"["&amp;C10&amp;"]"))),0)</f>
        <v>1.1000000000000001</v>
      </c>
      <c r="I10" s="44">
        <f ca="1">IFERROR(INDEX(INDIRECT(I3&amp;"Table"),MATCH(I4,INDIRECT(I3&amp;"Table"&amp;"[Name]"),0),COLUMN(INDIRECT(I3&amp;"Table"&amp;"["&amp;C10&amp;"]"))),0)</f>
        <v>1</v>
      </c>
      <c r="J10" s="32"/>
      <c r="K10" s="55" t="s">
        <v>1407</v>
      </c>
      <c r="L10" s="56"/>
      <c r="M10" s="71">
        <f ca="1">Q20*I17+H19+I18</f>
        <v>24.808923707006258</v>
      </c>
      <c r="N10" s="37"/>
      <c r="O10" s="55" t="s">
        <v>862</v>
      </c>
      <c r="P10" s="41"/>
      <c r="Q10" s="52">
        <f ca="1">AE28</f>
        <v>0.1</v>
      </c>
      <c r="R10" s="42"/>
      <c r="S10" s="51" t="str">
        <f>E4</f>
        <v>Repair Toolkit</v>
      </c>
      <c r="T10" s="51"/>
      <c r="U10" s="51"/>
      <c r="V10" s="38"/>
      <c r="W10" s="51"/>
      <c r="X10" s="51"/>
      <c r="Y10" s="38"/>
      <c r="Z10" s="51"/>
      <c r="AA10" s="38"/>
      <c r="AB10" s="14"/>
      <c r="AC10" s="44"/>
      <c r="AD10" s="44"/>
      <c r="AE10" s="44"/>
      <c r="AF10" s="14"/>
      <c r="AG10" s="14"/>
      <c r="AH10" s="14"/>
      <c r="AI10" s="14"/>
    </row>
    <row r="11" spans="1:35" x14ac:dyDescent="0.3">
      <c r="A11" s="13"/>
      <c r="B11" s="13"/>
      <c r="C11" s="45" t="s">
        <v>668</v>
      </c>
      <c r="D11" s="44">
        <f ca="1">IFERROR(INDEX(INDIRECT(D3&amp;"Table"),MATCH(D2,INDIRECT(D3&amp;"Table"&amp;"[Name]"),0),COLUMN(INDIRECT(D3&amp;"Table"&amp;"["&amp;C11&amp;"]"))),0)</f>
        <v>1</v>
      </c>
      <c r="E11" s="44">
        <f ca="1">IFERROR(INDEX(INDIRECT(E3&amp;"Table"),MATCH(E4,INDIRECT(E3&amp;"Table"&amp;"[Name]"),0),COLUMN(INDIRECT(E3&amp;"Table"&amp;"["&amp;C11&amp;"]"))),0)</f>
        <v>0</v>
      </c>
      <c r="F11" s="44">
        <f ca="1">IFERROR(INDEX(INDIRECT(F3&amp;"Table"),MATCH(F4,INDIRECT(F3&amp;"Table"&amp;"[Name]"),0),COLUMN(INDIRECT(F3&amp;"Table"&amp;"["&amp;C11&amp;"]"))),0)</f>
        <v>0</v>
      </c>
      <c r="G11" s="44">
        <f ca="1">IFERROR(INDEX(INDIRECT(G3&amp;"Table"),MATCH(G4,INDIRECT(G3&amp;"Table"&amp;"[Name]"),0),COLUMN(INDIRECT(G3&amp;"Table"&amp;"["&amp;C11&amp;"]"))),0)</f>
        <v>0</v>
      </c>
      <c r="H11" s="44">
        <f ca="1">IFERROR(INDEX(INDIRECT(H3&amp;"Table"),MATCH(H4,INDIRECT(H3&amp;"Table"&amp;"[Name]"),0),COLUMN(INDIRECT(H3&amp;"Table"&amp;"["&amp;C11&amp;"]"))),0)</f>
        <v>0</v>
      </c>
      <c r="I11" s="44">
        <f ca="1">IFERROR(INDEX(INDIRECT(I3&amp;"Table"),MATCH(I4,INDIRECT(I3&amp;"Table"&amp;"[Name]"),0),COLUMN(INDIRECT(I3&amp;"Table"&amp;"["&amp;C11&amp;"]"))),0)</f>
        <v>0</v>
      </c>
      <c r="J11" s="32"/>
      <c r="K11" s="190" t="s">
        <v>270</v>
      </c>
      <c r="L11" s="191"/>
      <c r="M11" s="191"/>
      <c r="N11" s="191"/>
      <c r="O11" s="191"/>
      <c r="P11" s="191"/>
      <c r="Q11" s="191"/>
      <c r="R11" s="191"/>
      <c r="S11" s="191"/>
      <c r="T11" s="191"/>
      <c r="U11" s="191"/>
      <c r="V11" s="191"/>
      <c r="W11" s="191"/>
      <c r="X11" s="191"/>
      <c r="Y11" s="191"/>
      <c r="Z11" s="14"/>
      <c r="AA11" s="14"/>
      <c r="AB11" s="14"/>
      <c r="AC11" s="118" t="s">
        <v>869</v>
      </c>
      <c r="AD11" s="63"/>
      <c r="AE11" s="44">
        <f ca="1">(IF(AND(OR(H3="BB",D2="Baltimore"),OR(D2="Baltimore",AD4="AP",AD4="AP+")),(1-(1-Y20)^(H16*Q12))*(Y19),0))/6+1</f>
        <v>1</v>
      </c>
      <c r="AF11" s="14"/>
      <c r="AG11" s="14"/>
      <c r="AH11" s="14"/>
      <c r="AI11" s="14"/>
    </row>
    <row r="12" spans="1:35" x14ac:dyDescent="0.3">
      <c r="A12" s="13"/>
      <c r="B12" s="13"/>
      <c r="C12" s="45" t="s">
        <v>294</v>
      </c>
      <c r="D12" s="44">
        <f ca="1">IFERROR(INDEX(INDIRECT(D3&amp;"Table"),MATCH(D2,INDIRECT(D3&amp;"Table"&amp;"[Name]"),0),COLUMN(INDIRECT(D3&amp;"Table"&amp;"["&amp;C12&amp;"]"))),0)</f>
        <v>122</v>
      </c>
      <c r="E12" s="44">
        <f ca="1">IFERROR(INDEX(INDIRECT(E3&amp;"Table"),MATCH(E4,INDIRECT(E3&amp;"Table"&amp;"[Name]"),0),COLUMN(INDIRECT(E3&amp;"Table"&amp;"["&amp;C12&amp;"]"))),0)</f>
        <v>0</v>
      </c>
      <c r="F12" s="44">
        <f ca="1">IFERROR(INDEX(INDIRECT(F3&amp;"Table"),MATCH(F4,INDIRECT(F3&amp;"Table"&amp;"[Name]"),0),COLUMN(INDIRECT(F3&amp;"Table"&amp;"["&amp;C12&amp;"]"))),0)</f>
        <v>0</v>
      </c>
      <c r="G12" s="44">
        <f ca="1">IFERROR(INDEX(INDIRECT(G3&amp;"Table"),MATCH(G4,INDIRECT(G3&amp;"Table"&amp;"[Name]"),0),COLUMN(INDIRECT(G3&amp;"Table"&amp;"["&amp;C12&amp;"]"))),0)</f>
        <v>0</v>
      </c>
      <c r="H12" s="44">
        <f ca="1">IFERROR(INDEX(INDIRECT(H3&amp;"Table"),MATCH(H4,INDIRECT(H3&amp;"Table"&amp;"[Name]"),0),COLUMN(INDIRECT(H3&amp;"Table"&amp;"["&amp;C12&amp;"]"))),0)</f>
        <v>0</v>
      </c>
      <c r="I12" s="44">
        <f ca="1">IFERROR(INDEX(INDIRECT(I3&amp;"Table"),MATCH(I4,INDIRECT(I3&amp;"Table"&amp;"[Name]"),0),COLUMN(INDIRECT(I3&amp;"Table"&amp;"["&amp;C12&amp;"]"))),0)</f>
        <v>0</v>
      </c>
      <c r="J12" s="32"/>
      <c r="K12" s="57" t="s">
        <v>318</v>
      </c>
      <c r="L12" s="47"/>
      <c r="M12" s="124">
        <v>0</v>
      </c>
      <c r="N12" s="37"/>
      <c r="O12" s="58" t="s">
        <v>19</v>
      </c>
      <c r="P12" s="43"/>
      <c r="Q12" s="61">
        <v>1</v>
      </c>
      <c r="R12" s="37"/>
      <c r="S12" s="58" t="s">
        <v>847</v>
      </c>
      <c r="T12" s="58"/>
      <c r="U12" s="59">
        <v>1</v>
      </c>
      <c r="V12" s="37"/>
      <c r="W12" s="58" t="s">
        <v>1413</v>
      </c>
      <c r="X12" s="58"/>
      <c r="Y12" s="59">
        <v>1</v>
      </c>
      <c r="Z12" s="14"/>
      <c r="AA12" s="14"/>
      <c r="AB12" s="14"/>
      <c r="AC12" s="44"/>
      <c r="AD12" s="44"/>
      <c r="AE12" s="44"/>
      <c r="AF12" s="14"/>
      <c r="AG12" s="14"/>
      <c r="AH12" s="14"/>
      <c r="AI12" s="14"/>
    </row>
    <row r="13" spans="1:35" x14ac:dyDescent="0.3">
      <c r="A13" s="13"/>
      <c r="B13" s="13"/>
      <c r="C13" s="45" t="s">
        <v>17</v>
      </c>
      <c r="D13" s="44">
        <f ca="1">IFERROR(INDEX(INDIRECT(D3&amp;"Table"),MATCH(D2,INDIRECT(D3&amp;"Table"&amp;"[Name]"),0),COLUMN(INDIRECT(D3&amp;"Table"&amp;"["&amp;C13&amp;"]"))),0)</f>
        <v>100</v>
      </c>
      <c r="E13" s="44">
        <f ca="1">IFERROR(INDEX(INDIRECT(E3&amp;"Table"),MATCH(E4,INDIRECT(E3&amp;"Table"&amp;"[Name]"),0),COLUMN(INDIRECT(E3&amp;"Table"&amp;"["&amp;C13&amp;"]"))),0)</f>
        <v>0</v>
      </c>
      <c r="F13" s="44">
        <f ca="1">IFERROR(INDEX(INDIRECT(F3&amp;"Table"),MATCH(F4,INDIRECT(F3&amp;"Table"&amp;"[Name]"),0),COLUMN(INDIRECT(F3&amp;"Table"&amp;"["&amp;C13&amp;"]"))),0)</f>
        <v>0</v>
      </c>
      <c r="G13" s="44">
        <f ca="1">IFERROR(INDEX(INDIRECT(G3&amp;"Table"),MATCH(G4,INDIRECT(G3&amp;"Table"&amp;"[Name]"),0),COLUMN(INDIRECT(G3&amp;"Table"&amp;"["&amp;C13&amp;"]"))),0)</f>
        <v>0</v>
      </c>
      <c r="H13" s="44">
        <f ca="1">IFERROR(INDEX(INDIRECT(H3&amp;"Table"),MATCH(H4,INDIRECT(H3&amp;"Table"&amp;"[Name]"),0),COLUMN(INDIRECT(H3&amp;"Table"&amp;"["&amp;C13&amp;"]"))),0)</f>
        <v>0</v>
      </c>
      <c r="I13" s="44">
        <f ca="1">IFERROR(INDEX(INDIRECT(I3&amp;"Table"),MATCH(I4,INDIRECT(I3&amp;"Table"&amp;"[Name]"),0),COLUMN(INDIRECT(I3&amp;"Table"&amp;"["&amp;C13&amp;"]"))),0)</f>
        <v>0</v>
      </c>
      <c r="J13" s="64"/>
      <c r="K13" s="57" t="s">
        <v>319</v>
      </c>
      <c r="L13" s="47"/>
      <c r="M13" s="124">
        <v>0</v>
      </c>
      <c r="N13" s="37"/>
      <c r="O13" s="58" t="s">
        <v>16</v>
      </c>
      <c r="P13" s="43"/>
      <c r="Q13" s="61">
        <v>8</v>
      </c>
      <c r="R13" s="37"/>
      <c r="S13" s="58" t="s">
        <v>846</v>
      </c>
      <c r="T13" s="58"/>
      <c r="U13" s="59">
        <v>1</v>
      </c>
      <c r="V13" s="37"/>
      <c r="W13" s="58" t="s">
        <v>1414</v>
      </c>
      <c r="X13" s="58"/>
      <c r="Y13" s="59">
        <v>1</v>
      </c>
      <c r="Z13" s="14"/>
      <c r="AA13" s="14"/>
      <c r="AB13" s="14"/>
      <c r="AC13" s="118" t="s">
        <v>315</v>
      </c>
      <c r="AD13" s="63"/>
      <c r="AE13" s="44">
        <f ca="1">IFERROR(INDEX(INDIRECT(E3&amp;"Table"),MATCH(E4,INDIRECT(E3&amp;"Table"&amp;"[Name]"),0),COLUMN(INDIRECT(E3&amp;"Table"&amp;"[CritDamage]"))),0)+IFERROR(INDEX(INDIRECT(F3&amp;"Table"),MATCH(F4,INDIRECT(F3&amp;"Table"&amp;"[Name]"),0),COLUMN(INDIRECT(F3&amp;"Table"&amp;"[CritDamage]"))),0)</f>
        <v>0</v>
      </c>
      <c r="AF13" s="14"/>
      <c r="AG13" s="14"/>
      <c r="AH13" s="14"/>
      <c r="AI13" s="14"/>
    </row>
    <row r="14" spans="1:35" x14ac:dyDescent="0.3">
      <c r="A14" s="13"/>
      <c r="B14" s="13"/>
      <c r="C14" s="45" t="s">
        <v>6</v>
      </c>
      <c r="D14" s="44">
        <f ca="1">IFERROR(INDEX(INDIRECT(D3&amp;"Table"),MATCH(D2,INDIRECT(D3&amp;"Table"&amp;"[Name]"),0),COLUMN(INDIRECT(D3&amp;"Table"&amp;"["&amp;C14&amp;"]"))),0)</f>
        <v>116</v>
      </c>
      <c r="E14" s="44">
        <f ca="1">IFERROR(INDEX(INDIRECT(E3&amp;"Table"),MATCH(E4,INDIRECT(E3&amp;"Table"&amp;"[Name]"),0),COLUMN(INDIRECT(E3&amp;"Table"&amp;"["&amp;C14&amp;"]"))),0)</f>
        <v>0</v>
      </c>
      <c r="F14" s="44">
        <f ca="1">IFERROR(INDEX(INDIRECT(F3&amp;"Table"),MATCH(F4,INDIRECT(F3&amp;"Table"&amp;"[Name]"),0),COLUMN(INDIRECT(F3&amp;"Table"&amp;"["&amp;C14&amp;"]"))),0)</f>
        <v>0</v>
      </c>
      <c r="G14" s="44">
        <f ca="1">IFERROR(INDEX(INDIRECT(G3&amp;"Table"),MATCH(G4,INDIRECT(G3&amp;"Table"&amp;"[Name]"),0),COLUMN(INDIRECT(G3&amp;"Table"&amp;"["&amp;C14&amp;"]"))),0)</f>
        <v>10</v>
      </c>
      <c r="H14" s="44">
        <f ca="1">IFERROR(INDEX(INDIRECT(H3&amp;"Table"),MATCH(H4,INDIRECT(H3&amp;"Table"&amp;"[Name]"),0),COLUMN(INDIRECT(H3&amp;"Table"&amp;"["&amp;C14&amp;"]"))),0)</f>
        <v>0</v>
      </c>
      <c r="I14" s="44">
        <f ca="1">IFERROR(INDEX(INDIRECT(I3&amp;"Table"),MATCH(I4,INDIRECT(I3&amp;"Table"&amp;"[Name]"),0),COLUMN(INDIRECT(I3&amp;"Table"&amp;"["&amp;C14&amp;"]"))),0)</f>
        <v>0</v>
      </c>
      <c r="J14" s="32"/>
      <c r="K14" s="57" t="s">
        <v>60</v>
      </c>
      <c r="L14" s="47"/>
      <c r="M14" s="38">
        <v>0.5</v>
      </c>
      <c r="N14" s="37"/>
      <c r="O14" s="37"/>
      <c r="P14" s="37"/>
      <c r="Q14" s="37"/>
      <c r="R14" s="37"/>
      <c r="S14" s="58" t="s">
        <v>845</v>
      </c>
      <c r="T14" s="58"/>
      <c r="U14" s="59">
        <v>1</v>
      </c>
      <c r="V14" s="37"/>
      <c r="W14" s="58" t="s">
        <v>1415</v>
      </c>
      <c r="X14" s="58"/>
      <c r="Y14" s="59">
        <v>1</v>
      </c>
      <c r="Z14" s="14"/>
      <c r="AA14" s="14"/>
      <c r="AB14" s="14"/>
      <c r="AC14" s="118" t="s">
        <v>313</v>
      </c>
      <c r="AD14" s="63"/>
      <c r="AE14" s="50">
        <f ca="1">IFERROR(INDEX(INDIRECT(E3&amp;"Table"),MATCH(E4,INDIRECT(E3&amp;"Table"&amp;"[Name]"),0),COLUMN(INDIRECT(E3&amp;"Table"&amp;"[Crit%]"))),0)+IFERROR(INDEX(INDIRECT(F3&amp;"Table"),MATCH(F4,INDIRECT(F3&amp;"Table"&amp;"[Name]"),0),COLUMN(INDIRECT(F3&amp;"Table"&amp;"[Crit%]"))),0)</f>
        <v>0</v>
      </c>
      <c r="AF14" s="14"/>
      <c r="AG14" s="14"/>
      <c r="AH14" s="14"/>
      <c r="AI14" s="14"/>
    </row>
    <row r="15" spans="1:35" x14ac:dyDescent="0.3">
      <c r="A15" s="13"/>
      <c r="B15" s="13"/>
      <c r="C15" s="45" t="s">
        <v>21</v>
      </c>
      <c r="D15" s="44">
        <v>0</v>
      </c>
      <c r="E15" s="44">
        <f ca="1">IFERROR(INDEX(INDIRECT(E3&amp;"Table"),MATCH(E4,INDIRECT(E3&amp;"Table"&amp;"[Name]"),0),COLUMN(INDIRECT(E3&amp;"Table"&amp;"["&amp;C15&amp;"]"))),0)</f>
        <v>0</v>
      </c>
      <c r="F15" s="44">
        <f ca="1">IFERROR(INDEX(INDIRECT(F3&amp;"Table"),MATCH(F4,INDIRECT(F3&amp;"Table"&amp;"[Name]"),0),COLUMN(INDIRECT(F3&amp;"Table"&amp;"["&amp;C15&amp;"]"))),0)</f>
        <v>0</v>
      </c>
      <c r="G15" s="44">
        <f ca="1">IFERROR(INDEX(INDIRECT(G3&amp;"Table"),MATCH(G4,INDIRECT(G3&amp;"Table"&amp;"[Name]"),0),COLUMN(INDIRECT(G3&amp;"Table"&amp;"["&amp;C15&amp;"]"))),0)</f>
        <v>96</v>
      </c>
      <c r="H15" s="44">
        <f ca="1">IFERROR(INDEX(INDIRECT(H3&amp;"Table"),MATCH(H4,INDIRECT(H3&amp;"Table"&amp;"[Name]"),0),COLUMN(INDIRECT(H3&amp;"Table"&amp;"["&amp;C15&amp;"]"))),0)</f>
        <v>15</v>
      </c>
      <c r="I15" s="44">
        <f ca="1">IFERROR(INDEX(INDIRECT(I3&amp;"Table"),MATCH(I4,INDIRECT(I3&amp;"Table"&amp;"[Name]"),0),COLUMN(INDIRECT(I3&amp;"Table"&amp;"["&amp;C15&amp;"]"))),0)</f>
        <v>156</v>
      </c>
      <c r="J15" s="32"/>
      <c r="K15" s="57" t="s">
        <v>1453</v>
      </c>
      <c r="L15" s="47"/>
      <c r="M15" s="140">
        <v>0</v>
      </c>
      <c r="N15" s="37"/>
      <c r="O15" s="58" t="s">
        <v>5</v>
      </c>
      <c r="P15" s="43"/>
      <c r="Q15" s="61">
        <v>0</v>
      </c>
      <c r="R15" s="37"/>
      <c r="S15" s="58" t="s">
        <v>844</v>
      </c>
      <c r="T15" s="58"/>
      <c r="U15" s="59">
        <v>1</v>
      </c>
      <c r="V15" s="37"/>
      <c r="W15" s="58" t="s">
        <v>1443</v>
      </c>
      <c r="X15" s="58"/>
      <c r="Y15" s="59">
        <v>0</v>
      </c>
      <c r="Z15" s="14"/>
      <c r="AA15" s="14"/>
      <c r="AB15" s="14"/>
      <c r="AC15" s="116" t="s">
        <v>853</v>
      </c>
      <c r="AD15" s="40"/>
      <c r="AE15" s="52">
        <f ca="1">1+(0.05+((SUM(D14:I14)*U14)/(SUM(D14:I14)*U14+2000+Q17))+((SUM(D13:I13)-Q15)/5000)+AE14)*(M14+AE13)</f>
        <v>1.0646331138287866</v>
      </c>
      <c r="AF15" s="14"/>
      <c r="AG15" s="14"/>
      <c r="AH15" s="14"/>
      <c r="AI15" s="14"/>
    </row>
    <row r="16" spans="1:35" x14ac:dyDescent="0.3">
      <c r="A16" s="13"/>
      <c r="B16" s="13"/>
      <c r="C16" s="45" t="s">
        <v>22</v>
      </c>
      <c r="D16" s="44">
        <v>0</v>
      </c>
      <c r="E16" s="44">
        <f ca="1">IFERROR(INDEX(INDIRECT(E3&amp;"Table"),MATCH(E4,INDIRECT(E3&amp;"Table"&amp;"[Name]"),0),COLUMN(INDIRECT(E3&amp;"Table"&amp;"["&amp;C16&amp;"]"))),0)</f>
        <v>0</v>
      </c>
      <c r="F16" s="44">
        <f ca="1">IFERROR(INDEX(INDIRECT(F3&amp;"Table"),MATCH(F4,INDIRECT(F3&amp;"Table"&amp;"[Name]"),0),COLUMN(INDIRECT(F3&amp;"Table"&amp;"["&amp;C16&amp;"]"))),0)</f>
        <v>0</v>
      </c>
      <c r="G16" s="44">
        <f ca="1">IFERROR(INDEX(INDIRECT(G3&amp;"Table"),MATCH(G4,INDIRECT(G3&amp;"Table"&amp;"[Name]"),0),COLUMN(INDIRECT(G3&amp;"Table"&amp;"["&amp;C16&amp;"]"))),0)</f>
        <v>0</v>
      </c>
      <c r="H16" s="44">
        <f ca="1">IFERROR(INDEX(INDIRECT(H3&amp;"Table"),MATCH(H4,INDIRECT(H3&amp;"Table"&amp;"[Name]"),0),COLUMN(INDIRECT(H3&amp;"Table"&amp;"["&amp;C16&amp;"]"))),0)</f>
        <v>4</v>
      </c>
      <c r="I16" s="44">
        <f ca="1">IFERROR(INDEX(INDIRECT(I3&amp;"Table"),MATCH(I4,INDIRECT(I3&amp;"Table"&amp;"[Name]"),0),COLUMN(INDIRECT(I3&amp;"Table"&amp;"["&amp;C16&amp;"]"))),0)</f>
        <v>5</v>
      </c>
      <c r="J16" s="32"/>
      <c r="K16" s="57" t="s">
        <v>1454</v>
      </c>
      <c r="L16" s="47"/>
      <c r="M16" s="140">
        <v>0</v>
      </c>
      <c r="N16" s="37"/>
      <c r="O16" s="58" t="s">
        <v>57</v>
      </c>
      <c r="P16" s="43"/>
      <c r="Q16" s="61">
        <v>0</v>
      </c>
      <c r="R16" s="37"/>
      <c r="S16" s="58" t="s">
        <v>919</v>
      </c>
      <c r="T16" s="58"/>
      <c r="U16" s="59">
        <v>1</v>
      </c>
      <c r="V16" s="37"/>
      <c r="W16" s="58" t="s">
        <v>1444</v>
      </c>
      <c r="X16" s="58"/>
      <c r="Y16" s="59">
        <v>0</v>
      </c>
      <c r="Z16" s="14"/>
      <c r="AA16" s="14"/>
      <c r="AB16" s="14"/>
      <c r="AC16" s="116" t="s">
        <v>852</v>
      </c>
      <c r="AD16" s="40"/>
      <c r="AE16" s="52">
        <f ca="1">1+IF(AE20&gt;1,1,(M13+0.05+((SUM(D14:I14)*U14)/(SUM(D14:I14)*U14+2000+Q17))+((SUM(D13:I13)-Q15)/5000)+AE14))*(M14+AE13+M16)</f>
        <v>1.0646331138287866</v>
      </c>
      <c r="AF16" s="14"/>
      <c r="AG16" s="14"/>
      <c r="AH16" s="14"/>
      <c r="AI16" s="14"/>
    </row>
    <row r="17" spans="1:35" x14ac:dyDescent="0.3">
      <c r="A17" s="13"/>
      <c r="B17" s="13"/>
      <c r="C17" s="45" t="s">
        <v>266</v>
      </c>
      <c r="D17" s="44">
        <v>0</v>
      </c>
      <c r="E17" s="44">
        <f ca="1">IFERROR(INDEX(INDIRECT(E3&amp;"Table"),MATCH(E4,INDIRECT(E3&amp;"Table"&amp;"[Name]"),0),COLUMN(INDIRECT(E3&amp;"Table"&amp;"["&amp;C17&amp;"]"))),0)</f>
        <v>0</v>
      </c>
      <c r="F17" s="44">
        <f ca="1">IFERROR(INDEX(INDIRECT(F3&amp;"Table"),MATCH(F4,INDIRECT(F3&amp;"Table"&amp;"[Name]"),0),COLUMN(INDIRECT(F3&amp;"Table"&amp;"["&amp;C17&amp;"]"))),0)</f>
        <v>0</v>
      </c>
      <c r="G17" s="44">
        <f ca="1">IFERROR(INDEX(INDIRECT(G3&amp;"Table"),MATCH(G4,INDIRECT(G3&amp;"Table"&amp;"[Name]"),0),COLUMN(INDIRECT(G3&amp;"Table"&amp;"["&amp;C17&amp;"]"))),0)</f>
        <v>0.8</v>
      </c>
      <c r="H17" s="44">
        <f ca="1">IFERROR(INDEX(INDIRECT(H3&amp;"Table"),MATCH(H4,INDIRECT(H3&amp;"Table"&amp;"[Name]"),0),COLUMN(INDIRECT(H3&amp;"Table"&amp;"["&amp;C17&amp;"]"))),0)</f>
        <v>1.53</v>
      </c>
      <c r="I17" s="44">
        <f ca="1">IFERROR(INDEX(INDIRECT(I3&amp;"Table"),MATCH(I4,INDIRECT(I3&amp;"Table"&amp;"[Name]"),0),COLUMN(INDIRECT(I3&amp;"Table"&amp;"["&amp;C17&amp;"]"))),0)</f>
        <v>26.44</v>
      </c>
      <c r="J17" s="32"/>
      <c r="K17" s="37"/>
      <c r="L17" s="37"/>
      <c r="M17" s="37"/>
      <c r="N17" s="37"/>
      <c r="O17" s="58" t="s">
        <v>58</v>
      </c>
      <c r="P17" s="43"/>
      <c r="Q17" s="61">
        <v>0</v>
      </c>
      <c r="R17" s="37"/>
      <c r="S17" s="58" t="s">
        <v>1388</v>
      </c>
      <c r="T17" s="58"/>
      <c r="U17" s="59">
        <v>1</v>
      </c>
      <c r="V17" s="37"/>
      <c r="W17" s="37"/>
      <c r="X17" s="37"/>
      <c r="Y17" s="37"/>
      <c r="Z17" s="14"/>
      <c r="AA17" s="14"/>
      <c r="AB17" s="14"/>
      <c r="AC17" s="116" t="s">
        <v>917</v>
      </c>
      <c r="AD17" s="40"/>
      <c r="AE17" s="52">
        <f ca="1">1+IF(AE19&gt;1,1,(M12+0.05+((SUM(D14:I14)*U14)/(SUM(D14:I14)*U14+2000+Q17))+((SUM(D13:I13)-Q15)/5000)+AE14))*(M14+AE13+M15)</f>
        <v>1.0646331138287866</v>
      </c>
      <c r="AF17" s="14"/>
      <c r="AG17" s="14"/>
      <c r="AH17" s="14"/>
      <c r="AI17" s="14"/>
    </row>
    <row r="18" spans="1:35" x14ac:dyDescent="0.3">
      <c r="A18" s="13"/>
      <c r="B18" s="13"/>
      <c r="C18" s="45" t="s">
        <v>23</v>
      </c>
      <c r="D18" s="44">
        <f ca="1">SUM(D6:I6)</f>
        <v>44</v>
      </c>
      <c r="E18" s="36"/>
      <c r="F18" s="36"/>
      <c r="G18" s="40" t="s">
        <v>20</v>
      </c>
      <c r="H18" s="44">
        <f ca="1">IFERROR(INDEX(INDIRECT(H3&amp;"Table"),MATCH(H4,INDIRECT(H3&amp;"Table"&amp;"[Name]"),0),COLUMN(INDIRECT(H3&amp;"Table"&amp;"["&amp;G18&amp;"]"))),0)</f>
        <v>0.1</v>
      </c>
      <c r="I18" s="44">
        <f ca="1">IFERROR(INDEX(INDIRECT(I3&amp;"Table"),MATCH(I4,INDIRECT(I3&amp;"Table"&amp;"[Name]"),0),COLUMN(INDIRECT(I3&amp;"Table"&amp;"["&amp;G18&amp;"]"))),0)</f>
        <v>0</v>
      </c>
      <c r="J18" s="32"/>
      <c r="K18" s="58" t="s">
        <v>857</v>
      </c>
      <c r="L18" s="58"/>
      <c r="M18" s="59">
        <v>0</v>
      </c>
      <c r="N18" s="37"/>
      <c r="O18" s="37"/>
      <c r="P18" s="37"/>
      <c r="Q18" s="37"/>
      <c r="R18" s="37"/>
      <c r="S18" s="37"/>
      <c r="T18" s="37"/>
      <c r="U18" s="37"/>
      <c r="V18" s="37"/>
      <c r="W18" s="58" t="s">
        <v>1458</v>
      </c>
      <c r="X18" s="58"/>
      <c r="Y18" s="195">
        <v>60</v>
      </c>
      <c r="Z18" s="14"/>
      <c r="AA18" s="14"/>
      <c r="AB18" s="14"/>
      <c r="AC18" s="116" t="s">
        <v>1015</v>
      </c>
      <c r="AD18" s="40"/>
      <c r="AE18" s="52">
        <f ca="1">1+(0.05+((SUM(D14:I14)*U14)/(SUM(D14:I14)*U14+2000+Q17))+((SUM(D13:I13)-Q15)/5000))*(M14)</f>
        <v>1.0646331138287866</v>
      </c>
      <c r="AF18" s="14"/>
      <c r="AG18" s="14"/>
      <c r="AH18" s="14"/>
      <c r="AI18" s="14"/>
    </row>
    <row r="19" spans="1:35" x14ac:dyDescent="0.3">
      <c r="A19" s="13"/>
      <c r="B19" s="13"/>
      <c r="C19" s="45" t="s">
        <v>24</v>
      </c>
      <c r="D19" s="44">
        <f ca="1">SUM(D7:I7)</f>
        <v>169</v>
      </c>
      <c r="E19" s="36"/>
      <c r="F19" s="36"/>
      <c r="G19" s="40" t="s">
        <v>18</v>
      </c>
      <c r="H19" s="44">
        <f>IFERROR(INDEX(BurnT[],MATCH(H3,BurnT[Type],0),COLUMN(BurnT[CD])),0)</f>
        <v>0.26</v>
      </c>
      <c r="I19" s="44">
        <f>IFERROR(INDEX(BurnT[],MATCH(I3,BurnT[Type],0),COLUMN(BurnT[CD])),0)</f>
        <v>0</v>
      </c>
      <c r="J19" s="32"/>
      <c r="K19" s="58" t="s">
        <v>851</v>
      </c>
      <c r="L19" s="58"/>
      <c r="M19" s="59">
        <v>1</v>
      </c>
      <c r="N19" s="37"/>
      <c r="O19" s="58" t="s">
        <v>848</v>
      </c>
      <c r="P19" s="43"/>
      <c r="Q19" s="59">
        <v>1</v>
      </c>
      <c r="R19" s="37"/>
      <c r="S19" s="58" t="s">
        <v>802</v>
      </c>
      <c r="T19" s="62"/>
      <c r="U19" s="59">
        <v>0</v>
      </c>
      <c r="V19" s="37"/>
      <c r="W19" s="58" t="s">
        <v>867</v>
      </c>
      <c r="X19" s="58"/>
      <c r="Y19" s="59">
        <v>0.08</v>
      </c>
      <c r="Z19" s="14"/>
      <c r="AA19" s="14"/>
      <c r="AB19" s="14"/>
      <c r="AC19" s="125" t="s">
        <v>1451</v>
      </c>
      <c r="AD19" s="40"/>
      <c r="AE19" s="52">
        <f ca="1">(M12+0.05+((SUM(D14:I14)*U14)/(SUM(D14:I14)*U14+2000+Q17))+((SUM(D13:I13)-Q15)/5000)+AE14)</f>
        <v>0.1292662276575729</v>
      </c>
      <c r="AF19" s="14"/>
      <c r="AG19" s="14"/>
      <c r="AH19" s="14"/>
      <c r="AI19" s="14"/>
    </row>
    <row r="20" spans="1:35" x14ac:dyDescent="0.3">
      <c r="A20" s="13"/>
      <c r="B20" s="13"/>
      <c r="C20" s="45" t="s">
        <v>801</v>
      </c>
      <c r="D20" s="44">
        <f ca="1">SUM(D8:I8)</f>
        <v>94</v>
      </c>
      <c r="E20" s="36"/>
      <c r="F20" s="36"/>
      <c r="G20" s="36"/>
      <c r="H20" s="36"/>
      <c r="I20" s="36"/>
      <c r="J20" s="32"/>
      <c r="K20" s="58" t="s">
        <v>314</v>
      </c>
      <c r="L20" s="58"/>
      <c r="M20" s="59">
        <v>0</v>
      </c>
      <c r="N20" s="37"/>
      <c r="O20" s="48" t="s">
        <v>739</v>
      </c>
      <c r="P20" s="43"/>
      <c r="Q20" s="44">
        <f ca="1">SQRT(200/(100+SUM(D9:I9)*(Q19)))</f>
        <v>0.9284766908852593</v>
      </c>
      <c r="R20" s="37"/>
      <c r="S20" s="58" t="s">
        <v>803</v>
      </c>
      <c r="T20" s="58"/>
      <c r="U20" s="61">
        <f ca="1">D20*U19</f>
        <v>0</v>
      </c>
      <c r="V20" s="37"/>
      <c r="W20" s="58" t="s">
        <v>865</v>
      </c>
      <c r="X20" s="58"/>
      <c r="Y20" s="59">
        <v>0.2</v>
      </c>
      <c r="Z20" s="14"/>
      <c r="AA20" s="14"/>
      <c r="AB20" s="14"/>
      <c r="AC20" s="125" t="s">
        <v>1452</v>
      </c>
      <c r="AD20" s="40"/>
      <c r="AE20" s="52">
        <f ca="1">(M13+0.05+((SUM(D14:I14)*U14)/(SUM(D14:I14)*U14+2000+Q17))+((SUM(D13:I13)-Q15)/5000)+AE14)</f>
        <v>0.1292662276575729</v>
      </c>
      <c r="AF20" s="14"/>
      <c r="AG20" s="14"/>
      <c r="AH20" s="14"/>
      <c r="AI20" s="14"/>
    </row>
    <row r="21" spans="1:35" x14ac:dyDescent="0.3">
      <c r="A21" s="13"/>
      <c r="B21" s="13"/>
      <c r="C21" s="13"/>
      <c r="D21" s="13"/>
      <c r="E21" s="13"/>
      <c r="F21" s="13"/>
      <c r="G21" s="13"/>
      <c r="H21" s="13"/>
      <c r="I21" s="13"/>
      <c r="J21" s="31"/>
      <c r="K21" s="31"/>
      <c r="L21" s="31"/>
      <c r="M21" s="31"/>
      <c r="N21" s="31"/>
      <c r="O21" s="5"/>
      <c r="P21" s="5"/>
      <c r="Q21" s="5"/>
      <c r="R21" s="5"/>
      <c r="S21" s="5"/>
      <c r="T21" s="5"/>
      <c r="U21" s="5"/>
      <c r="V21" s="5"/>
      <c r="W21" s="5"/>
      <c r="X21" s="5"/>
      <c r="Y21" s="5"/>
      <c r="Z21" s="14"/>
      <c r="AA21" s="14"/>
      <c r="AB21" s="14"/>
      <c r="AC21" s="44"/>
      <c r="AD21" s="44"/>
      <c r="AE21" s="44"/>
      <c r="AF21" s="14"/>
      <c r="AG21" s="14"/>
      <c r="AH21" s="14"/>
      <c r="AI21" s="14"/>
    </row>
    <row r="22" spans="1:35" x14ac:dyDescent="0.3">
      <c r="A22" s="13"/>
      <c r="B22" s="13"/>
      <c r="C22" s="48" t="s">
        <v>1389</v>
      </c>
      <c r="D22" s="48"/>
      <c r="E22" s="48" t="s">
        <v>816</v>
      </c>
      <c r="F22" s="48" t="s">
        <v>819</v>
      </c>
      <c r="G22" s="48" t="s">
        <v>850</v>
      </c>
      <c r="H22" s="48" t="s">
        <v>8</v>
      </c>
      <c r="I22" s="48" t="s">
        <v>10</v>
      </c>
      <c r="J22" s="48" t="s">
        <v>12</v>
      </c>
      <c r="K22" s="48" t="s">
        <v>55</v>
      </c>
      <c r="L22" s="84" t="s">
        <v>27</v>
      </c>
      <c r="M22" s="83" t="s">
        <v>59</v>
      </c>
      <c r="N22" s="48" t="s">
        <v>769</v>
      </c>
      <c r="O22" s="48" t="s">
        <v>849</v>
      </c>
      <c r="P22" s="48" t="s">
        <v>773</v>
      </c>
      <c r="Q22" s="83" t="s">
        <v>844</v>
      </c>
      <c r="R22" s="53"/>
      <c r="S22" s="35"/>
      <c r="T22" s="53"/>
      <c r="U22" s="5"/>
      <c r="V22" s="5"/>
      <c r="W22" s="5"/>
      <c r="X22" s="5"/>
      <c r="Y22" s="5"/>
      <c r="Z22" s="14"/>
      <c r="AA22" s="14"/>
      <c r="AB22" s="14"/>
      <c r="AC22" s="44"/>
      <c r="AD22" s="44"/>
      <c r="AE22" s="44"/>
      <c r="AF22" s="14"/>
      <c r="AG22" s="14"/>
      <c r="AH22" s="14"/>
      <c r="AI22" s="14"/>
    </row>
    <row r="23" spans="1:35" x14ac:dyDescent="0.3">
      <c r="A23" s="13"/>
      <c r="B23" s="13"/>
      <c r="C23" s="44" t="str">
        <f ca="1">IFERROR(INDEX(INDIRECT(D3&amp;"Table"),MATCH(D2,INDIRECT(D3&amp;"Table"&amp;"[Name]"),0),COLUMN(INDIRECT(D3&amp;"Table"&amp;"[Barg1]"))),0)</f>
        <v>N/A</v>
      </c>
      <c r="D23" s="44"/>
      <c r="E23" s="44">
        <f ca="1">IFERROR(INDEX(Barrage[],MATCH(C23,Barrage[Name],0),COLUMN(Barrage[Total Damage])),0)</f>
        <v>0</v>
      </c>
      <c r="F23" s="44">
        <f ca="1">IFERROR(INDEX(Barrage[],MATCH(C23,Barrage[Name],0),COLUMN(Barrage[Base Damage])),0)</f>
        <v>0</v>
      </c>
      <c r="G23" s="44">
        <f ca="1">IFERROR(INDEX(Barrage[],MATCH(C23,Barrage[Name],0),COLUMN(Barrage[Total Rounds])),0)</f>
        <v>0</v>
      </c>
      <c r="H23" s="44">
        <f ca="1">IFERROR(INDEX(Barrage[],MATCH(C23,Barrage[Name],0),COLUMN(Barrage[Light Armor])),0)</f>
        <v>0</v>
      </c>
      <c r="I23" s="44">
        <f ca="1">IFERROR(INDEX(Barrage[],MATCH(C23,Barrage[Name],0),COLUMN(Barrage[Medium Armor])),0)</f>
        <v>0</v>
      </c>
      <c r="J23" s="44">
        <f ca="1">IFERROR(INDEX(Barrage[],MATCH(C23,Barrage[Name],0),COLUMN(Barrage[Heavy Armor])),0)</f>
        <v>0</v>
      </c>
      <c r="K23" s="44">
        <f ca="1">IFERROR(INDEX(Barrage[],MATCH(C23,Barrage[Name],0),COLUMN(Barrage[Burn %])),0)</f>
        <v>0</v>
      </c>
      <c r="L23" s="59">
        <v>1</v>
      </c>
      <c r="M23" s="61">
        <v>0</v>
      </c>
      <c r="N23" s="44">
        <f ca="1">IFERROR(INDEX(Barrage[],MATCH(C23,Barrage[Name],0),COLUMN(Barrage[Type2])),0)</f>
        <v>0</v>
      </c>
      <c r="O23" s="44">
        <f ca="1">IFERROR(INDEX(Barrage[],MATCH(C23,Barrage[Name],0),COLUMN(Barrage[Stat Mod])),0)</f>
        <v>0</v>
      </c>
      <c r="P23" s="50">
        <f ca="1">IFERROR(INDEX(Barrage[],MATCH(C23,Barrage[Name],0),COLUMN(Barrage[Crit %])),0)</f>
        <v>0</v>
      </c>
      <c r="Q23" s="60">
        <v>1</v>
      </c>
      <c r="R23" s="53"/>
      <c r="S23" s="35"/>
      <c r="T23" s="53"/>
      <c r="U23" s="5"/>
      <c r="V23" s="5"/>
      <c r="W23" s="5"/>
      <c r="X23" s="5"/>
      <c r="Y23" s="5"/>
      <c r="Z23" s="14"/>
      <c r="AA23" s="14"/>
      <c r="AB23" s="14"/>
      <c r="AC23" s="116" t="s">
        <v>31</v>
      </c>
      <c r="AD23" s="117"/>
      <c r="AE23" s="51">
        <f ca="1">SUM(D5:I5)</f>
        <v>745</v>
      </c>
      <c r="AF23" s="14"/>
      <c r="AG23" s="14"/>
      <c r="AH23" s="14"/>
      <c r="AI23" s="14"/>
    </row>
    <row r="24" spans="1:35" x14ac:dyDescent="0.3">
      <c r="A24" s="13"/>
      <c r="B24" s="13"/>
      <c r="C24" s="44" t="str">
        <f ca="1">IFERROR(INDEX(INDIRECT(D3&amp;"Table"),MATCH(D2,INDIRECT(D3&amp;"Table"&amp;"[Name]"),0),COLUMN(INDIRECT(D3&amp;"Table"&amp;"[Barg2]"))),0)</f>
        <v>N/A</v>
      </c>
      <c r="D24" s="44"/>
      <c r="E24" s="44">
        <f ca="1">IFERROR(INDEX(Barrage[],MATCH(C24,Barrage[Name],0),COLUMN(Barrage[Total Damage])),0)</f>
        <v>0</v>
      </c>
      <c r="F24" s="44">
        <f ca="1">IFERROR(INDEX(Barrage[],MATCH(C24,Barrage[Name],0),COLUMN(Barrage[Base Damage])),0)</f>
        <v>0</v>
      </c>
      <c r="G24" s="44">
        <f ca="1">IFERROR(INDEX(Barrage[],MATCH(C24,Barrage[Name],0),COLUMN(Barrage[Total Rounds])),0)</f>
        <v>0</v>
      </c>
      <c r="H24" s="44">
        <f ca="1">IFERROR(INDEX(Barrage[],MATCH(C24,Barrage[Name],0),COLUMN(Barrage[Light Armor])),0)</f>
        <v>0</v>
      </c>
      <c r="I24" s="44">
        <f ca="1">IFERROR(INDEX(Barrage[],MATCH(C24,Barrage[Name],0),COLUMN(Barrage[Medium Armor])),0)</f>
        <v>0</v>
      </c>
      <c r="J24" s="44">
        <f ca="1">IFERROR(INDEX(Barrage[],MATCH(C24,Barrage[Name],0),COLUMN(Barrage[Heavy Armor])),0)</f>
        <v>0</v>
      </c>
      <c r="K24" s="44">
        <f ca="1">IFERROR(INDEX(Barrage[],MATCH(C24,Barrage[Name],0),COLUMN(Barrage[Burn %])),0)</f>
        <v>0</v>
      </c>
      <c r="L24" s="59">
        <v>1</v>
      </c>
      <c r="M24" s="61">
        <v>0</v>
      </c>
      <c r="N24" s="44">
        <f ca="1">IFERROR(INDEX(Barrage[],MATCH(C24,Barrage[Name],0),COLUMN(Barrage[Type2])),0)</f>
        <v>0</v>
      </c>
      <c r="O24" s="44">
        <f ca="1">IFERROR(INDEX(Barrage[],MATCH(C24,Barrage[Name],0),COLUMN(Barrage[Stat Mod])),0)</f>
        <v>0</v>
      </c>
      <c r="P24" s="50">
        <f ca="1">IFERROR(INDEX(Barrage[],MATCH(C24,Barrage[Name],0),COLUMN(Barrage[Crit %])),0)</f>
        <v>0</v>
      </c>
      <c r="Q24" s="60">
        <v>1</v>
      </c>
      <c r="R24" s="53"/>
      <c r="S24" s="35"/>
      <c r="T24" s="53"/>
      <c r="U24" s="5"/>
      <c r="V24" s="5"/>
      <c r="W24" s="5"/>
      <c r="X24" s="5"/>
      <c r="Y24" s="5"/>
      <c r="Z24" s="14"/>
      <c r="AA24" s="14"/>
      <c r="AB24" s="14"/>
      <c r="AC24" s="116" t="s">
        <v>33</v>
      </c>
      <c r="AD24" s="117"/>
      <c r="AE24" s="54">
        <f ca="1">AE23/(AE28*(1-M20))</f>
        <v>7450</v>
      </c>
      <c r="AF24" s="14"/>
      <c r="AG24" s="14"/>
      <c r="AH24" s="14"/>
      <c r="AI24" s="14"/>
    </row>
    <row r="25" spans="1:35" x14ac:dyDescent="0.3">
      <c r="A25" s="13"/>
      <c r="B25" s="13"/>
      <c r="C25" s="44" t="str">
        <f ca="1">IFERROR(INDEX(INDIRECT(D3&amp;"Table"),MATCH(D2,INDIRECT(D3&amp;"Table"&amp;"[Name]"),0),COLUMN(INDIRECT(D3&amp;"Table"&amp;"[Barg3]"))),0)</f>
        <v>N/A</v>
      </c>
      <c r="D25" s="44"/>
      <c r="E25" s="44">
        <f ca="1">IFERROR(INDEX(Barrage[],MATCH(C25,Barrage[Name],0),COLUMN(Barrage[Total Damage])),0)</f>
        <v>0</v>
      </c>
      <c r="F25" s="44">
        <f ca="1">IFERROR(INDEX(Barrage[],MATCH(C25,Barrage[Name],0),COLUMN(Barrage[Base Damage])),0)</f>
        <v>0</v>
      </c>
      <c r="G25" s="44">
        <f ca="1">IFERROR(INDEX(Barrage[],MATCH(C25,Barrage[Name],0),COLUMN(Barrage[Total Rounds])),0)</f>
        <v>0</v>
      </c>
      <c r="H25" s="44">
        <f ca="1">IFERROR(INDEX(Barrage[],MATCH(C25,Barrage[Name],0),COLUMN(Barrage[Light Armor])),0)</f>
        <v>0</v>
      </c>
      <c r="I25" s="44">
        <f ca="1">IFERROR(INDEX(Barrage[],MATCH(C25,Barrage[Name],0),COLUMN(Barrage[Medium Armor])),0)</f>
        <v>0</v>
      </c>
      <c r="J25" s="44">
        <f ca="1">IFERROR(INDEX(Barrage[],MATCH(C25,Barrage[Name],0),COLUMN(Barrage[Heavy Armor])),0)</f>
        <v>0</v>
      </c>
      <c r="K25" s="44">
        <f ca="1">IFERROR(INDEX(Barrage[],MATCH(C25,Barrage[Name],0),COLUMN(Barrage[Burn %])),0)</f>
        <v>0</v>
      </c>
      <c r="L25" s="59">
        <v>1</v>
      </c>
      <c r="M25" s="61">
        <v>0</v>
      </c>
      <c r="N25" s="44">
        <f ca="1">IFERROR(INDEX(Barrage[],MATCH(C25,Barrage[Name],0),COLUMN(Barrage[Type2])),0)</f>
        <v>0</v>
      </c>
      <c r="O25" s="44">
        <f ca="1">IFERROR(INDEX(Barrage[],MATCH(C25,Barrage[Name],0),COLUMN(Barrage[Stat Mod])),0)</f>
        <v>0</v>
      </c>
      <c r="P25" s="50">
        <f ca="1">IFERROR(INDEX(Barrage[],MATCH(C25,Barrage[Name],0),COLUMN(Barrage[Crit %])),0)</f>
        <v>0</v>
      </c>
      <c r="Q25" s="60">
        <v>1</v>
      </c>
      <c r="R25" s="53"/>
      <c r="S25" s="35"/>
      <c r="T25" s="53"/>
      <c r="U25" s="5"/>
      <c r="V25" s="5"/>
      <c r="W25" s="5"/>
      <c r="X25" s="5"/>
      <c r="Y25" s="5"/>
      <c r="Z25" s="14"/>
      <c r="AA25" s="14"/>
      <c r="AB25" s="14"/>
      <c r="AC25" s="116" t="s">
        <v>36</v>
      </c>
      <c r="AD25" s="117"/>
      <c r="AE25" s="52">
        <f ca="1">0.1+((SUM(D14:I14)*U14)/((SUM(D14:I14)*U14)+2+Q17))+((SUM(D13:I13)-Q15)/1000)</f>
        <v>1.1843750000000002</v>
      </c>
      <c r="AF25" s="14"/>
      <c r="AG25" s="14"/>
      <c r="AH25" s="14"/>
      <c r="AI25" s="14"/>
    </row>
    <row r="26" spans="1:35" x14ac:dyDescent="0.3">
      <c r="A26" s="13"/>
      <c r="B26" s="13"/>
      <c r="C26" s="44" t="str">
        <f ca="1">IFERROR(INDEX(INDIRECT(D3&amp;"Table"),MATCH(D2,INDIRECT(D3&amp;"Table"&amp;"[Name]"),0),COLUMN(INDIRECT(D3&amp;"Table"&amp;"[Barg4]"))),0)</f>
        <v>N/A</v>
      </c>
      <c r="D26" s="44"/>
      <c r="E26" s="44">
        <f ca="1">IFERROR(INDEX(Barrage[],MATCH(C26,Barrage[Name],0),COLUMN(Barrage[Total Damage])),0)</f>
        <v>0</v>
      </c>
      <c r="F26" s="44">
        <f ca="1">IFERROR(INDEX(Barrage[],MATCH(C26,Barrage[Name],0),COLUMN(Barrage[Base Damage])),0)</f>
        <v>0</v>
      </c>
      <c r="G26" s="44">
        <f ca="1">IFERROR(INDEX(Barrage[],MATCH(C26,Barrage[Name],0),COLUMN(Barrage[Total Rounds])),0)</f>
        <v>0</v>
      </c>
      <c r="H26" s="44">
        <f ca="1">IFERROR(INDEX(Barrage[],MATCH(C26,Barrage[Name],0),COLUMN(Barrage[Light Armor])),0)</f>
        <v>0</v>
      </c>
      <c r="I26" s="44">
        <f ca="1">IFERROR(INDEX(Barrage[],MATCH(C26,Barrage[Name],0),COLUMN(Barrage[Medium Armor])),0)</f>
        <v>0</v>
      </c>
      <c r="J26" s="44">
        <f ca="1">IFERROR(INDEX(Barrage[],MATCH(C26,Barrage[Name],0),COLUMN(Barrage[Heavy Armor])),0)</f>
        <v>0</v>
      </c>
      <c r="K26" s="44">
        <f ca="1">IFERROR(INDEX(Barrage[],MATCH(C26,Barrage[Name],0),COLUMN(Barrage[Burn %])),0)</f>
        <v>0</v>
      </c>
      <c r="L26" s="59">
        <v>1</v>
      </c>
      <c r="M26" s="61">
        <v>0</v>
      </c>
      <c r="N26" s="44">
        <f ca="1">IFERROR(INDEX(Barrage[],MATCH(C26,Barrage[Name],0),COLUMN(Barrage[Type2])),0)</f>
        <v>0</v>
      </c>
      <c r="O26" s="44">
        <f ca="1">IFERROR(INDEX(Barrage[],MATCH(C26,Barrage[Name],0),COLUMN(Barrage[Stat Mod])),0)</f>
        <v>0</v>
      </c>
      <c r="P26" s="50">
        <f ca="1">IFERROR(INDEX(Barrage[],MATCH(C26,Barrage[Name],0),COLUMN(Barrage[Crit %])),0)</f>
        <v>0</v>
      </c>
      <c r="Q26" s="60">
        <v>1</v>
      </c>
      <c r="R26" s="53"/>
      <c r="S26" s="35"/>
      <c r="T26" s="53"/>
      <c r="U26" s="5"/>
      <c r="V26" s="5"/>
      <c r="W26" s="5"/>
      <c r="X26" s="5"/>
      <c r="Y26" s="5"/>
      <c r="Z26" s="14"/>
      <c r="AA26" s="14"/>
      <c r="AB26" s="14"/>
      <c r="AC26" s="116" t="s">
        <v>51</v>
      </c>
      <c r="AD26" s="117"/>
      <c r="AE26" s="52">
        <f ca="1">IF(AE25&lt;=0.1, 0.1, IF(AE25&gt;=0.9, 0.9, AE25))</f>
        <v>0.9</v>
      </c>
      <c r="AF26" s="14"/>
      <c r="AG26" s="14"/>
      <c r="AH26" s="14"/>
      <c r="AI26" s="14"/>
    </row>
    <row r="27" spans="1:35" x14ac:dyDescent="0.3">
      <c r="A27" s="13"/>
      <c r="B27" s="13"/>
      <c r="C27" s="35"/>
      <c r="D27" s="35"/>
      <c r="E27" s="35"/>
      <c r="F27" s="35"/>
      <c r="G27" s="35"/>
      <c r="H27" s="35"/>
      <c r="I27" s="35"/>
      <c r="J27" s="35"/>
      <c r="K27" s="35"/>
      <c r="L27" s="35"/>
      <c r="M27" s="35"/>
      <c r="N27" s="35"/>
      <c r="O27" s="35"/>
      <c r="P27" s="53"/>
      <c r="Q27" s="35"/>
      <c r="R27" s="53"/>
      <c r="S27" s="35"/>
      <c r="T27" s="53"/>
      <c r="U27" s="5"/>
      <c r="V27" s="5"/>
      <c r="W27" s="5"/>
      <c r="X27" s="5"/>
      <c r="Y27" s="5"/>
      <c r="Z27" s="14"/>
      <c r="AA27" s="14"/>
      <c r="AB27" s="14"/>
      <c r="AC27" s="116" t="s">
        <v>37</v>
      </c>
      <c r="AD27" s="117"/>
      <c r="AE27" s="68">
        <f ca="1">0.1+(Q16/(Q16+2+M19*SUM(D12:I12)))+((Q15-SUM(D13:I13))/1000)-M18</f>
        <v>0</v>
      </c>
      <c r="AF27" s="14"/>
      <c r="AG27" s="14"/>
      <c r="AH27" s="14"/>
      <c r="AI27" s="14"/>
    </row>
    <row r="28" spans="1:35" x14ac:dyDescent="0.3">
      <c r="A28" s="13"/>
      <c r="B28" s="13"/>
      <c r="C28" s="53" t="s">
        <v>62</v>
      </c>
      <c r="D28" s="53"/>
      <c r="E28" s="35"/>
      <c r="F28" s="53" t="s">
        <v>61</v>
      </c>
      <c r="G28" s="35"/>
      <c r="H28" s="70" t="s">
        <v>775</v>
      </c>
      <c r="I28" s="35"/>
      <c r="J28" s="35"/>
      <c r="K28" s="70" t="s">
        <v>1117</v>
      </c>
      <c r="L28" s="35"/>
      <c r="M28" s="53" t="s">
        <v>823</v>
      </c>
      <c r="N28" s="53" t="s">
        <v>824</v>
      </c>
      <c r="O28" s="35"/>
      <c r="P28" s="53" t="s">
        <v>821</v>
      </c>
      <c r="Q28" s="35"/>
      <c r="R28" s="53" t="s">
        <v>822</v>
      </c>
      <c r="S28" s="35"/>
      <c r="T28" s="53" t="s">
        <v>832</v>
      </c>
      <c r="U28" s="66"/>
      <c r="V28" s="66"/>
      <c r="W28" s="66"/>
      <c r="X28" s="66"/>
      <c r="Y28" s="66"/>
      <c r="Z28" s="14"/>
      <c r="AA28" s="14"/>
      <c r="AB28" s="14"/>
      <c r="AC28" s="116" t="s">
        <v>50</v>
      </c>
      <c r="AD28" s="117"/>
      <c r="AE28" s="52">
        <f ca="1">IF(AE27&lt;=0.1, 0.1, IF(AE27&gt;=0.9, 0.9, AE27))</f>
        <v>0.1</v>
      </c>
      <c r="AF28" s="14"/>
      <c r="AG28" s="14"/>
      <c r="AH28" s="14"/>
      <c r="AI28" s="14"/>
    </row>
    <row r="29" spans="1:35" x14ac:dyDescent="0.3">
      <c r="A29" s="13"/>
      <c r="B29" s="13"/>
      <c r="C29" s="53" t="s">
        <v>8</v>
      </c>
      <c r="D29" s="71">
        <f ca="1">((100+U20+D18*U12)/100)*(D10+Y15)*H10*H15*H16*AD5*(AE17)*Q12*U15*U17*Y12*Y13</f>
        <v>121.41927736594545</v>
      </c>
      <c r="E29" s="67"/>
      <c r="F29" s="71">
        <f ca="1">((100+IF(I3="TORP",0,U20)+IF(I3="TORP",D19*U13,D18*U12))/100)*(D11+Y16)*I10*I15*I16*AE5*IF(I3="TORP",AE16,AE17)*IF(D4="BB",0,1)*U16*U17*Y14*Y12</f>
        <v>1787.0505595484478</v>
      </c>
      <c r="G29" s="67"/>
      <c r="H29" s="71">
        <f ca="1">D29*AE26</f>
        <v>109.27734962935091</v>
      </c>
      <c r="I29" s="67"/>
      <c r="J29" s="35"/>
      <c r="K29" s="71">
        <f ca="1">F29*AE26</f>
        <v>1608.3455035936031</v>
      </c>
      <c r="L29" s="35"/>
      <c r="M29" s="53" t="s">
        <v>8</v>
      </c>
      <c r="N29" s="71">
        <f ca="1">IFERROR((E23*H23*((100+IF(N23="FP",U20,0)+IF(N23="FP",D18*U12,D19*U13)*O23)/100))*IF(P23=0,IF(N23="TP",AE18,AE18),P23*IF(N23="FP",M14+1,M14+1)),0)*Q23*L23*U17</f>
        <v>0</v>
      </c>
      <c r="O29" s="35"/>
      <c r="P29" s="71">
        <f ca="1">IFERROR((E24*H24*((100+IF(N24="FP",D18*U12,D19*U13)*O24)/100))*IF(P24=0,IF(N24="TP",$AE$18,$AE$18),P24*IF(N24="FP",$M$14+1,$M$14+1))*L24,0)*Q24*U17</f>
        <v>0</v>
      </c>
      <c r="Q29" s="35"/>
      <c r="R29" s="71">
        <f ca="1">IFERROR((E25*H25*((100+IF(N25="FP",U20,0)+IF(N25="FP",D18*U12,D19*U13)*O25)/100))*IF(P25=0,IF(N25="TP",AE18,AE18),P25*IF(N25="FP",M14+1,M14+1)),0)*Q25*L25*U17</f>
        <v>0</v>
      </c>
      <c r="S29" s="35"/>
      <c r="T29" s="71">
        <f ca="1">IFERROR((E26*H26*((100+IF(N26="FP",D18*U12,D19*U13)*O26))/100)*IF(P26=0,IF(N26="TP",AE18,AE18),P26*IF(N26="FP",M14+1,M14+1)),0)*Q26*L26*U17</f>
        <v>0</v>
      </c>
      <c r="U29" s="66"/>
      <c r="V29" s="66"/>
      <c r="W29" s="66"/>
      <c r="X29" s="66"/>
      <c r="Y29" s="66"/>
      <c r="Z29" s="14"/>
      <c r="AA29" s="14"/>
      <c r="AB29" s="14"/>
      <c r="AC29" s="44"/>
      <c r="AD29" s="44"/>
      <c r="AE29" s="44"/>
      <c r="AF29" s="14"/>
      <c r="AG29" s="14"/>
      <c r="AH29" s="14"/>
      <c r="AI29" s="14"/>
    </row>
    <row r="30" spans="1:35" x14ac:dyDescent="0.3">
      <c r="A30" s="13"/>
      <c r="B30" s="13"/>
      <c r="C30" s="53" t="s">
        <v>10</v>
      </c>
      <c r="D30" s="71">
        <f ca="1">((100+U20+D18*U12)/100)*(D10+Y15)*H10*H15*H16*AD6*(AE17)*Q12*U15*U17*Y12*Y13</f>
        <v>60.709638682972724</v>
      </c>
      <c r="E30" s="67"/>
      <c r="F30" s="71">
        <f ca="1">((100+IF(I3="TORP",0,U20)+IF(I3="TORP",D19*U13,D18*U12))/100)*(D11+Y16)*I10*I15*I16*AE6*IF(I3="TORP",AE16,AE17)*IF(D4="BB",0,1)*U16*U17*Y14*Y12</f>
        <v>2233.8131994355599</v>
      </c>
      <c r="G30" s="67"/>
      <c r="H30" s="71">
        <f ca="1">D30*AE26</f>
        <v>54.638674814675454</v>
      </c>
      <c r="I30" s="67"/>
      <c r="J30" s="35"/>
      <c r="K30" s="71">
        <f ca="1">F30*AE27</f>
        <v>0</v>
      </c>
      <c r="L30" s="35"/>
      <c r="M30" s="53" t="s">
        <v>10</v>
      </c>
      <c r="N30" s="71">
        <f ca="1">IFERROR((E23*I23*((100+IF(N23="FP",U20,0)+IF(N23="FP",D18*U12,D19*U13)*O23)/100))*IF(P23=0,IF(N23="TP",AE18,AE18),P23*IF(N23="FP",M14+1,M14+1)),0)*Q23*L23*U17</f>
        <v>0</v>
      </c>
      <c r="O30" s="35"/>
      <c r="P30" s="71">
        <f ca="1">IFERROR((E24*I24*((100+IF(N24="FP",D18*U12,D19*U13)*O24)/100))*IF(P24=0,IF(N24="TP",$AE$18,$AE$18),P24*IF(N24="FP",$M$14+1,$M$14+1))*L24,0)*Q24*U17</f>
        <v>0</v>
      </c>
      <c r="Q30" s="35"/>
      <c r="R30" s="71">
        <f ca="1">IFERROR((E25*I25*((100+IF(N25="FP",U20,0)+IF(N25="FP",D18*U12,D19*U13)*O25)/100))*IF(P25=0,IF(N25="TP",AE18,AE18),P25*IF(N25="FP",M14+1,M14+1)),0)*Q25*L25*U17</f>
        <v>0</v>
      </c>
      <c r="S30" s="35"/>
      <c r="T30" s="71">
        <f ca="1">IFERROR((E26*I26*((100+IF(N26="FP",D18*U12,D19*U13)*O26))/100)*IF(P26=0,IF(N26="TP",AE18,AE18),P26*IF(N26="FP",M14+1,M14+1)),0)*Q26*L26*U17</f>
        <v>0</v>
      </c>
      <c r="U30" s="66"/>
      <c r="V30" s="66"/>
      <c r="W30" s="66"/>
      <c r="X30" s="66"/>
      <c r="Y30" s="66"/>
      <c r="Z30" s="14"/>
      <c r="AA30" s="14"/>
      <c r="AB30" s="14"/>
      <c r="AC30" s="116" t="s">
        <v>768</v>
      </c>
      <c r="AD30" s="117"/>
      <c r="AE30" s="71">
        <f ca="1">(H17*Q20+H18+H19)*Q13</f>
        <v>14.244554696435575</v>
      </c>
      <c r="AF30" s="14"/>
      <c r="AG30" s="14"/>
      <c r="AH30" s="14"/>
      <c r="AI30" s="14"/>
    </row>
    <row r="31" spans="1:35" x14ac:dyDescent="0.3">
      <c r="A31" s="13"/>
      <c r="B31" s="13"/>
      <c r="C31" s="53" t="s">
        <v>12</v>
      </c>
      <c r="D31" s="71">
        <f ca="1">((100+U20+D18*U12)/100)*(D10+Y15)*H10*H15*H16*AD7*(AE17)*Q12*U15*AE11*U17*Y12*Y13</f>
        <v>60.709638682972724</v>
      </c>
      <c r="E31" s="67"/>
      <c r="F31" s="71">
        <f ca="1">((100+IF(I3="TORP",0,U20)+IF(I3="TORP",D19*U13,D18*U12))/100)*(D11+Y16)*I10*I15*I16*AE7*IF(I3="TORP",AE16,AE17)*IF(D4="BB",0,1)*U16*U17*Y14*Y12</f>
        <v>2903.9571592662278</v>
      </c>
      <c r="G31" s="67"/>
      <c r="H31" s="71">
        <f ca="1">D31*AE26</f>
        <v>54.638674814675454</v>
      </c>
      <c r="I31" s="67"/>
      <c r="J31" s="35"/>
      <c r="K31" s="71">
        <f ca="1">F31*AE28</f>
        <v>290.39571592662281</v>
      </c>
      <c r="L31" s="35"/>
      <c r="M31" s="53" t="s">
        <v>12</v>
      </c>
      <c r="N31" s="71">
        <f ca="1">IFERROR((E23*J23*((100+IF(N23="FP",U20,0)+IF(N23="FP",D18*U12,D19*U13)*O23)/100))*IF(P23=0,IF(N23="TP",AE18,AE18),P23*IF(N23="FP",M14+1,M14+1)),0)*Q23*L23*U17</f>
        <v>0</v>
      </c>
      <c r="O31" s="35"/>
      <c r="P31" s="71">
        <f ca="1">IFERROR((E24*J24*((100+IF(N24="FP",D18*U12,D19*U13)*O24)/100))*IF(P24=0,IF(N24="TP",$AE$18,$AE$18),P24*IF(N24="FP",$M$14+1,$M$14+1))*L24,0)*Q24*U17</f>
        <v>0</v>
      </c>
      <c r="Q31" s="35"/>
      <c r="R31" s="71">
        <f ca="1">IFERROR((E25*J25*((100+IF(N25="FP",U20,0)+IF(N25="FP",D18*U12,D19*U13)*O25)/100))*IF(P25=0,IF(N25="TP",AE18,AE18),P25*IF(N25="FP",M14+1,M14+1)),0)*Q25*L25*U17</f>
        <v>0</v>
      </c>
      <c r="S31" s="35"/>
      <c r="T31" s="71">
        <f ca="1">IFERROR((E26*J26*((100+IF(N26="FP",D18*U12,D19*U13)*O26))/100)*IF(P26=0,IF(N26="TP",AE18,AE18),P26*IF(N26="FP",M14+1,M14+1)),0)*Q26*L26*U17</f>
        <v>0</v>
      </c>
      <c r="U31" s="66"/>
      <c r="V31" s="66"/>
      <c r="W31" s="66"/>
      <c r="X31" s="66"/>
      <c r="Y31" s="66"/>
      <c r="Z31" s="14"/>
      <c r="AA31" s="14"/>
      <c r="AB31" s="14"/>
      <c r="AC31" s="5"/>
      <c r="AD31" s="14"/>
      <c r="AE31" s="5"/>
      <c r="AF31" s="14"/>
      <c r="AG31" s="14"/>
      <c r="AH31" s="14"/>
      <c r="AI31" s="14"/>
    </row>
    <row r="32" spans="1:35" x14ac:dyDescent="0.3">
      <c r="A32" s="13"/>
      <c r="B32" s="13"/>
      <c r="C32" s="53" t="s">
        <v>817</v>
      </c>
      <c r="D32" s="71">
        <f ca="1">(((100+U20+D18)/100)*D10*H10*H15*AE8+5)*5*(1-(1-AE9)^(H16*Q12))</f>
        <v>3.7938161572000055</v>
      </c>
      <c r="E32" s="67"/>
      <c r="F32" s="71" t="s">
        <v>756</v>
      </c>
      <c r="G32" s="67"/>
      <c r="H32" s="67"/>
      <c r="I32" s="67"/>
      <c r="J32" s="35"/>
      <c r="K32" s="35"/>
      <c r="L32" s="35"/>
      <c r="M32" s="35"/>
      <c r="N32" s="35"/>
      <c r="O32" s="35"/>
      <c r="P32" s="35"/>
      <c r="Q32" s="35"/>
      <c r="R32" s="35"/>
      <c r="S32" s="35"/>
      <c r="T32" s="35"/>
      <c r="U32" s="66"/>
      <c r="V32" s="66"/>
      <c r="W32" s="66"/>
      <c r="X32" s="66"/>
      <c r="Y32" s="66"/>
      <c r="Z32" s="14"/>
      <c r="AA32" s="14"/>
      <c r="AB32" s="14"/>
      <c r="AC32" s="5"/>
      <c r="AD32" s="14"/>
      <c r="AE32" s="5"/>
      <c r="AF32" s="14"/>
      <c r="AG32" s="14"/>
      <c r="AH32" s="14"/>
      <c r="AI32" s="14"/>
    </row>
    <row r="33" spans="1:35" x14ac:dyDescent="0.3">
      <c r="A33" s="13"/>
      <c r="B33" s="13"/>
      <c r="C33" s="35"/>
      <c r="D33" s="67"/>
      <c r="E33" s="67"/>
      <c r="F33" s="67"/>
      <c r="G33" s="67"/>
      <c r="H33" s="67"/>
      <c r="I33" s="67"/>
      <c r="J33" s="35"/>
      <c r="K33" s="35"/>
      <c r="L33" s="35"/>
      <c r="M33" s="35"/>
      <c r="N33" s="35"/>
      <c r="O33" s="35"/>
      <c r="P33" s="35"/>
      <c r="Q33" s="35"/>
      <c r="R33" s="35"/>
      <c r="S33" s="35"/>
      <c r="T33" s="35"/>
      <c r="U33" s="66"/>
      <c r="V33" s="66"/>
      <c r="W33" s="66"/>
      <c r="X33" s="66"/>
      <c r="Y33" s="66"/>
      <c r="Z33" s="14"/>
      <c r="AA33" s="14"/>
      <c r="AB33" s="14"/>
      <c r="AC33" s="5"/>
      <c r="AD33" s="14"/>
      <c r="AE33" s="5"/>
      <c r="AF33" s="14"/>
      <c r="AG33" s="14"/>
      <c r="AH33" s="14"/>
      <c r="AI33" s="14"/>
    </row>
    <row r="34" spans="1:35" x14ac:dyDescent="0.3">
      <c r="A34" s="13"/>
      <c r="B34" s="13"/>
      <c r="C34" s="53"/>
      <c r="D34" s="72" t="s">
        <v>63</v>
      </c>
      <c r="E34" s="67"/>
      <c r="F34" s="72" t="s">
        <v>64</v>
      </c>
      <c r="G34" s="67"/>
      <c r="H34" s="67"/>
      <c r="I34" s="72" t="s">
        <v>35</v>
      </c>
      <c r="J34" s="35"/>
      <c r="K34" s="53" t="s">
        <v>35</v>
      </c>
      <c r="L34" s="53"/>
      <c r="M34" s="53" t="s">
        <v>35</v>
      </c>
      <c r="N34" s="70"/>
      <c r="O34" s="53" t="s">
        <v>35</v>
      </c>
      <c r="P34" s="35"/>
      <c r="Q34" s="35"/>
      <c r="R34" s="35"/>
      <c r="S34" s="35"/>
      <c r="T34" s="35"/>
      <c r="U34" s="66"/>
      <c r="V34" s="66"/>
      <c r="W34" s="66"/>
      <c r="X34" s="66"/>
      <c r="Y34" s="66"/>
      <c r="Z34" s="14"/>
      <c r="AA34" s="14"/>
      <c r="AB34" s="14"/>
      <c r="AC34" s="5"/>
      <c r="AD34" s="14"/>
      <c r="AE34" s="5"/>
      <c r="AF34" s="14"/>
      <c r="AG34" s="14"/>
      <c r="AH34" s="14"/>
      <c r="AI34" s="14"/>
    </row>
    <row r="35" spans="1:35" x14ac:dyDescent="0.3">
      <c r="A35" s="13"/>
      <c r="B35" s="13"/>
      <c r="C35" s="53" t="s">
        <v>8</v>
      </c>
      <c r="D35" s="71">
        <f ca="1">D29/(H19+(H18)+(Q20*H17))</f>
        <v>68.191266040111898</v>
      </c>
      <c r="E35" s="67"/>
      <c r="F35" s="71">
        <f ca="1">IFERROR(F29/(Q20*I17+IF(I3="TORP",0,I18+H19)),0)</f>
        <v>72.795474900531957</v>
      </c>
      <c r="G35" s="67"/>
      <c r="H35" s="72" t="s">
        <v>8</v>
      </c>
      <c r="I35" s="71">
        <f ca="1">IFERROR((E23*H23*((100+IF(N23="FP",U20,0)+IF(N23="FP",D18*U12,D19*U13)*O23)/100))/(IF(M23=0,AE30,M23))*IF(P23=0,IF(N23="TP",AE18,AE18),P23*IF(N23="FP",M14+1,M14+1)),0)*Q23*L23*U17</f>
        <v>0</v>
      </c>
      <c r="J35" s="51"/>
      <c r="K35" s="51">
        <f ca="1">IFERROR((E24*H24*((100+IF(N24="FP",D18*U12,D19*U13)*O24)/100))/(IF(M24=0,AE30,M24))*IF(P24=0,IF(N24="TP",$AE$18,$AE$18),P24*IF(N24="FP",$M$14+1,$M$14+1))*L24,0)*Q24*U17</f>
        <v>0</v>
      </c>
      <c r="L35" s="51"/>
      <c r="M35" s="51">
        <f ca="1">IFERROR((E25*H25*((100+IF(N25="FP",U20,0)+IF(N25="FP",D18*U12,D19*U13)*O25)/100))/(IF(M25=0,AE30,M25))*IF(P25=0,IF(N25="TP",AE18,AE18),P25*IF(N25="FP",M14+1,M14+1)),0)*Q25*L25*U17</f>
        <v>0</v>
      </c>
      <c r="N35" s="51"/>
      <c r="O35" s="51">
        <f ca="1">IFERROR((E26*H26*((100+IF(N26="FP",D18*U12,D19*U13)*O26))/100)/(IF(M26=0,AE30,M26))*IF(P26=0,IF(N26="TP",AE18,AE18),P26*IF(N26="FP",M14+1,M14+1)),0)*Q26*L26*U17</f>
        <v>0</v>
      </c>
      <c r="P35" s="35"/>
      <c r="Q35" s="35"/>
      <c r="R35" s="35"/>
      <c r="S35" s="35"/>
      <c r="T35" s="35"/>
      <c r="U35" s="66"/>
      <c r="V35" s="66"/>
      <c r="W35" s="66"/>
      <c r="X35" s="66"/>
      <c r="Y35" s="66"/>
      <c r="Z35" s="14"/>
      <c r="AA35" s="14"/>
      <c r="AB35" s="14"/>
      <c r="AC35" s="5"/>
      <c r="AD35" s="14"/>
      <c r="AE35" s="5"/>
      <c r="AF35" s="14"/>
      <c r="AG35" s="14"/>
      <c r="AH35" s="14"/>
      <c r="AI35" s="14"/>
    </row>
    <row r="36" spans="1:35" x14ac:dyDescent="0.3">
      <c r="A36" s="13"/>
      <c r="B36" s="13"/>
      <c r="C36" s="53" t="s">
        <v>10</v>
      </c>
      <c r="D36" s="71">
        <f ca="1">D30/(H19+(H18)+(Q20*H17))</f>
        <v>34.095633020055949</v>
      </c>
      <c r="E36" s="67"/>
      <c r="F36" s="71">
        <f ca="1">IFERROR(F30/(Q20*I17+IF(I3="TORP",0,I18+H19)),0)</f>
        <v>90.994343625664953</v>
      </c>
      <c r="G36" s="67"/>
      <c r="H36" s="72" t="s">
        <v>10</v>
      </c>
      <c r="I36" s="71">
        <f ca="1">IFERROR((E23*I23*((100+IF(N23="FP",U20,0)+IF(N23="FP",D18*U12,D19*U13)*O23)/100))/(IF(M23=0,AE30,M23))*IF(P23=0,IF(N23="TP",AE18,AE18),P23*IF(N23="FP",M14+1,M14+1)),0)*Q23*L23*U17</f>
        <v>0</v>
      </c>
      <c r="J36" s="51"/>
      <c r="K36" s="51">
        <f ca="1">IFERROR((E24*I24*((100+IF(N24="FP",D18*U12,D19*U13)*O24)/100))/(IF(M24=0,AE30,M24))*IF(P24=0,IF(N24="TP",$AE$18,$AE$18),P24*IF(N24="FP",$M$14+1,$M$14+1))*L24,0)*Q24*U17</f>
        <v>0</v>
      </c>
      <c r="L36" s="51"/>
      <c r="M36" s="51">
        <f ca="1">IFERROR((E25*I25*((100+IF(N25="FP",U20,0)+IF(N25="FP",D18*U12,D19*U13)*O25)/100))/(IF(M25=0,AE30,M25))*IF(P25=0,IF(N25="TP",AE18,AE18),P25*IF(N25="FP",M14+1,M14+1)),0)*Q25*L25*U17</f>
        <v>0</v>
      </c>
      <c r="N36" s="51"/>
      <c r="O36" s="51">
        <f ca="1">IFERROR((E26*I26*((100+IF(N26="FP",D18*U12,D19*U13)*O26))/100)/(IF(M26=0,AE30,M26))*IF(P26=0,IF(N26="TP",AE18,AE18),P26*IF(N26="FP",M14+1,M14+1)),0)*Q26*L26*U17</f>
        <v>0</v>
      </c>
      <c r="P36" s="35"/>
      <c r="Q36" s="35"/>
      <c r="R36" s="35"/>
      <c r="S36" s="35"/>
      <c r="T36" s="35"/>
      <c r="U36" s="66"/>
      <c r="V36" s="66"/>
      <c r="W36" s="66"/>
      <c r="X36" s="66"/>
      <c r="Y36" s="66"/>
      <c r="Z36" s="14"/>
      <c r="AA36" s="14"/>
      <c r="AB36" s="14"/>
      <c r="AC36" s="5"/>
      <c r="AD36" s="14"/>
      <c r="AE36" s="5"/>
      <c r="AF36" s="14"/>
      <c r="AG36" s="14"/>
      <c r="AH36" s="14"/>
      <c r="AI36" s="14"/>
    </row>
    <row r="37" spans="1:35" x14ac:dyDescent="0.3">
      <c r="A37" s="13"/>
      <c r="B37" s="13"/>
      <c r="C37" s="53" t="s">
        <v>12</v>
      </c>
      <c r="D37" s="71">
        <f ca="1">D31/(H19+(H18)+(Q20*H17))</f>
        <v>34.095633020055949</v>
      </c>
      <c r="E37" s="67"/>
      <c r="F37" s="71">
        <f ca="1">IFERROR(F31/(Q20*I17+IF(I3="TORP",0,I18+H19)),0)</f>
        <v>118.29264671336443</v>
      </c>
      <c r="G37" s="67"/>
      <c r="H37" s="72" t="s">
        <v>12</v>
      </c>
      <c r="I37" s="71">
        <f ca="1">IFERROR((E23*J23*((100+IF(N23="FP",U20,0)+IF(N23="FP",D18*U12,D19*U13)*O23)/100))/(IF(M23=0,AE30,M23))*IF(P23=0,IF(N23="TP",AE18,AE18),P23*IF(N23="FP",M14+1,M14+1)),0)*Q23*L23*U17</f>
        <v>0</v>
      </c>
      <c r="J37" s="51"/>
      <c r="K37" s="51">
        <f ca="1">IFERROR((E24*J24*((100+IF(N24="FP",D18*U12,D19*U13)*O24)/100))/(IF(M24=0,AE30,M24))*IF(P24=0,IF(N24="TP",$AE$18,$AE$18),P24*IF(N24="FP",$M$14+1,$M$14+1))*L24,0)*Q24*U17</f>
        <v>0</v>
      </c>
      <c r="L37" s="51"/>
      <c r="M37" s="51">
        <f ca="1">IFERROR((E25*J25*((100+IF(N25="FP",U20,0)+IF(N25="FP",D18*U12,D19*U13)*O25)/100))/(IF(M25=0,AE30,M25))*IF(P25=0,IF(N25="TP",AE18,AE18),P25*IF(N25="FP",M14+1,M14+1)),0)*Q25*L25*U17</f>
        <v>0</v>
      </c>
      <c r="N37" s="51"/>
      <c r="O37" s="51">
        <f ca="1">IFERROR((E26*J26*((100+IF(N26="FP",D18*U12,D19*U13)*O26))/100)/(IF(M26=0,AE30,M26))*IF(P26=0,IF(N26="TP",AE18,AE18),P26*IF(N26="FP",M14+1,M14+1)),0)*Q26*L26*U17</f>
        <v>0</v>
      </c>
      <c r="P37" s="35"/>
      <c r="Q37" s="35"/>
      <c r="R37" s="35"/>
      <c r="S37" s="35"/>
      <c r="T37" s="35"/>
      <c r="U37" s="66"/>
      <c r="V37" s="66"/>
      <c r="W37" s="66"/>
      <c r="X37" s="66"/>
      <c r="Y37" s="66"/>
      <c r="Z37" s="14"/>
      <c r="AA37" s="14"/>
      <c r="AB37" s="14"/>
      <c r="AC37" s="5"/>
      <c r="AD37" s="14"/>
      <c r="AE37" s="5"/>
      <c r="AF37" s="14"/>
      <c r="AG37" s="14"/>
      <c r="AH37" s="14"/>
      <c r="AI37" s="14"/>
    </row>
    <row r="38" spans="1:35" x14ac:dyDescent="0.3">
      <c r="A38" s="13"/>
      <c r="B38" s="13"/>
      <c r="C38" s="53" t="s">
        <v>44</v>
      </c>
      <c r="D38" s="71">
        <f ca="1">D32/15*(MIN((15/(Q20*H17+H19+H18)),1))</f>
        <v>0.25292107714666706</v>
      </c>
      <c r="E38" s="67"/>
      <c r="F38" s="71" t="s">
        <v>756</v>
      </c>
      <c r="G38" s="67"/>
      <c r="H38" s="72" t="s">
        <v>817</v>
      </c>
      <c r="I38" s="71">
        <f ca="1">(((100+U20+D18*U12*O23)/100)*D10*1*F23*AE8+5)*(1-(1-K23)^(G23))*5</f>
        <v>0</v>
      </c>
      <c r="J38" s="51"/>
      <c r="K38" s="51">
        <f ca="1">(((100+U20+D18*U12*O24)/100)*D10*1*F24*AE8+5)*(1-(1-K24)^(G24))*5</f>
        <v>0</v>
      </c>
      <c r="L38" s="51"/>
      <c r="M38" s="51">
        <f ca="1">(((100+U20+D18*U12*O25)/100)*D10*1*F25*AE8+5)*(1-(1-K25)^(G25))*5</f>
        <v>0</v>
      </c>
      <c r="N38" s="51"/>
      <c r="O38" s="51">
        <f ca="1">(((100+U20+D18*U12*O26)/100)*D10*1*F26*AE8+5)*(1-(1-K26)^(G26))*5</f>
        <v>0</v>
      </c>
      <c r="P38" s="35"/>
      <c r="Q38" s="35"/>
      <c r="R38" s="35"/>
      <c r="S38" s="35"/>
      <c r="T38" s="35"/>
      <c r="U38" s="66"/>
      <c r="V38" s="66"/>
      <c r="W38" s="66"/>
      <c r="X38" s="66"/>
      <c r="Y38" s="66"/>
      <c r="Z38" s="14"/>
      <c r="AA38" s="14"/>
      <c r="AB38" s="14"/>
      <c r="AC38" s="5"/>
      <c r="AD38" s="14"/>
      <c r="AE38" s="5"/>
      <c r="AF38" s="14"/>
      <c r="AG38" s="14"/>
      <c r="AH38" s="14"/>
      <c r="AI38" s="14"/>
    </row>
    <row r="39" spans="1:35" x14ac:dyDescent="0.3">
      <c r="A39" s="13"/>
      <c r="B39" s="13"/>
      <c r="C39" s="35"/>
      <c r="D39" s="35"/>
      <c r="E39" s="35"/>
      <c r="F39" s="35"/>
      <c r="G39" s="35"/>
      <c r="H39" s="53" t="s">
        <v>44</v>
      </c>
      <c r="I39" s="51">
        <f ca="1">I38/15*(MIN((15/IF(Q13=1,IF(M23=0,H17*Q20+H19+H18,M23),AE30)),1))</f>
        <v>0</v>
      </c>
      <c r="J39" s="51"/>
      <c r="K39" s="51">
        <f ca="1">K38/15*(MIN((15/IF(Q13=1,IF(M24=0,H17*Q20+H19+H18,M24),AE30)),1))</f>
        <v>0</v>
      </c>
      <c r="L39" s="51"/>
      <c r="M39" s="51">
        <f ca="1">M38/15*(MIN((15/IF(Q13=1,IF(M25=0,H17*Q20+H19+H18,M25),AE30)),1))</f>
        <v>0</v>
      </c>
      <c r="N39" s="51"/>
      <c r="O39" s="51">
        <f ca="1">O38/15*(MIN((15/IF(Q13=1,IF(M26=0,H17*Q20+H19+H18,M26),AE30)),1))</f>
        <v>0</v>
      </c>
      <c r="P39" s="35"/>
      <c r="Q39" s="35"/>
      <c r="R39" s="35"/>
      <c r="S39" s="35"/>
      <c r="T39" s="35"/>
      <c r="U39" s="66"/>
      <c r="V39" s="66"/>
      <c r="W39" s="66"/>
      <c r="X39" s="66"/>
      <c r="Y39" s="66"/>
      <c r="Z39" s="66"/>
      <c r="AA39" s="66"/>
      <c r="AB39" s="66"/>
      <c r="AC39" s="5"/>
      <c r="AD39" s="14"/>
      <c r="AE39" s="5"/>
      <c r="AF39" s="14"/>
      <c r="AG39" s="14"/>
      <c r="AH39" s="14"/>
      <c r="AI39" s="14"/>
    </row>
    <row r="40" spans="1:35" x14ac:dyDescent="0.3">
      <c r="A40" s="13"/>
      <c r="B40" s="13"/>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5"/>
      <c r="AD40" s="14"/>
      <c r="AE40" s="5"/>
      <c r="AF40" s="14"/>
      <c r="AG40" s="14"/>
      <c r="AH40" s="14"/>
      <c r="AI40" s="14"/>
    </row>
    <row r="41" spans="1:35" x14ac:dyDescent="0.3">
      <c r="A41" s="13"/>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5"/>
      <c r="AD41" s="14"/>
      <c r="AE41" s="5"/>
      <c r="AF41" s="14"/>
      <c r="AG41" s="14"/>
      <c r="AH41" s="14"/>
      <c r="AI41" s="14"/>
    </row>
    <row r="42" spans="1:35"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66"/>
      <c r="AC42" s="5"/>
      <c r="AD42" s="14"/>
      <c r="AE42" s="5"/>
      <c r="AF42" s="14"/>
      <c r="AG42" s="14"/>
      <c r="AH42" s="14"/>
      <c r="AI42" s="14"/>
    </row>
    <row r="43" spans="1:35" x14ac:dyDescent="0.3">
      <c r="A43" s="13"/>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5"/>
      <c r="AD43" s="14"/>
      <c r="AE43" s="5"/>
      <c r="AF43" s="14"/>
      <c r="AG43" s="14"/>
      <c r="AH43" s="14"/>
      <c r="AI43" s="14"/>
    </row>
    <row r="44" spans="1:35" x14ac:dyDescent="0.3">
      <c r="A44" s="13"/>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5"/>
      <c r="AD44" s="14"/>
      <c r="AE44" s="5"/>
      <c r="AF44" s="14"/>
      <c r="AG44" s="14"/>
      <c r="AH44" s="14"/>
      <c r="AI44" s="14"/>
    </row>
    <row r="45" spans="1:35"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66"/>
      <c r="AC45" s="5"/>
      <c r="AD45" s="14"/>
      <c r="AE45" s="5"/>
      <c r="AF45" s="14"/>
      <c r="AG45" s="14"/>
      <c r="AH45" s="14"/>
      <c r="AI45" s="14"/>
    </row>
    <row r="46" spans="1:35" x14ac:dyDescent="0.3">
      <c r="A46" s="13"/>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5"/>
      <c r="AD46" s="14"/>
      <c r="AE46" s="5"/>
      <c r="AF46" s="14"/>
      <c r="AG46" s="14"/>
      <c r="AH46" s="14"/>
      <c r="AI46" s="14"/>
    </row>
    <row r="47" spans="1:35" x14ac:dyDescent="0.3">
      <c r="A47" s="13"/>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5"/>
      <c r="AD47" s="14"/>
      <c r="AE47" s="5"/>
      <c r="AF47" s="14"/>
      <c r="AG47" s="14"/>
      <c r="AH47" s="14"/>
      <c r="AI47" s="14"/>
    </row>
    <row r="48" spans="1:35"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66"/>
      <c r="AC48" s="5"/>
      <c r="AD48" s="14"/>
      <c r="AE48" s="5"/>
      <c r="AF48" s="14"/>
      <c r="AG48" s="14"/>
      <c r="AH48" s="14"/>
      <c r="AI48" s="14"/>
    </row>
    <row r="49" spans="1:35" x14ac:dyDescent="0.3">
      <c r="A49" s="13"/>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row>
    <row r="50" spans="1:35" x14ac:dyDescent="0.3">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row>
    <row r="51" spans="1:35" x14ac:dyDescent="0.3">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row>
    <row r="52" spans="1:35" x14ac:dyDescent="0.3">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row>
    <row r="53" spans="1:35" x14ac:dyDescent="0.3">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row>
    <row r="57" spans="1:35" x14ac:dyDescent="0.3">
      <c r="L57" s="1"/>
      <c r="T57" s="1"/>
    </row>
    <row r="58" spans="1:35" x14ac:dyDescent="0.3">
      <c r="L58" s="1"/>
      <c r="T58" s="1"/>
    </row>
    <row r="59" spans="1:35" x14ac:dyDescent="0.3">
      <c r="L59" s="1"/>
      <c r="T59" s="1"/>
    </row>
    <row r="60" spans="1:35" x14ac:dyDescent="0.3">
      <c r="T60" s="6"/>
    </row>
    <row r="61" spans="1:35"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2">
    <mergeCell ref="K11:Y11"/>
    <mergeCell ref="AC2:AE2"/>
  </mergeCells>
  <phoneticPr fontId="7" type="noConversion"/>
  <dataValidations disablePrompts="1" count="9">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Stats'!$A$872:$A$874</xm:f>
          </x14:formula1>
          <xm:sqref>N23:N26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9EA53-CFBB-4D40-9D93-C0F2FFF9B89B}">
  <dimension ref="A1:V66"/>
  <sheetViews>
    <sheetView workbookViewId="0">
      <selection activeCell="H23" sqref="H23"/>
    </sheetView>
  </sheetViews>
  <sheetFormatPr defaultRowHeight="14.4" x14ac:dyDescent="0.3"/>
  <cols>
    <col min="1" max="1" width="5.77734375" customWidth="1"/>
    <col min="2" max="2" width="11.77734375" customWidth="1"/>
    <col min="4" max="8" width="12.77734375" customWidth="1"/>
    <col min="11" max="11" width="10" bestFit="1" customWidth="1"/>
    <col min="12" max="13" width="8.88671875" customWidth="1"/>
    <col min="15" max="15" width="8.88671875" customWidth="1"/>
  </cols>
  <sheetData>
    <row r="1" spans="1:22" x14ac:dyDescent="0.3">
      <c r="A1" s="13"/>
      <c r="B1" s="13"/>
      <c r="C1" s="13"/>
      <c r="D1" s="13"/>
      <c r="E1" s="13"/>
      <c r="F1" s="13"/>
      <c r="G1" s="13"/>
      <c r="H1" s="13"/>
      <c r="I1" s="13"/>
      <c r="J1" s="13"/>
      <c r="K1" s="13"/>
      <c r="L1" s="13"/>
      <c r="M1" s="13"/>
      <c r="N1" s="13"/>
      <c r="O1" s="13"/>
      <c r="P1" s="13"/>
      <c r="Q1" s="13"/>
      <c r="R1" s="13"/>
      <c r="S1" s="13"/>
      <c r="T1" s="13"/>
      <c r="U1" s="13"/>
      <c r="V1" s="13"/>
    </row>
    <row r="2" spans="1:22" x14ac:dyDescent="0.3">
      <c r="A2" s="13"/>
      <c r="B2" s="8" t="s">
        <v>596</v>
      </c>
      <c r="C2" t="s">
        <v>1</v>
      </c>
      <c r="D2" t="s">
        <v>2</v>
      </c>
      <c r="E2" t="s">
        <v>3</v>
      </c>
      <c r="F2" t="s">
        <v>69</v>
      </c>
      <c r="G2" t="s">
        <v>70</v>
      </c>
      <c r="H2" t="s">
        <v>71</v>
      </c>
      <c r="J2" t="s">
        <v>269</v>
      </c>
      <c r="M2" t="s">
        <v>811</v>
      </c>
      <c r="O2" t="s">
        <v>812</v>
      </c>
      <c r="R2" s="4"/>
      <c r="S2" s="4"/>
      <c r="T2" s="4"/>
      <c r="U2" s="4"/>
      <c r="V2" s="4"/>
    </row>
    <row r="3" spans="1:22" x14ac:dyDescent="0.3">
      <c r="A3" s="13"/>
      <c r="B3" t="s">
        <v>198</v>
      </c>
      <c r="C3" s="10" t="str">
        <f>IFERROR(INDEX(SType[],MATCH(C4,SType[Ship],0),COLUMN(SType[Type])),0)</f>
        <v>Carrier</v>
      </c>
      <c r="D3" t="s">
        <v>302</v>
      </c>
      <c r="E3" t="s">
        <v>301</v>
      </c>
      <c r="F3" t="s">
        <v>742</v>
      </c>
      <c r="G3" t="s">
        <v>742</v>
      </c>
      <c r="H3" t="s">
        <v>740</v>
      </c>
      <c r="J3" t="s">
        <v>72</v>
      </c>
      <c r="L3">
        <f ca="1">SUM(C8:H8)*P10</f>
        <v>715</v>
      </c>
      <c r="R3" t="str">
        <f>B2</f>
        <v>Ark Royal</v>
      </c>
      <c r="T3" t="s">
        <v>25</v>
      </c>
      <c r="V3" t="s">
        <v>26</v>
      </c>
    </row>
    <row r="4" spans="1:22" x14ac:dyDescent="0.3">
      <c r="A4" s="13"/>
      <c r="B4" t="s">
        <v>199</v>
      </c>
      <c r="C4" s="10" t="str">
        <f>IFERROR(INDEX(Base[],MATCH(B2,Base[Name],0),COLUMN(Base[Type])),0)</f>
        <v>CV</v>
      </c>
      <c r="D4" t="s">
        <v>290</v>
      </c>
      <c r="E4" t="s">
        <v>290</v>
      </c>
      <c r="F4" t="s">
        <v>141</v>
      </c>
      <c r="G4" t="s">
        <v>141</v>
      </c>
      <c r="H4" t="s">
        <v>96</v>
      </c>
      <c r="S4" t="s">
        <v>8</v>
      </c>
      <c r="T4">
        <f ca="1">SUM(N23:R23)+SUM(N28:T28)+SUM(O37:R37)+O38</f>
        <v>2479.1772895431104</v>
      </c>
      <c r="V4">
        <f ca="1">(SUM(N23:R23)+SUM(N28:T28))*E32+SUM(O37:R37)+O38</f>
        <v>2231.2595605887996</v>
      </c>
    </row>
    <row r="5" spans="1:22" x14ac:dyDescent="0.3">
      <c r="A5" s="13"/>
      <c r="B5" t="s">
        <v>150</v>
      </c>
      <c r="F5" t="str">
        <f ca="1">IFERROR(INDEX(INDIRECT(C3&amp;"Table"),MATCH(B2,INDIRECT(C3&amp;"Table"&amp;"[Name]"),0),COLUMN(INDIRECT(C3&amp;"Table"&amp;"["&amp;B5&amp;"1"&amp;"]"))),0)</f>
        <v>T</v>
      </c>
      <c r="G5" t="str">
        <f ca="1">IFERROR(INDEX(INDIRECT(C3&amp;"Table"),MATCH(B2,INDIRECT(C3&amp;"Table"&amp;"[Name]"),0),COLUMN(INDIRECT(C3&amp;"Table"&amp;"["&amp;B5&amp;"2"&amp;"]"))),0)</f>
        <v>T</v>
      </c>
      <c r="H5" t="str">
        <f ca="1">IFERROR(INDEX(INDIRECT(C3&amp;"Table"),MATCH(B2,INDIRECT(C3&amp;"Table"&amp;"[Name]"),0),COLUMN(INDIRECT(C3&amp;"Table"&amp;"["&amp;B5&amp;"3"&amp;"]"))),0)</f>
        <v>B</v>
      </c>
      <c r="J5" t="s">
        <v>760</v>
      </c>
      <c r="S5" t="s">
        <v>10</v>
      </c>
      <c r="T5">
        <f ca="1">SUM(N24:R24)+SUM(N29:T29)+SUM(O37:R37)+O38</f>
        <v>3357.1509349907524</v>
      </c>
      <c r="V5">
        <f ca="1">(SUM(N24:R24)+SUM(N29:T29))*E32+SUM(O37:R37)+O38</f>
        <v>3021.4358414916774</v>
      </c>
    </row>
    <row r="6" spans="1:22" x14ac:dyDescent="0.3">
      <c r="A6" s="13"/>
      <c r="B6" t="s">
        <v>103</v>
      </c>
      <c r="C6">
        <v>0</v>
      </c>
      <c r="D6">
        <v>0</v>
      </c>
      <c r="E6">
        <v>0</v>
      </c>
      <c r="F6">
        <f ca="1">IFERROR(INDEX(INDIRECT(C3&amp;"Table"),MATCH(B2,INDIRECT(C3&amp;"Table"&amp;"[Name]"),0),COLUMN(INDIRECT(C3&amp;"Table"&amp;"["&amp;"Plane1"&amp;"]"))),0)</f>
        <v>3</v>
      </c>
      <c r="G6">
        <f ca="1">IFERROR(INDEX(INDIRECT(C3&amp;"Table"),MATCH(B2,INDIRECT(C3&amp;"Table"&amp;"[Name]"),0),COLUMN(INDIRECT(C3&amp;"Table"&amp;"["&amp;"Plane2"&amp;"]"))),0)</f>
        <v>3</v>
      </c>
      <c r="H6">
        <f ca="1">IFERROR(INDEX(INDIRECT(C3&amp;"Table"),MATCH(B2,INDIRECT(C3&amp;"Table"&amp;"[Name]"),0),COLUMN(INDIRECT(C3&amp;"Table"&amp;"["&amp;"Plane3"&amp;"]"))),0)</f>
        <v>2</v>
      </c>
      <c r="J6" s="12" t="s">
        <v>18</v>
      </c>
      <c r="K6">
        <v>0.3</v>
      </c>
      <c r="N6" s="12" t="s">
        <v>5</v>
      </c>
      <c r="O6" s="12"/>
      <c r="P6">
        <v>0</v>
      </c>
      <c r="S6" t="s">
        <v>12</v>
      </c>
      <c r="T6">
        <f ca="1">SUM(N25:R25)+SUM(N30:T30)+SUM(O37:R37)+O38</f>
        <v>3982.6088823015407</v>
      </c>
      <c r="V6">
        <f ca="1">(SUM(N25:R25)+SUM(N30:T30))*E32+SUM(O37:R37)+O38</f>
        <v>3584.3479940713869</v>
      </c>
    </row>
    <row r="7" spans="1:22" x14ac:dyDescent="0.3">
      <c r="A7" s="13"/>
      <c r="B7" t="s">
        <v>7</v>
      </c>
      <c r="C7">
        <f ca="1">IFERROR(INDEX(INDIRECT(C3&amp;"Table"),MATCH(B2,INDIRECT(C3&amp;"Table"&amp;"[Name]"),0),COLUMN(INDIRECT(C3&amp;"Table"&amp;"["&amp;B7&amp;"]"))),0)</f>
        <v>6107</v>
      </c>
      <c r="D7">
        <f ca="1">IFERROR(INDEX(INDIRECT(D3&amp;"Table"),MATCH(D4,INDIRECT(D3&amp;"Table"&amp;"[Name]"),0),COLUMN(INDIRECT(D3&amp;"Table"&amp;"["&amp;B7&amp;"]"))),0)</f>
        <v>75</v>
      </c>
      <c r="E7">
        <f ca="1">IFERROR(INDEX(INDIRECT(E3&amp;"Table"),MATCH(E4,INDIRECT(E3&amp;"Table"&amp;"[Name]"),0),COLUMN(INDIRECT(E3&amp;"Table"&amp;"["&amp;B7&amp;"]"))),0)</f>
        <v>75</v>
      </c>
      <c r="F7">
        <f ca="1">IFERROR(INDEX(INDIRECT(F3&amp;"Table"),MATCH(F4,INDIRECT(F3&amp;"Table"&amp;"[Name]"),0),COLUMN(INDIRECT(F3&amp;"Table"&amp;"["&amp;B7&amp;"]"))),0)</f>
        <v>0</v>
      </c>
      <c r="G7">
        <f ca="1">IFERROR(INDEX(INDIRECT(G3&amp;"Table"),MATCH(G4,INDIRECT(G3&amp;"Table"&amp;"[Name]"),0),COLUMN(INDIRECT(G3&amp;"Table"&amp;"["&amp;B7&amp;"]"))),0)</f>
        <v>0</v>
      </c>
      <c r="H7">
        <f ca="1">IFERROR(INDEX(INDIRECT(H3&amp;"Table"),MATCH(H4,INDIRECT(H3&amp;"Table"&amp;"[Name]"),0),COLUMN(INDIRECT(H3&amp;"Table"&amp;"["&amp;B7&amp;"]"))),0)</f>
        <v>0</v>
      </c>
      <c r="J7" s="12" t="s">
        <v>65</v>
      </c>
      <c r="K7" s="14"/>
      <c r="L7" s="1">
        <v>0</v>
      </c>
      <c r="N7" s="12" t="s">
        <v>57</v>
      </c>
      <c r="O7" s="12"/>
      <c r="P7">
        <v>0</v>
      </c>
    </row>
    <row r="8" spans="1:22" x14ac:dyDescent="0.3">
      <c r="A8" s="13"/>
      <c r="B8" t="s">
        <v>293</v>
      </c>
      <c r="C8">
        <f ca="1">IFERROR(INDEX(INDIRECT(C3&amp;"Table"),MATCH(B2,INDIRECT(C3&amp;"Table"&amp;"[Name]"),0),COLUMN(INDIRECT(C3&amp;"Table"&amp;"["&amp;B8&amp;"]"))),0)</f>
        <v>400</v>
      </c>
      <c r="D8">
        <f ca="1">IFERROR(INDEX(INDIRECT(D3&amp;"Table"),MATCH(D4,INDIRECT(D3&amp;"Table"&amp;"[Name]"),0),COLUMN(INDIRECT(D3&amp;"Table"&amp;"["&amp;B8&amp;"]"))),0)</f>
        <v>100</v>
      </c>
      <c r="E8">
        <f ca="1">IFERROR(INDEX(INDIRECT(E3&amp;"Table"),MATCH(E4,INDIRECT(E3&amp;"Table"&amp;"[Name]"),0),COLUMN(INDIRECT(E3&amp;"Table"&amp;"["&amp;B8&amp;"]"))),0)</f>
        <v>100</v>
      </c>
      <c r="F8">
        <f ca="1">IFERROR(INDEX(INDIRECT(F3&amp;"Table"),MATCH(F4,INDIRECT(F3&amp;"Table"&amp;"[Name]"),0),COLUMN(INDIRECT(F3&amp;"Table"&amp;"["&amp;B8&amp;"]"))),0)</f>
        <v>45</v>
      </c>
      <c r="G8">
        <f ca="1">IFERROR(INDEX(INDIRECT(G3&amp;"Table"),MATCH(G4,INDIRECT(G3&amp;"Table"&amp;"[Name]"),0),COLUMN(INDIRECT(G3&amp;"Table"&amp;"["&amp;B8&amp;"]"))),0)</f>
        <v>45</v>
      </c>
      <c r="H8">
        <f ca="1">IFERROR(INDEX(INDIRECT(H3&amp;"Table"),MATCH(H4,INDIRECT(H3&amp;"Table"&amp;"[Name]"),0),COLUMN(INDIRECT(H3&amp;"Table"&amp;"["&amp;B8&amp;"]"))),0)</f>
        <v>25</v>
      </c>
      <c r="J8" t="s">
        <v>772</v>
      </c>
      <c r="L8">
        <f ca="1">SQRT(200/(100+SUM(C10:H10)*(1+L7)))*2.18*(((F6*F14)+(G6*G14)+(H6*H14))/(SUM(C6:H6)))+K6</f>
        <v>24.362738019937154</v>
      </c>
      <c r="N8" s="12" t="s">
        <v>58</v>
      </c>
      <c r="O8" s="12"/>
      <c r="P8">
        <v>0</v>
      </c>
      <c r="S8" t="s">
        <v>30</v>
      </c>
      <c r="T8">
        <f ca="1">D29</f>
        <v>62570</v>
      </c>
    </row>
    <row r="9" spans="1:22" x14ac:dyDescent="0.3">
      <c r="A9" s="13"/>
      <c r="B9" t="s">
        <v>53</v>
      </c>
      <c r="C9">
        <v>1</v>
      </c>
      <c r="D9">
        <v>0</v>
      </c>
      <c r="E9">
        <v>0</v>
      </c>
      <c r="F9">
        <f ca="1">IFERROR(INDEX(INDIRECT(C3&amp;"Table"),MATCH(B2,INDIRECT(C3&amp;"Table"&amp;"[Name]"),0),COLUMN(INDIRECT(C3&amp;"Table"&amp;"["&amp;"EFF"&amp;"]"))),0)</f>
        <v>1.4</v>
      </c>
      <c r="G9">
        <f ca="1">IFERROR(INDEX(INDIRECT(C3&amp;"Table"),MATCH(B2,INDIRECT(C3&amp;"Table"&amp;"[Name]"),0),COLUMN(INDIRECT(C3&amp;"Table"&amp;"["&amp;"SECEFF"&amp;"]"))),0)</f>
        <v>1.4</v>
      </c>
      <c r="H9">
        <f ca="1">IFERROR(INDEX(INDIRECT(C3&amp;"Table"),MATCH(B2,INDIRECT(C3&amp;"Table"&amp;"[Name]"),0),COLUMN(INDIRECT(C3&amp;"Table"&amp;"["&amp;"TRIEFF"&amp;"]"))),0)</f>
        <v>0.8</v>
      </c>
      <c r="S9" t="s">
        <v>148</v>
      </c>
      <c r="T9">
        <f ca="1">L8</f>
        <v>24.362738019937154</v>
      </c>
    </row>
    <row r="10" spans="1:22" x14ac:dyDescent="0.3">
      <c r="A10" s="13"/>
      <c r="B10" t="s">
        <v>14</v>
      </c>
      <c r="C10">
        <f ca="1">IFERROR(INDEX(INDIRECT(C3&amp;"Table"),MATCH(B2,INDIRECT(C3&amp;"Table"&amp;"[Name]"),0),COLUMN(INDIRECT(C3&amp;"Table"&amp;"["&amp;B10&amp;"]"))),0)</f>
        <v>117</v>
      </c>
      <c r="D10">
        <f ca="1">IFERROR(INDEX(INDIRECT(D3&amp;"Table"),MATCH(D4,INDIRECT(D3&amp;"Table"&amp;"[Name]"),0),COLUMN(INDIRECT(D3&amp;"Table"&amp;"["&amp;B10&amp;"]"))),0)</f>
        <v>0</v>
      </c>
      <c r="E10">
        <f ca="1">IFERROR(INDEX(INDIRECT(E3&amp;"Table"),MATCH(E4,INDIRECT(E3&amp;"Table"&amp;"[Name]"),0),COLUMN(INDIRECT(E3&amp;"Table"&amp;"["&amp;B10&amp;"]"))),0)</f>
        <v>0</v>
      </c>
      <c r="F10">
        <f ca="1">IFERROR(INDEX(INDIRECT(F3&amp;"Table"),MATCH(F4,INDIRECT(F3&amp;"Table"&amp;"[Name]"),0),COLUMN(INDIRECT(F3&amp;"Table"&amp;"["&amp;B10&amp;"]"))),0)</f>
        <v>0</v>
      </c>
      <c r="G10">
        <f ca="1">IFERROR(INDEX(INDIRECT(G3&amp;"Table"),MATCH(G4,INDIRECT(G3&amp;"Table"&amp;"[Name]"),0),COLUMN(INDIRECT(G3&amp;"Table"&amp;"["&amp;B10&amp;"]"))),0)</f>
        <v>0</v>
      </c>
      <c r="H10">
        <f ca="1">IFERROR(INDEX(INDIRECT(H3&amp;"Table"),MATCH(H4,INDIRECT(H3&amp;"Table"&amp;"[Name]"),0),COLUMN(INDIRECT(H3&amp;"Table"&amp;"["&amp;B10&amp;"]"))),0)</f>
        <v>0</v>
      </c>
      <c r="J10" s="12" t="s">
        <v>56</v>
      </c>
      <c r="K10" s="12"/>
      <c r="L10" s="1">
        <v>0</v>
      </c>
      <c r="N10" s="12" t="s">
        <v>142</v>
      </c>
      <c r="O10" s="12"/>
      <c r="P10" s="6">
        <v>1</v>
      </c>
      <c r="R10" s="5"/>
      <c r="S10" s="5"/>
      <c r="T10" s="5"/>
      <c r="U10" s="5"/>
      <c r="V10" s="5"/>
    </row>
    <row r="11" spans="1:22" x14ac:dyDescent="0.3">
      <c r="A11" s="13"/>
      <c r="B11" t="s">
        <v>294</v>
      </c>
      <c r="C11">
        <f ca="1">IFERROR(INDEX(INDIRECT(C3&amp;"Table"),MATCH(B2,INDIRECT(C3&amp;"Table"&amp;"[Name]"),0),COLUMN(INDIRECT(C3&amp;"Table"&amp;"["&amp;B11&amp;"]"))),0)</f>
        <v>53</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f>
        <v>0</v>
      </c>
      <c r="J11" s="12" t="s">
        <v>60</v>
      </c>
      <c r="K11" s="13"/>
      <c r="L11" s="1">
        <v>1.5</v>
      </c>
      <c r="N11" s="12" t="s">
        <v>117</v>
      </c>
      <c r="O11" s="12"/>
      <c r="P11" s="6">
        <v>1</v>
      </c>
    </row>
    <row r="12" spans="1:22" x14ac:dyDescent="0.3">
      <c r="A12" s="13"/>
      <c r="B12" s="12" t="s">
        <v>17</v>
      </c>
      <c r="C12">
        <v>78</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f>
        <v>0</v>
      </c>
      <c r="J12" t="s">
        <v>13</v>
      </c>
      <c r="L12" s="1">
        <f ca="1">1+(0.05+(SUM(C13:H13)/(SUM(C13:H13)+2000))+(SUM(C12:H12)/5000)+L10)*L11</f>
        <v>1.1602408437200384</v>
      </c>
    </row>
    <row r="13" spans="1:22" x14ac:dyDescent="0.3">
      <c r="A13" s="13"/>
      <c r="B13" s="12" t="s">
        <v>6</v>
      </c>
      <c r="C13">
        <v>86</v>
      </c>
      <c r="D13">
        <f ca="1">IFERROR(INDEX(INDIRECT(D3&amp;"Table"),MATCH(D4,INDIRECT(D3&amp;"Table"&amp;"[Name]"),0),COLUMN(INDIRECT(D3&amp;"Table"&amp;"["&amp;B13&amp;"]"))),0)</f>
        <v>0</v>
      </c>
      <c r="E13">
        <f ca="1">IFERROR(INDEX(INDIRECT(E3&amp;"Table"),MATCH(E4,INDIRECT(E3&amp;"Table"&amp;"[Name]"),0),COLUMN(INDIRECT(E3&amp;"Table"&amp;"["&amp;B13&amp;"]"))),0)</f>
        <v>0</v>
      </c>
      <c r="F13">
        <f ca="1">IFERROR(INDEX(INDIRECT(F3&amp;"Table"),MATCH(F4,INDIRECT(F3&amp;"Table"&amp;"[Name]"),0),COLUMN(INDIRECT(F3&amp;"Table"&amp;"["&amp;B13&amp;"]"))),0)</f>
        <v>0</v>
      </c>
      <c r="G13">
        <f ca="1">IFERROR(INDEX(INDIRECT(G3&amp;"Table"),MATCH(G4,INDIRECT(G3&amp;"Table"&amp;"[Name]"),0),COLUMN(INDIRECT(G3&amp;"Table"&amp;"["&amp;B13&amp;"]"))),0)</f>
        <v>0</v>
      </c>
      <c r="H13">
        <f ca="1">IFERROR(INDEX(INDIRECT(H3&amp;"Table"),MATCH(H4,INDIRECT(H3&amp;"Table"&amp;"[Name]"),0),COLUMN(INDIRECT(H3&amp;"Table"&amp;"["&amp;B13&amp;"]"))),0)</f>
        <v>0</v>
      </c>
    </row>
    <row r="14" spans="1:22" x14ac:dyDescent="0.3">
      <c r="A14" s="13"/>
      <c r="B14" t="s">
        <v>266</v>
      </c>
      <c r="C14">
        <v>0</v>
      </c>
      <c r="D14">
        <v>0</v>
      </c>
      <c r="E14">
        <v>0</v>
      </c>
      <c r="F14">
        <f ca="1">IFERROR(INDEX(INDIRECT(F3&amp;"Table"),MATCH(F4,INDIRECT(F3&amp;"Table"&amp;"[Name]"),0),COLUMN(INDIRECT(F3&amp;"Table"&amp;"["&amp;B14&amp;"]"))),0)</f>
        <v>11.37</v>
      </c>
      <c r="G14">
        <f ca="1">IFERROR(INDEX(INDIRECT(G3&amp;"Table"),MATCH(G4,INDIRECT(G3&amp;"Table"&amp;"[Name]"),0),COLUMN(INDIRECT(G3&amp;"Table"&amp;"["&amp;B14&amp;"]"))),0)</f>
        <v>11.37</v>
      </c>
      <c r="H14">
        <f ca="1">IFERROR(INDEX(INDIRECT(H3&amp;"Table"),MATCH(H4,INDIRECT(H3&amp;"Table"&amp;"[Name]"),0),COLUMN(INDIRECT(H3&amp;"Table"&amp;"["&amp;B14&amp;"]"))),0)</f>
        <v>11.88</v>
      </c>
      <c r="J14" s="12" t="s">
        <v>15</v>
      </c>
      <c r="K14">
        <v>0.6</v>
      </c>
      <c r="N14" s="12" t="s">
        <v>143</v>
      </c>
      <c r="O14" s="13"/>
      <c r="P14">
        <v>0</v>
      </c>
    </row>
    <row r="15" spans="1:22" x14ac:dyDescent="0.3">
      <c r="A15" s="13"/>
      <c r="J15" s="12" t="s">
        <v>55</v>
      </c>
      <c r="K15">
        <v>0</v>
      </c>
      <c r="N15" s="12" t="s">
        <v>145</v>
      </c>
      <c r="P15">
        <v>0</v>
      </c>
    </row>
    <row r="16" spans="1:22" x14ac:dyDescent="0.3">
      <c r="A16" s="13"/>
      <c r="B16" t="s">
        <v>757</v>
      </c>
    </row>
    <row r="17" spans="1:20" x14ac:dyDescent="0.3">
      <c r="A17" s="13"/>
      <c r="B17" t="s">
        <v>759</v>
      </c>
      <c r="C17" s="11">
        <v>100</v>
      </c>
      <c r="D17" s="11">
        <v>500</v>
      </c>
      <c r="E17" s="11">
        <v>1000</v>
      </c>
      <c r="F17" s="11">
        <v>1600</v>
      </c>
      <c r="G17" s="11">
        <v>2000</v>
      </c>
      <c r="I17" t="s">
        <v>79</v>
      </c>
      <c r="J17" t="s">
        <v>52</v>
      </c>
      <c r="N17" t="s">
        <v>69</v>
      </c>
      <c r="P17" t="s">
        <v>70</v>
      </c>
      <c r="R17" t="s">
        <v>71</v>
      </c>
      <c r="T17" t="s">
        <v>810</v>
      </c>
    </row>
    <row r="18" spans="1:20" x14ac:dyDescent="0.3">
      <c r="A18" s="13"/>
      <c r="B18" t="s">
        <v>69</v>
      </c>
      <c r="C18">
        <f ca="1">IFERROR(INDEX(INDIRECT(F3&amp;"Table"),MATCH(F4,INDIRECT(F3&amp;"Table"&amp;"[Name]"),0),COLUMN(INDIRECT(F3&amp;"Table"&amp;"["&amp;C17&amp;"lb"&amp;"]"))),0)</f>
        <v>0</v>
      </c>
      <c r="D18">
        <f ca="1">IFERROR(INDEX(INDIRECT(F3&amp;"Table"),MATCH(F4,INDIRECT(F3&amp;"Table"&amp;"[Name]"),0),COLUMN(INDIRECT(F3&amp;"Table"&amp;"["&amp;D17&amp;"lb"&amp;"]"))),0)</f>
        <v>0</v>
      </c>
      <c r="E18">
        <f ca="1">IFERROR(INDEX(INDIRECT(F3&amp;"Table"),MATCH(F4,INDIRECT(F3&amp;"Table"&amp;"[Name]"),0),COLUMN(INDIRECT(F3&amp;"Table"&amp;"["&amp;E17&amp;"lb"&amp;"]"))),0)</f>
        <v>0</v>
      </c>
      <c r="F18">
        <f ca="1">IFERROR(INDEX(INDIRECT(F3&amp;"Table"),MATCH(F4,INDIRECT(F3&amp;"Table"&amp;"[Name]"),0),COLUMN(INDIRECT(F3&amp;"Table"&amp;"["&amp;F17&amp;"lb"&amp;"]"))),0)</f>
        <v>0</v>
      </c>
      <c r="G18">
        <f ca="1">IFERROR(INDEX(INDIRECT(F3&amp;"Table"),MATCH(F4,INDIRECT(F3&amp;"Table"&amp;"[Name]"),0),COLUMN(INDIRECT(F3&amp;"Table"&amp;"["&amp;G17&amp;"lb"&amp;"]"))),0)</f>
        <v>0</v>
      </c>
      <c r="I18">
        <f ca="1">IFERROR(INDEX(INDIRECT(F3&amp;"Table"),MATCH(F4,INDIRECT(F3&amp;"Table"&amp;"[Name]"),0),COLUMN(INDIRECT(F3&amp;"Table"&amp;"["&amp;I17&amp;"]"))),0)</f>
        <v>3</v>
      </c>
      <c r="J18">
        <f ca="1">IFERROR(INDEX(INDIRECT(F3&amp;"Table"),MATCH(F4,INDIRECT(F3&amp;"Table"&amp;"[Name]"),0),COLUMN(INDIRECT(F3&amp;"Table"&amp;"["&amp;J17&amp;"]"))),0)</f>
        <v>260</v>
      </c>
      <c r="M18" t="s">
        <v>8</v>
      </c>
      <c r="N18">
        <f ca="1">IF(OR(F5="B",F5="F"),C60,C64)*P11*L12</f>
        <v>24782.187506255039</v>
      </c>
      <c r="P18">
        <f ca="1">IF(OR(G5="B",G5="F"),E60,E64)*P11*L12</f>
        <v>24782.187506255039</v>
      </c>
      <c r="R18">
        <f ca="1">IF(OR(H5="B",H5="F"),G60,G64)*P11*L12</f>
        <v>13543.964747008247</v>
      </c>
    </row>
    <row r="19" spans="1:20" x14ac:dyDescent="0.3">
      <c r="A19" s="13"/>
      <c r="B19" t="s">
        <v>70</v>
      </c>
      <c r="C19">
        <f ca="1">IFERROR(INDEX(INDIRECT(G3&amp;"Table"),MATCH(G4,INDIRECT(G3&amp;"Table"&amp;"[Name]"),0),COLUMN(INDIRECT(G3&amp;"Table"&amp;"["&amp;C17&amp;"lb"&amp;"]"))),0)</f>
        <v>0</v>
      </c>
      <c r="D19">
        <f ca="1">IFERROR(INDEX(INDIRECT(G3&amp;"Table"),MATCH(G4,INDIRECT(G3&amp;"Table"&amp;"[Name]"),0),COLUMN(INDIRECT(G3&amp;"Table"&amp;"["&amp;D17&amp;"lb"&amp;"]"))),0)</f>
        <v>0</v>
      </c>
      <c r="E19">
        <f ca="1">IFERROR(INDEX(INDIRECT(G3&amp;"Table"),MATCH(G4,INDIRECT(G3&amp;"Table"&amp;"[Name]"),0),COLUMN(INDIRECT(G3&amp;"Table"&amp;"["&amp;E17&amp;"lb"&amp;"]"))),0)</f>
        <v>0</v>
      </c>
      <c r="F19">
        <f ca="1">IFERROR(INDEX(INDIRECT(G3&amp;"Table"),MATCH(G4,INDIRECT(G3&amp;"Table"&amp;"[Name]"),0),COLUMN(INDIRECT(G3&amp;"Table"&amp;"["&amp;F17&amp;"lb"&amp;"]"))),0)</f>
        <v>0</v>
      </c>
      <c r="G19">
        <f ca="1">IFERROR(INDEX(INDIRECT(G3&amp;"Table"),MATCH(G4,INDIRECT(G3&amp;"Table"&amp;"[Name]"),0),COLUMN(INDIRECT(G3&amp;"Table"&amp;"["&amp;G17&amp;"lb"&amp;"]"))),0)</f>
        <v>0</v>
      </c>
      <c r="I19">
        <f ca="1">IFERROR(INDEX(INDIRECT(G3&amp;"Table"),MATCH(G4,INDIRECT(G3&amp;"Table"&amp;"[Name]"),0),COLUMN(INDIRECT(G3&amp;"Table"&amp;"["&amp;I17&amp;"]"))),0)</f>
        <v>3</v>
      </c>
      <c r="J19">
        <f ca="1">IFERROR(INDEX(INDIRECT(G3&amp;"Table"),MATCH(G4,INDIRECT(G3&amp;"Table"&amp;"[Name]"),0),COLUMN(INDIRECT(G3&amp;"Table"&amp;"["&amp;J17&amp;"]"))),0)</f>
        <v>260</v>
      </c>
      <c r="M19" t="s">
        <v>10</v>
      </c>
      <c r="N19">
        <f ca="1">IF(OR(F5="B",F5="F"),C61,C65)*P11*L12</f>
        <v>34075.507821100677</v>
      </c>
      <c r="P19">
        <f ca="1">IF(OR(G5="B",G5="F"),E61,E65)*P11*L12</f>
        <v>34075.507821100677</v>
      </c>
      <c r="R19">
        <f ca="1">IF(OR(H5="B",H5="F"),G61,G65)*P11*L12</f>
        <v>17047.966350456762</v>
      </c>
    </row>
    <row r="20" spans="1:20" x14ac:dyDescent="0.3">
      <c r="A20" s="13"/>
      <c r="B20" t="s">
        <v>71</v>
      </c>
      <c r="C20">
        <f ca="1">IFERROR(INDEX(INDIRECT(H3&amp;"Table"),MATCH(H4,INDIRECT(H3&amp;"Table"&amp;"[Name]"),0),COLUMN(INDIRECT(H4&amp;"Table"&amp;"["&amp;C17&amp;"]"))),0)</f>
        <v>0</v>
      </c>
      <c r="D20">
        <f ca="1">IFERROR(INDEX(INDIRECT(H3&amp;"Table"),MATCH(H4,INDIRECT(H3&amp;"Table"&amp;"[Name]"),0),COLUMN(INDIRECT(H3&amp;"Table"&amp;"["&amp;D17&amp;"lb"&amp;"]"))),0)</f>
        <v>2</v>
      </c>
      <c r="E20">
        <f ca="1">IFERROR(INDEX(INDIRECT(H3&amp;"Table"),MATCH(H4,INDIRECT(H3&amp;"Table"&amp;"[Name]"),0),COLUMN(INDIRECT(H3&amp;"Table"&amp;"["&amp;E17&amp;"lb"&amp;"]"))),0)</f>
        <v>0</v>
      </c>
      <c r="F20">
        <f ca="1">IFERROR(INDEX(INDIRECT(H3&amp;"Table"),MATCH(H4,INDIRECT(H3&amp;"Table"&amp;"[Name]"),0),COLUMN(INDIRECT(H3&amp;"Table"&amp;"["&amp;F17&amp;"lb"&amp;"]"))),0)</f>
        <v>0</v>
      </c>
      <c r="G20">
        <f ca="1">IFERROR(INDEX(INDIRECT(H3&amp;"Table"),MATCH(H4,INDIRECT(H3&amp;"Table"&amp;"[Name]"),0),COLUMN(INDIRECT(H3&amp;"Table"&amp;"["&amp;G17&amp;"lb"&amp;"]"))),0)</f>
        <v>1</v>
      </c>
      <c r="I20">
        <f ca="1">IFERROR(INDEX(INDIRECT(H3&amp;"Table"),MATCH(H4,INDIRECT(H3&amp;"Table"&amp;"[Name]"),0),COLUMN(INDIRECT(H3&amp;"Table"&amp;"["&amp;I17&amp;"]"))),0)</f>
        <v>0</v>
      </c>
      <c r="J20">
        <f ca="1">IFERROR(INDEX(INDIRECT(H3&amp;"Table"),MATCH(H4,INDIRECT(H3&amp;"Table"&amp;"[Name]"),0),COLUMN(INDIRECT(H3&amp;"Table"&amp;"["&amp;J17&amp;"]"))),0)</f>
        <v>0</v>
      </c>
      <c r="M20" t="s">
        <v>12</v>
      </c>
      <c r="N20">
        <f ca="1">IF(OR(F5="B",F5="F"),C62,C66)*P11*L12</f>
        <v>40271.054697664433</v>
      </c>
      <c r="P20">
        <f ca="1">IF(OR(F5="F",F5="B"),E62,E66)*P11*L12</f>
        <v>40271.054697664433</v>
      </c>
      <c r="R20">
        <f ca="1">IF(OR(H5="B",H5="F"),G62,G66)*L12</f>
        <v>20606.43430007287</v>
      </c>
    </row>
    <row r="21" spans="1:20" x14ac:dyDescent="0.3">
      <c r="A21" s="13"/>
    </row>
    <row r="22" spans="1:20" x14ac:dyDescent="0.3">
      <c r="A22" s="13"/>
      <c r="B22" t="s">
        <v>774</v>
      </c>
      <c r="C22" s="2" t="s">
        <v>52</v>
      </c>
      <c r="D22" t="s">
        <v>757</v>
      </c>
      <c r="E22" t="s">
        <v>8</v>
      </c>
      <c r="F22" t="s">
        <v>10</v>
      </c>
      <c r="G22" t="s">
        <v>12</v>
      </c>
      <c r="H22" t="s">
        <v>55</v>
      </c>
      <c r="I22" s="1" t="s">
        <v>27</v>
      </c>
      <c r="J22" t="s">
        <v>59</v>
      </c>
      <c r="K22" t="s">
        <v>68</v>
      </c>
      <c r="N22" t="s">
        <v>128</v>
      </c>
      <c r="P22" t="s">
        <v>129</v>
      </c>
      <c r="R22" t="s">
        <v>130</v>
      </c>
    </row>
    <row r="23" spans="1:20" x14ac:dyDescent="0.3">
      <c r="A23" s="13"/>
      <c r="B23">
        <v>0</v>
      </c>
      <c r="C23" s="2">
        <v>0</v>
      </c>
      <c r="D23">
        <v>0</v>
      </c>
      <c r="E23">
        <v>1.4</v>
      </c>
      <c r="F23">
        <v>0.9</v>
      </c>
      <c r="G23">
        <v>0.7</v>
      </c>
      <c r="H23" s="1">
        <v>0</v>
      </c>
      <c r="I23" s="1">
        <v>1</v>
      </c>
      <c r="J23">
        <v>0</v>
      </c>
      <c r="K23" s="1">
        <v>1</v>
      </c>
      <c r="M23" t="s">
        <v>8</v>
      </c>
      <c r="N23">
        <f ca="1">N18*(IF(OR(F5="F",F5="B"),0.8,1))/L8</f>
        <v>1017.2168450842688</v>
      </c>
      <c r="P23">
        <f ca="1">P18*(IF(OR(G5="F",G5="B"),0.8,1))/L8</f>
        <v>1017.2168450842688</v>
      </c>
      <c r="R23">
        <f ca="1">R18*(IF(OR(H5="F",H5="B"),0.8,1))/L8</f>
        <v>444.74359937457268</v>
      </c>
    </row>
    <row r="24" spans="1:20" x14ac:dyDescent="0.3">
      <c r="A24" s="13"/>
      <c r="B24">
        <v>0</v>
      </c>
      <c r="C24" s="2">
        <v>0</v>
      </c>
      <c r="D24">
        <v>0</v>
      </c>
      <c r="E24">
        <v>1.1000000000000001</v>
      </c>
      <c r="F24">
        <v>0.9</v>
      </c>
      <c r="G24">
        <v>0.6</v>
      </c>
      <c r="H24" s="1">
        <v>0</v>
      </c>
      <c r="I24" s="1">
        <v>1</v>
      </c>
      <c r="J24">
        <v>20</v>
      </c>
      <c r="K24" s="1">
        <v>1</v>
      </c>
      <c r="M24" t="s">
        <v>10</v>
      </c>
      <c r="N24">
        <f ca="1">N19*(IF(OR(F5="F",F5="B"),0.8,1))/L8</f>
        <v>1398.6731619908696</v>
      </c>
      <c r="P24">
        <f ca="1">P19*(IF(OR(G5="F",G5="B"),0.8,1))/L8</f>
        <v>1398.6731619908696</v>
      </c>
      <c r="R24">
        <f ca="1">R19*(IF(OR(H5="F",H5="B"),0.8,1))/L8</f>
        <v>559.804611009013</v>
      </c>
    </row>
    <row r="25" spans="1:20" x14ac:dyDescent="0.3">
      <c r="A25" s="13"/>
      <c r="B25">
        <v>0</v>
      </c>
      <c r="C25" s="2">
        <v>0</v>
      </c>
      <c r="D25">
        <v>0</v>
      </c>
      <c r="E25">
        <v>0.8</v>
      </c>
      <c r="F25">
        <v>1</v>
      </c>
      <c r="G25">
        <v>1.3</v>
      </c>
      <c r="H25" s="1">
        <v>0</v>
      </c>
      <c r="I25" s="1">
        <v>1</v>
      </c>
      <c r="J25">
        <v>20</v>
      </c>
      <c r="K25" s="1">
        <v>1</v>
      </c>
      <c r="M25" t="s">
        <v>12</v>
      </c>
      <c r="N25">
        <f ca="1">N20*(IF(OR(F5="F",F5="B"),0.8,1))/L8</f>
        <v>1652.9773732619367</v>
      </c>
      <c r="P25">
        <f ca="1">P20*(IF(OR(G5="F",G5="B"),0.8,1))/L8</f>
        <v>1652.9773732619367</v>
      </c>
      <c r="R25">
        <f ca="1">R20*(IF(OR(H5="F",H5="B"),0.8,1))/L8</f>
        <v>676.65413577766742</v>
      </c>
    </row>
    <row r="26" spans="1:20" x14ac:dyDescent="0.3">
      <c r="A26" s="13"/>
      <c r="B26">
        <v>0</v>
      </c>
      <c r="C26" s="2">
        <v>0</v>
      </c>
      <c r="D26">
        <v>0</v>
      </c>
      <c r="E26">
        <v>0.8</v>
      </c>
      <c r="F26">
        <v>1</v>
      </c>
      <c r="G26">
        <v>1.3</v>
      </c>
      <c r="H26" s="1">
        <v>0</v>
      </c>
      <c r="I26" s="1">
        <v>1</v>
      </c>
      <c r="J26">
        <v>20</v>
      </c>
      <c r="K26" s="1">
        <v>1</v>
      </c>
    </row>
    <row r="27" spans="1:20" x14ac:dyDescent="0.3">
      <c r="A27" s="13"/>
      <c r="N27" t="s">
        <v>35</v>
      </c>
      <c r="P27" t="s">
        <v>35</v>
      </c>
      <c r="R27" t="s">
        <v>35</v>
      </c>
      <c r="T27" t="s">
        <v>35</v>
      </c>
    </row>
    <row r="28" spans="1:20" x14ac:dyDescent="0.3">
      <c r="A28" s="13"/>
      <c r="B28" t="s">
        <v>31</v>
      </c>
      <c r="D28">
        <f ca="1">SUM(C7:H7)</f>
        <v>6257</v>
      </c>
      <c r="E28" t="s">
        <v>32</v>
      </c>
      <c r="G28" s="1">
        <v>0</v>
      </c>
      <c r="I28" s="1"/>
      <c r="M28" t="s">
        <v>8</v>
      </c>
      <c r="N28">
        <f ca="1">(B23*E23*((100+L3*K23)/100)/IF(J23=0,L8,J23)*L12*I23)</f>
        <v>0</v>
      </c>
      <c r="P28">
        <f ca="1">(B24*E24*((100+L3*K24)/100)/IF(J24=0,L8,J24)*L12*I24)</f>
        <v>0</v>
      </c>
      <c r="R28">
        <f ca="1">(B25*E25*((100+L3*K25)/100)/IF(J25=0,L8,J25)*L12*I25)</f>
        <v>0</v>
      </c>
      <c r="T28">
        <f ca="1">(B26*E26*((100+L3*K26)/100)/IF(J26=0,L8,J26)*L12*I26)</f>
        <v>0</v>
      </c>
    </row>
    <row r="29" spans="1:20" x14ac:dyDescent="0.3">
      <c r="A29" s="13"/>
      <c r="B29" t="s">
        <v>33</v>
      </c>
      <c r="D29">
        <f ca="1">D28/I32</f>
        <v>62570</v>
      </c>
      <c r="E29" t="s">
        <v>34</v>
      </c>
      <c r="G29" s="1">
        <v>1</v>
      </c>
      <c r="I29" s="1"/>
      <c r="M29" t="s">
        <v>10</v>
      </c>
      <c r="N29">
        <f ca="1">(B23*F23*((100+L3*K23)/100)/IF(J23=0,L8,J23)*L12*I23)</f>
        <v>0</v>
      </c>
      <c r="P29">
        <f ca="1">(B24*F24*((100+L3*K24)/100)/IF(J24=0,L8,J24)*L12*I24)</f>
        <v>0</v>
      </c>
      <c r="R29">
        <f ca="1">(B25*F25*((100+L3*K25)/100)/IF(J25=0,L8,J25)*L12*I25)</f>
        <v>0</v>
      </c>
      <c r="T29">
        <f ca="1">(B26*F26*((100+L3*K26)/100)/IF(J26=0,L8,J26)*L12*I26)</f>
        <v>0</v>
      </c>
    </row>
    <row r="30" spans="1:20" x14ac:dyDescent="0.3">
      <c r="A30" s="13"/>
      <c r="M30" t="s">
        <v>12</v>
      </c>
      <c r="N30">
        <f ca="1">(B23*G23*((100+L3*K23)/100)/IF(J23=0,L8,J23)*L12*I23)</f>
        <v>0</v>
      </c>
      <c r="P30">
        <f ca="1">(B24*G24*((100+L3)/100)/IF(J24=0,L8,J24)*L12*I24)</f>
        <v>0</v>
      </c>
      <c r="R30">
        <f ca="1">(B25*G25*((100+L3*K25)/100)/IF(J25=0,L8,J25)*L12*I25)</f>
        <v>0</v>
      </c>
      <c r="T30">
        <f ca="1">(B26*G26*((100+L3*K26)/100)/IF(J26=0,L8,J26)*L12*I26)</f>
        <v>0</v>
      </c>
    </row>
    <row r="31" spans="1:20" x14ac:dyDescent="0.3">
      <c r="A31" s="13"/>
      <c r="B31" t="s">
        <v>36</v>
      </c>
      <c r="E31" s="1">
        <f ca="1">0.1+(SUM(C13:H13)/(SUM(C13:H13)+2+P8))-((SUM(C12:H12)-P6)/1000)</f>
        <v>0.99927272727272742</v>
      </c>
      <c r="F31" t="s">
        <v>37</v>
      </c>
      <c r="I31" s="3">
        <f ca="1">0.1+(P7/(P7+2+G29*SUM(C11:H11)))+((P6-SUM(C12:H12))/1000)-G28</f>
        <v>2.2000000000000006E-2</v>
      </c>
    </row>
    <row r="32" spans="1:20" x14ac:dyDescent="0.3">
      <c r="A32" s="13"/>
      <c r="B32" t="s">
        <v>51</v>
      </c>
      <c r="E32" s="1">
        <f ca="1">IF(E31&lt;=0.1, 0.1, IF(E31&gt;=0.9, 0.9, E31))</f>
        <v>0.9</v>
      </c>
      <c r="F32" t="s">
        <v>50</v>
      </c>
      <c r="I32" s="1">
        <f ca="1">IF(I31&lt;=0.1, 0.1, IF(I31&gt;=0.9, 0.9, I31))</f>
        <v>0.1</v>
      </c>
      <c r="M32" t="s">
        <v>144</v>
      </c>
      <c r="O32" t="s">
        <v>49</v>
      </c>
      <c r="P32" t="s">
        <v>49</v>
      </c>
      <c r="Q32" t="s">
        <v>49</v>
      </c>
      <c r="R32" t="s">
        <v>49</v>
      </c>
    </row>
    <row r="33" spans="1:18" x14ac:dyDescent="0.3">
      <c r="A33" s="13"/>
      <c r="O33">
        <f ca="1">(C23*I23*((100+K23*L3)/100)*K14+5)*(1-(1-H23)^(D23))*5</f>
        <v>0</v>
      </c>
      <c r="P33">
        <f ca="1">(C24*I24*((100+K24*L3)/100)*K14+5)*(1-(1-H24)^(D24))*5</f>
        <v>0</v>
      </c>
      <c r="Q33">
        <f ca="1">(C25*I25*((100+K25*L3)/100)*K14+5)*(1-(1-H25)^(D25))*5</f>
        <v>0</v>
      </c>
      <c r="R33">
        <f ca="1">(C26*I26*((100+K26*L3)/100)*K14+5)*(1-(1-H23)^(D23))*5</f>
        <v>0</v>
      </c>
    </row>
    <row r="34" spans="1:18" x14ac:dyDescent="0.3">
      <c r="A34" s="13"/>
      <c r="B34" t="s">
        <v>28</v>
      </c>
      <c r="C34" t="s">
        <v>66</v>
      </c>
      <c r="M34" t="s">
        <v>146</v>
      </c>
      <c r="O34">
        <f ca="1">IF(P15=0,0,P15)*(C23*((100+L3*K23)/100)*P14+10)*8</f>
        <v>0</v>
      </c>
    </row>
    <row r="35" spans="1:18" x14ac:dyDescent="0.3">
      <c r="A35" s="13"/>
      <c r="B35" t="s">
        <v>29</v>
      </c>
      <c r="C35" t="s">
        <v>67</v>
      </c>
    </row>
    <row r="36" spans="1:18" x14ac:dyDescent="0.3">
      <c r="A36" s="13"/>
      <c r="O36" t="s">
        <v>44</v>
      </c>
      <c r="P36" t="s">
        <v>44</v>
      </c>
      <c r="Q36" t="s">
        <v>44</v>
      </c>
      <c r="R36" t="s">
        <v>44</v>
      </c>
    </row>
    <row r="37" spans="1:18" x14ac:dyDescent="0.3">
      <c r="A37" s="13"/>
      <c r="B37" t="s">
        <v>38</v>
      </c>
      <c r="C37" t="s">
        <v>39</v>
      </c>
      <c r="M37" t="s">
        <v>44</v>
      </c>
      <c r="O37">
        <f ca="1">O33/15*(MIN((15/IF(J23=0,L8,J23)),1))</f>
        <v>0</v>
      </c>
      <c r="P37">
        <f ca="1">P33/15*(MIN((15/IF(J24=0,L8,J24)),1))</f>
        <v>0</v>
      </c>
      <c r="Q37">
        <f ca="1">Q33/15*(MIN((15/IF(J25=0,L8,J25)),1))</f>
        <v>0</v>
      </c>
      <c r="R37">
        <f ca="1">R33/15*(MIN((15/IF(J26=0,L8,J26)),1))</f>
        <v>0</v>
      </c>
    </row>
    <row r="38" spans="1:18" x14ac:dyDescent="0.3">
      <c r="A38" s="13"/>
      <c r="C38" t="s">
        <v>40</v>
      </c>
      <c r="M38" t="s">
        <v>147</v>
      </c>
      <c r="O38">
        <f ca="1">O34/15*(MIN((15/IF(J23=0,L8,J23)),1))</f>
        <v>0</v>
      </c>
    </row>
    <row r="39" spans="1:18" x14ac:dyDescent="0.3">
      <c r="A39" s="13"/>
      <c r="C39" t="s">
        <v>41</v>
      </c>
    </row>
    <row r="40" spans="1:18" x14ac:dyDescent="0.3">
      <c r="A40" s="13"/>
    </row>
    <row r="41" spans="1:18" x14ac:dyDescent="0.3">
      <c r="A41" s="13"/>
      <c r="B41" t="s">
        <v>42</v>
      </c>
      <c r="C41" t="s">
        <v>43</v>
      </c>
    </row>
    <row r="42" spans="1:18" x14ac:dyDescent="0.3">
      <c r="A42" s="13"/>
      <c r="C42" t="s">
        <v>45</v>
      </c>
    </row>
    <row r="43" spans="1:18" x14ac:dyDescent="0.3">
      <c r="A43" s="13"/>
    </row>
    <row r="44" spans="1:18" x14ac:dyDescent="0.3">
      <c r="A44" s="13"/>
      <c r="B44" t="s">
        <v>46</v>
      </c>
      <c r="C44" t="s">
        <v>47</v>
      </c>
    </row>
    <row r="45" spans="1:18" x14ac:dyDescent="0.3">
      <c r="A45" s="13"/>
      <c r="C45" t="s">
        <v>48</v>
      </c>
    </row>
    <row r="46" spans="1:18" x14ac:dyDescent="0.3">
      <c r="A46" s="13"/>
    </row>
    <row r="47" spans="1:18" x14ac:dyDescent="0.3">
      <c r="A47" s="13"/>
      <c r="B47" t="s">
        <v>127</v>
      </c>
    </row>
    <row r="48" spans="1:18" x14ac:dyDescent="0.3">
      <c r="A48" s="13"/>
      <c r="B48" t="s">
        <v>104</v>
      </c>
      <c r="C48">
        <v>100</v>
      </c>
      <c r="D48">
        <v>500</v>
      </c>
      <c r="E48">
        <v>1000</v>
      </c>
      <c r="F48">
        <v>1600</v>
      </c>
      <c r="G48">
        <v>2000</v>
      </c>
      <c r="I48" t="s">
        <v>105</v>
      </c>
    </row>
    <row r="49" spans="1:11" x14ac:dyDescent="0.3">
      <c r="A49" s="13"/>
      <c r="B49" t="s">
        <v>8</v>
      </c>
      <c r="C49" s="6">
        <v>0.8</v>
      </c>
      <c r="D49" s="6">
        <v>0.8</v>
      </c>
      <c r="E49" s="6">
        <v>0.8</v>
      </c>
      <c r="F49" s="6">
        <v>0.75</v>
      </c>
      <c r="G49" s="6">
        <v>0.7</v>
      </c>
      <c r="I49" t="s">
        <v>8</v>
      </c>
      <c r="K49" s="1">
        <v>0.8</v>
      </c>
    </row>
    <row r="50" spans="1:11" x14ac:dyDescent="0.3">
      <c r="A50" s="13"/>
      <c r="B50" t="s">
        <v>10</v>
      </c>
      <c r="C50" s="6">
        <v>0.85</v>
      </c>
      <c r="D50" s="6">
        <v>0.9</v>
      </c>
      <c r="E50" s="6">
        <v>0.95</v>
      </c>
      <c r="F50" s="6">
        <v>1</v>
      </c>
      <c r="G50" s="6">
        <v>1.05</v>
      </c>
      <c r="I50" t="s">
        <v>10</v>
      </c>
      <c r="K50" s="1">
        <v>1.1000000000000001</v>
      </c>
    </row>
    <row r="51" spans="1:11" x14ac:dyDescent="0.3">
      <c r="A51" s="13"/>
      <c r="B51" t="s">
        <v>12</v>
      </c>
      <c r="C51" s="6">
        <v>1</v>
      </c>
      <c r="D51" s="6">
        <v>1.1000000000000001</v>
      </c>
      <c r="E51" s="6">
        <v>1.1499999999999999</v>
      </c>
      <c r="F51" s="6">
        <v>1.2</v>
      </c>
      <c r="G51" s="6">
        <v>1.25</v>
      </c>
      <c r="I51" t="s">
        <v>12</v>
      </c>
      <c r="K51" s="1">
        <v>1.3</v>
      </c>
    </row>
    <row r="52" spans="1:11" x14ac:dyDescent="0.3">
      <c r="A52" s="13"/>
    </row>
    <row r="53" spans="1:11" x14ac:dyDescent="0.3">
      <c r="A53" s="13"/>
      <c r="B53" t="s">
        <v>73</v>
      </c>
      <c r="C53" t="s">
        <v>52</v>
      </c>
    </row>
    <row r="54" spans="1:11" x14ac:dyDescent="0.3">
      <c r="A54" s="13"/>
      <c r="B54" t="s">
        <v>74</v>
      </c>
      <c r="C54">
        <v>173</v>
      </c>
    </row>
    <row r="55" spans="1:11" x14ac:dyDescent="0.3">
      <c r="A55" s="13"/>
      <c r="B55" t="s">
        <v>75</v>
      </c>
      <c r="C55">
        <v>360</v>
      </c>
    </row>
    <row r="56" spans="1:11" x14ac:dyDescent="0.3">
      <c r="A56" s="13"/>
      <c r="B56" t="s">
        <v>76</v>
      </c>
      <c r="C56">
        <v>402</v>
      </c>
    </row>
    <row r="57" spans="1:11" x14ac:dyDescent="0.3">
      <c r="A57" s="13"/>
      <c r="B57" t="s">
        <v>77</v>
      </c>
      <c r="C57">
        <v>429</v>
      </c>
    </row>
    <row r="58" spans="1:11" x14ac:dyDescent="0.3">
      <c r="A58" s="13"/>
      <c r="B58" t="s">
        <v>78</v>
      </c>
      <c r="C58">
        <v>456</v>
      </c>
    </row>
    <row r="59" spans="1:11" x14ac:dyDescent="0.3">
      <c r="A59" s="13"/>
    </row>
    <row r="60" spans="1:11" x14ac:dyDescent="0.3">
      <c r="A60" s="13"/>
      <c r="B60" t="s">
        <v>108</v>
      </c>
      <c r="C60">
        <f ca="1">((100+L3)/100)*F6*F9*(C18*C54*C49+D18*C55*D49+E18*C56*E49+F18*C57*F49+G18*C58*G49)</f>
        <v>0</v>
      </c>
      <c r="D60" t="s">
        <v>114</v>
      </c>
      <c r="E60">
        <f ca="1">((100+L3)/100)*G6*G9*(C19*C54*C49+D19*C55*D49+E19*C56*E49+F19*C57*F49+G19*C58*G49)</f>
        <v>0</v>
      </c>
      <c r="F60" t="s">
        <v>115</v>
      </c>
      <c r="G60">
        <f ca="1">((100+L3)/100)*H6*H9*(C20*C54*C49+D20*C55*D49+E20*C56*E49+F20*C57*F49+G20*C58*G49)</f>
        <v>11673.408000000001</v>
      </c>
    </row>
    <row r="61" spans="1:11" x14ac:dyDescent="0.3">
      <c r="A61" s="13"/>
      <c r="B61" t="s">
        <v>109</v>
      </c>
      <c r="C61">
        <f ca="1">((100+L3)/100)*F6*F9*(C18*C54*C50+D18*C55*D50+E18*C56*E50+F18*C57*F50+G18*C58*G50)</f>
        <v>0</v>
      </c>
      <c r="D61" t="s">
        <v>112</v>
      </c>
      <c r="E61">
        <f ca="1">((100+L3)/100)*G6*G9*(C19*C54*C50+D19*C55*D50+E19*C56*E50+F19*C57*F50+G19*C58*G50)</f>
        <v>0</v>
      </c>
      <c r="F61" t="s">
        <v>116</v>
      </c>
      <c r="G61">
        <f ca="1">((100+L3)/100)*H6*H9*(C20*C54*C50+D20*C55*D50+E20*C56*E50+F20*C57*F50+G20*C58*G50)</f>
        <v>14693.472</v>
      </c>
    </row>
    <row r="62" spans="1:11" x14ac:dyDescent="0.3">
      <c r="A62" s="13"/>
      <c r="B62" t="s">
        <v>110</v>
      </c>
      <c r="C62">
        <f ca="1">((100+L3)/100)*F6*F9*(C18*C54*C51+D18*C55*D51+E18*C56*E51+F18*C57*F51+G18*C58*G51)</f>
        <v>0</v>
      </c>
      <c r="D62" t="s">
        <v>113</v>
      </c>
      <c r="E62">
        <f ca="1">((100+L3)/100)*G6*G9*(C19*C54*C50+D19*C55*D50+E19*C56*E50+F19*C57*F50+G19*C58*G50)</f>
        <v>0</v>
      </c>
      <c r="F62" t="s">
        <v>111</v>
      </c>
      <c r="G62">
        <f ca="1">((100+L3)/100)*H6*H9*(C20*C54*C51+D20*C55*D51+E20*C56*E51+F20*C57*F51+G20*C58*G51)</f>
        <v>17760.48</v>
      </c>
    </row>
    <row r="63" spans="1:11" x14ac:dyDescent="0.3">
      <c r="A63" s="13"/>
    </row>
    <row r="64" spans="1:11" x14ac:dyDescent="0.3">
      <c r="A64" s="13"/>
      <c r="B64" t="s">
        <v>118</v>
      </c>
      <c r="C64">
        <f ca="1">((100+L3)/100)*F6*F9*I18*J18*K49</f>
        <v>21359.520000000004</v>
      </c>
      <c r="D64" t="s">
        <v>121</v>
      </c>
      <c r="E64">
        <f ca="1">((100+L3)/100)*G6*G9*I19*J19*K49</f>
        <v>21359.520000000004</v>
      </c>
      <c r="F64" t="s">
        <v>124</v>
      </c>
      <c r="G64">
        <f ca="1">((100+L3)/100)*H6*H9*I20*J20*K49</f>
        <v>0</v>
      </c>
    </row>
    <row r="65" spans="1:7" x14ac:dyDescent="0.3">
      <c r="A65" s="13"/>
      <c r="B65" t="s">
        <v>119</v>
      </c>
      <c r="C65">
        <f ca="1">((100+L3)/100)*F6*F9*I18*J18*K50</f>
        <v>29369.340000000004</v>
      </c>
      <c r="D65" t="s">
        <v>122</v>
      </c>
      <c r="E65">
        <f ca="1">((100+L3)/100)*G6*G9*I19*J19*K50</f>
        <v>29369.340000000004</v>
      </c>
      <c r="F65" t="s">
        <v>125</v>
      </c>
      <c r="G65">
        <f ca="1">((100+L3)/100)*H6*H9*I20*J20*K50</f>
        <v>0</v>
      </c>
    </row>
    <row r="66" spans="1:7" x14ac:dyDescent="0.3">
      <c r="A66" s="13"/>
      <c r="B66" t="s">
        <v>120</v>
      </c>
      <c r="C66">
        <f ca="1">((100+L3)/100)*F6*F9*I18*J18*K51</f>
        <v>34709.22</v>
      </c>
      <c r="D66" t="s">
        <v>123</v>
      </c>
      <c r="E66">
        <f ca="1">((100+L3)/100)*G6*G9*I19*J19*K51</f>
        <v>34709.22</v>
      </c>
      <c r="F66" t="s">
        <v>126</v>
      </c>
      <c r="G66">
        <f ca="1">((100+L3)/100)*H6*H9*I20*J20*K51</f>
        <v>0</v>
      </c>
    </row>
  </sheetData>
  <dataValidations count="6">
    <dataValidation type="list" allowBlank="1" showInputMessage="1" showErrorMessage="1" sqref="E4" xr:uid="{13021CC8-1DCA-4EBE-8AC5-B6649377E2F2}">
      <formula1>INDIRECT($E$3)</formula1>
    </dataValidation>
    <dataValidation type="list" allowBlank="1" showInputMessage="1" showErrorMessage="1" sqref="D4" xr:uid="{FE336992-7234-4A44-9C56-C4C889092EA9}">
      <formula1>INDIRECT($D$3)</formula1>
    </dataValidation>
    <dataValidation type="list" allowBlank="1" showInputMessage="1" showErrorMessage="1" sqref="D3:E3" xr:uid="{D200D8D0-A5A2-40BB-AA20-FDF58883362A}">
      <formula1>AuxType1</formula1>
    </dataValidation>
    <dataValidation type="list" allowBlank="1" showInputMessage="1" showErrorMessage="1" sqref="G4:H4" xr:uid="{1F9B1196-626B-4C34-B922-BB374023F212}">
      <formula1>INDIRECT($G$3)</formula1>
    </dataValidation>
    <dataValidation type="list" allowBlank="1" showInputMessage="1" showErrorMessage="1" sqref="F4" xr:uid="{4358D5DC-9DB1-47C2-8FC7-C2981019441A}">
      <formula1>INDIRECT($F$3)</formula1>
    </dataValidation>
    <dataValidation type="list" allowBlank="1" showInputMessage="1" showErrorMessage="1" sqref="F3:H3" xr:uid="{F6F4DC69-FE2C-4534-95B2-EDBF5996E21B}">
      <formula1>EquipmentType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H70"/>
  <sheetViews>
    <sheetView zoomScaleNormal="100" workbookViewId="0">
      <selection activeCell="I18" sqref="I18"/>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4" x14ac:dyDescent="0.3">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row>
    <row r="2" spans="1:34" x14ac:dyDescent="0.3">
      <c r="A2" s="13"/>
      <c r="B2" s="47" t="s">
        <v>189</v>
      </c>
      <c r="C2" s="46" t="s">
        <v>689</v>
      </c>
      <c r="D2" s="48" t="s">
        <v>2</v>
      </c>
      <c r="E2" s="48" t="s">
        <v>3</v>
      </c>
      <c r="F2" s="48" t="s">
        <v>69</v>
      </c>
      <c r="G2" s="48" t="s">
        <v>70</v>
      </c>
      <c r="H2" s="48" t="s">
        <v>71</v>
      </c>
      <c r="I2" s="13"/>
      <c r="J2" s="13"/>
      <c r="K2" s="4"/>
      <c r="L2" s="4"/>
      <c r="M2" s="4"/>
      <c r="N2" s="4"/>
      <c r="O2" s="4"/>
      <c r="P2" s="4"/>
      <c r="Q2" s="4"/>
      <c r="R2" s="4"/>
      <c r="S2" s="4"/>
      <c r="T2" s="4"/>
      <c r="U2" s="4"/>
      <c r="V2" s="4"/>
      <c r="W2" s="13"/>
      <c r="X2" s="86" t="s">
        <v>269</v>
      </c>
      <c r="Y2" s="86"/>
      <c r="Z2" s="86"/>
      <c r="AA2" s="86"/>
      <c r="AB2" s="13"/>
      <c r="AC2" s="13"/>
      <c r="AD2" s="13"/>
      <c r="AE2" s="13"/>
      <c r="AF2" s="13"/>
      <c r="AG2" s="13"/>
      <c r="AH2" s="13"/>
    </row>
    <row r="3" spans="1:34" x14ac:dyDescent="0.3">
      <c r="A3" s="13"/>
      <c r="B3" s="45" t="s">
        <v>150</v>
      </c>
      <c r="C3" s="34" t="str">
        <f>IFERROR(INDEX(SType[],MATCH(C4,SType[Ship],0),COLUMN(SType[Type])),0)</f>
        <v>Battleship</v>
      </c>
      <c r="D3" s="47" t="s">
        <v>302</v>
      </c>
      <c r="E3" s="47" t="s">
        <v>301</v>
      </c>
      <c r="F3" s="47" t="s">
        <v>189</v>
      </c>
      <c r="G3" s="47" t="s">
        <v>740</v>
      </c>
      <c r="H3" s="47" t="s">
        <v>189</v>
      </c>
      <c r="I3" s="13"/>
      <c r="J3" s="13"/>
      <c r="K3" s="76" t="str">
        <f>C2</f>
        <v>Ise Kai</v>
      </c>
      <c r="L3" s="73"/>
      <c r="M3" s="53" t="s">
        <v>25</v>
      </c>
      <c r="N3" s="53"/>
      <c r="O3" s="53" t="s">
        <v>26</v>
      </c>
      <c r="P3" s="53"/>
      <c r="Q3" s="53" t="s">
        <v>840</v>
      </c>
      <c r="R3" s="53"/>
      <c r="S3" s="53" t="s">
        <v>841</v>
      </c>
      <c r="T3" s="33"/>
      <c r="U3" s="38"/>
      <c r="V3" s="38"/>
      <c r="W3" s="13"/>
      <c r="X3" s="85" t="s">
        <v>151</v>
      </c>
      <c r="Y3" s="85" t="s">
        <v>268</v>
      </c>
      <c r="Z3" s="51"/>
      <c r="AA3" s="51"/>
      <c r="AB3" s="13"/>
      <c r="AC3" s="13"/>
      <c r="AD3" s="13"/>
      <c r="AE3" s="13"/>
      <c r="AF3" s="13"/>
      <c r="AG3" s="13"/>
      <c r="AH3" s="13"/>
    </row>
    <row r="4" spans="1:34" x14ac:dyDescent="0.3">
      <c r="A4" s="13"/>
      <c r="B4" s="45" t="s">
        <v>149</v>
      </c>
      <c r="C4" s="34" t="str">
        <f>IFERROR(INDEX(Base[],MATCH(C2,Base[Name],0),COLUMN(Base[Type])),0)</f>
        <v>BB</v>
      </c>
      <c r="D4" s="46" t="s">
        <v>290</v>
      </c>
      <c r="E4" s="46" t="s">
        <v>290</v>
      </c>
      <c r="F4" s="46" t="s">
        <v>770</v>
      </c>
      <c r="G4" s="46" t="s">
        <v>835</v>
      </c>
      <c r="H4" s="46" t="s">
        <v>136</v>
      </c>
      <c r="I4" s="13"/>
      <c r="J4" s="13"/>
      <c r="K4" s="55"/>
      <c r="L4" s="56" t="s">
        <v>8</v>
      </c>
      <c r="M4" s="71">
        <f ca="1">SUM(D35:H35)+SUM(K29:Q29)+SUM(K38:Q38)+SUM(K39:Q39)+D38</f>
        <v>1123.1383727441769</v>
      </c>
      <c r="N4" s="71"/>
      <c r="O4" s="71">
        <f ca="1">(SUM(D35:H35)+SUM(K29:Q29))*AA28+SUM(K38:Q38)+K39+D38</f>
        <v>1034.6647152137402</v>
      </c>
      <c r="P4" s="71"/>
      <c r="Q4" s="71">
        <f ca="1">F35</f>
        <v>177.05804036112434</v>
      </c>
      <c r="R4" s="71"/>
      <c r="S4" s="71">
        <f ca="1">D35+$D$38</f>
        <v>733.19670652344064</v>
      </c>
      <c r="T4" s="37"/>
      <c r="U4" s="38"/>
      <c r="V4" s="38"/>
      <c r="W4" s="13"/>
      <c r="X4" s="85" t="s">
        <v>150</v>
      </c>
      <c r="Y4" s="85" t="str">
        <f ca="1">IFERROR(INDEX(INDIRECT(F3&amp;"Table"),MATCH(F4,INDIRECT(F3&amp;"Table"&amp;"[Name]"),0),COLUMN(INDIRECT(F3&amp;"Table"&amp;"[Ammo]"))),0)</f>
        <v>HE</v>
      </c>
      <c r="Z4" s="51"/>
      <c r="AA4" s="51"/>
      <c r="AB4" s="13"/>
      <c r="AC4" s="13"/>
      <c r="AD4" s="13"/>
      <c r="AE4" s="13"/>
      <c r="AF4" s="13"/>
      <c r="AG4" s="13"/>
      <c r="AH4" s="13"/>
    </row>
    <row r="5" spans="1:34" x14ac:dyDescent="0.3">
      <c r="A5" s="13"/>
      <c r="B5" s="45" t="s">
        <v>150</v>
      </c>
      <c r="C5" s="44"/>
      <c r="D5" s="44"/>
      <c r="E5" s="44"/>
      <c r="F5" s="44" t="str">
        <f ca="1">IFERROR(INDEX(INDIRECT(C3&amp;"Table"),MATCH(C2,INDIRECT(C3&amp;"Table"&amp;"[Name]"),0),COLUMN(INDIRECT(C3&amp;"Table"&amp;"["&amp;B5&amp;"1"&amp;"]"))),0)</f>
        <v>N/A</v>
      </c>
      <c r="G5" s="44" t="str">
        <f ca="1">IFERROR(INDEX(INDIRECT(C3&amp;"Table"),MATCH(C2,INDIRECT(C3&amp;"Table"&amp;"[Name]"),0),COLUMN(INDIRECT(C3&amp;"Table"&amp;"["&amp;B5&amp;"2"&amp;"]"))),0)</f>
        <v>B</v>
      </c>
      <c r="H5" s="44" t="str">
        <f ca="1">IFERROR(INDEX(INDIRECT(C3&amp;"Table"),MATCH(C2,INDIRECT(C3&amp;"Table"&amp;"[Name]"),0),COLUMN(INDIRECT(C3&amp;"Table"&amp;"["&amp;B5&amp;"3"&amp;"]"))),0)</f>
        <v>N/A</v>
      </c>
      <c r="I5" s="13"/>
      <c r="J5" s="13"/>
      <c r="K5" s="55"/>
      <c r="L5" s="56" t="s">
        <v>10</v>
      </c>
      <c r="M5" s="71">
        <f ca="1">SUM(D36:H36)+SUM(K30:Q30)+SUM(K38:Q38)+SUM(K39:Q39)+D38</f>
        <v>1064.6976937867405</v>
      </c>
      <c r="N5" s="71"/>
      <c r="O5" s="71">
        <f ca="1">(SUM(D36:H36)+SUM(K30:Q30))*AA28+SUM(K38:Q38)+K39+D38</f>
        <v>982.06810415204734</v>
      </c>
      <c r="P5" s="71"/>
      <c r="Q5" s="71">
        <f ca="1">F36</f>
        <v>199.19029540626488</v>
      </c>
      <c r="R5" s="71"/>
      <c r="S5" s="71">
        <f ca="1">D36+$D$38</f>
        <v>627.1692260055197</v>
      </c>
      <c r="T5" s="37"/>
      <c r="U5" s="38"/>
      <c r="V5" s="38"/>
      <c r="W5" s="13"/>
      <c r="X5" s="85" t="s">
        <v>8</v>
      </c>
      <c r="Y5" s="51">
        <f ca="1">IF(C2="Kawakaze",1.15,IF(C2="Massachusetts",0.6,IFERROR(INDEX(INDIRECT(F3&amp;"Coef"),MATCH(Y4,INDIRECT(F3&amp;"Coef"&amp;"[Ammo]"),0),COLUMN(INDIRECT(F3&amp;"Coef"&amp;"["&amp;X5&amp;"]"))),0)))</f>
        <v>1.4</v>
      </c>
      <c r="Z5" s="51"/>
      <c r="AA5" s="51"/>
      <c r="AB5" s="13"/>
      <c r="AC5" s="13"/>
      <c r="AD5" s="13"/>
      <c r="AE5" s="13"/>
      <c r="AF5" s="13"/>
      <c r="AG5" s="13"/>
      <c r="AH5" s="13"/>
    </row>
    <row r="6" spans="1:34" x14ac:dyDescent="0.3">
      <c r="A6" s="13"/>
      <c r="B6" s="45" t="s">
        <v>103</v>
      </c>
      <c r="C6" s="44">
        <v>0</v>
      </c>
      <c r="D6" s="44">
        <v>0</v>
      </c>
      <c r="E6" s="44">
        <v>0</v>
      </c>
      <c r="F6" s="44">
        <f ca="1">IFERROR(INDEX(INDIRECT(C3&amp;"Table"),MATCH(C2,INDIRECT(C3&amp;"Table"&amp;"[Name]"),0),COLUMN(INDIRECT(C3&amp;"Table"&amp;"["&amp;"Plane1"&amp;"]"))),0)</f>
        <v>0</v>
      </c>
      <c r="G6" s="44">
        <f ca="1">IFERROR(INDEX(INDIRECT(C3&amp;"Table"),MATCH(C2,INDIRECT(C3&amp;"Table"&amp;"[Name]"),0),COLUMN(INDIRECT(C3&amp;"Table"&amp;"["&amp;"Plane2"&amp;"]"))),0)</f>
        <v>3</v>
      </c>
      <c r="H6" s="44">
        <f ca="1">IFERROR(INDEX(INDIRECT(C3&amp;"Table"),MATCH(C2,INDIRECT(C3&amp;"Table"&amp;"[Name]"),0),COLUMN(INDIRECT(C3&amp;"Table"&amp;"["&amp;"Plane3"&amp;"]"))),0)*IF(H5="N/A",0)</f>
        <v>0</v>
      </c>
      <c r="I6" s="13"/>
      <c r="J6" s="13"/>
      <c r="K6" s="55"/>
      <c r="L6" s="56" t="s">
        <v>12</v>
      </c>
      <c r="M6" s="71">
        <f ca="1">SUM(D37:H37)+SUM(K31:Q31)+SUM(K38:Q38)+SUM(K39:Q39)+D38</f>
        <v>1084.2675566633106</v>
      </c>
      <c r="N6" s="71"/>
      <c r="O6" s="71">
        <f ca="1">(SUM(D37:H37)+SUM(K31:Q31))*AA28+SUM(K38:Q38)+K39+D38</f>
        <v>999.68098074096042</v>
      </c>
      <c r="P6" s="71"/>
      <c r="Q6" s="71">
        <f ca="1">F37</f>
        <v>243.45480549654604</v>
      </c>
      <c r="R6" s="71"/>
      <c r="S6" s="71">
        <f ca="1">D37+$D$38</f>
        <v>556.48423899357238</v>
      </c>
      <c r="T6" s="37"/>
      <c r="U6" s="38"/>
      <c r="V6" s="38"/>
      <c r="W6" s="13"/>
      <c r="X6" s="85" t="s">
        <v>10</v>
      </c>
      <c r="Y6" s="51">
        <f ca="1">IF(C2="Kawakaze",1.15,IF(C2="Massachusetts",1.35,IFERROR(INDEX(INDIRECT(F3&amp;"Coef"),MATCH(Y4,INDIRECT(F3&amp;"Coef"&amp;"[Ammo]"),0),COLUMN(INDIRECT(F3&amp;"Coef"&amp;"["&amp;X6&amp;"]"))),0)))</f>
        <v>1.1000000000000001</v>
      </c>
      <c r="Z6" s="51"/>
      <c r="AA6" s="51"/>
      <c r="AB6" s="13"/>
      <c r="AC6" s="13"/>
      <c r="AD6" s="13"/>
      <c r="AE6" s="13"/>
      <c r="AF6" s="13"/>
      <c r="AG6" s="13"/>
      <c r="AH6" s="13"/>
    </row>
    <row r="7" spans="1:34" x14ac:dyDescent="0.3">
      <c r="A7" s="13"/>
      <c r="B7" s="45" t="s">
        <v>7</v>
      </c>
      <c r="C7" s="44">
        <f ca="1">IFERROR(INDEX(INDIRECT(C3&amp;"Table"),MATCH(C2,INDIRECT(C3&amp;"Table"&amp;"[Name]"),0),COLUMN(INDIRECT(C3&amp;"Table"&amp;"["&amp;B7&amp;"]"))),0)</f>
        <v>7243</v>
      </c>
      <c r="D7" s="44">
        <f ca="1">IFERROR(INDEX(INDIRECT(D3&amp;"Table"),MATCH(D4,INDIRECT(D3&amp;"Table"&amp;"[Name]"),0),COLUMN(INDIRECT(D3&amp;"Table"&amp;"["&amp;B7&amp;"]"))),0)</f>
        <v>75</v>
      </c>
      <c r="E7" s="44">
        <f ca="1">IFERROR(INDEX(INDIRECT(E3&amp;"Table"),MATCH(E4,INDIRECT(E3&amp;"Table"&amp;"[Name]"),0),COLUMN(INDIRECT(E3&amp;"Table"&amp;"["&amp;B7&amp;"]"))),0)</f>
        <v>75</v>
      </c>
      <c r="F7" s="44">
        <f ca="1">IFERROR(INDEX(INDIRECT(F3&amp;"Table"),MATCH(F4,INDIRECT(F3&amp;"Table"&amp;"[Name]"),0),COLUMN(INDIRECT(F3&amp;"Table"&amp;"["&amp;B7&amp;"]"))),0)</f>
        <v>0</v>
      </c>
      <c r="G7" s="44">
        <f ca="1">IFERROR(INDEX(INDIRECT(G3&amp;"Table"),MATCH(G4,INDIRECT(G3&amp;"Table"&amp;"[Name]"),0),COLUMN(INDIRECT(G3&amp;"Table"&amp;"["&amp;B7&amp;"]"))),0)</f>
        <v>0</v>
      </c>
      <c r="H7" s="44">
        <f ca="1">IFERROR(INDEX(INDIRECT(H3&amp;"Table"),MATCH(H4,INDIRECT(H3&amp;"Table"&amp;"[Name]"),0),COLUMN(INDIRECT(H3&amp;"Table"&amp;"["&amp;B7&amp;"]"))),0)*IF(H5="N/A",0)</f>
        <v>0</v>
      </c>
      <c r="I7" s="13"/>
      <c r="J7" s="13"/>
      <c r="K7" s="55"/>
      <c r="L7" s="55"/>
      <c r="M7" s="37"/>
      <c r="N7" s="37"/>
      <c r="O7" s="37"/>
      <c r="P7" s="37"/>
      <c r="Q7" s="37"/>
      <c r="R7" s="37"/>
      <c r="S7" s="37"/>
      <c r="T7" s="37"/>
      <c r="U7" s="38"/>
      <c r="V7" s="38"/>
      <c r="W7" s="13"/>
      <c r="X7" s="85" t="s">
        <v>12</v>
      </c>
      <c r="Y7" s="51">
        <f ca="1">IF(C2="Kawakaze",1.15,IF(C2="Massachusetts",1.15,IFERROR(INDEX(INDIRECT(F3&amp;"Coef"),MATCH(Y4,INDIRECT(F3&amp;"Coef"&amp;"[Ammo]"),0),COLUMN(INDIRECT(F3&amp;"Coef"&amp;"["&amp;X7&amp;"]"))),0)))</f>
        <v>0.9</v>
      </c>
      <c r="Z7" s="51"/>
      <c r="AA7" s="51"/>
      <c r="AB7" s="13"/>
      <c r="AC7" s="13"/>
      <c r="AD7" s="13"/>
      <c r="AE7" s="13"/>
      <c r="AF7" s="13"/>
      <c r="AG7" s="13"/>
      <c r="AH7" s="13"/>
    </row>
    <row r="8" spans="1:34" x14ac:dyDescent="0.3">
      <c r="A8" s="13"/>
      <c r="B8" s="45" t="s">
        <v>293</v>
      </c>
      <c r="C8" s="44">
        <f ca="1">IFERROR(INDEX(INDIRECT(C3&amp;"Table"),MATCH(C2,INDIRECT(C3&amp;"Table"&amp;"[Name]"),0),COLUMN(INDIRECT(C3&amp;"Table"&amp;"["&amp;B8&amp;"]"))),0)</f>
        <v>275</v>
      </c>
      <c r="D8" s="44">
        <f ca="1">IFERROR(INDEX(INDIRECT(D3&amp;"Table"),MATCH(D4,INDIRECT(D3&amp;"Table"&amp;"[Name]"),0),COLUMN(INDIRECT(D3&amp;"Table"&amp;"["&amp;B8&amp;"]"))),0)</f>
        <v>100</v>
      </c>
      <c r="E8" s="44">
        <f ca="1">IFERROR(INDEX(INDIRECT(E3&amp;"Table"),MATCH(E4,INDIRECT(E3&amp;"Table"&amp;"[Name]"),0),COLUMN(INDIRECT(E3&amp;"Table"&amp;"["&amp;B8&amp;"]"))),0)</f>
        <v>100</v>
      </c>
      <c r="F8" s="44">
        <f ca="1">IFERROR(INDEX(INDIRECT(F3&amp;"Table"),MATCH(F4,INDIRECT(F3&amp;"Table"&amp;"[Name]"),0),COLUMN(INDIRECT(F3&amp;"Table"&amp;"["&amp;B8&amp;"]"))),0)</f>
        <v>0</v>
      </c>
      <c r="G8" s="44">
        <f ca="1">IFERROR(INDEX(INDIRECT(G3&amp;"Table"),MATCH(G4,INDIRECT(G3&amp;"Table"&amp;"[Name]"),0),COLUMN(INDIRECT(G3&amp;"Table"&amp;"["&amp;B8&amp;"]"))),0)</f>
        <v>25</v>
      </c>
      <c r="H8" s="44">
        <f ca="1">IFERROR(INDEX(INDIRECT(H3&amp;"Table"),MATCH(H4,INDIRECT(H3&amp;"Table"&amp;"[Name]"),0),COLUMN(INDIRECT(H3&amp;"Table"&amp;"["&amp;B8&amp;"]"))),0)*IF(H5="N/A",0)</f>
        <v>0</v>
      </c>
      <c r="I8" s="13"/>
      <c r="J8" s="13"/>
      <c r="K8" s="55" t="s">
        <v>30</v>
      </c>
      <c r="L8" s="56"/>
      <c r="M8" s="71">
        <f ca="1">AA26</f>
        <v>73930</v>
      </c>
      <c r="N8" s="37"/>
      <c r="O8" s="55" t="s">
        <v>868</v>
      </c>
      <c r="P8" s="63">
        <f ca="1">G18</f>
        <v>120</v>
      </c>
      <c r="Q8" s="51" t="str">
        <f>F4</f>
        <v>2x410mm Purple</v>
      </c>
      <c r="R8" s="44"/>
      <c r="S8" s="44" t="str">
        <f>H4</f>
        <v>Fairey Swordfish (818 Squadron)</v>
      </c>
      <c r="T8" s="51"/>
      <c r="U8" s="51"/>
      <c r="V8" s="51"/>
      <c r="W8" s="13"/>
      <c r="X8" s="51"/>
      <c r="Y8" s="51"/>
      <c r="Z8" s="51"/>
      <c r="AA8" s="51"/>
      <c r="AB8" s="13"/>
      <c r="AC8" s="13"/>
      <c r="AD8" s="13"/>
      <c r="AE8" s="13"/>
      <c r="AF8" s="13"/>
      <c r="AG8" s="13"/>
      <c r="AH8" s="13"/>
    </row>
    <row r="9" spans="1:34" x14ac:dyDescent="0.3">
      <c r="A9" s="13"/>
      <c r="B9" s="45" t="s">
        <v>9</v>
      </c>
      <c r="C9" s="44">
        <f ca="1">IFERROR(INDEX(INDIRECT(C3&amp;"Table"),MATCH(C2,INDIRECT(C3&amp;"Table"&amp;"[Name]"),0),COLUMN(INDIRECT(C3&amp;"Table"&amp;"["&amp;B9&amp;"]"))),0)</f>
        <v>389</v>
      </c>
      <c r="D9" s="44">
        <f ca="1">IFERROR(INDEX(INDIRECT(D3&amp;"Table"),MATCH(D4,INDIRECT(D3&amp;"Table"&amp;"[Name]"),0),COLUMN(INDIRECT(D3&amp;"Table"&amp;"["&amp;B9&amp;"]"))),0)</f>
        <v>0</v>
      </c>
      <c r="E9" s="44">
        <f ca="1">IFERROR(INDEX(INDIRECT(E3&amp;"Table"),MATCH(E4,INDIRECT(E3&amp;"Table"&amp;"[Name]"),0),COLUMN(INDIRECT(E3&amp;"Table"&amp;"["&amp;B9&amp;"]"))),0)</f>
        <v>0</v>
      </c>
      <c r="F9" s="44">
        <f ca="1">IFERROR(INDEX(INDIRECT(F3&amp;"Table"),MATCH(F4,INDIRECT(F3&amp;"Table"&amp;"[Name]"),0),COLUMN(INDIRECT(F3&amp;"Table"&amp;"["&amp;B9&amp;"]"))),0)</f>
        <v>25</v>
      </c>
      <c r="G9" s="44">
        <f ca="1">IFERROR(INDEX(INDIRECT(G3&amp;"Table"),MATCH(G4,INDIRECT(G3&amp;"Table"&amp;"[Name]"),0),COLUMN(INDIRECT(G3&amp;"Table"&amp;"["&amp;B9&amp;"]"))),0)</f>
        <v>0</v>
      </c>
      <c r="H9" s="44">
        <f ca="1">IFERROR(INDEX(INDIRECT(H3&amp;"Table"),MATCH(H4,INDIRECT(H3&amp;"Table"&amp;"[Name]"),0),COLUMN(INDIRECT(H3&amp;"Table"&amp;"["&amp;B9&amp;"]"))),0)*IF(H5="N/A",0)</f>
        <v>0</v>
      </c>
      <c r="I9" s="13"/>
      <c r="J9" s="13"/>
      <c r="K9" s="55" t="s">
        <v>838</v>
      </c>
      <c r="L9" s="56"/>
      <c r="M9" s="71">
        <f ca="1">AA17</f>
        <v>28.635802617667565</v>
      </c>
      <c r="N9" s="37"/>
      <c r="O9" s="55" t="s">
        <v>839</v>
      </c>
      <c r="P9" s="63">
        <f ca="1">AA18</f>
        <v>18.588103351522889</v>
      </c>
      <c r="Q9" s="52" t="str">
        <f>G4</f>
        <v>Zuiun</v>
      </c>
      <c r="R9" s="44"/>
      <c r="S9" s="44" t="str">
        <f>E4</f>
        <v>Steam Catapult</v>
      </c>
      <c r="T9" s="51"/>
      <c r="U9" s="51" t="str">
        <f>D4</f>
        <v>Steam Catapult</v>
      </c>
      <c r="V9" s="51"/>
      <c r="W9" s="13"/>
      <c r="X9" s="51"/>
      <c r="Y9" s="85" t="s">
        <v>69</v>
      </c>
      <c r="Z9" s="85" t="s">
        <v>70</v>
      </c>
      <c r="AA9" s="85" t="s">
        <v>70</v>
      </c>
      <c r="AB9" s="13"/>
      <c r="AC9" s="13"/>
      <c r="AD9" s="13"/>
      <c r="AE9" s="13"/>
      <c r="AF9" s="13"/>
      <c r="AG9" s="13"/>
      <c r="AH9" s="13"/>
    </row>
    <row r="10" spans="1:34" x14ac:dyDescent="0.3">
      <c r="A10" s="13"/>
      <c r="B10" s="45" t="s">
        <v>53</v>
      </c>
      <c r="C10" s="44">
        <f ca="1">IFERROR(INDEX(INDIRECT(C3&amp;"Table"),MATCH(C2,INDIRECT(C3&amp;"Table"&amp;"[Name]"),0),COLUMN(INDIRECT(C3&amp;"Table"&amp;"["&amp;"EFF"&amp;"]"))),0)</f>
        <v>1.8</v>
      </c>
      <c r="D10" s="44">
        <v>0</v>
      </c>
      <c r="E10" s="44">
        <v>0</v>
      </c>
      <c r="F10" s="44">
        <f ca="1">IFERROR(INDEX(INDIRECT(F3&amp;"Table"),MATCH(F4,INDIRECT(F3&amp;"Table"&amp;"[Name]"),0),COLUMN(INDIRECT(F3&amp;"Table"&amp;"["&amp;B10&amp;"]"))),0)</f>
        <v>1.1000000000000001</v>
      </c>
      <c r="G10" s="44">
        <f ca="1">IFERROR(INDEX(INDIRECT(C3&amp;"Table"),MATCH(C2,INDIRECT(C3&amp;"Table"&amp;"[Name]"),0),COLUMN(INDIRECT(C3&amp;"Table"&amp;"["&amp;"SECEFF"&amp;"]"))),0)</f>
        <v>1.8</v>
      </c>
      <c r="H10" s="44">
        <f ca="1">IFERROR(INDEX(INDIRECT(C3&amp;"Table"),MATCH(C2,INDIRECT(C3&amp;"Table"&amp;"[Name]"),0),COLUMN(INDIRECT(C3&amp;"Table"&amp;"["&amp;"TRIEFF"&amp;"]"))),0)*IF(H5="N/A",0)</f>
        <v>0</v>
      </c>
      <c r="I10" s="13"/>
      <c r="J10" s="13"/>
      <c r="K10" s="13"/>
      <c r="L10" s="13"/>
      <c r="M10" s="13"/>
      <c r="N10" s="13"/>
      <c r="O10" s="13"/>
      <c r="P10" s="13"/>
      <c r="Q10" s="13"/>
      <c r="R10" s="13"/>
      <c r="S10" s="13"/>
      <c r="T10" s="13"/>
      <c r="U10" s="13"/>
      <c r="V10" s="4"/>
      <c r="W10" s="13"/>
      <c r="X10" s="85" t="s">
        <v>813</v>
      </c>
      <c r="Y10" s="51">
        <f>IFERROR(INDEX(IF(F3="TB",TorpedoDamage[],BombDamage[]),MATCH(F4,IF(F3="TB",TorpedoDamage[Name],BombDamage[Name]),0),COLUMN(IF(F3="TB",TorpedoDamage[Light],BombDamage[Light]))),0)</f>
        <v>0</v>
      </c>
      <c r="Z10" s="51">
        <f>IFERROR(INDEX(IF(G3="TB",TorpedoDamage[],BombDamage[]),MATCH(G4,IF(G3="TB",TorpedoDamage[Name],BombDamage[Name]),0),COLUMN(IF(G3="TB",TorpedoDamage[Light],BombDamage[Light]))),0)</f>
        <v>288</v>
      </c>
      <c r="AA10" s="51">
        <f>IFERROR(INDEX(IF(H3="TB",TorpedoDamage[],BombDamage[]),MATCH(H4,IF(H3="TB",TorpedoDamage[Name],BombDamage[Name]),0),COLUMN(IF(H3="TB",TorpedoDamage[Light],BombDamage[Light]))),0)</f>
        <v>0</v>
      </c>
      <c r="AB10" s="13"/>
      <c r="AC10" s="13"/>
      <c r="AD10" s="13"/>
      <c r="AE10" s="13"/>
      <c r="AF10" s="13"/>
      <c r="AG10" s="13"/>
      <c r="AH10" s="13"/>
    </row>
    <row r="11" spans="1:34" x14ac:dyDescent="0.3">
      <c r="A11" s="13"/>
      <c r="B11" s="45" t="s">
        <v>14</v>
      </c>
      <c r="C11" s="44">
        <f ca="1">IFERROR(INDEX(INDIRECT(C3&amp;"Table"),MATCH(C2,INDIRECT(C3&amp;"Table"&amp;"[Name]"),0),COLUMN(INDIRECT(C3&amp;"Table"&amp;"["&amp;B11&amp;"]"))),0)</f>
        <v>132</v>
      </c>
      <c r="D11" s="44">
        <f ca="1">IFERROR(INDEX(INDIRECT(D3&amp;"Table"),MATCH(D4,INDIRECT(D3&amp;"Table"&amp;"[Name]"),0),COLUMN(INDIRECT(D3&amp;"Table"&amp;"["&amp;B11&amp;"]"))),0)</f>
        <v>0</v>
      </c>
      <c r="E11" s="44">
        <f ca="1">IFERROR(INDEX(INDIRECT(E3&amp;"Table"),MATCH(E4,INDIRECT(E3&amp;"Table"&amp;"[Name]"),0),COLUMN(INDIRECT(E3&amp;"Table"&amp;"["&amp;B11&amp;"]"))),0)</f>
        <v>0</v>
      </c>
      <c r="F11" s="44">
        <f ca="1">IFERROR(INDEX(INDIRECT(F3&amp;"Table"),MATCH(F4,INDIRECT(F3&amp;"Table"&amp;"[Name]"),0),COLUMN(INDIRECT(F3&amp;"Table"&amp;"["&amp;B11&amp;"]"))),0)</f>
        <v>0</v>
      </c>
      <c r="G11" s="44">
        <f ca="1">IFERROR(INDEX(INDIRECT(G3&amp;"Table"),MATCH(G4,INDIRECT(G3&amp;"Table"&amp;"[Name]"),0),COLUMN(INDIRECT(G3&amp;"Table"&amp;"["&amp;B11&amp;"]"))),0)</f>
        <v>0</v>
      </c>
      <c r="H11" s="44">
        <f ca="1">IFERROR(INDEX(INDIRECT(H3&amp;"Table"),MATCH(H4,INDIRECT(H3&amp;"Table"&amp;"[Name]"),0),COLUMN(INDIRECT(H3&amp;"Table"&amp;"["&amp;B11&amp;"]"))),0)*IF(H5="N/A",0)</f>
        <v>0</v>
      </c>
      <c r="I11" s="13"/>
      <c r="J11" s="13"/>
      <c r="K11" s="192" t="s">
        <v>760</v>
      </c>
      <c r="L11" s="192"/>
      <c r="M11" s="192"/>
      <c r="N11" s="192"/>
      <c r="O11" s="192"/>
      <c r="P11" s="192"/>
      <c r="Q11" s="192"/>
      <c r="R11" s="192"/>
      <c r="S11" s="192"/>
      <c r="T11" s="192"/>
      <c r="U11" s="192"/>
      <c r="V11" s="4"/>
      <c r="W11" s="13"/>
      <c r="X11" s="85" t="s">
        <v>814</v>
      </c>
      <c r="Y11" s="51">
        <f>IFERROR(INDEX(IF(F3="TB",TorpedoDamage[],BombDamage[]),MATCH(F4,IF(F3="TB",TorpedoDamage[Name],BombDamage[Name]),0),COLUMN(IF(F3="TB",TorpedoDamage[Medium],BombDamage[Medium]))),0)</f>
        <v>0</v>
      </c>
      <c r="Z11" s="51">
        <f>IFERROR(INDEX(IF(G3="TB",TorpedoDamage[],BombDamage[]),MATCH(G4,IF(G3="TB",TorpedoDamage[Name],BombDamage[Name]),0),COLUMN(IF(G3="TB",TorpedoDamage[Medium],BombDamage[Medium]))),0)</f>
        <v>324</v>
      </c>
      <c r="AA11" s="51">
        <f>IFERROR(INDEX(IF(H3="TB",TorpedoDamage[],BombDamage[]),MATCH(H4,IF(H3="TB",TorpedoDamage[Name],BombDamage[Name]),0),COLUMN(IF(H3="TB",TorpedoDamage[Medium],BombDamage[Medium]))),0)</f>
        <v>0</v>
      </c>
      <c r="AB11" s="13"/>
      <c r="AC11" s="13"/>
      <c r="AD11" s="13"/>
      <c r="AE11" s="13"/>
      <c r="AF11" s="13"/>
      <c r="AG11" s="13"/>
      <c r="AH11" s="13"/>
    </row>
    <row r="12" spans="1:34" x14ac:dyDescent="0.3">
      <c r="A12" s="13"/>
      <c r="B12" s="45" t="s">
        <v>294</v>
      </c>
      <c r="C12" s="44">
        <f ca="1">IFERROR(INDEX(INDIRECT(C3&amp;"Table"),MATCH(C2,INDIRECT(C3&amp;"Table"&amp;"[Name]"),0),COLUMN(INDIRECT(C3&amp;"Table"&amp;"["&amp;B12&amp;"]"))),0)</f>
        <v>31</v>
      </c>
      <c r="D12" s="44">
        <f ca="1">IFERROR(INDEX(INDIRECT(D3&amp;"Table"),MATCH(D4,INDIRECT(D3&amp;"Table"&amp;"[Name]"),0),COLUMN(INDIRECT(D3&amp;"Table"&amp;"["&amp;B12&amp;"]"))),0)</f>
        <v>0</v>
      </c>
      <c r="E12" s="44">
        <f ca="1">IFERROR(INDEX(INDIRECT(E3&amp;"Table"),MATCH(E4,INDIRECT(E3&amp;"Table"&amp;"[Name]"),0),COLUMN(INDIRECT(E3&amp;"Table"&amp;"["&amp;B12&amp;"]"))),0)</f>
        <v>0</v>
      </c>
      <c r="F12" s="44">
        <f ca="1">IFERROR(INDEX(INDIRECT(F3&amp;"Table"),MATCH(F4,INDIRECT(F3&amp;"Table"&amp;"[Name]"),0),COLUMN(INDIRECT(F3&amp;"Table"&amp;"["&amp;B12&amp;"]"))),0)</f>
        <v>0</v>
      </c>
      <c r="G12" s="44">
        <f ca="1">IFERROR(INDEX(INDIRECT(G3&amp;"Table"),MATCH(G4,INDIRECT(G3&amp;"Table"&amp;"[Name]"),0),COLUMN(INDIRECT(G3&amp;"Table"&amp;"["&amp;B12&amp;"]"))),0)</f>
        <v>0</v>
      </c>
      <c r="H12" s="44">
        <f ca="1">IFERROR(INDEX(INDIRECT(H3&amp;"Table"),MATCH(H4,INDIRECT(H3&amp;"Table"&amp;"[Name]"),0),COLUMN(INDIRECT(H3&amp;"Table"&amp;"["&amp;B12&amp;"]"))),0)*IF(H5="N/A",0)</f>
        <v>0</v>
      </c>
      <c r="I12" s="13"/>
      <c r="J12" s="13"/>
      <c r="K12" s="57" t="s">
        <v>859</v>
      </c>
      <c r="L12" s="47"/>
      <c r="M12" s="38">
        <v>0.1</v>
      </c>
      <c r="N12" s="37"/>
      <c r="O12" s="57" t="s">
        <v>19</v>
      </c>
      <c r="P12" s="57"/>
      <c r="Q12" s="38">
        <v>2</v>
      </c>
      <c r="R12" s="37"/>
      <c r="S12" s="57" t="s">
        <v>867</v>
      </c>
      <c r="T12" s="38">
        <v>0.08</v>
      </c>
      <c r="U12" s="38"/>
      <c r="V12" s="4"/>
      <c r="W12" s="13"/>
      <c r="X12" s="85" t="s">
        <v>815</v>
      </c>
      <c r="Y12" s="51">
        <f>IFERROR(INDEX(IF(F3="TB",TorpedoDamage[],BombDamage[]),MATCH(F4,IF(F3="TB",TorpedoDamage[Name],BombDamage[Name]),0),COLUMN(IF(F3="TB",TorpedoDamage[Medium],BombDamage[Medium]))),0)</f>
        <v>0</v>
      </c>
      <c r="Z12" s="51">
        <f>IFERROR(INDEX(IF(G3="TB",TorpedoDamage[],BombDamage[]),MATCH(G4,IF(G3="TB",TorpedoDamage[Name],BombDamage[Name]),0),COLUMN(IF(G3="TB",TorpedoDamage[Heavy],BombDamage[Heavy]))),0)</f>
        <v>396.00000000000006</v>
      </c>
      <c r="AA12" s="51">
        <f>IFERROR(INDEX(IF(H3="TB",TorpedoDamage[],BombDamage[]),MATCH(H4,IF(H3="TB",TorpedoDamage[Name],BombDamage[Name]),0),COLUMN(IF(H3="TB",TorpedoDamage[Heavy],BombDamage[Heavy]))),0)</f>
        <v>0</v>
      </c>
      <c r="AB12" s="13"/>
      <c r="AC12" s="13"/>
      <c r="AD12" s="13"/>
      <c r="AE12" s="13"/>
      <c r="AF12" s="13"/>
      <c r="AG12" s="13"/>
      <c r="AH12" s="13"/>
    </row>
    <row r="13" spans="1:34" x14ac:dyDescent="0.3">
      <c r="A13" s="13"/>
      <c r="B13" s="45" t="s">
        <v>17</v>
      </c>
      <c r="C13" s="44">
        <f ca="1">IFERROR(INDEX(INDIRECT(C3&amp;"Table"),MATCH(C2,INDIRECT(C3&amp;"Table"&amp;"[Name]"),0),COLUMN(INDIRECT(C3&amp;"Table"&amp;"["&amp;B13&amp;"]"))),0)</f>
        <v>60</v>
      </c>
      <c r="D13" s="44">
        <f ca="1">IFERROR(INDEX(INDIRECT(D3&amp;"Table"),MATCH(D4,INDIRECT(D3&amp;"Table"&amp;"[Name]"),0),COLUMN(INDIRECT(D3&amp;"Table"&amp;"["&amp;B13&amp;"]"))),0)</f>
        <v>0</v>
      </c>
      <c r="E13" s="44">
        <f ca="1">IFERROR(INDEX(INDIRECT(E3&amp;"Table"),MATCH(E4,INDIRECT(E3&amp;"Table"&amp;"[Name]"),0),COLUMN(INDIRECT(E3&amp;"Table"&amp;"["&amp;B13&amp;"]"))),0)</f>
        <v>0</v>
      </c>
      <c r="F13" s="44">
        <f ca="1">IFERROR(INDEX(INDIRECT(F3&amp;"Table"),MATCH(F4,INDIRECT(F3&amp;"Table"&amp;"[Name]"),0),COLUMN(INDIRECT(F3&amp;"Table"&amp;"["&amp;B13&amp;"]"))),0)</f>
        <v>0</v>
      </c>
      <c r="G13" s="44">
        <f ca="1">IFERROR(INDEX(INDIRECT(G3&amp;"Table"),MATCH(G4,INDIRECT(G3&amp;"Table"&amp;"[Name]"),0),COLUMN(INDIRECT(G3&amp;"Table"&amp;"["&amp;B13&amp;"]"))),0)</f>
        <v>0</v>
      </c>
      <c r="H13" s="44">
        <f ca="1">IFERROR(INDEX(INDIRECT(H3&amp;"Table"),MATCH(H4,INDIRECT(H3&amp;"Table"&amp;"[Name]"),0),COLUMN(INDIRECT(H3&amp;"Table"&amp;"["&amp;B13&amp;"]"))),0)*IF(H5="N/A",0)</f>
        <v>0</v>
      </c>
      <c r="I13" s="13"/>
      <c r="J13" s="13"/>
      <c r="K13" s="57" t="s">
        <v>65</v>
      </c>
      <c r="L13" s="47"/>
      <c r="M13" s="38">
        <v>0</v>
      </c>
      <c r="N13" s="37"/>
      <c r="O13" s="57" t="s">
        <v>5</v>
      </c>
      <c r="P13" s="47"/>
      <c r="Q13" s="38">
        <v>0</v>
      </c>
      <c r="R13" s="37"/>
      <c r="S13" s="57" t="s">
        <v>865</v>
      </c>
      <c r="T13" s="38">
        <v>0.2</v>
      </c>
      <c r="U13" s="38"/>
      <c r="V13" s="4"/>
      <c r="W13" s="13"/>
      <c r="X13" s="85" t="s">
        <v>870</v>
      </c>
      <c r="Y13" s="51">
        <f ca="1">F6*4</f>
        <v>0</v>
      </c>
      <c r="Z13" s="51">
        <f ca="1">G6*4</f>
        <v>12</v>
      </c>
      <c r="AA13" s="51">
        <f ca="1">H6*4</f>
        <v>0</v>
      </c>
      <c r="AB13" s="13"/>
      <c r="AC13" s="13"/>
      <c r="AD13" s="13"/>
      <c r="AE13" s="13"/>
      <c r="AF13" s="13"/>
      <c r="AG13" s="13"/>
      <c r="AH13" s="13"/>
    </row>
    <row r="14" spans="1:34" x14ac:dyDescent="0.3">
      <c r="A14" s="13"/>
      <c r="B14" s="45" t="s">
        <v>6</v>
      </c>
      <c r="C14" s="44">
        <f ca="1">IFERROR(INDEX(INDIRECT(C3&amp;"Table"),MATCH(C2,INDIRECT(C3&amp;"Table"&amp;"[Name]"),0),COLUMN(INDIRECT(C3&amp;"Table"&amp;"["&amp;B14&amp;"]"))),0)</f>
        <v>70</v>
      </c>
      <c r="D14" s="44">
        <f ca="1">IFERROR(INDEX(INDIRECT(D3&amp;"Table"),MATCH(D4,INDIRECT(D3&amp;"Table"&amp;"[Name]"),0),COLUMN(INDIRECT(D3&amp;"Table"&amp;"["&amp;B14&amp;"]"))),0)</f>
        <v>0</v>
      </c>
      <c r="E14" s="44">
        <f ca="1">IFERROR(INDEX(INDIRECT(E3&amp;"Table"),MATCH(E4,INDIRECT(E3&amp;"Table"&amp;"[Name]"),0),COLUMN(INDIRECT(E3&amp;"Table"&amp;"["&amp;B14&amp;"]"))),0)</f>
        <v>0</v>
      </c>
      <c r="F14" s="44">
        <f ca="1">IFERROR(INDEX(INDIRECT(F3&amp;"Table"),MATCH(F4,INDIRECT(F3&amp;"Table"&amp;"[Name]"),0),COLUMN(INDIRECT(F3&amp;"Table"&amp;"["&amp;B14&amp;"]"))),0)</f>
        <v>0</v>
      </c>
      <c r="G14" s="44">
        <f ca="1">IFERROR(INDEX(INDIRECT(G3&amp;"Table"),MATCH(G4,INDIRECT(G3&amp;"Table"&amp;"[Name]"),0),COLUMN(INDIRECT(G3&amp;"Table"&amp;"["&amp;B14&amp;"]"))),0)</f>
        <v>0</v>
      </c>
      <c r="H14" s="44">
        <f ca="1">IFERROR(INDEX(INDIRECT(H3&amp;"Table"),MATCH(H4,INDIRECT(H3&amp;"Table"&amp;"[Name]"),0),COLUMN(INDIRECT(H3&amp;"Table"&amp;"["&amp;B14&amp;"]"))),0)*IF(H5="N/A",0)</f>
        <v>0</v>
      </c>
      <c r="I14" s="13"/>
      <c r="J14" s="13"/>
      <c r="K14" s="38"/>
      <c r="L14" s="38"/>
      <c r="M14" s="38"/>
      <c r="N14" s="37"/>
      <c r="O14" s="57" t="s">
        <v>57</v>
      </c>
      <c r="P14" s="47"/>
      <c r="Q14" s="38">
        <v>0</v>
      </c>
      <c r="R14" s="37"/>
      <c r="S14" s="37"/>
      <c r="T14" s="37"/>
      <c r="U14" s="38"/>
      <c r="V14" s="4"/>
      <c r="W14" s="13"/>
      <c r="X14" s="85"/>
      <c r="Y14" s="51"/>
      <c r="Z14" s="51"/>
      <c r="AA14" s="51"/>
      <c r="AB14" s="13"/>
      <c r="AC14" s="13"/>
      <c r="AD14" s="13"/>
      <c r="AE14" s="13"/>
      <c r="AF14" s="13"/>
      <c r="AG14" s="13"/>
      <c r="AH14" s="13"/>
    </row>
    <row r="15" spans="1:34" x14ac:dyDescent="0.3">
      <c r="A15" s="13"/>
      <c r="B15" s="45" t="s">
        <v>52</v>
      </c>
      <c r="C15" s="44">
        <v>0</v>
      </c>
      <c r="D15" s="44">
        <v>0</v>
      </c>
      <c r="E15" s="44">
        <v>0</v>
      </c>
      <c r="F15" s="44">
        <f ca="1">IFERROR(INDEX(INDIRECT(F3&amp;"Table"),MATCH(F4,INDIRECT(F3&amp;"Table"&amp;"[Name]"),0),COLUMN(INDIRECT(F3&amp;"Table"&amp;"["&amp;B15&amp;"]"))),0)</f>
        <v>154</v>
      </c>
      <c r="G15" s="44">
        <f ca="1">IFERROR(INDEX(INDIRECT(G3&amp;"Table"),MATCH(G4,INDIRECT(G3&amp;"Table"&amp;"[Name]"),0),COLUMN(INDIRECT(G3&amp;"Table"&amp;"["&amp;B15&amp;"]"))),0)</f>
        <v>0</v>
      </c>
      <c r="H15" s="44">
        <f ca="1">IFERROR(INDEX(INDIRECT(H3&amp;"Table"),MATCH(H4,INDIRECT(H3&amp;"Table"&amp;"[Name]"),0),COLUMN(INDIRECT(H3&amp;"Table"&amp;"["&amp;B15&amp;"]"))),0)*IF(H5="N/A",0)</f>
        <v>0</v>
      </c>
      <c r="I15" s="13"/>
      <c r="J15" s="13"/>
      <c r="K15" s="57" t="s">
        <v>858</v>
      </c>
      <c r="L15" s="47"/>
      <c r="M15" s="38">
        <v>0</v>
      </c>
      <c r="N15" s="37"/>
      <c r="O15" s="57" t="s">
        <v>58</v>
      </c>
      <c r="P15" s="47"/>
      <c r="Q15" s="38">
        <v>0</v>
      </c>
      <c r="R15" s="37"/>
      <c r="S15" s="57" t="s">
        <v>32</v>
      </c>
      <c r="T15" s="47"/>
      <c r="U15" s="124">
        <v>0</v>
      </c>
      <c r="V15" s="4"/>
      <c r="W15" s="13"/>
      <c r="X15" s="85" t="s">
        <v>869</v>
      </c>
      <c r="Y15" s="51"/>
      <c r="Z15" s="63"/>
      <c r="AA15" s="51">
        <f ca="1">IF(AND(F3="BB",Y4="AP"),(1-(1-T13)^(F16*Q12))*(T12),0)+1</f>
        <v>1</v>
      </c>
      <c r="AB15" s="13"/>
      <c r="AC15" s="13"/>
      <c r="AD15" s="13"/>
      <c r="AE15" s="13"/>
      <c r="AF15" s="13"/>
      <c r="AG15" s="13"/>
      <c r="AH15" s="13"/>
    </row>
    <row r="16" spans="1:34" x14ac:dyDescent="0.3">
      <c r="A16" s="13"/>
      <c r="B16" s="45" t="s">
        <v>757</v>
      </c>
      <c r="C16" s="44">
        <v>0</v>
      </c>
      <c r="D16" s="44">
        <v>0</v>
      </c>
      <c r="E16" s="44">
        <v>0</v>
      </c>
      <c r="F16" s="44">
        <f ca="1">IFERROR(INDEX(INDIRECT(F3&amp;"Table"),MATCH(F4,INDIRECT(F3&amp;"Table"&amp;"[Name]"),0),COLUMN(INDIRECT(F3&amp;"Table"&amp;"["&amp;B16&amp;"]"))),0)</f>
        <v>2</v>
      </c>
      <c r="G16" s="44">
        <f ca="1">IFERROR(INDEX(INDIRECT(G3&amp;"Table"),MATCH(G4,INDIRECT(G3&amp;"Table"&amp;"[Name]"),0),COLUMN(INDIRECT(G3&amp;"Table"&amp;"["&amp;B16&amp;"]"))),0)</f>
        <v>0</v>
      </c>
      <c r="H16" s="44">
        <f ca="1">IFERROR(INDEX(INDIRECT(H3&amp;"Table"),MATCH(H4,INDIRECT(H3&amp;"Table"&amp;"[Name]"),0),COLUMN(INDIRECT(H3&amp;"Table"&amp;"["&amp;B16&amp;"]"))),0)*IF(H5="N/A",0)</f>
        <v>0</v>
      </c>
      <c r="I16" s="13"/>
      <c r="J16" s="13"/>
      <c r="K16" s="57" t="s">
        <v>60</v>
      </c>
      <c r="L16" s="47"/>
      <c r="M16" s="38">
        <v>0.5</v>
      </c>
      <c r="N16" s="37"/>
      <c r="O16" s="37"/>
      <c r="P16" s="37"/>
      <c r="Q16" s="38"/>
      <c r="R16" s="37"/>
      <c r="S16" s="57" t="s">
        <v>34</v>
      </c>
      <c r="T16" s="47"/>
      <c r="U16" s="124">
        <v>1</v>
      </c>
      <c r="V16" s="4"/>
      <c r="W16" s="13"/>
      <c r="X16" s="85"/>
      <c r="Y16" s="51"/>
      <c r="Z16" s="51"/>
      <c r="AA16" s="51"/>
      <c r="AB16" s="13"/>
      <c r="AC16" s="13"/>
      <c r="AD16" s="13"/>
      <c r="AE16" s="13"/>
      <c r="AF16" s="13"/>
      <c r="AG16" s="13"/>
      <c r="AH16" s="13"/>
    </row>
    <row r="17" spans="1:34" x14ac:dyDescent="0.3">
      <c r="A17" s="13"/>
      <c r="B17" s="45" t="s">
        <v>266</v>
      </c>
      <c r="C17" s="44">
        <v>0</v>
      </c>
      <c r="D17" s="44">
        <v>0</v>
      </c>
      <c r="E17" s="44">
        <v>0</v>
      </c>
      <c r="F17" s="44">
        <f ca="1">IFERROR(INDEX(INDIRECT(F3&amp;"Table"),MATCH(F4,INDIRECT(F3&amp;"Table"&amp;"[Name]"),0),COLUMN(INDIRECT(F3&amp;"Table"&amp;"["&amp;B17&amp;"]"))),0)</f>
        <v>20.02</v>
      </c>
      <c r="G17" s="44">
        <f ca="1">IFERROR(INDEX(INDIRECT(G3&amp;"Table"),MATCH(G4,INDIRECT(G3&amp;"Table"&amp;"[Name]"),0),COLUMN(INDIRECT(G3&amp;"Table"&amp;"["&amp;B17&amp;"]"))),0)</f>
        <v>13.97</v>
      </c>
      <c r="H17" s="44">
        <f ca="1">IFERROR(INDEX(INDIRECT(H3&amp;"Table"),MATCH(H4,INDIRECT(H3&amp;"Table"&amp;"[Name]"),0),COLUMN(INDIRECT(H3&amp;"Table"&amp;"["&amp;B17&amp;"]"))),0)*IF(H5="N/A",0)</f>
        <v>0</v>
      </c>
      <c r="I17" s="13"/>
      <c r="J17" s="13"/>
      <c r="K17" s="59"/>
      <c r="L17" s="59"/>
      <c r="M17" s="59"/>
      <c r="N17" s="37"/>
      <c r="O17" s="57" t="s">
        <v>847</v>
      </c>
      <c r="P17" s="47"/>
      <c r="Q17" s="59">
        <v>1</v>
      </c>
      <c r="R17" s="37"/>
      <c r="S17" s="57" t="s">
        <v>314</v>
      </c>
      <c r="T17" s="47"/>
      <c r="U17" s="124">
        <v>0</v>
      </c>
      <c r="V17" s="4"/>
      <c r="W17" s="13"/>
      <c r="X17" s="85" t="s">
        <v>836</v>
      </c>
      <c r="Y17" s="76"/>
      <c r="Z17" s="63"/>
      <c r="AA17" s="51">
        <f ca="1">SQRT(200/(100+SUM(C11:H11)*(1+M13)))*2.2*(((F6*F17)+(G6*G17)+(H6*H17))/(SUM(C6:H6)))+M12</f>
        <v>28.635802617667565</v>
      </c>
      <c r="AB17" s="13"/>
      <c r="AC17" s="13"/>
      <c r="AD17" s="13"/>
      <c r="AE17" s="13"/>
      <c r="AF17" s="13"/>
      <c r="AG17" s="13"/>
      <c r="AH17" s="13"/>
    </row>
    <row r="18" spans="1:34" x14ac:dyDescent="0.3">
      <c r="A18" s="13"/>
      <c r="B18" s="45" t="s">
        <v>825</v>
      </c>
      <c r="C18" s="44">
        <f ca="1">SUM(C8:H8)*Q18</f>
        <v>500</v>
      </c>
      <c r="D18" s="80" t="s">
        <v>23</v>
      </c>
      <c r="E18" s="80">
        <f ca="1">SUM(C9:H9)*Q17</f>
        <v>414</v>
      </c>
      <c r="F18" s="39" t="s">
        <v>871</v>
      </c>
      <c r="G18" s="44">
        <f ca="1">FLOOR(2*C18*SUM(Y13:AA13)/100,1)</f>
        <v>120</v>
      </c>
      <c r="H18" s="44"/>
      <c r="I18" s="13"/>
      <c r="J18" s="13"/>
      <c r="K18" s="58" t="s">
        <v>15</v>
      </c>
      <c r="L18" s="58"/>
      <c r="M18" s="38">
        <v>0.6</v>
      </c>
      <c r="N18" s="37"/>
      <c r="O18" s="57" t="s">
        <v>855</v>
      </c>
      <c r="P18" s="47"/>
      <c r="Q18" s="59">
        <v>1</v>
      </c>
      <c r="R18" s="37"/>
      <c r="S18" s="37"/>
      <c r="T18" s="37"/>
      <c r="U18" s="59"/>
      <c r="V18" s="4"/>
      <c r="W18" s="13"/>
      <c r="X18" s="85" t="s">
        <v>837</v>
      </c>
      <c r="Y18" s="76"/>
      <c r="Z18" s="63"/>
      <c r="AA18" s="51">
        <f ca="1">SQRT(200/(100+SUM(C11:H11)*(1+M13)))*F17</f>
        <v>18.588103351522889</v>
      </c>
      <c r="AB18" s="13"/>
      <c r="AC18" s="13"/>
      <c r="AD18" s="13"/>
      <c r="AE18" s="13"/>
      <c r="AF18" s="13"/>
      <c r="AG18" s="13"/>
      <c r="AH18" s="13"/>
    </row>
    <row r="19" spans="1:34" x14ac:dyDescent="0.3">
      <c r="A19" s="13"/>
      <c r="B19" s="45"/>
      <c r="C19" s="44"/>
      <c r="D19" s="80"/>
      <c r="E19" s="80"/>
      <c r="F19" s="39"/>
      <c r="G19" s="44"/>
      <c r="H19" s="44"/>
      <c r="I19" s="13"/>
      <c r="J19" s="13"/>
      <c r="K19" s="58" t="s">
        <v>55</v>
      </c>
      <c r="L19" s="58"/>
      <c r="M19" s="124">
        <f ca="1">IF(OR(Y4="Normal", Y4="Magnetic",Y4="AP"), 0,IFERROR(INDEX(BurnT[],MATCH(F3,BurnT[Type],0),COLUMN(BurnT[Burn])),0))</f>
        <v>0.5</v>
      </c>
      <c r="N19" s="37"/>
      <c r="O19" s="57" t="s">
        <v>854</v>
      </c>
      <c r="P19" s="47"/>
      <c r="Q19" s="59">
        <v>1</v>
      </c>
      <c r="R19" s="37"/>
      <c r="S19" s="57" t="s">
        <v>143</v>
      </c>
      <c r="T19" s="47"/>
      <c r="U19" s="59">
        <v>0</v>
      </c>
      <c r="V19" s="4"/>
      <c r="W19" s="13"/>
      <c r="X19" s="51"/>
      <c r="Y19" s="51"/>
      <c r="Z19" s="51"/>
      <c r="AA19" s="51"/>
      <c r="AB19" s="13"/>
      <c r="AC19" s="13"/>
      <c r="AD19" s="13"/>
      <c r="AE19" s="13"/>
      <c r="AF19" s="13"/>
      <c r="AG19" s="13"/>
      <c r="AH19" s="13"/>
    </row>
    <row r="20" spans="1:34" x14ac:dyDescent="0.3">
      <c r="A20" s="13"/>
      <c r="B20" s="45"/>
      <c r="C20" s="44"/>
      <c r="D20" s="76"/>
      <c r="E20" s="80"/>
      <c r="F20" s="76"/>
      <c r="G20" s="80"/>
      <c r="H20" s="80"/>
      <c r="I20" s="13"/>
      <c r="J20" s="13"/>
      <c r="K20" s="37"/>
      <c r="L20" s="37"/>
      <c r="M20" s="37"/>
      <c r="N20" s="37"/>
      <c r="O20" s="57" t="s">
        <v>845</v>
      </c>
      <c r="P20" s="47"/>
      <c r="Q20" s="59">
        <v>1</v>
      </c>
      <c r="R20" s="37"/>
      <c r="S20" s="57" t="s">
        <v>826</v>
      </c>
      <c r="T20" s="47"/>
      <c r="U20" s="59">
        <v>0</v>
      </c>
      <c r="V20" s="4"/>
      <c r="W20" s="13"/>
      <c r="X20" s="76" t="s">
        <v>13</v>
      </c>
      <c r="Y20" s="44"/>
      <c r="Z20" s="63"/>
      <c r="AA20" s="52">
        <f ca="1">1+(0.05+(SUM(C14:H14)/(SUM(C14:H14)+2000))+(SUM(C13:H13)/5000)+M15)*M16</f>
        <v>1.0479082125603865</v>
      </c>
      <c r="AB20" s="13"/>
      <c r="AC20" s="13"/>
      <c r="AD20" s="13"/>
      <c r="AE20" s="13"/>
      <c r="AF20" s="13"/>
      <c r="AG20" s="13"/>
      <c r="AH20" s="13"/>
    </row>
    <row r="21" spans="1:34" x14ac:dyDescent="0.3">
      <c r="A21" s="13"/>
      <c r="B21" s="13"/>
      <c r="C21" s="13"/>
      <c r="D21" s="13"/>
      <c r="E21" s="13"/>
      <c r="F21" s="13"/>
      <c r="G21" s="13"/>
      <c r="H21" s="13"/>
      <c r="I21" s="13"/>
      <c r="J21" s="13"/>
      <c r="K21" s="13"/>
      <c r="L21" s="13"/>
      <c r="M21" s="13"/>
      <c r="N21" s="13"/>
      <c r="O21" s="13"/>
      <c r="P21" s="13"/>
      <c r="Q21" s="13"/>
      <c r="R21" s="13"/>
      <c r="S21" s="13"/>
      <c r="T21" s="13"/>
      <c r="U21" s="13"/>
      <c r="V21" s="13"/>
      <c r="W21" s="13"/>
      <c r="X21" s="76" t="s">
        <v>917</v>
      </c>
      <c r="Y21" s="44"/>
      <c r="Z21" s="63"/>
      <c r="AA21" s="52">
        <f ca="1">1+(0.05+((SUM(C14:H14)*Q20)/(SUM(C14:H14)*Q20+2000+Q15))+((SUM(C13:H13)-Q13)/5000)+AA24+M15)*(M16+AA23)</f>
        <v>1.0479082125603865</v>
      </c>
      <c r="AB21" s="13"/>
      <c r="AC21" s="13"/>
      <c r="AD21" s="13"/>
      <c r="AE21" s="13"/>
      <c r="AF21" s="13"/>
      <c r="AG21" s="13"/>
      <c r="AH21" s="13"/>
    </row>
    <row r="22" spans="1:34" x14ac:dyDescent="0.3">
      <c r="A22" s="13"/>
      <c r="B22" s="48" t="s">
        <v>1389</v>
      </c>
      <c r="C22" s="48"/>
      <c r="D22" s="48" t="s">
        <v>816</v>
      </c>
      <c r="E22" s="48" t="s">
        <v>819</v>
      </c>
      <c r="F22" s="48" t="s">
        <v>850</v>
      </c>
      <c r="G22" s="48" t="s">
        <v>8</v>
      </c>
      <c r="H22" s="48" t="s">
        <v>10</v>
      </c>
      <c r="I22" s="48" t="s">
        <v>12</v>
      </c>
      <c r="J22" s="48" t="s">
        <v>55</v>
      </c>
      <c r="K22" s="83" t="s">
        <v>826</v>
      </c>
      <c r="L22" s="83" t="s">
        <v>827</v>
      </c>
      <c r="M22" s="84" t="s">
        <v>27</v>
      </c>
      <c r="N22" s="83" t="s">
        <v>59</v>
      </c>
      <c r="O22" s="48" t="s">
        <v>849</v>
      </c>
      <c r="P22" s="48" t="s">
        <v>150</v>
      </c>
      <c r="Q22" s="4"/>
      <c r="R22" s="4"/>
      <c r="S22" s="4"/>
      <c r="T22" s="4"/>
      <c r="U22" s="4"/>
      <c r="V22" s="4"/>
      <c r="W22" s="13"/>
      <c r="X22" s="76" t="s">
        <v>917</v>
      </c>
      <c r="Y22" s="44"/>
      <c r="Z22" s="63"/>
      <c r="AA22" s="51">
        <f ca="1">1+(0.05+(SUM(C14:H14)/(SUM(C14:H14)+2000))+(SUM(C13:H13)/5000)+M15)*M16</f>
        <v>1.0479082125603865</v>
      </c>
      <c r="AB22" s="13"/>
      <c r="AC22" s="13"/>
      <c r="AD22" s="13"/>
      <c r="AE22" s="13"/>
      <c r="AF22" s="13"/>
      <c r="AG22" s="13"/>
      <c r="AH22" s="13"/>
    </row>
    <row r="23" spans="1:34" x14ac:dyDescent="0.3">
      <c r="A23" s="13"/>
      <c r="B23" s="44" t="str">
        <f ca="1">IFERROR(INDEX(INDIRECT(C3&amp;"Table"),MATCH(C2,INDIRECT(C3&amp;"Table"&amp;"[Name]"),0),COLUMN(INDIRECT(C3&amp;"Table"&amp;"[Barg1]"))),0)</f>
        <v>Aviation Battleship Fleet (1000lb)</v>
      </c>
      <c r="C23" s="44"/>
      <c r="D23" s="44">
        <f ca="1">IFERROR(INDEX(Barrage[],MATCH(B23,Barrage[Name],0),COLUMN(Barrage[Total Damage])),0)</f>
        <v>664</v>
      </c>
      <c r="E23" s="44">
        <f ca="1">IFERROR(INDEX(Barrage[],MATCH(B23,Barrage[Name],0),COLUMN(Barrage[Base Damage])),0)</f>
        <v>332</v>
      </c>
      <c r="F23" s="44">
        <f ca="1">IFERROR(INDEX(Barrage[],MATCH(B23,Barrage[Name],0),COLUMN(Barrage[Total Rounds])),0)</f>
        <v>2</v>
      </c>
      <c r="G23" s="44">
        <f ca="1">IFERROR(INDEX(Barrage[],MATCH(B23,Barrage[Name],0),COLUMN(Barrage[Light Armor])),0)</f>
        <v>0.8</v>
      </c>
      <c r="H23" s="44">
        <f ca="1">IFERROR(INDEX(Barrage[],MATCH(B23,Barrage[Name],0),COLUMN(Barrage[Medium Armor])),0)</f>
        <v>0.95</v>
      </c>
      <c r="I23" s="44">
        <f ca="1">IFERROR(INDEX(Barrage[],MATCH(B23,Barrage[Name],0),COLUMN(Barrage[Heavy Armor])),0)</f>
        <v>1.1499999999999999</v>
      </c>
      <c r="J23" s="44">
        <f ca="1">IFERROR(INDEX(Barrage[],MATCH(B23,Barrage[Name],0),COLUMN(Barrage[Burn %])),0)</f>
        <v>0</v>
      </c>
      <c r="K23" s="59">
        <v>0</v>
      </c>
      <c r="L23" s="59">
        <v>0</v>
      </c>
      <c r="M23" s="59">
        <v>1</v>
      </c>
      <c r="N23" s="61">
        <v>0</v>
      </c>
      <c r="O23" s="44">
        <f ca="1">IFERROR(INDEX(Barrage[],MATCH(B23,Barrage[Name],0),COLUMN(Barrage[Stat Mod])),0)</f>
        <v>0.8</v>
      </c>
      <c r="P23" s="44" t="str">
        <f ca="1">IFERROR(INDEX(Barrage[],MATCH(B23,Barrage[Name],0),COLUMN(Barrage[Type2])),0)</f>
        <v>Airp</v>
      </c>
      <c r="Q23" s="35"/>
      <c r="R23" s="35"/>
      <c r="S23" s="4"/>
      <c r="T23" s="4"/>
      <c r="U23" s="4"/>
      <c r="V23" s="4"/>
      <c r="W23" s="13"/>
      <c r="X23" s="76" t="s">
        <v>315</v>
      </c>
      <c r="Y23" s="44"/>
      <c r="Z23" s="63"/>
      <c r="AA23" s="44">
        <f ca="1">IFERROR(INDEX(INDIRECT(D3&amp;"Table"),MATCH(D4,INDIRECT(D3&amp;"Table"&amp;"[Name]"),0),COLUMN(INDIRECT(D3&amp;"Table"&amp;"[CritDamage]"))),0)+IFERROR(INDEX(INDIRECT(E3&amp;"Table"),MATCH(E4,INDIRECT(E3&amp;"Table"&amp;"[Name]"),0),COLUMN(INDIRECT(E3&amp;"Table"&amp;"[CritDamage]"))),0)</f>
        <v>0</v>
      </c>
      <c r="AB23" s="13"/>
      <c r="AC23" s="13"/>
      <c r="AD23" s="13"/>
      <c r="AE23" s="13"/>
      <c r="AF23" s="13"/>
      <c r="AG23" s="13"/>
      <c r="AH23" s="13"/>
    </row>
    <row r="24" spans="1:34" x14ac:dyDescent="0.3">
      <c r="A24" s="13"/>
      <c r="B24" s="44" t="str">
        <f ca="1">IFERROR(INDEX(INDIRECT(C3&amp;"Table"),MATCH(C2,INDIRECT(C3&amp;"Table"&amp;"[Name]"),0),COLUMN(INDIRECT(C3&amp;"Table"&amp;"[Barg2]"))),0)</f>
        <v>Aviation Battleship Fleet (100lb)</v>
      </c>
      <c r="C24" s="44"/>
      <c r="D24" s="44">
        <f ca="1">IFERROR(INDEX(Barrage[],MATCH(B24,Barrage[Name],0),COLUMN(Barrage[Total Damage])),0)</f>
        <v>552</v>
      </c>
      <c r="E24" s="44">
        <f ca="1">IFERROR(INDEX(Barrage[],MATCH(B24,Barrage[Name],0),COLUMN(Barrage[Base Damage])),0)</f>
        <v>276</v>
      </c>
      <c r="F24" s="44">
        <f ca="1">IFERROR(INDEX(Barrage[],MATCH(B24,Barrage[Name],0),COLUMN(Barrage[Total Rounds])),0)</f>
        <v>2</v>
      </c>
      <c r="G24" s="44">
        <f ca="1">IFERROR(INDEX(Barrage[],MATCH(B24,Barrage[Name],0),COLUMN(Barrage[Light Armor])),0)</f>
        <v>0.8</v>
      </c>
      <c r="H24" s="44">
        <f ca="1">IFERROR(INDEX(Barrage[],MATCH(B24,Barrage[Name],0),COLUMN(Barrage[Medium Armor])),0)</f>
        <v>0.85</v>
      </c>
      <c r="I24" s="44">
        <f ca="1">IFERROR(INDEX(Barrage[],MATCH(B24,Barrage[Name],0),COLUMN(Barrage[Heavy Armor])),0)</f>
        <v>1</v>
      </c>
      <c r="J24" s="44">
        <f ca="1">IFERROR(INDEX(Barrage[],MATCH(B24,Barrage[Name],0),COLUMN(Barrage[Burn %])),0)</f>
        <v>0</v>
      </c>
      <c r="K24" s="59">
        <v>0</v>
      </c>
      <c r="L24" s="59">
        <v>0</v>
      </c>
      <c r="M24" s="59">
        <v>1</v>
      </c>
      <c r="N24" s="61">
        <v>20</v>
      </c>
      <c r="O24" s="44">
        <f ca="1">IFERROR(INDEX(Barrage[],MATCH(B24,Barrage[Name],0),COLUMN(Barrage[Stat Mod])),0)</f>
        <v>0.8</v>
      </c>
      <c r="P24" s="44" t="str">
        <f ca="1">IFERROR(INDEX(Barrage[],MATCH(B24,Barrage[Name],0),COLUMN(Barrage[Type2])),0)</f>
        <v>Airp</v>
      </c>
      <c r="Q24" s="35"/>
      <c r="R24" s="35"/>
      <c r="S24" s="4"/>
      <c r="T24" s="4"/>
      <c r="U24" s="4"/>
      <c r="V24" s="4"/>
      <c r="W24" s="13"/>
      <c r="X24" s="76" t="s">
        <v>313</v>
      </c>
      <c r="Y24" s="44"/>
      <c r="Z24" s="63"/>
      <c r="AA24" s="50">
        <f ca="1">IFERROR(INDEX(INDIRECT(D3&amp;"Table"),MATCH(D4,INDIRECT(D3&amp;"Table"&amp;"[Name]"),0),COLUMN(INDIRECT(D3&amp;"Table"&amp;"[Crit%]"))),0)+IFERROR(INDEX(INDIRECT(E3&amp;"Table"),MATCH(E4,INDIRECT(E3&amp;"Table"&amp;"[Name]"),0),COLUMN(INDIRECT(E3&amp;"Table"&amp;"[Crit%]"))),0)</f>
        <v>0</v>
      </c>
      <c r="AB24" s="13"/>
      <c r="AC24" s="13"/>
      <c r="AD24" s="13"/>
      <c r="AE24" s="13"/>
      <c r="AF24" s="13"/>
      <c r="AG24" s="13"/>
      <c r="AH24" s="13"/>
    </row>
    <row r="25" spans="1:34" x14ac:dyDescent="0.3">
      <c r="A25" s="13"/>
      <c r="B25" s="44" t="str">
        <f ca="1">IFERROR(INDEX(INDIRECT(C3&amp;"Table"),MATCH(C2,INDIRECT(C3&amp;"Table"&amp;"[Name]"),0),COLUMN(INDIRECT(C3&amp;"Table"&amp;"[Barg3]"))),0)</f>
        <v>N/A</v>
      </c>
      <c r="C25" s="44"/>
      <c r="D25" s="44">
        <f ca="1">IFERROR(INDEX(Barrage[],MATCH(B25,Barrage[Name],0),COLUMN(Barrage[Total Damage])),0)</f>
        <v>0</v>
      </c>
      <c r="E25" s="44">
        <f ca="1">IFERROR(INDEX(Barrage[],MATCH(B25,Barrage[Name],0),COLUMN(Barrage[Base Damage])),0)</f>
        <v>0</v>
      </c>
      <c r="F25" s="44">
        <f ca="1">IFERROR(INDEX(Barrage[],MATCH(B25,Barrage[Name],0),COLUMN(Barrage[Total Rounds])),0)</f>
        <v>0</v>
      </c>
      <c r="G25" s="44">
        <f ca="1">IFERROR(INDEX(Barrage[],MATCH(B25,Barrage[Name],0),COLUMN(Barrage[Light Armor])),0)</f>
        <v>0</v>
      </c>
      <c r="H25" s="44">
        <f ca="1">IFERROR(INDEX(Barrage[],MATCH(B25,Barrage[Name],0),COLUMN(Barrage[Medium Armor])),0)</f>
        <v>0</v>
      </c>
      <c r="I25" s="44">
        <f ca="1">IFERROR(INDEX(Barrage[],MATCH(B25,Barrage[Name],0),COLUMN(Barrage[Heavy Armor])),0)</f>
        <v>0</v>
      </c>
      <c r="J25" s="44">
        <f ca="1">IFERROR(INDEX(Barrage[],MATCH(B25,Barrage[Name],0),COLUMN(Barrage[Burn %])),0)</f>
        <v>0</v>
      </c>
      <c r="K25" s="59">
        <v>0</v>
      </c>
      <c r="L25" s="59">
        <v>0</v>
      </c>
      <c r="M25" s="59">
        <v>1</v>
      </c>
      <c r="N25" s="61">
        <v>20</v>
      </c>
      <c r="O25" s="44">
        <f ca="1">IFERROR(INDEX(Barrage[],MATCH(B25,Barrage[Name],0),COLUMN(Barrage[Stat Mod])),0)</f>
        <v>0</v>
      </c>
      <c r="P25" s="44">
        <f ca="1">IFERROR(INDEX(Barrage[],MATCH(B25,Barrage[Name],0),COLUMN(Barrage[Type2])),0)</f>
        <v>0</v>
      </c>
      <c r="Q25" s="35"/>
      <c r="R25" s="35"/>
      <c r="S25" s="4"/>
      <c r="T25" s="4"/>
      <c r="U25" s="4"/>
      <c r="V25" s="4"/>
      <c r="W25" s="13"/>
      <c r="X25" s="76" t="s">
        <v>31</v>
      </c>
      <c r="Y25" s="44"/>
      <c r="Z25" s="63"/>
      <c r="AA25" s="51">
        <f ca="1">SUM(C7:H7)</f>
        <v>7393</v>
      </c>
      <c r="AB25" s="13"/>
      <c r="AC25" s="13"/>
      <c r="AD25" s="13"/>
      <c r="AE25" s="13"/>
      <c r="AF25" s="13"/>
      <c r="AG25" s="13"/>
      <c r="AH25" s="13"/>
    </row>
    <row r="26" spans="1:34" x14ac:dyDescent="0.3">
      <c r="A26" s="13"/>
      <c r="B26" s="44" t="str">
        <f ca="1">IFERROR(INDEX(INDIRECT(C3&amp;"Table"),MATCH(C2,INDIRECT(C3&amp;"Table"&amp;"[Name]"),0),COLUMN(INDIRECT(C3&amp;"Table"&amp;"[Barg4]"))),0)</f>
        <v>N/A</v>
      </c>
      <c r="C26" s="44"/>
      <c r="D26" s="44">
        <f ca="1">IFERROR(INDEX(Barrage[],MATCH(B26,Barrage[Name],0),COLUMN(Barrage[Total Damage])),0)</f>
        <v>0</v>
      </c>
      <c r="E26" s="44">
        <f ca="1">IFERROR(INDEX(Barrage[],MATCH(B26,Barrage[Name],0),COLUMN(Barrage[Base Damage])),0)</f>
        <v>0</v>
      </c>
      <c r="F26" s="44">
        <f ca="1">IFERROR(INDEX(Barrage[],MATCH(B26,Barrage[Name],0),COLUMN(Barrage[Total Rounds])),0)</f>
        <v>0</v>
      </c>
      <c r="G26" s="44">
        <f ca="1">IFERROR(INDEX(Barrage[],MATCH(B26,Barrage[Name],0),COLUMN(Barrage[Light Armor])),0)</f>
        <v>0</v>
      </c>
      <c r="H26" s="44">
        <f ca="1">IFERROR(INDEX(Barrage[],MATCH(B26,Barrage[Name],0),COLUMN(Barrage[Medium Armor])),0)</f>
        <v>0</v>
      </c>
      <c r="I26" s="44">
        <f ca="1">IFERROR(INDEX(Barrage[],MATCH(B26,Barrage[Name],0),COLUMN(Barrage[Heavy Armor])),0)</f>
        <v>0</v>
      </c>
      <c r="J26" s="44">
        <f ca="1">IFERROR(INDEX(Barrage[],MATCH(B26,Barrage[Name],0),COLUMN(Barrage[Burn %])),0)</f>
        <v>0</v>
      </c>
      <c r="K26" s="59">
        <v>0</v>
      </c>
      <c r="L26" s="59">
        <v>0</v>
      </c>
      <c r="M26" s="59">
        <v>1</v>
      </c>
      <c r="N26" s="61">
        <v>20</v>
      </c>
      <c r="O26" s="44">
        <f ca="1">IFERROR(INDEX(Barrage[],MATCH(B26,Barrage[Name],0),COLUMN(Barrage[Stat Mod])),0)</f>
        <v>0</v>
      </c>
      <c r="P26" s="44">
        <f ca="1">IFERROR(INDEX(Barrage[],MATCH(B26,Barrage[Name],0),COLUMN(Barrage[Type2])),0)</f>
        <v>0</v>
      </c>
      <c r="Q26" s="35"/>
      <c r="R26" s="35"/>
      <c r="S26" s="4"/>
      <c r="T26" s="4"/>
      <c r="U26" s="4"/>
      <c r="V26" s="4"/>
      <c r="W26" s="13"/>
      <c r="X26" s="76" t="s">
        <v>33</v>
      </c>
      <c r="Y26" s="44"/>
      <c r="Z26" s="63"/>
      <c r="AA26" s="51">
        <f ca="1">AA25/(AA31*(1-U17))</f>
        <v>73930</v>
      </c>
      <c r="AB26" s="13"/>
      <c r="AC26" s="13"/>
      <c r="AD26" s="13"/>
      <c r="AE26" s="13"/>
      <c r="AF26" s="13"/>
      <c r="AG26" s="13"/>
      <c r="AH26" s="13"/>
    </row>
    <row r="27" spans="1:34" x14ac:dyDescent="0.3">
      <c r="A27" s="13"/>
      <c r="B27" s="35"/>
      <c r="C27" s="35"/>
      <c r="D27" s="35"/>
      <c r="E27" s="35"/>
      <c r="F27" s="35"/>
      <c r="G27" s="35"/>
      <c r="H27" s="35"/>
      <c r="I27" s="35"/>
      <c r="J27" s="35"/>
      <c r="K27" s="35"/>
      <c r="L27" s="35"/>
      <c r="M27" s="35"/>
      <c r="N27" s="35"/>
      <c r="O27" s="35"/>
      <c r="P27" s="35"/>
      <c r="Q27" s="35"/>
      <c r="R27" s="35"/>
      <c r="S27" s="4"/>
      <c r="T27" s="4"/>
      <c r="U27" s="4"/>
      <c r="V27" s="4"/>
      <c r="W27" s="13"/>
      <c r="X27" s="76" t="s">
        <v>36</v>
      </c>
      <c r="Y27" s="44"/>
      <c r="Z27" s="63"/>
      <c r="AA27" s="52">
        <f ca="1">0.1+(SUM(C14:H14)/(SUM(C14:H14)+2+Q15))-((SUM(C13:H13)-Q13)/1000)</f>
        <v>1.0122222222222221</v>
      </c>
      <c r="AB27" s="13"/>
      <c r="AC27" s="13"/>
      <c r="AD27" s="13"/>
      <c r="AE27" s="13"/>
      <c r="AF27" s="13"/>
      <c r="AG27" s="13"/>
      <c r="AH27" s="13"/>
    </row>
    <row r="28" spans="1:34" x14ac:dyDescent="0.3">
      <c r="A28" s="13"/>
      <c r="B28" s="35"/>
      <c r="C28" s="53"/>
      <c r="D28" s="53" t="s">
        <v>69</v>
      </c>
      <c r="E28" s="53"/>
      <c r="F28" s="53" t="s">
        <v>70</v>
      </c>
      <c r="G28" s="53"/>
      <c r="H28" s="53" t="s">
        <v>71</v>
      </c>
      <c r="I28" s="82"/>
      <c r="J28" s="85" t="s">
        <v>823</v>
      </c>
      <c r="K28" s="85" t="s">
        <v>828</v>
      </c>
      <c r="L28" s="85"/>
      <c r="M28" s="85" t="s">
        <v>829</v>
      </c>
      <c r="N28" s="85"/>
      <c r="O28" s="85" t="s">
        <v>830</v>
      </c>
      <c r="P28" s="85"/>
      <c r="Q28" s="85" t="s">
        <v>831</v>
      </c>
      <c r="R28" s="35"/>
      <c r="S28" s="4"/>
      <c r="T28" s="4"/>
      <c r="U28" s="4"/>
      <c r="V28" s="4"/>
      <c r="W28" s="13"/>
      <c r="X28" s="76" t="s">
        <v>51</v>
      </c>
      <c r="Y28" s="44"/>
      <c r="Z28" s="63"/>
      <c r="AA28" s="52">
        <f ca="1">IF(AA27&lt;=0.1, 0.1, IF(AA27&gt;=0.9, 0.9, AA27))</f>
        <v>0.9</v>
      </c>
      <c r="AB28" s="13"/>
      <c r="AC28" s="13"/>
      <c r="AD28" s="13"/>
      <c r="AE28" s="13"/>
      <c r="AF28" s="13"/>
      <c r="AG28" s="13"/>
      <c r="AH28" s="13"/>
    </row>
    <row r="29" spans="1:34" x14ac:dyDescent="0.3">
      <c r="A29" s="13"/>
      <c r="B29" s="35"/>
      <c r="C29" s="53" t="s">
        <v>8</v>
      </c>
      <c r="D29" s="51">
        <f ca="1">((100+$E$18)/100)*$AA$21*$Q$19*$Q$12*$F$10*$F$15*$F$16*$C$10*Y5</f>
        <v>9197.2989078539122</v>
      </c>
      <c r="E29" s="51"/>
      <c r="F29" s="51">
        <f ca="1">((100+C18*IF(G5="T",Q18,0.8*Q18))/100)*Z10*AA20*Q19*G6*Y5</f>
        <v>6337.7488695652173</v>
      </c>
      <c r="G29" s="51"/>
      <c r="H29" s="51">
        <f ca="1">((100+C18*IF(H5="T",Q18,0.8*Q18))/100)*Z10*AA20*Q19*H6*Y5</f>
        <v>0</v>
      </c>
      <c r="I29" s="35"/>
      <c r="J29" s="53" t="s">
        <v>8</v>
      </c>
      <c r="K29" s="51">
        <f ca="1">(D23*G23*((100+IF(P23="AirP",C18,E18)*O23)/100)/IF(N23=0,AA17,N23)*AA20*M23)*Q19</f>
        <v>97.194559192945249</v>
      </c>
      <c r="L29" s="51"/>
      <c r="M29" s="51">
        <f ca="1">(D24*G24*((100+IF(P24="AirP",C18,E18)*O24)/100)/IF(N24=0,AA17,N24)*AA20*M24)*Q19</f>
        <v>115.68906666666668</v>
      </c>
      <c r="N29" s="51"/>
      <c r="O29" s="51">
        <f ca="1">(D25*G25*((100+IF(P25="AirP",C18,E18)*O25)/100)/IF(N25=0,AA17,N25)*AA20*M25)*Q19</f>
        <v>0</v>
      </c>
      <c r="P29" s="51"/>
      <c r="Q29" s="51">
        <f ca="1">(D26*G26*((100+IF(P26="AirP",C18,E18)*O26)/100)/IF(N26=0,AA17,N26)*AA20*M26)*Q19</f>
        <v>0</v>
      </c>
      <c r="R29" s="35"/>
      <c r="S29" s="4"/>
      <c r="T29" s="4"/>
      <c r="U29" s="4"/>
      <c r="V29" s="4"/>
      <c r="W29" s="13"/>
      <c r="X29" s="76"/>
      <c r="Y29" s="44"/>
      <c r="Z29" s="44"/>
      <c r="AA29" s="44"/>
      <c r="AB29" s="13"/>
      <c r="AC29" s="13"/>
      <c r="AD29" s="13"/>
      <c r="AE29" s="13"/>
      <c r="AF29" s="13"/>
      <c r="AG29" s="13"/>
      <c r="AH29" s="13"/>
    </row>
    <row r="30" spans="1:34" x14ac:dyDescent="0.3">
      <c r="A30" s="13"/>
      <c r="B30" s="35"/>
      <c r="C30" s="53" t="s">
        <v>10</v>
      </c>
      <c r="D30" s="51">
        <f ca="1">((100+$E$18)/100)*$AA$21*$Q$19*$Q$12*$F$10*$F$15*$F$16*$C$10*Y6</f>
        <v>7226.4491418852185</v>
      </c>
      <c r="E30" s="51"/>
      <c r="F30" s="51">
        <f ca="1">((100+C18*IF(G5="T",Q18,0.8*Q18))/100)*Z11*AA20*Q19*G6*Y5</f>
        <v>7129.967478260869</v>
      </c>
      <c r="G30" s="51"/>
      <c r="H30" s="51">
        <f ca="1">((100+C18*IF(H5="T",Q18,0.8*Q18))/100)*Z11*AA20*Q19*H6*Y5</f>
        <v>0</v>
      </c>
      <c r="I30" s="35"/>
      <c r="J30" s="53" t="s">
        <v>10</v>
      </c>
      <c r="K30" s="51">
        <f ca="1">(D23*H23*((100+IF(P23="AirP",C18,E18)*O23)/100)/IF(N23=0,AA17,N23)*AA20*M23)*Q19</f>
        <v>115.41853904162247</v>
      </c>
      <c r="L30" s="51"/>
      <c r="M30" s="51">
        <f ca="1">(D24*H24*((100+IF(P24="AirP",C18,E18)*O24)/100)/IF(N24=0,AA17,N24)*AA20*M24)*Q19</f>
        <v>122.91963333333332</v>
      </c>
      <c r="N30" s="51"/>
      <c r="O30" s="51">
        <f ca="1">(D25*H25*((100+IF(P25="AirP",C18,E18)*O25)/100)/IF(N25=0,AA17,N25)*AA20*M25)*Q19</f>
        <v>0</v>
      </c>
      <c r="P30" s="51"/>
      <c r="Q30" s="51">
        <f ca="1">(D26*H26*((100+IF(P26="AirP",C18,E18)*O26)/100)/IF(N26=0,AA17,N26)*AA20*M26)*Q19</f>
        <v>0</v>
      </c>
      <c r="R30" s="35"/>
      <c r="S30" s="4"/>
      <c r="T30" s="4"/>
      <c r="U30" s="4"/>
      <c r="V30" s="4"/>
      <c r="W30" s="13"/>
      <c r="X30" s="76" t="s">
        <v>37</v>
      </c>
      <c r="Y30" s="44"/>
      <c r="Z30" s="63"/>
      <c r="AA30" s="77">
        <f ca="1">0.1+(Q14/(Q14+2+U16*SUM(C12:H12)))+((Q13-SUM(C13:H13))/1000)-U15</f>
        <v>4.0000000000000008E-2</v>
      </c>
      <c r="AB30" s="13"/>
      <c r="AC30" s="13"/>
      <c r="AD30" s="13"/>
      <c r="AE30" s="13"/>
      <c r="AF30" s="13"/>
      <c r="AG30" s="13"/>
      <c r="AH30" s="13"/>
    </row>
    <row r="31" spans="1:34" x14ac:dyDescent="0.3">
      <c r="A31" s="13"/>
      <c r="B31" s="35"/>
      <c r="C31" s="53" t="s">
        <v>12</v>
      </c>
      <c r="D31" s="51">
        <f ca="1">((100+$E$18)/100)*$AA$21*$Q$19*$Q$12*$F$10*$F$15*$F$16*$C$10*Y7*AA15</f>
        <v>5912.5492979060873</v>
      </c>
      <c r="E31" s="51"/>
      <c r="F31" s="51">
        <f ca="1">((100+C18*IF(G5="T",Q18,0.8*Q18))/100)*Z12*AA20*Q19*G6*Y5</f>
        <v>8714.4046956521761</v>
      </c>
      <c r="G31" s="51"/>
      <c r="H31" s="51">
        <f ca="1">((100+C18*IF(H5="T",Q18,0.8*Q18))/100)*Z12*AA20*Q19*H6*Y5</f>
        <v>0</v>
      </c>
      <c r="I31" s="35"/>
      <c r="J31" s="53" t="s">
        <v>12</v>
      </c>
      <c r="K31" s="51">
        <f ca="1">(D23*I23*((100+IF(P23="AirP",C18,E18)*O23)/100)/IF(N23=0,AA17,N23)*AA20*M23)*Q19</f>
        <v>139.71717883985878</v>
      </c>
      <c r="L31" s="51"/>
      <c r="M31" s="51">
        <f ca="1">(D24*I24*((100+IF(P24="AirP",C18,E18)*O24)/100)/IF(N24=0,AA17,N24)*AA20*M24)*Q19</f>
        <v>144.61133333333333</v>
      </c>
      <c r="N31" s="51"/>
      <c r="O31" s="51">
        <f ca="1">(D25*I25*((100+IF(P25="AirP",C18,E18)*O25)/100)/IF(N25=0,AA17,N25)*AA20*M25)*Q19</f>
        <v>0</v>
      </c>
      <c r="P31" s="51"/>
      <c r="Q31" s="51">
        <f ca="1">(D26*I26*((100+IF(P26="AirP",C18,E18)*O26)/100)/IF(N26=0,AA17,N26)*AA20*M26)*Q19</f>
        <v>0</v>
      </c>
      <c r="R31" s="35"/>
      <c r="S31" s="4"/>
      <c r="T31" s="4"/>
      <c r="U31" s="4"/>
      <c r="V31" s="4"/>
      <c r="W31" s="13"/>
      <c r="X31" s="76" t="s">
        <v>50</v>
      </c>
      <c r="Y31" s="44"/>
      <c r="Z31" s="63"/>
      <c r="AA31" s="52">
        <f ca="1">IF(AA30&lt;=0.1, 0.1, IF(AA30&gt;=0.9, 0.9, AA30))</f>
        <v>0.1</v>
      </c>
      <c r="AB31" s="13"/>
      <c r="AC31" s="13"/>
      <c r="AD31" s="13"/>
      <c r="AE31" s="13"/>
      <c r="AF31" s="13"/>
      <c r="AG31" s="13"/>
      <c r="AH31" s="13"/>
    </row>
    <row r="32" spans="1:34" x14ac:dyDescent="0.3">
      <c r="A32" s="13"/>
      <c r="B32" s="35"/>
      <c r="C32" s="53" t="s">
        <v>817</v>
      </c>
      <c r="D32" s="51">
        <f ca="1">(((100+E18)/100)*C10*F10*F15*M18+5)*5*(1-(1-M19)^(F16*Q12))</f>
        <v>4431.437249999999</v>
      </c>
      <c r="E32" s="51"/>
      <c r="F32" s="51">
        <v>0</v>
      </c>
      <c r="G32" s="51"/>
      <c r="H32" s="51">
        <v>0</v>
      </c>
      <c r="I32" s="35"/>
      <c r="J32" s="53"/>
      <c r="K32" s="51"/>
      <c r="L32" s="51"/>
      <c r="M32" s="51"/>
      <c r="N32" s="51"/>
      <c r="O32" s="51"/>
      <c r="P32" s="51"/>
      <c r="Q32" s="51"/>
      <c r="R32" s="35"/>
      <c r="S32" s="4"/>
      <c r="T32" s="4"/>
      <c r="U32" s="4"/>
      <c r="V32" s="4"/>
      <c r="W32" s="13"/>
      <c r="X32" s="51"/>
      <c r="Y32" s="44"/>
      <c r="Z32" s="51"/>
      <c r="AA32" s="51"/>
      <c r="AB32" s="13"/>
      <c r="AC32" s="13"/>
      <c r="AD32" s="13"/>
      <c r="AE32" s="13"/>
      <c r="AF32" s="13"/>
      <c r="AG32" s="13"/>
      <c r="AH32" s="13"/>
    </row>
    <row r="33" spans="1:34" x14ac:dyDescent="0.3">
      <c r="A33" s="13"/>
      <c r="B33" s="35"/>
      <c r="C33" s="35"/>
      <c r="D33" s="35"/>
      <c r="E33" s="35"/>
      <c r="F33" s="35"/>
      <c r="G33" s="35"/>
      <c r="H33" s="35"/>
      <c r="I33" s="35"/>
      <c r="J33" s="85" t="s">
        <v>833</v>
      </c>
      <c r="K33" s="85" t="s">
        <v>824</v>
      </c>
      <c r="L33" s="85"/>
      <c r="M33" s="85" t="s">
        <v>821</v>
      </c>
      <c r="N33" s="85"/>
      <c r="O33" s="85" t="s">
        <v>822</v>
      </c>
      <c r="P33" s="85"/>
      <c r="Q33" s="85" t="s">
        <v>832</v>
      </c>
      <c r="R33" s="35"/>
      <c r="S33" s="4"/>
      <c r="T33" s="4"/>
      <c r="U33" s="4"/>
      <c r="V33" s="4"/>
      <c r="W33" s="13"/>
      <c r="X33" s="13"/>
      <c r="Y33" s="13"/>
      <c r="Z33" s="13"/>
      <c r="AA33" s="13"/>
      <c r="AB33" s="13"/>
      <c r="AC33" s="13"/>
      <c r="AD33" s="13"/>
      <c r="AE33" s="13"/>
      <c r="AF33" s="13"/>
      <c r="AG33" s="13"/>
      <c r="AH33" s="13"/>
    </row>
    <row r="34" spans="1:34" x14ac:dyDescent="0.3">
      <c r="A34" s="13"/>
      <c r="B34" s="35"/>
      <c r="C34" s="85"/>
      <c r="D34" s="85" t="s">
        <v>128</v>
      </c>
      <c r="E34" s="85"/>
      <c r="F34" s="85" t="s">
        <v>129</v>
      </c>
      <c r="G34" s="85"/>
      <c r="H34" s="85" t="s">
        <v>130</v>
      </c>
      <c r="I34" s="82"/>
      <c r="J34" s="53" t="s">
        <v>15</v>
      </c>
      <c r="K34" s="51">
        <f ca="1">(E23*M23*((100+O23*C18)/100)*M18+5)*(1-(1-J23)^(F23))*5</f>
        <v>0</v>
      </c>
      <c r="L34" s="51"/>
      <c r="M34" s="51">
        <f ca="1">(E24*M24*((100+O24*C18)/100)*M18+5)*(1-(1-J24)^(F24))*5</f>
        <v>0</v>
      </c>
      <c r="N34" s="51"/>
      <c r="O34" s="51">
        <f ca="1">(E25*M25*((100+O25*C18)/100)*M18+5)*(1-(1-J25)^(F25))*5</f>
        <v>0</v>
      </c>
      <c r="P34" s="51"/>
      <c r="Q34" s="51">
        <f ca="1">(E26*M26*((100+O26*C18)/100)*M18+5)*(1-(1-J23)^(F23))*5</f>
        <v>0</v>
      </c>
      <c r="R34" s="35"/>
      <c r="S34" s="4"/>
      <c r="T34" s="4"/>
      <c r="U34" s="4"/>
      <c r="V34" s="4"/>
      <c r="W34" s="4"/>
      <c r="X34" s="4"/>
      <c r="Y34" s="4"/>
      <c r="Z34" s="4"/>
      <c r="AA34" s="4"/>
      <c r="AB34" s="4"/>
      <c r="AC34" s="4"/>
      <c r="AD34" s="13"/>
      <c r="AE34" s="13"/>
      <c r="AF34" s="13"/>
      <c r="AG34" s="13"/>
      <c r="AH34" s="13"/>
    </row>
    <row r="35" spans="1:34" x14ac:dyDescent="0.3">
      <c r="A35" s="13"/>
      <c r="B35" s="35"/>
      <c r="C35" s="53" t="s">
        <v>8</v>
      </c>
      <c r="D35" s="51">
        <f ca="1">D29*(IF(OR(F5="F",F5="B"),0.8,1))/AA18</f>
        <v>494.79490908363141</v>
      </c>
      <c r="E35" s="51"/>
      <c r="F35" s="51">
        <f ca="1">F29*(IF(OR(G5="F",G5="B"),0.8,1))/AA17</f>
        <v>177.05804036112434</v>
      </c>
      <c r="G35" s="51"/>
      <c r="H35" s="51">
        <f ca="1">H29*(IF(OR(H5="F",H5="B"),0.8,1))/AA17</f>
        <v>0</v>
      </c>
      <c r="I35" s="35"/>
      <c r="J35" s="53" t="s">
        <v>145</v>
      </c>
      <c r="K35" s="51">
        <f ca="1">K23*(E23*((100+C18*O23)/100)*L23+10)*8</f>
        <v>0</v>
      </c>
      <c r="L35" s="51"/>
      <c r="M35" s="51">
        <f ca="1">K24*(E24*((100+C18*O24)/100)*L24+10)*8</f>
        <v>0</v>
      </c>
      <c r="N35" s="51"/>
      <c r="O35" s="51">
        <f ca="1">K25*(E25*((100+C18*O25)/100)*L25+10)*8</f>
        <v>0</v>
      </c>
      <c r="P35" s="51"/>
      <c r="Q35" s="51">
        <f ca="1">K26*(E26*((100+C18*O26)/100)*L26+10)*8</f>
        <v>0</v>
      </c>
      <c r="R35" s="35"/>
      <c r="S35" s="4"/>
      <c r="T35" s="4"/>
      <c r="U35" s="4"/>
      <c r="V35" s="4"/>
      <c r="W35" s="4"/>
      <c r="X35" s="4"/>
      <c r="Y35" s="4"/>
      <c r="Z35" s="4"/>
      <c r="AA35" s="4"/>
      <c r="AB35" s="4"/>
      <c r="AC35" s="4"/>
      <c r="AD35" s="13"/>
      <c r="AE35" s="13"/>
      <c r="AF35" s="13"/>
      <c r="AG35" s="13"/>
      <c r="AH35" s="13"/>
    </row>
    <row r="36" spans="1:34" x14ac:dyDescent="0.3">
      <c r="A36" s="13"/>
      <c r="B36" s="35"/>
      <c r="C36" s="53" t="s">
        <v>10</v>
      </c>
      <c r="D36" s="51">
        <f ca="1">D30*(IF(OR(F5="F",F5="B"),0.8,1))/AA18</f>
        <v>388.76742856571047</v>
      </c>
      <c r="E36" s="51"/>
      <c r="F36" s="51">
        <f ca="1">F30*(IF(OR(G5="F",G5="B"),0.8,1))/AA17</f>
        <v>199.19029540626488</v>
      </c>
      <c r="G36" s="51"/>
      <c r="H36" s="51">
        <f ca="1">H30*(IF(OR(H5="F",H5="B"),0.8,1))/AA17</f>
        <v>0</v>
      </c>
      <c r="I36" s="35"/>
      <c r="J36" s="53"/>
      <c r="K36" s="51"/>
      <c r="L36" s="51"/>
      <c r="M36" s="51"/>
      <c r="N36" s="51"/>
      <c r="O36" s="51"/>
      <c r="P36" s="51"/>
      <c r="Q36" s="51"/>
      <c r="R36" s="35"/>
      <c r="S36" s="4"/>
      <c r="T36" s="4"/>
      <c r="U36" s="4"/>
      <c r="V36" s="4"/>
      <c r="W36" s="4"/>
      <c r="X36" s="4"/>
      <c r="Y36" s="4"/>
      <c r="Z36" s="4"/>
      <c r="AA36" s="4"/>
      <c r="AB36" s="4"/>
      <c r="AC36" s="4"/>
      <c r="AD36" s="13"/>
      <c r="AE36" s="13"/>
      <c r="AF36" s="13"/>
      <c r="AG36" s="13"/>
      <c r="AH36" s="13"/>
    </row>
    <row r="37" spans="1:34" x14ac:dyDescent="0.3">
      <c r="A37" s="13"/>
      <c r="B37" s="35"/>
      <c r="C37" s="53" t="s">
        <v>12</v>
      </c>
      <c r="D37" s="51">
        <f ca="1">D31*(IF(OR(F5="F",F5="B"),0.8,1))/AA18</f>
        <v>318.08244155376309</v>
      </c>
      <c r="E37" s="51"/>
      <c r="F37" s="51">
        <f ca="1">F31*(IF(OR(G5="F",G5="B"),0.8,1))/AA17</f>
        <v>243.45480549654604</v>
      </c>
      <c r="G37" s="51"/>
      <c r="H37" s="51">
        <f ca="1">H31*(IF(OR(H5="F",H5="B"),0.8,1))/AA17</f>
        <v>0</v>
      </c>
      <c r="I37" s="35"/>
      <c r="J37" s="85" t="s">
        <v>833</v>
      </c>
      <c r="K37" s="85" t="s">
        <v>828</v>
      </c>
      <c r="L37" s="85"/>
      <c r="M37" s="85" t="s">
        <v>829</v>
      </c>
      <c r="N37" s="85"/>
      <c r="O37" s="85" t="s">
        <v>830</v>
      </c>
      <c r="P37" s="85"/>
      <c r="Q37" s="85" t="s">
        <v>831</v>
      </c>
      <c r="R37" s="35"/>
      <c r="S37" s="4"/>
      <c r="T37" s="4"/>
      <c r="U37" s="4"/>
      <c r="V37" s="4"/>
      <c r="W37" s="4"/>
      <c r="X37" s="4"/>
      <c r="Y37" s="4"/>
      <c r="Z37" s="4"/>
      <c r="AA37" s="4"/>
      <c r="AB37" s="4"/>
      <c r="AC37" s="4"/>
      <c r="AD37" s="13"/>
      <c r="AE37" s="13"/>
      <c r="AF37" s="13"/>
      <c r="AG37" s="13"/>
      <c r="AH37" s="13"/>
    </row>
    <row r="38" spans="1:34" x14ac:dyDescent="0.3">
      <c r="A38" s="13"/>
      <c r="B38" s="35"/>
      <c r="C38" s="53" t="s">
        <v>44</v>
      </c>
      <c r="D38" s="51">
        <f ca="1">D32/15*(MIN((15/(AA18)),1))</f>
        <v>238.40179743980926</v>
      </c>
      <c r="E38" s="51"/>
      <c r="F38" s="51">
        <v>0</v>
      </c>
      <c r="G38" s="51"/>
      <c r="H38" s="51">
        <v>0</v>
      </c>
      <c r="I38" s="35"/>
      <c r="J38" s="53" t="s">
        <v>44</v>
      </c>
      <c r="K38" s="51">
        <f ca="1">K34/15*(MIN((15/IF(N23=0,AA17,N23)),1))</f>
        <v>0</v>
      </c>
      <c r="L38" s="51"/>
      <c r="M38" s="51">
        <f ca="1">M34/15*(MIN((15/IF(N24=0,AA17,N24)),1))</f>
        <v>0</v>
      </c>
      <c r="N38" s="51"/>
      <c r="O38" s="51">
        <f ca="1">O34/15*(MIN((15/IF(N25=0,AA17,N25)),1))</f>
        <v>0</v>
      </c>
      <c r="P38" s="51"/>
      <c r="Q38" s="51">
        <f ca="1">Q34/15*(MIN((15/IF(N26=0,AA17,N26)),1))</f>
        <v>0</v>
      </c>
      <c r="R38" s="35"/>
      <c r="S38" s="4"/>
      <c r="T38" s="4"/>
      <c r="U38" s="4"/>
      <c r="V38" s="4"/>
      <c r="W38" s="4"/>
      <c r="X38" s="4"/>
      <c r="Y38" s="4"/>
      <c r="Z38" s="4"/>
      <c r="AA38" s="4"/>
      <c r="AB38" s="4"/>
      <c r="AC38" s="4"/>
      <c r="AD38" s="13"/>
      <c r="AE38" s="13"/>
      <c r="AF38" s="13"/>
      <c r="AG38" s="13"/>
      <c r="AH38" s="13"/>
    </row>
    <row r="39" spans="1:34" x14ac:dyDescent="0.3">
      <c r="A39" s="13"/>
      <c r="B39" s="35"/>
      <c r="C39" s="35"/>
      <c r="D39" s="35"/>
      <c r="E39" s="35"/>
      <c r="F39" s="35"/>
      <c r="G39" s="35"/>
      <c r="H39" s="35"/>
      <c r="I39" s="35"/>
      <c r="J39" s="53" t="s">
        <v>147</v>
      </c>
      <c r="K39" s="51">
        <f ca="1">K35/15*(MIN((15/IF(N23=0,AA17,N23)),1))</f>
        <v>0</v>
      </c>
      <c r="L39" s="51"/>
      <c r="M39" s="51">
        <f ca="1">M35/15*(MIN((15/IF(N23=0,AA17,N23)),1))</f>
        <v>0</v>
      </c>
      <c r="N39" s="51"/>
      <c r="O39" s="51">
        <f ca="1">O35/15*(MIN((15/IF(N23=0,AA17,N23)),1))</f>
        <v>0</v>
      </c>
      <c r="P39" s="51"/>
      <c r="Q39" s="51">
        <f ca="1">Q35/15*(MIN((15/IF(N23=0,AA17,N23)),1))</f>
        <v>0</v>
      </c>
      <c r="R39" s="35"/>
      <c r="S39" s="4"/>
      <c r="T39" s="4"/>
      <c r="U39" s="4"/>
      <c r="V39" s="4"/>
      <c r="W39" s="4"/>
      <c r="X39" s="4"/>
      <c r="Y39" s="4"/>
      <c r="Z39" s="4"/>
      <c r="AA39" s="4"/>
      <c r="AB39" s="4"/>
      <c r="AC39" s="4"/>
      <c r="AD39" s="13"/>
      <c r="AE39" s="13"/>
      <c r="AF39" s="13"/>
      <c r="AG39" s="13"/>
      <c r="AH39" s="13"/>
    </row>
    <row r="40" spans="1:34" x14ac:dyDescent="0.3">
      <c r="A40" s="13"/>
      <c r="B40" s="35"/>
      <c r="C40" s="35"/>
      <c r="D40" s="35"/>
      <c r="E40" s="35"/>
      <c r="F40" s="35"/>
      <c r="G40" s="35"/>
      <c r="H40" s="35"/>
      <c r="I40" s="35"/>
      <c r="J40" s="35"/>
      <c r="K40" s="35"/>
      <c r="L40" s="35"/>
      <c r="M40" s="35"/>
      <c r="N40" s="35"/>
      <c r="O40" s="35"/>
      <c r="P40" s="35"/>
      <c r="Q40" s="35"/>
      <c r="R40" s="35"/>
      <c r="S40" s="4"/>
      <c r="T40" s="4"/>
      <c r="U40" s="4"/>
      <c r="V40" s="4"/>
      <c r="W40" s="4"/>
      <c r="X40" s="4"/>
      <c r="Y40" s="4"/>
      <c r="Z40" s="4"/>
      <c r="AA40" s="4"/>
      <c r="AB40" s="4"/>
      <c r="AC40" s="4"/>
      <c r="AD40" s="13"/>
      <c r="AE40" s="13"/>
      <c r="AF40" s="13"/>
      <c r="AG40" s="13"/>
      <c r="AH40" s="13"/>
    </row>
    <row r="41" spans="1:34" x14ac:dyDescent="0.3">
      <c r="A41" s="1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13"/>
      <c r="AE41" s="13"/>
      <c r="AF41" s="13"/>
      <c r="AG41" s="13"/>
      <c r="AH41" s="13"/>
    </row>
    <row r="42" spans="1:34" x14ac:dyDescent="0.3">
      <c r="A42" s="1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13"/>
      <c r="AE42" s="13"/>
      <c r="AF42" s="13"/>
      <c r="AG42" s="13"/>
      <c r="AH42" s="13"/>
    </row>
    <row r="43" spans="1:34" x14ac:dyDescent="0.3">
      <c r="A43" s="1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13"/>
      <c r="AE43" s="13"/>
      <c r="AF43" s="13"/>
      <c r="AG43" s="13"/>
      <c r="AH43" s="13"/>
    </row>
    <row r="44" spans="1:34" x14ac:dyDescent="0.3">
      <c r="A44" s="1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13"/>
      <c r="AE44" s="13"/>
      <c r="AF44" s="13"/>
      <c r="AG44" s="13"/>
      <c r="AH44" s="13"/>
    </row>
    <row r="45" spans="1:34" x14ac:dyDescent="0.3">
      <c r="A45" s="1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13"/>
      <c r="AE45" s="13"/>
      <c r="AF45" s="13"/>
      <c r="AG45" s="13"/>
      <c r="AH45" s="13"/>
    </row>
    <row r="46" spans="1:34" x14ac:dyDescent="0.3">
      <c r="A46" s="13"/>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13"/>
      <c r="AE46" s="13"/>
      <c r="AF46" s="13"/>
      <c r="AG46" s="13"/>
      <c r="AH46" s="13"/>
    </row>
    <row r="47" spans="1:34" x14ac:dyDescent="0.3">
      <c r="A47" s="13"/>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13"/>
      <c r="AE47" s="13"/>
      <c r="AF47" s="13"/>
      <c r="AG47" s="13"/>
      <c r="AH47" s="13"/>
    </row>
    <row r="48" spans="1:34"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13"/>
      <c r="AE48" s="13"/>
      <c r="AF48" s="13"/>
      <c r="AG48" s="13"/>
      <c r="AH48" s="13"/>
    </row>
    <row r="49" spans="1:34"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13"/>
      <c r="AE49" s="13"/>
      <c r="AF49" s="13"/>
      <c r="AG49" s="13"/>
      <c r="AH49" s="13"/>
    </row>
    <row r="50" spans="1:34"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1:34"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1:34"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1:34"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1:34"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1:34"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spans="1:34"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spans="1:34"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spans="1:34"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spans="1:34"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spans="1:34"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spans="1:34"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spans="1:34" x14ac:dyDescent="0.3">
      <c r="A64" s="13"/>
    </row>
    <row r="65" spans="1:1" x14ac:dyDescent="0.3">
      <c r="A65" s="13"/>
    </row>
    <row r="66" spans="1:1" x14ac:dyDescent="0.3">
      <c r="A66" s="13"/>
    </row>
    <row r="67" spans="1:1" x14ac:dyDescent="0.3">
      <c r="A67" s="13"/>
    </row>
    <row r="68" spans="1:1" x14ac:dyDescent="0.3">
      <c r="A68" s="13"/>
    </row>
    <row r="69" spans="1:1" x14ac:dyDescent="0.3">
      <c r="A69" s="13"/>
    </row>
    <row r="70" spans="1:1" x14ac:dyDescent="0.3">
      <c r="A70" s="13"/>
    </row>
  </sheetData>
  <mergeCells count="1">
    <mergeCell ref="K11:U11"/>
  </mergeCells>
  <dataValidations count="9">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Stats'!$A$872:$A$874</xm:f>
          </x14:formula1>
          <xm:sqref>P23:P26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67"/>
  <sheetViews>
    <sheetView topLeftCell="H1" zoomScaleNormal="100" workbookViewId="0">
      <selection activeCell="V7" sqref="V7"/>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33" x14ac:dyDescent="0.3">
      <c r="A1" s="13"/>
      <c r="B1" s="13"/>
      <c r="C1" s="13"/>
      <c r="D1" s="13"/>
      <c r="E1" s="13"/>
      <c r="F1" s="13"/>
      <c r="G1" s="13"/>
      <c r="H1" s="13"/>
      <c r="I1" s="13"/>
      <c r="J1" s="13"/>
      <c r="K1" s="13"/>
      <c r="L1" s="13"/>
      <c r="M1" s="13"/>
      <c r="N1" s="13"/>
      <c r="O1" s="13"/>
      <c r="P1" s="13"/>
      <c r="Q1" s="13"/>
      <c r="R1" s="13"/>
      <c r="S1" s="13"/>
      <c r="T1" s="13"/>
      <c r="U1" s="13"/>
      <c r="V1" s="13"/>
      <c r="W1" s="13"/>
      <c r="X1" s="13"/>
      <c r="Y1" s="13"/>
      <c r="Z1" s="5"/>
      <c r="AA1" s="5"/>
      <c r="AB1" s="5"/>
      <c r="AC1" s="5"/>
      <c r="AD1" s="5"/>
      <c r="AE1" s="5"/>
      <c r="AF1" s="5"/>
      <c r="AG1" s="5"/>
    </row>
    <row r="2" spans="1:33" x14ac:dyDescent="0.3">
      <c r="A2" s="13"/>
      <c r="B2" s="47" t="s">
        <v>364</v>
      </c>
      <c r="C2" s="46" t="s">
        <v>131</v>
      </c>
      <c r="D2" s="48" t="s">
        <v>2</v>
      </c>
      <c r="E2" s="48" t="s">
        <v>3</v>
      </c>
      <c r="F2" s="48" t="s">
        <v>69</v>
      </c>
      <c r="G2" s="48" t="s">
        <v>70</v>
      </c>
      <c r="H2" s="48" t="s">
        <v>71</v>
      </c>
      <c r="I2" s="13"/>
      <c r="J2" s="4"/>
      <c r="K2" s="4"/>
      <c r="L2" s="4"/>
      <c r="M2" s="4"/>
      <c r="N2" s="4"/>
      <c r="O2" s="4"/>
      <c r="P2" s="4"/>
      <c r="Q2" s="4"/>
      <c r="R2" s="5"/>
      <c r="S2" s="5"/>
      <c r="T2" s="5"/>
      <c r="U2" s="13"/>
      <c r="V2" s="13"/>
      <c r="W2" s="13"/>
      <c r="X2" s="13"/>
      <c r="Y2" s="13"/>
      <c r="Z2" s="135" t="s">
        <v>269</v>
      </c>
      <c r="AA2" s="135"/>
      <c r="AB2" s="135"/>
      <c r="AC2" s="135"/>
      <c r="AD2" s="5"/>
      <c r="AE2" s="5"/>
      <c r="AF2" s="5"/>
      <c r="AG2" s="5"/>
    </row>
    <row r="3" spans="1:33" x14ac:dyDescent="0.3">
      <c r="A3" s="13"/>
      <c r="B3" s="45" t="s">
        <v>150</v>
      </c>
      <c r="C3" s="34" t="str">
        <f>IFERROR(INDEX(SType[],MATCH(C4,SType[Ship],0),COLUMN(SType[Type])),0)</f>
        <v>LightCarrier</v>
      </c>
      <c r="D3" s="47" t="s">
        <v>302</v>
      </c>
      <c r="E3" s="47" t="s">
        <v>301</v>
      </c>
      <c r="F3" s="47" t="s">
        <v>740</v>
      </c>
      <c r="G3" s="47" t="s">
        <v>742</v>
      </c>
      <c r="H3" s="47" t="s">
        <v>265</v>
      </c>
      <c r="I3" s="13"/>
      <c r="J3" s="49" t="str">
        <f>C2</f>
        <v>Unicorn</v>
      </c>
      <c r="K3" s="69"/>
      <c r="L3" s="53" t="s">
        <v>25</v>
      </c>
      <c r="M3" s="53"/>
      <c r="N3" s="53" t="s">
        <v>26</v>
      </c>
      <c r="O3" s="53"/>
      <c r="P3" s="53" t="s">
        <v>1457</v>
      </c>
      <c r="Q3" s="53"/>
      <c r="R3" s="33" t="s">
        <v>1460</v>
      </c>
      <c r="S3" s="38"/>
      <c r="T3" s="33" t="s">
        <v>1459</v>
      </c>
      <c r="U3" s="33"/>
      <c r="V3" s="33" t="s">
        <v>1461</v>
      </c>
      <c r="W3" s="38"/>
      <c r="X3" s="38"/>
      <c r="Y3" s="13"/>
      <c r="Z3" s="53" t="s">
        <v>825</v>
      </c>
      <c r="AA3" s="51">
        <f ca="1">SUM(C8:H8)</f>
        <v>597</v>
      </c>
      <c r="AB3" s="35"/>
      <c r="AC3" s="35"/>
      <c r="AD3" s="5"/>
      <c r="AE3" s="5"/>
      <c r="AF3" s="5"/>
      <c r="AG3" s="5"/>
    </row>
    <row r="4" spans="1:33" x14ac:dyDescent="0.3">
      <c r="A4" s="13"/>
      <c r="B4" s="45" t="s">
        <v>149</v>
      </c>
      <c r="C4" s="34" t="str">
        <f>IFERROR(INDEX(Base[],MATCH(C2,Base[Name],0),COLUMN(Base[Type])),0)</f>
        <v>CVL</v>
      </c>
      <c r="D4" s="46" t="s">
        <v>290</v>
      </c>
      <c r="E4" s="46" t="s">
        <v>290</v>
      </c>
      <c r="F4" s="46" t="s">
        <v>746</v>
      </c>
      <c r="G4" s="46" t="s">
        <v>137</v>
      </c>
      <c r="H4" s="46" t="s">
        <v>779</v>
      </c>
      <c r="I4" s="13"/>
      <c r="J4" s="55"/>
      <c r="K4" s="56" t="s">
        <v>8</v>
      </c>
      <c r="L4" s="71">
        <f ca="1">SUM(T28:X28)+SUM(T33:Z33)+SUM(T42:Z42)+SUM(T43:Z43)</f>
        <v>1791.5934928708375</v>
      </c>
      <c r="M4" s="71"/>
      <c r="N4" s="71">
        <f ca="1">(SUM(T28:X28)+SUM(T33:Z33))*AC15+SUM(T42:Z42)+SUM(T43:Z43)</f>
        <v>1612.4341435837539</v>
      </c>
      <c r="O4" s="71"/>
      <c r="P4" s="54">
        <f ca="1">SUM(R4,T4,V4)</f>
        <v>185109.69955552751</v>
      </c>
      <c r="Q4" s="71"/>
      <c r="R4" s="196">
        <f ca="1">T23*FLOOR($X$16/$L$14,1)*O10</f>
        <v>78044.529566423647</v>
      </c>
      <c r="S4" s="37"/>
      <c r="T4" s="196">
        <f ca="1">V23*FLOOR($X$16/$L$14,1)*O10</f>
        <v>107065.16998910386</v>
      </c>
      <c r="U4" s="196"/>
      <c r="V4" s="196">
        <f ca="1">(T33*FLOOR($X$16/IF($O$23=0,$L$14,$O$23),1)*IF($O$23=0,$L$14,$O$23)+V33*FLOOR($X$16/IF($O$24=0,$L$14,$O$24),1)*IF($O$24=0,$L$14,$O$24)+X33*FLOOR($X$16/IF($O$25=0,$L$14,$O$25),1)*IF($O$25=0,$L$14,$O$25)+Z33*FLOOR($X$16/IF($O$26=0,$L$14,$O$26),1)*IF($O$26=0,$L$14,$O$26))*O10</f>
        <v>0</v>
      </c>
      <c r="W4" s="38"/>
      <c r="X4" s="38"/>
      <c r="Y4" s="13"/>
      <c r="Z4" s="53" t="s">
        <v>868</v>
      </c>
      <c r="AA4" s="51">
        <f ca="1">FLOOR(2*AA3*SUM(AA10:AC10)/100,1)</f>
        <v>537</v>
      </c>
      <c r="AB4" s="35"/>
      <c r="AC4" s="35"/>
      <c r="AD4" s="5"/>
      <c r="AE4" s="5"/>
      <c r="AF4" s="5"/>
      <c r="AG4" s="5"/>
    </row>
    <row r="5" spans="1:33" x14ac:dyDescent="0.3">
      <c r="A5" s="13"/>
      <c r="B5" s="45" t="s">
        <v>150</v>
      </c>
      <c r="C5" s="44"/>
      <c r="D5" s="44"/>
      <c r="E5" s="44"/>
      <c r="F5" s="44" t="str">
        <f ca="1">IFERROR(INDEX(INDIRECT(C3&amp;"Table"),MATCH(C2,INDIRECT(C3&amp;"Table"&amp;"[Name]"),0),COLUMN(INDIRECT(C3&amp;"Table"&amp;"["&amp;B5&amp;"1"&amp;"]"))),0)</f>
        <v>F</v>
      </c>
      <c r="G5" s="44" t="str">
        <f ca="1">IFERROR(INDEX(INDIRECT(C3&amp;"Table"),MATCH(C2,INDIRECT(C3&amp;"Table"&amp;"[Name]"),0),COLUMN(INDIRECT(C3&amp;"Table"&amp;"["&amp;B5&amp;"2"&amp;"]"))),0)</f>
        <v>T</v>
      </c>
      <c r="H5" s="44" t="str">
        <f ca="1">IFERROR(INDEX(INDIRECT(C3&amp;"Table"),MATCH(C2,INDIRECT(C3&amp;"Table"&amp;"[Name]"),0),COLUMN(INDIRECT(C3&amp;"Table"&amp;"["&amp;B5&amp;"3"&amp;"]"))),0)</f>
        <v>AA</v>
      </c>
      <c r="I5" s="13"/>
      <c r="J5" s="55"/>
      <c r="K5" s="56" t="s">
        <v>10</v>
      </c>
      <c r="L5" s="71">
        <f ca="1">SUM(T29:X29)+SUM(T34:Z34)+SUM(T42:Z42)+SUM(T43:Z43)</f>
        <v>2274.6015812095407</v>
      </c>
      <c r="M5" s="71"/>
      <c r="N5" s="71">
        <f ca="1">(SUM(T29:X29)+SUM(T34:Z34))*AC15+SUM(T42:Z42)+SUM(T43:Z43)</f>
        <v>2047.1414230885866</v>
      </c>
      <c r="O5" s="71"/>
      <c r="P5" s="54">
        <f t="shared" ref="P5:P6" ca="1" si="0">SUM(R5,T5,V5)</f>
        <v>235014.70449724444</v>
      </c>
      <c r="Q5" s="71"/>
      <c r="R5" s="196">
        <f ca="1">T24*FLOOR($X$16/$L$14,1)*O10</f>
        <v>87800.095762226614</v>
      </c>
      <c r="S5" s="37"/>
      <c r="T5" s="196">
        <f ca="1">V24*FLOOR($X$16/$L$14,1)*O10</f>
        <v>147214.60873501783</v>
      </c>
      <c r="U5" s="196"/>
      <c r="V5" s="196">
        <f ca="1">(T34*FLOOR($X$16/IF($O$23=0,$L$14,$O$23),1)*IF($O$23=0,$L$14,$O$23)+V34*FLOOR($X$16/IF($O$24=0,$L$14,$O$24),1)*IF($O$24=0,$L$14,$O$24)+X34*FLOOR($X$16/IF($O$25=0,$L$14,$O$25),1)*IF($O$25=0,$L$14,$O$25)+Z34*FLOOR($X$16/IF($O$26=0,$L$14,$O$26),1)*IF($O$26=0,$L$14,$O$26))*O10</f>
        <v>0</v>
      </c>
      <c r="W5" s="38"/>
      <c r="X5" s="38"/>
      <c r="Y5" s="13"/>
      <c r="Z5" s="35"/>
      <c r="AA5" s="35"/>
      <c r="AB5" s="35"/>
      <c r="AC5" s="35"/>
      <c r="AD5" s="5"/>
      <c r="AE5" s="5"/>
      <c r="AF5" s="5"/>
      <c r="AG5" s="5"/>
    </row>
    <row r="6" spans="1:33" x14ac:dyDescent="0.3">
      <c r="A6" s="13"/>
      <c r="B6" s="45" t="s">
        <v>103</v>
      </c>
      <c r="C6" s="44">
        <v>0</v>
      </c>
      <c r="D6" s="44">
        <v>0</v>
      </c>
      <c r="E6" s="44">
        <v>0</v>
      </c>
      <c r="F6" s="44">
        <f ca="1">IFERROR(INDEX(INDIRECT(C3&amp;"Table"),MATCH(C2,INDIRECT(C3&amp;"Table"&amp;"[Name]"),0),COLUMN(INDIRECT(C3&amp;"Table"&amp;"["&amp;"Plane1"&amp;"]"))),0)</f>
        <v>3</v>
      </c>
      <c r="G6" s="44">
        <f ca="1">IFERROR(INDEX(INDIRECT(C3&amp;"Table"),MATCH(C2,INDIRECT(C3&amp;"Table"&amp;"[Name]"),0),COLUMN(INDIRECT(C3&amp;"Table"&amp;"["&amp;"Plane2"&amp;"]"))),0)</f>
        <v>3</v>
      </c>
      <c r="H6" s="44">
        <f ca="1">IFERROR(INDEX(INDIRECT(C3&amp;"Table"),MATCH(C2,INDIRECT(C3&amp;"Table"&amp;"[Name]"),0),COLUMN(INDIRECT(C3&amp;"Table"&amp;"["&amp;"Plane3"&amp;"]"))),0)</f>
        <v>0</v>
      </c>
      <c r="I6" s="13"/>
      <c r="J6" s="55"/>
      <c r="K6" s="56" t="s">
        <v>12</v>
      </c>
      <c r="L6" s="71">
        <f ca="1">SUM(T30:X30)+SUM(T35:Z35)+SUM(T42:Z42)+SUM(T43:Z43)</f>
        <v>2722.4999544272496</v>
      </c>
      <c r="M6" s="71"/>
      <c r="N6" s="71">
        <f ca="1">(SUM(T30:X30)+SUM(T35:Z35))*AC15+SUM(T42:Z42)+SUM(T43:Z43)</f>
        <v>2450.2499589845247</v>
      </c>
      <c r="O6" s="71"/>
      <c r="P6" s="54">
        <f t="shared" ca="1" si="0"/>
        <v>281292.1293861263</v>
      </c>
      <c r="Q6" s="71"/>
      <c r="R6" s="196">
        <f ca="1">T25*FLOOR($X$16/$L$14,1)*O10</f>
        <v>107311.22815383253</v>
      </c>
      <c r="S6" s="37"/>
      <c r="T6" s="196">
        <f ca="1">V25*FLOOR($X$16/$L$14,1)*O10</f>
        <v>173980.90123229378</v>
      </c>
      <c r="U6" s="196"/>
      <c r="V6" s="196">
        <f ca="1">(T35*FLOOR($X$16/IF($O$23=0,$L$14,$O$23),1)*IF($O$23=0,$L$14,$O$23)+V35*FLOOR($X$16/IF($O$24=0,$L$14,$O$24),1)*IF($O$24=0,$L$14,$O$24)+X35*FLOOR($X$16/IF($O$25=0,$L$14,$O$25),1)*IF($O$25=0,$L$14,$O$25)+Z35*FLOOR($X$16/IF($O$26=0,$L$14,$O$26),1)*IF($O$26=0,$L$14,$O$26))*O10</f>
        <v>0</v>
      </c>
      <c r="W6" s="38"/>
      <c r="X6" s="38"/>
      <c r="Y6" s="13"/>
      <c r="Z6" s="35"/>
      <c r="AA6" s="53" t="s">
        <v>69</v>
      </c>
      <c r="AB6" s="53" t="s">
        <v>70</v>
      </c>
      <c r="AC6" s="53" t="s">
        <v>70</v>
      </c>
      <c r="AD6" s="5"/>
      <c r="AE6" s="5"/>
      <c r="AF6" s="5"/>
      <c r="AG6" s="5"/>
    </row>
    <row r="7" spans="1:33" x14ac:dyDescent="0.3">
      <c r="A7" s="13"/>
      <c r="B7" s="45" t="s">
        <v>7</v>
      </c>
      <c r="C7" s="44">
        <f ca="1">IFERROR(INDEX(INDIRECT(C3&amp;"Table"),MATCH(C2,INDIRECT(C3&amp;"Table"&amp;"[Name]"),0),COLUMN(INDIRECT(C3&amp;"Table"&amp;"["&amp;B7&amp;"]"))),0)</f>
        <v>5337</v>
      </c>
      <c r="D7" s="44">
        <f ca="1">IFERROR(INDEX(INDIRECT(D3&amp;"Table"),MATCH(D4,INDIRECT(D3&amp;"Table"&amp;"[Name]"),0),COLUMN(INDIRECT(D3&amp;"Table"&amp;"["&amp;B7&amp;"]"))),0)</f>
        <v>75</v>
      </c>
      <c r="E7" s="44">
        <f ca="1">IFERROR(INDEX(INDIRECT(E3&amp;"Table"),MATCH(E4,INDIRECT(E3&amp;"Table"&amp;"[Name]"),0),COLUMN(INDIRECT(E3&amp;"Table"&amp;"["&amp;B7&amp;"]"))),0)</f>
        <v>75</v>
      </c>
      <c r="F7" s="44">
        <f ca="1">IFERROR(INDEX(INDIRECT(F3&amp;"Table"),MATCH(F4,INDIRECT(F3&amp;"Table"&amp;"[Name]"),0),COLUMN(INDIRECT(F3&amp;"Table"&amp;"["&amp;B7&amp;"]"))),0)</f>
        <v>0</v>
      </c>
      <c r="G7" s="44">
        <f ca="1">IFERROR(INDEX(INDIRECT(G3&amp;"Table"),MATCH(G4,INDIRECT(G3&amp;"Table"&amp;"[Name]"),0),COLUMN(INDIRECT(G3&amp;"Table"&amp;"["&amp;B7&amp;"]"))),0)</f>
        <v>0</v>
      </c>
      <c r="H7" s="44">
        <f ca="1">IFERROR(INDEX(INDIRECT(H3&amp;"Table"),MATCH(H4,INDIRECT(H3&amp;"Table"&amp;"[Name]"),0),COLUMN(INDIRECT(H3&amp;"Table"&amp;"["&amp;B7&amp;"]"))),0)</f>
        <v>0</v>
      </c>
      <c r="I7" s="13"/>
      <c r="J7" s="55"/>
      <c r="K7" s="55"/>
      <c r="L7" s="37"/>
      <c r="M7" s="37"/>
      <c r="N7" s="37"/>
      <c r="O7" s="37"/>
      <c r="P7" s="37"/>
      <c r="Q7" s="71"/>
      <c r="R7" s="37"/>
      <c r="S7" s="37"/>
      <c r="T7" s="37"/>
      <c r="U7" s="37"/>
      <c r="V7" s="37"/>
      <c r="W7" s="37"/>
      <c r="X7" s="37"/>
      <c r="Y7" s="13"/>
      <c r="Z7" s="53" t="s">
        <v>813</v>
      </c>
      <c r="AA7" s="51">
        <f>IFERROR(INDEX(IF(F3="TB",TorpedoDamage[],BombDamage[]),MATCH(F4,IF(F3="TB",TorpedoDamage[Name],BombDamage[Name]),0),COLUMN(IF(F3="TB",TorpedoDamage[Light],BombDamage[Light]))),0)</f>
        <v>608</v>
      </c>
      <c r="AB7" s="51">
        <f>IFERROR(INDEX(IF(G3="TB",TorpedoDamage[],BombDamage[]),MATCH(G4,IF(G3="TB",TorpedoDamage[Name],BombDamage[Name]),0),COLUMN(IF(G3="TB",TorpedoDamage[Light],BombDamage[Light]))),0)</f>
        <v>691.2</v>
      </c>
      <c r="AC7" s="51">
        <f>IFERROR(INDEX(IF(H3="TB",TorpedoDamage[],BombDamage[]),MATCH(H4,IF(H3="TB",TorpedoDamage[Name],BombDamage[Name]),0),COLUMN(IF(H3="TB",TorpedoDamage[Light],BombDamage[Light]))),0)</f>
        <v>0</v>
      </c>
      <c r="AD7" s="5"/>
      <c r="AE7" s="5"/>
      <c r="AF7" s="5"/>
      <c r="AG7" s="5"/>
    </row>
    <row r="8" spans="1:33" x14ac:dyDescent="0.3">
      <c r="A8" s="13"/>
      <c r="B8" s="45" t="s">
        <v>293</v>
      </c>
      <c r="C8" s="44">
        <f ca="1">IFERROR(INDEX(INDIRECT(C3&amp;"Table"),MATCH(C2,INDIRECT(C3&amp;"Table"&amp;"[Name]"),0),COLUMN(INDIRECT(C3&amp;"Table"&amp;"["&amp;B8&amp;"]"))),0)</f>
        <v>307</v>
      </c>
      <c r="D8" s="44">
        <f ca="1">IFERROR(INDEX(INDIRECT(D3&amp;"Table"),MATCH(D4,INDIRECT(D3&amp;"Table"&amp;"[Name]"),0),COLUMN(INDIRECT(D3&amp;"Table"&amp;"["&amp;B8&amp;"]"))),0)</f>
        <v>100</v>
      </c>
      <c r="E8" s="44">
        <f ca="1">IFERROR(INDEX(INDIRECT(E3&amp;"Table"),MATCH(E4,INDIRECT(E3&amp;"Table"&amp;"[Name]"),0),COLUMN(INDIRECT(E3&amp;"Table"&amp;"["&amp;B8&amp;"]"))),0)</f>
        <v>100</v>
      </c>
      <c r="F8" s="44">
        <f ca="1">IFERROR(INDEX(INDIRECT(F3&amp;"Table"),MATCH(F4,INDIRECT(F3&amp;"Table"&amp;"[Name]"),0),COLUMN(INDIRECT(F3&amp;"Table"&amp;"["&amp;B8&amp;"]"))),0)</f>
        <v>45</v>
      </c>
      <c r="G8" s="44">
        <f ca="1">IFERROR(INDEX(INDIRECT(G3&amp;"Table"),MATCH(G4,INDIRECT(G3&amp;"Table"&amp;"[Name]"),0),COLUMN(INDIRECT(G3&amp;"Table"&amp;"["&amp;B8&amp;"]"))),0)</f>
        <v>45</v>
      </c>
      <c r="H8" s="44">
        <f ca="1">IFERROR(INDEX(INDIRECT(H3&amp;"Table"),MATCH(H4,INDIRECT(H3&amp;"Table"&amp;"[Name]"),0),COLUMN(INDIRECT(H3&amp;"Table"&amp;"["&amp;B8&amp;"]"))),0)</f>
        <v>0</v>
      </c>
      <c r="I8" s="13"/>
      <c r="J8" s="55" t="s">
        <v>30</v>
      </c>
      <c r="K8" s="63">
        <f ca="1">AC13</f>
        <v>54870</v>
      </c>
      <c r="L8" s="71"/>
      <c r="M8" s="55" t="s">
        <v>1463</v>
      </c>
      <c r="N8" s="39"/>
      <c r="O8" s="42">
        <f ca="1">FLOOR(X16/L14,1)</f>
        <v>6</v>
      </c>
      <c r="P8" s="37"/>
      <c r="Q8" s="63" t="str">
        <f>F4</f>
        <v>VF-17 Squadron</v>
      </c>
      <c r="R8" s="51"/>
      <c r="S8" s="51" t="str">
        <f>D4</f>
        <v>Steam Catapult</v>
      </c>
      <c r="T8" s="51"/>
      <c r="U8" s="51"/>
      <c r="V8" s="51"/>
      <c r="W8" s="51"/>
      <c r="X8" s="51"/>
      <c r="Y8" s="13"/>
      <c r="Z8" s="53" t="s">
        <v>814</v>
      </c>
      <c r="AA8" s="51">
        <f>IFERROR(INDEX(IF(F3="TB",TorpedoDamage[],BombDamage[]),MATCH(F4,IF(F3="TB",TorpedoDamage[Name],BombDamage[Name]),0),COLUMN(IF(F3="TB",TorpedoDamage[Medium],BombDamage[Medium]))),0)</f>
        <v>684</v>
      </c>
      <c r="AB8" s="51">
        <f>IFERROR(INDEX(IF(G3="TB",TorpedoDamage[],BombDamage[]),MATCH(G4,IF(G3="TB",TorpedoDamage[Name],BombDamage[Name]),0),COLUMN(IF(G3="TB",TorpedoDamage[Medium],BombDamage[Medium]))),0)</f>
        <v>950.40000000000009</v>
      </c>
      <c r="AC8" s="51">
        <f>IFERROR(INDEX(IF(H3="TB",TorpedoDamage[],BombDamage[]),MATCH(H4,IF(H3="TB",TorpedoDamage[Name],BombDamage[Name]),0),COLUMN(IF(H3="TB",TorpedoDamage[Medium],BombDamage[Medium]))),0)</f>
        <v>0</v>
      </c>
      <c r="AD8" s="5"/>
      <c r="AE8" s="5"/>
      <c r="AF8" s="5"/>
      <c r="AG8" s="5"/>
    </row>
    <row r="9" spans="1:33" x14ac:dyDescent="0.3">
      <c r="A9" s="13"/>
      <c r="B9" s="45" t="s">
        <v>53</v>
      </c>
      <c r="C9" s="44">
        <v>1</v>
      </c>
      <c r="D9" s="44">
        <v>0</v>
      </c>
      <c r="E9" s="44">
        <v>0</v>
      </c>
      <c r="F9" s="44">
        <f ca="1">IFERROR(INDEX(INDIRECT(C3&amp;"Table"),MATCH(C2,INDIRECT(C3&amp;"Table"&amp;"[Name]"),0),COLUMN(INDIRECT(C3&amp;"Table"&amp;"["&amp;"EFF"&amp;"]"))),0)</f>
        <v>1.3</v>
      </c>
      <c r="G9" s="44">
        <f ca="1">IFERROR(INDEX(INDIRECT(C3&amp;"Table"),MATCH(C2,INDIRECT(C3&amp;"Table"&amp;"[Name]"),0),COLUMN(INDIRECT(C3&amp;"Table"&amp;"["&amp;"SECEFF"&amp;"]"))),0)</f>
        <v>1.3</v>
      </c>
      <c r="H9" s="44">
        <f ca="1">IFERROR(INDEX(INDIRECT(C3&amp;"Table"),MATCH(C2,INDIRECT(C3&amp;"Table"&amp;"[Name]"),0),COLUMN(INDIRECT(C3&amp;"Table"&amp;"["&amp;"TRIEFF"&amp;"]"))),0)</f>
        <v>0.8</v>
      </c>
      <c r="I9" s="13"/>
      <c r="J9" s="55" t="s">
        <v>868</v>
      </c>
      <c r="K9" s="63">
        <f ca="1">AA4</f>
        <v>537</v>
      </c>
      <c r="L9" s="71"/>
      <c r="M9" s="55" t="s">
        <v>860</v>
      </c>
      <c r="N9" s="55"/>
      <c r="O9" s="63">
        <f ca="1">AC18</f>
        <v>0.1</v>
      </c>
      <c r="P9" s="52"/>
      <c r="Q9" s="63" t="str">
        <f>G4</f>
        <v>Fairey Barracuda</v>
      </c>
      <c r="R9" s="51"/>
      <c r="S9" s="51" t="str">
        <f>E4</f>
        <v>Steam Catapult</v>
      </c>
      <c r="T9" s="51"/>
      <c r="U9" s="51"/>
      <c r="V9" s="51"/>
      <c r="W9" s="51"/>
      <c r="X9" s="51"/>
      <c r="Y9" s="13"/>
      <c r="Z9" s="53" t="s">
        <v>815</v>
      </c>
      <c r="AA9" s="51">
        <f>IFERROR(INDEX(IF(F3="TB",TorpedoDamage[],BombDamage[]),MATCH(F4,IF(F3="TB",TorpedoDamage[Name],BombDamage[Name]),0),COLUMN(IF(F3="TB",TorpedoDamage[Heavy],BombDamage[Heavy]))),0)</f>
        <v>836.00000000000011</v>
      </c>
      <c r="AB9" s="51">
        <f>IFERROR(INDEX(IF(G3="TB",TorpedoDamage[],BombDamage[]),MATCH(G4,IF(G3="TB",TorpedoDamage[Name],BombDamage[Name]),0),COLUMN(IF(G3="TB",TorpedoDamage[Heavy],BombDamage[Heavy]))),0)</f>
        <v>1123.2</v>
      </c>
      <c r="AC9" s="51">
        <f>IFERROR(INDEX(IF(H3="TB",TorpedoDamage[],BombDamage[]),MATCH(H4,IF(H3="TB",TorpedoDamage[Name],BombDamage[Name]),0),COLUMN(IF(H3="TB",TorpedoDamage[Heavy],BombDamage[Heavy]))),0)</f>
        <v>0</v>
      </c>
      <c r="AD9" s="5"/>
      <c r="AE9" s="5"/>
      <c r="AF9" s="5"/>
      <c r="AG9" s="5"/>
    </row>
    <row r="10" spans="1:33" x14ac:dyDescent="0.3">
      <c r="A10" s="13"/>
      <c r="B10" s="45" t="s">
        <v>14</v>
      </c>
      <c r="C10" s="44">
        <f ca="1">IFERROR(INDEX(INDIRECT(C3&amp;"Table"),MATCH(C2,INDIRECT(C3&amp;"Table"&amp;"[Name]"),0),COLUMN(INDIRECT(C3&amp;"Table"&amp;"["&amp;B10&amp;"]"))),0)</f>
        <v>181</v>
      </c>
      <c r="D10" s="44">
        <f ca="1">IFERROR(INDEX(INDIRECT(D3&amp;"Table"),MATCH(D4,INDIRECT(D3&amp;"Table"&amp;"[Name]"),0),COLUMN(INDIRECT(D3&amp;"Table"&amp;"["&amp;B10&amp;"]"))),0)</f>
        <v>0</v>
      </c>
      <c r="E10" s="44">
        <f ca="1">IFERROR(INDEX(INDIRECT(E3&amp;"Table"),MATCH(E4,INDIRECT(E3&amp;"Table"&amp;"[Name]"),0),COLUMN(INDIRECT(E3&amp;"Table"&amp;"["&amp;B10&amp;"]"))),0)</f>
        <v>0</v>
      </c>
      <c r="F10" s="44">
        <f ca="1">IFERROR(INDEX(INDIRECT(F3&amp;"Table"),MATCH(F4,INDIRECT(F3&amp;"Table"&amp;"[Name]"),0),COLUMN(INDIRECT(F3&amp;"Table"&amp;"["&amp;B10&amp;"]"))),0)</f>
        <v>0</v>
      </c>
      <c r="G10" s="44">
        <f ca="1">IFERROR(INDEX(INDIRECT(G3&amp;"Table"),MATCH(G4,INDIRECT(G3&amp;"Table"&amp;"[Name]"),0),COLUMN(INDIRECT(G3&amp;"Table"&amp;"["&amp;B10&amp;"]"))),0)</f>
        <v>0</v>
      </c>
      <c r="H10" s="44">
        <f ca="1">IFERROR(INDEX(INDIRECT(H3&amp;"Table"),MATCH(H4,INDIRECT(H3&amp;"Table"&amp;"[Name]"),0),COLUMN(INDIRECT(H3&amp;"Table"&amp;"["&amp;B10&amp;"]"))),0)</f>
        <v>0</v>
      </c>
      <c r="I10" s="13"/>
      <c r="J10" s="55" t="s">
        <v>148</v>
      </c>
      <c r="K10" s="63">
        <f ca="1">L14</f>
        <v>19.133566921386276</v>
      </c>
      <c r="L10" s="71"/>
      <c r="M10" s="55" t="s">
        <v>861</v>
      </c>
      <c r="N10" s="55"/>
      <c r="O10" s="63">
        <f ca="1">AC15</f>
        <v>0.9</v>
      </c>
      <c r="P10" s="52"/>
      <c r="Q10" s="63" t="str">
        <f>H4</f>
        <v>2x40mm STAAG</v>
      </c>
      <c r="R10" s="51"/>
      <c r="S10" s="51"/>
      <c r="T10" s="51"/>
      <c r="U10" s="51"/>
      <c r="V10" s="51"/>
      <c r="W10" s="51"/>
      <c r="X10" s="51"/>
      <c r="Y10" s="13"/>
      <c r="Z10" s="53" t="s">
        <v>870</v>
      </c>
      <c r="AA10" s="51">
        <f ca="1">(IF(F5="F",10*F6,IF(F5="B",6*F6,IF(F5="T",5*F6,0))))</f>
        <v>30</v>
      </c>
      <c r="AB10" s="51">
        <f ca="1">(IF(G5="F",10*G6,IF(G5="B",6*G6,IF(G5="T",5*G6,0))))</f>
        <v>15</v>
      </c>
      <c r="AC10" s="51">
        <f ca="1">(IF(H5="F",10*H6,IF(H5="B",6*H6,IF(H5="T",5*H6,0))))</f>
        <v>0</v>
      </c>
      <c r="AD10" s="5"/>
      <c r="AE10" s="5"/>
      <c r="AF10" s="5"/>
      <c r="AG10" s="5"/>
    </row>
    <row r="11" spans="1:33" x14ac:dyDescent="0.3">
      <c r="A11" s="13"/>
      <c r="B11" s="45" t="s">
        <v>294</v>
      </c>
      <c r="C11" s="44">
        <f ca="1">IFERROR(INDEX(INDIRECT(C3&amp;"Table"),MATCH(C2,INDIRECT(C3&amp;"Table"&amp;"[Name]"),0),COLUMN(INDIRECT(C3&amp;"Table"&amp;"["&amp;B11&amp;"]"))),0)</f>
        <v>66</v>
      </c>
      <c r="D11" s="44">
        <f ca="1">IFERROR(INDEX(INDIRECT(D3&amp;"Table"),MATCH(D4,INDIRECT(D3&amp;"Table"&amp;"[Name]"),0),COLUMN(INDIRECT(D3&amp;"Table"&amp;"["&amp;B11&amp;"]"))),0)</f>
        <v>0</v>
      </c>
      <c r="E11" s="44">
        <f ca="1">IFERROR(INDEX(INDIRECT(E3&amp;"Table"),MATCH(E4,INDIRECT(E3&amp;"Table"&amp;"[Name]"),0),COLUMN(INDIRECT(E3&amp;"Table"&amp;"["&amp;B11&amp;"]"))),0)</f>
        <v>0</v>
      </c>
      <c r="F11" s="44">
        <f ca="1">IFERROR(INDEX(INDIRECT(F3&amp;"Table"),MATCH(F4,INDIRECT(F3&amp;"Table"&amp;"[Name]"),0),COLUMN(INDIRECT(F3&amp;"Table"&amp;"["&amp;B11&amp;"]"))),0)</f>
        <v>0</v>
      </c>
      <c r="G11" s="44">
        <f ca="1">IFERROR(INDEX(INDIRECT(G3&amp;"Table"),MATCH(G4,INDIRECT(G3&amp;"Table"&amp;"[Name]"),0),COLUMN(INDIRECT(G3&amp;"Table"&amp;"["&amp;B11&amp;"]"))),0)</f>
        <v>0</v>
      </c>
      <c r="H11" s="44">
        <f ca="1">IFERROR(INDEX(INDIRECT(H3&amp;"Table"),MATCH(H4,INDIRECT(H3&amp;"Table"&amp;"[Name]"),0),COLUMN(INDIRECT(H3&amp;"Table"&amp;"["&amp;B11&amp;"]"))),0)</f>
        <v>0</v>
      </c>
      <c r="I11" s="13"/>
      <c r="J11" s="190" t="s">
        <v>270</v>
      </c>
      <c r="K11" s="191"/>
      <c r="L11" s="191"/>
      <c r="M11" s="191"/>
      <c r="N11" s="191"/>
      <c r="O11" s="191"/>
      <c r="P11" s="191"/>
      <c r="Q11" s="191"/>
      <c r="R11" s="191"/>
      <c r="S11" s="191"/>
      <c r="T11" s="191"/>
      <c r="U11" s="74"/>
      <c r="V11" s="13"/>
      <c r="W11" s="13"/>
      <c r="X11" s="13"/>
      <c r="Y11" s="13"/>
      <c r="Z11" s="75"/>
      <c r="AA11" s="75"/>
      <c r="AB11" s="35"/>
      <c r="AC11" s="51"/>
      <c r="AD11" s="5"/>
      <c r="AE11" s="5"/>
      <c r="AF11" s="5"/>
      <c r="AG11" s="5"/>
    </row>
    <row r="12" spans="1:33" x14ac:dyDescent="0.3">
      <c r="A12" s="13"/>
      <c r="B12" s="45" t="s">
        <v>17</v>
      </c>
      <c r="C12" s="44">
        <f ca="1">IFERROR(INDEX(INDIRECT(C3&amp;"Table"),MATCH(C2,INDIRECT(C3&amp;"Table"&amp;"[Name]"),0),COLUMN(INDIRECT(C3&amp;"Table"&amp;"["&amp;B12&amp;"]"))),0)</f>
        <v>78</v>
      </c>
      <c r="D12" s="44">
        <f ca="1">IFERROR(INDEX(INDIRECT(D3&amp;"Table"),MATCH(D4,INDIRECT(D3&amp;"Table"&amp;"[Name]"),0),COLUMN(INDIRECT(D3&amp;"Table"&amp;"["&amp;B12&amp;"]"))),0)</f>
        <v>0</v>
      </c>
      <c r="E12" s="44">
        <f ca="1">IFERROR(INDEX(INDIRECT(E3&amp;"Table"),MATCH(E4,INDIRECT(E3&amp;"Table"&amp;"[Name]"),0),COLUMN(INDIRECT(E3&amp;"Table"&amp;"["&amp;B12&amp;"]"))),0)</f>
        <v>0</v>
      </c>
      <c r="F12" s="44">
        <f ca="1">IFERROR(INDEX(INDIRECT(F3&amp;"Table"),MATCH(F4,INDIRECT(F3&amp;"Table"&amp;"[Name]"),0),COLUMN(INDIRECT(F3&amp;"Table"&amp;"["&amp;B12&amp;"]"))),0)</f>
        <v>0</v>
      </c>
      <c r="G12" s="44">
        <f ca="1">IFERROR(INDEX(INDIRECT(G3&amp;"Table"),MATCH(G4,INDIRECT(G3&amp;"Table"&amp;"[Name]"),0),COLUMN(INDIRECT(G3&amp;"Table"&amp;"["&amp;B12&amp;"]"))),0)</f>
        <v>0</v>
      </c>
      <c r="H12" s="44">
        <f ca="1">IFERROR(INDEX(INDIRECT(H3&amp;"Table"),MATCH(H4,INDIRECT(H3&amp;"Table"&amp;"[Name]"),0),COLUMN(INDIRECT(H3&amp;"Table"&amp;"["&amp;B12&amp;"]"))),0)</f>
        <v>0</v>
      </c>
      <c r="I12" s="13"/>
      <c r="J12" s="57" t="s">
        <v>18</v>
      </c>
      <c r="K12" s="47"/>
      <c r="L12" s="38">
        <v>0.1</v>
      </c>
      <c r="M12" s="37"/>
      <c r="N12" s="58" t="s">
        <v>855</v>
      </c>
      <c r="O12" s="43"/>
      <c r="P12" s="59">
        <v>1</v>
      </c>
      <c r="Q12" s="37"/>
      <c r="R12" s="58" t="s">
        <v>5</v>
      </c>
      <c r="S12" s="58"/>
      <c r="T12" s="132">
        <v>0</v>
      </c>
      <c r="U12" s="37"/>
      <c r="V12" s="58" t="s">
        <v>1443</v>
      </c>
      <c r="W12" s="58"/>
      <c r="X12" s="59">
        <v>0</v>
      </c>
      <c r="Y12" s="13"/>
      <c r="Z12" s="126" t="s">
        <v>31</v>
      </c>
      <c r="AA12" s="126"/>
      <c r="AB12" s="127"/>
      <c r="AC12" s="51">
        <f ca="1">SUM(C7:H7)</f>
        <v>5487</v>
      </c>
      <c r="AD12" s="5"/>
      <c r="AE12" s="5"/>
      <c r="AF12" s="5"/>
      <c r="AG12" s="5"/>
    </row>
    <row r="13" spans="1:33" x14ac:dyDescent="0.3">
      <c r="A13" s="13"/>
      <c r="B13" s="45" t="s">
        <v>6</v>
      </c>
      <c r="C13" s="44">
        <f ca="1">IFERROR(INDEX(INDIRECT(C3&amp;"Table"),MATCH(C2,INDIRECT(C3&amp;"Table"&amp;"[Name]"),0),COLUMN(INDIRECT(C3&amp;"Table"&amp;"["&amp;B13&amp;"]"))),0)</f>
        <v>84</v>
      </c>
      <c r="D13" s="44">
        <f ca="1">IFERROR(INDEX(INDIRECT(D3&amp;"Table"),MATCH(D4,INDIRECT(D3&amp;"Table"&amp;"[Name]"),0),COLUMN(INDIRECT(D3&amp;"Table"&amp;"["&amp;B13&amp;"]"))),0)</f>
        <v>0</v>
      </c>
      <c r="E13" s="44">
        <f ca="1">IFERROR(INDEX(INDIRECT(E3&amp;"Table"),MATCH(E4,INDIRECT(E3&amp;"Table"&amp;"[Name]"),0),COLUMN(INDIRECT(E3&amp;"Table"&amp;"["&amp;B13&amp;"]"))),0)</f>
        <v>0</v>
      </c>
      <c r="F13" s="44">
        <f ca="1">IFERROR(INDEX(INDIRECT(F3&amp;"Table"),MATCH(F4,INDIRECT(F3&amp;"Table"&amp;"[Name]"),0),COLUMN(INDIRECT(F3&amp;"Table"&amp;"["&amp;B13&amp;"]"))),0)</f>
        <v>0</v>
      </c>
      <c r="G13" s="44">
        <f ca="1">IFERROR(INDEX(INDIRECT(G3&amp;"Table"),MATCH(G4,INDIRECT(G3&amp;"Table"&amp;"[Name]"),0),COLUMN(INDIRECT(G3&amp;"Table"&amp;"["&amp;B13&amp;"]"))),0)</f>
        <v>0</v>
      </c>
      <c r="H13" s="44">
        <f ca="1">IFERROR(INDEX(INDIRECT(H3&amp;"Table"),MATCH(H4,INDIRECT(H3&amp;"Table"&amp;"[Name]"),0),COLUMN(INDIRECT(H3&amp;"Table"&amp;"["&amp;B13&amp;"]"))),0)</f>
        <v>10</v>
      </c>
      <c r="I13" s="13"/>
      <c r="J13" s="57" t="s">
        <v>65</v>
      </c>
      <c r="K13" s="47"/>
      <c r="L13" s="124">
        <v>0</v>
      </c>
      <c r="M13" s="37"/>
      <c r="N13" s="58" t="s">
        <v>854</v>
      </c>
      <c r="O13" s="43"/>
      <c r="P13" s="59">
        <v>1</v>
      </c>
      <c r="Q13" s="37"/>
      <c r="R13" s="58" t="s">
        <v>57</v>
      </c>
      <c r="S13" s="58"/>
      <c r="T13" s="132">
        <v>0</v>
      </c>
      <c r="U13" s="37"/>
      <c r="V13" s="58" t="s">
        <v>1444</v>
      </c>
      <c r="W13" s="58"/>
      <c r="X13" s="59">
        <v>0</v>
      </c>
      <c r="Y13" s="13"/>
      <c r="Z13" s="126" t="s">
        <v>33</v>
      </c>
      <c r="AA13" s="126"/>
      <c r="AB13" s="127"/>
      <c r="AC13" s="51">
        <f ca="1">AC12/(AC18*(1-T19))</f>
        <v>54870</v>
      </c>
      <c r="AD13" s="5"/>
      <c r="AE13" s="5"/>
      <c r="AF13" s="5"/>
      <c r="AG13" s="5"/>
    </row>
    <row r="14" spans="1:33" x14ac:dyDescent="0.3">
      <c r="A14" s="13"/>
      <c r="B14" s="45" t="s">
        <v>266</v>
      </c>
      <c r="C14" s="44">
        <v>0</v>
      </c>
      <c r="D14" s="44">
        <v>0</v>
      </c>
      <c r="E14" s="44">
        <v>0</v>
      </c>
      <c r="F14" s="44">
        <f ca="1">IFERROR(INDEX(INDIRECT(F3&amp;"Table"),MATCH(F4,INDIRECT(F3&amp;"Table"&amp;"[Name]"),0),COLUMN(INDIRECT(F3&amp;"Table"&amp;"["&amp;B14&amp;"]"))),0)</f>
        <v>10.199999999999999</v>
      </c>
      <c r="G14" s="44">
        <f ca="1">IFERROR(INDEX(INDIRECT(G3&amp;"Table"),MATCH(G4,INDIRECT(G3&amp;"Table"&amp;"[Name]"),0),COLUMN(INDIRECT(G3&amp;"Table"&amp;"["&amp;B14&amp;"]"))),0)</f>
        <v>10.31</v>
      </c>
      <c r="H14" s="44">
        <f ca="1">IFERROR(INDEX(INDIRECT(H3&amp;"Table"),MATCH(H4,INDIRECT(H3&amp;"Table"&amp;"[Name]"),0),COLUMN(INDIRECT(H3&amp;"Table"&amp;"["&amp;B14&amp;"]"))),0)</f>
        <v>0.8</v>
      </c>
      <c r="I14" s="13"/>
      <c r="J14" s="57" t="s">
        <v>772</v>
      </c>
      <c r="K14" s="47"/>
      <c r="L14" s="139">
        <f ca="1">SQRT(200/(100+SUM(C10:H10)*(1+L13)))*2.2*(((F6*F14)+(G6*G14)+(H6*H14))/(SUM(C6:H6)))+L12</f>
        <v>19.133566921386276</v>
      </c>
      <c r="M14" s="37"/>
      <c r="N14" s="58" t="s">
        <v>845</v>
      </c>
      <c r="O14" s="43"/>
      <c r="P14" s="59">
        <v>1</v>
      </c>
      <c r="Q14" s="37"/>
      <c r="R14" s="58" t="s">
        <v>58</v>
      </c>
      <c r="S14" s="58"/>
      <c r="T14" s="132">
        <v>0</v>
      </c>
      <c r="U14" s="37"/>
      <c r="V14" s="58" t="s">
        <v>1445</v>
      </c>
      <c r="W14" s="58"/>
      <c r="X14" s="59">
        <v>0</v>
      </c>
      <c r="Y14" s="13"/>
      <c r="Z14" s="125" t="s">
        <v>36</v>
      </c>
      <c r="AA14" s="126"/>
      <c r="AB14" s="127"/>
      <c r="AC14" s="52">
        <f ca="1">0.1+(SUM(C13:H13)*P14/(SUM(C13:H13)*P14+2+T14))+((SUM(C12:H12)-T12)/1000)</f>
        <v>1.1571666666666667</v>
      </c>
      <c r="AD14" s="5"/>
      <c r="AE14" s="5"/>
      <c r="AF14" s="5"/>
      <c r="AG14" s="5"/>
    </row>
    <row r="15" spans="1:33" x14ac:dyDescent="0.3">
      <c r="A15" s="13"/>
      <c r="B15" s="45" t="s">
        <v>9</v>
      </c>
      <c r="C15" s="44">
        <f ca="1">IFERROR(INDEX(INDIRECT(C3&amp;"Table"),MATCH(C2,INDIRECT(C3&amp;"Table"&amp;"[Name]"),0),COLUMN(INDIRECT(C3&amp;"Table"&amp;"["&amp;B15&amp;"]"))),0)</f>
        <v>0</v>
      </c>
      <c r="D15" s="44">
        <f ca="1">IFERROR(INDEX(INDIRECT(D3&amp;"Table"),MATCH(D4,INDIRECT(D3&amp;"Table"&amp;"[Name]"),0),COLUMN(INDIRECT(D3&amp;"Table"&amp;"["&amp;$B$15&amp;"]"))),0)</f>
        <v>0</v>
      </c>
      <c r="E15" s="44">
        <f t="shared" ref="E15:H15" ca="1" si="1">IFERROR(INDEX(INDIRECT(E3&amp;"Table"),MATCH(E4,INDIRECT(E3&amp;"Table"&amp;"[Name]"),0),COLUMN(INDIRECT(E3&amp;"Table"&amp;"["&amp;$B$15&amp;"]"))),0)</f>
        <v>0</v>
      </c>
      <c r="F15" s="44">
        <f t="shared" ca="1" si="1"/>
        <v>0</v>
      </c>
      <c r="G15" s="44">
        <f t="shared" ca="1" si="1"/>
        <v>0</v>
      </c>
      <c r="H15" s="44">
        <f t="shared" ca="1" si="1"/>
        <v>0</v>
      </c>
      <c r="I15" s="13"/>
      <c r="J15" s="57" t="s">
        <v>858</v>
      </c>
      <c r="K15" s="47"/>
      <c r="L15" s="124">
        <v>0</v>
      </c>
      <c r="M15" s="37"/>
      <c r="N15" s="58" t="s">
        <v>143</v>
      </c>
      <c r="O15" s="43"/>
      <c r="P15" s="59">
        <v>0</v>
      </c>
      <c r="Q15" s="37"/>
      <c r="R15" s="58" t="s">
        <v>1441</v>
      </c>
      <c r="S15" s="58"/>
      <c r="T15" s="59">
        <v>0</v>
      </c>
      <c r="U15" s="37"/>
      <c r="V15" s="37"/>
      <c r="W15" s="37"/>
      <c r="X15" s="59"/>
      <c r="Y15" s="13"/>
      <c r="Z15" s="125" t="s">
        <v>51</v>
      </c>
      <c r="AA15" s="126"/>
      <c r="AB15" s="127"/>
      <c r="AC15" s="52">
        <f ca="1">IF(AC14&lt;=0.1, 0.1, IF(AC14&gt;=0.9, 0.9, AC14))</f>
        <v>0.9</v>
      </c>
      <c r="AD15" s="5"/>
      <c r="AE15" s="5"/>
      <c r="AF15" s="5"/>
      <c r="AG15" s="5"/>
    </row>
    <row r="16" spans="1:33" x14ac:dyDescent="0.3">
      <c r="A16" s="13"/>
      <c r="B16" s="13"/>
      <c r="C16" s="13"/>
      <c r="D16" s="13"/>
      <c r="E16" s="13"/>
      <c r="F16" s="13"/>
      <c r="G16" s="13"/>
      <c r="H16" s="13"/>
      <c r="I16" s="13"/>
      <c r="J16" s="57" t="s">
        <v>856</v>
      </c>
      <c r="K16" s="47"/>
      <c r="L16" s="38">
        <v>0.5</v>
      </c>
      <c r="M16" s="37"/>
      <c r="N16" s="58" t="s">
        <v>826</v>
      </c>
      <c r="O16" s="43"/>
      <c r="P16" s="59">
        <v>0</v>
      </c>
      <c r="Q16" s="37"/>
      <c r="R16" s="37"/>
      <c r="S16" s="37"/>
      <c r="T16" s="59"/>
      <c r="U16" s="37"/>
      <c r="V16" s="58" t="s">
        <v>1458</v>
      </c>
      <c r="W16" s="58"/>
      <c r="X16" s="195">
        <v>120</v>
      </c>
      <c r="Y16" s="13"/>
      <c r="Z16" s="126"/>
      <c r="AA16" s="126"/>
      <c r="AB16" s="127"/>
      <c r="AC16" s="51"/>
      <c r="AD16" s="5"/>
      <c r="AE16" s="5"/>
      <c r="AF16" s="5"/>
      <c r="AG16" s="5"/>
    </row>
    <row r="17" spans="1:33" x14ac:dyDescent="0.3">
      <c r="A17" s="13"/>
      <c r="B17" s="13"/>
      <c r="C17" s="13"/>
      <c r="D17" s="13"/>
      <c r="E17" s="13"/>
      <c r="F17" s="13"/>
      <c r="G17" s="13"/>
      <c r="H17" s="13"/>
      <c r="I17" s="13"/>
      <c r="J17" s="59"/>
      <c r="K17" s="59"/>
      <c r="L17" s="59"/>
      <c r="M17" s="37"/>
      <c r="N17" s="37"/>
      <c r="O17" s="37"/>
      <c r="P17" s="37"/>
      <c r="Q17" s="37"/>
      <c r="R17" s="58" t="s">
        <v>857</v>
      </c>
      <c r="S17" s="58"/>
      <c r="T17" s="59">
        <v>0</v>
      </c>
      <c r="U17" s="37"/>
      <c r="V17" s="58"/>
      <c r="W17" s="58"/>
      <c r="X17" s="195"/>
      <c r="Y17" s="13"/>
      <c r="Z17" s="126" t="s">
        <v>37</v>
      </c>
      <c r="AA17" s="126"/>
      <c r="AB17" s="127"/>
      <c r="AC17" s="77">
        <f ca="1">0.1+(T13/(T13+2+T18*SUM(C11:H11)))+((T12-SUM(C12:H12))/1000)-T17</f>
        <v>2.2000000000000006E-2</v>
      </c>
      <c r="AD17" s="5"/>
      <c r="AE17" s="5"/>
      <c r="AF17" s="5"/>
      <c r="AG17" s="5"/>
    </row>
    <row r="18" spans="1:33" x14ac:dyDescent="0.3">
      <c r="A18" s="13"/>
      <c r="B18" s="13"/>
      <c r="C18" s="13"/>
      <c r="D18" s="13"/>
      <c r="E18" s="13"/>
      <c r="F18" s="13"/>
      <c r="G18" s="13"/>
      <c r="H18" s="13"/>
      <c r="I18" s="13"/>
      <c r="J18" s="58" t="s">
        <v>15</v>
      </c>
      <c r="K18" s="38">
        <v>0.6</v>
      </c>
      <c r="L18" s="59"/>
      <c r="M18" s="37"/>
      <c r="N18" s="58" t="s">
        <v>1434</v>
      </c>
      <c r="O18" s="43"/>
      <c r="P18" s="60">
        <v>1</v>
      </c>
      <c r="Q18" s="37"/>
      <c r="R18" s="58" t="s">
        <v>851</v>
      </c>
      <c r="S18" s="58"/>
      <c r="T18" s="59">
        <v>1</v>
      </c>
      <c r="U18" s="37"/>
      <c r="V18" s="58"/>
      <c r="W18" s="58"/>
      <c r="X18" s="195"/>
      <c r="Y18" s="13"/>
      <c r="Z18" s="126" t="s">
        <v>50</v>
      </c>
      <c r="AA18" s="126"/>
      <c r="AB18" s="127"/>
      <c r="AC18" s="52">
        <f ca="1">IF(AC17&lt;=0.1, 0.1, IF(AC17&gt;=0.9, 0.9, AC17))</f>
        <v>0.1</v>
      </c>
      <c r="AD18" s="5"/>
      <c r="AE18" s="5"/>
      <c r="AF18" s="5"/>
      <c r="AG18" s="5"/>
    </row>
    <row r="19" spans="1:33" x14ac:dyDescent="0.3">
      <c r="A19" s="13"/>
      <c r="B19" s="13"/>
      <c r="C19" s="13"/>
      <c r="D19" s="13"/>
      <c r="E19" s="13"/>
      <c r="F19" s="13"/>
      <c r="G19" s="13"/>
      <c r="H19" s="13"/>
      <c r="I19" s="13"/>
      <c r="J19" s="58" t="s">
        <v>55</v>
      </c>
      <c r="K19" s="38">
        <v>0</v>
      </c>
      <c r="L19" s="59"/>
      <c r="M19" s="37"/>
      <c r="N19" s="58" t="s">
        <v>1435</v>
      </c>
      <c r="O19" s="43"/>
      <c r="P19" s="60">
        <v>1</v>
      </c>
      <c r="Q19" s="37"/>
      <c r="R19" s="58" t="s">
        <v>314</v>
      </c>
      <c r="S19" s="58"/>
      <c r="T19" s="59">
        <v>0</v>
      </c>
      <c r="U19" s="37"/>
      <c r="V19" s="37"/>
      <c r="W19" s="37"/>
      <c r="X19" s="37"/>
      <c r="Y19" s="13"/>
      <c r="Z19" s="125"/>
      <c r="AA19" s="126"/>
      <c r="AB19" s="127"/>
      <c r="AC19" s="51"/>
      <c r="AD19" s="5"/>
      <c r="AE19" s="5"/>
      <c r="AF19" s="5"/>
      <c r="AG19" s="5"/>
    </row>
    <row r="20" spans="1:33" x14ac:dyDescent="0.3">
      <c r="A20" s="13"/>
      <c r="B20" s="13"/>
      <c r="C20" s="13"/>
      <c r="D20" s="13"/>
      <c r="E20" s="13"/>
      <c r="F20" s="13"/>
      <c r="G20" s="13"/>
      <c r="H20" s="13"/>
      <c r="I20" s="13"/>
      <c r="J20" s="37"/>
      <c r="K20" s="38"/>
      <c r="L20" s="37"/>
      <c r="M20" s="37"/>
      <c r="N20" s="37"/>
      <c r="O20" s="37"/>
      <c r="P20" s="37"/>
      <c r="Q20" s="37"/>
      <c r="R20" s="37"/>
      <c r="S20" s="37"/>
      <c r="T20" s="37"/>
      <c r="U20" s="37"/>
      <c r="V20" s="37"/>
      <c r="W20" s="37"/>
      <c r="X20" s="37"/>
      <c r="Y20" s="13"/>
      <c r="Z20" s="125" t="s">
        <v>853</v>
      </c>
      <c r="AA20" s="126"/>
      <c r="AB20" s="127"/>
      <c r="AC20" s="52">
        <f ca="1">1+(0.05+(SUM(C13:H13)*P14/(SUM(C13:H13)*P14+2000))+(SUM(C12:H12)/5000)+L15)*L16</f>
        <v>1.0552450811843361</v>
      </c>
      <c r="AD20" s="5"/>
      <c r="AE20" s="5"/>
      <c r="AF20" s="5"/>
      <c r="AG20" s="5"/>
    </row>
    <row r="21" spans="1:33"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5"/>
      <c r="AB21" s="5"/>
      <c r="AC21" s="5"/>
      <c r="AD21" s="5"/>
      <c r="AE21" s="5"/>
      <c r="AF21" s="5"/>
      <c r="AG21" s="5"/>
    </row>
    <row r="22" spans="1:33" x14ac:dyDescent="0.3">
      <c r="A22" s="13"/>
      <c r="B22" s="48" t="s">
        <v>1389</v>
      </c>
      <c r="C22" s="48"/>
      <c r="D22" s="48" t="s">
        <v>816</v>
      </c>
      <c r="E22" s="48" t="s">
        <v>819</v>
      </c>
      <c r="F22" s="48" t="s">
        <v>850</v>
      </c>
      <c r="G22" s="48" t="s">
        <v>8</v>
      </c>
      <c r="H22" s="48" t="s">
        <v>10</v>
      </c>
      <c r="I22" s="48" t="s">
        <v>12</v>
      </c>
      <c r="J22" s="131" t="s">
        <v>55</v>
      </c>
      <c r="K22" s="48" t="s">
        <v>1442</v>
      </c>
      <c r="L22" s="131" t="s">
        <v>826</v>
      </c>
      <c r="M22" s="133" t="s">
        <v>827</v>
      </c>
      <c r="N22" s="84" t="s">
        <v>27</v>
      </c>
      <c r="O22" s="83" t="s">
        <v>59</v>
      </c>
      <c r="P22" s="48" t="s">
        <v>849</v>
      </c>
      <c r="Q22" s="83" t="s">
        <v>1462</v>
      </c>
      <c r="R22" s="13"/>
      <c r="S22" s="53" t="s">
        <v>52</v>
      </c>
      <c r="T22" s="53" t="s">
        <v>69</v>
      </c>
      <c r="U22" s="53"/>
      <c r="V22" s="53" t="s">
        <v>70</v>
      </c>
      <c r="W22" s="53"/>
      <c r="X22" s="53" t="s">
        <v>71</v>
      </c>
      <c r="Y22" s="35"/>
      <c r="Z22" s="35"/>
      <c r="AA22" s="5"/>
      <c r="AB22" s="5"/>
      <c r="AC22" s="5"/>
      <c r="AD22" s="5"/>
      <c r="AE22" s="5"/>
      <c r="AF22" s="5"/>
      <c r="AG22" s="5"/>
    </row>
    <row r="23" spans="1:33" x14ac:dyDescent="0.3">
      <c r="A23" s="13"/>
      <c r="B23" s="44" t="str">
        <f ca="1">IFERROR(INDEX(INDIRECT(C3&amp;"Table"),MATCH(C2,INDIRECT(C3&amp;"Table"&amp;"[Name]"),0),COLUMN(INDIRECT(C3&amp;"Table"&amp;"[Barg1]"))),0)</f>
        <v>N/A</v>
      </c>
      <c r="C23" s="44"/>
      <c r="D23" s="44">
        <f ca="1">IFERROR(INDEX(Barrage[],MATCH(B23,Barrage[Name],0),COLUMN(Barrage[Total Damage])),0)</f>
        <v>0</v>
      </c>
      <c r="E23" s="44">
        <f ca="1">IFERROR(INDEX(Barrage[],MATCH(B23,Barrage[Name],0),COLUMN(Barrage[Base Damage])),0)</f>
        <v>0</v>
      </c>
      <c r="F23" s="44">
        <f ca="1">IFERROR(INDEX(Barrage[],MATCH(B23,Barrage[Name],0),COLUMN(Barrage[Total Rounds])),0)</f>
        <v>0</v>
      </c>
      <c r="G23" s="44">
        <f ca="1">IFERROR(INDEX(Barrage[],MATCH(B23,Barrage[Name],0),COLUMN(Barrage[Light Armor])),0)</f>
        <v>0</v>
      </c>
      <c r="H23" s="44">
        <f ca="1">IFERROR(INDEX(Barrage[],MATCH(B23,Barrage[Name],0),COLUMN(Barrage[Medium Armor])),0)</f>
        <v>0</v>
      </c>
      <c r="I23" s="44">
        <f ca="1">IFERROR(INDEX(Barrage[],MATCH(B23,Barrage[Name],0),COLUMN(Barrage[Heavy Armor])),0)</f>
        <v>0</v>
      </c>
      <c r="J23" s="50">
        <f ca="1">IFERROR(INDEX(Barrage[],MATCH(B23,Barrage[Name],0),COLUMN(Barrage[Burn %])),0)</f>
        <v>0</v>
      </c>
      <c r="K23" s="44">
        <f ca="1">IFERROR(INDEX(Barrage[],MATCH(B23,Barrage[Name],0),COLUMN(Barrage[Burn Coeff])),0)</f>
        <v>0</v>
      </c>
      <c r="L23" s="50">
        <f ca="1">IFERROR(INDEX(Barrage[],MATCH(B23,Barrage[Name],0),COLUMN(Barrage[Flood %])),0)</f>
        <v>0</v>
      </c>
      <c r="M23" s="134">
        <f ca="1">IFERROR(INDEX(Barrage[],MATCH(B23,Barrage[Name],0),COLUMN(Barrage[Flood Coeff])),0)</f>
        <v>0</v>
      </c>
      <c r="N23" s="59">
        <v>0.7</v>
      </c>
      <c r="O23" s="61">
        <v>0</v>
      </c>
      <c r="P23" s="44">
        <f ca="1">IFERROR(INDEX(Barrage[],MATCH(B23,Barrage[Name],0),COLUMN(Barrage[Stat Mod])),0)</f>
        <v>0</v>
      </c>
      <c r="Q23" s="59">
        <v>1</v>
      </c>
      <c r="R23" s="13"/>
      <c r="S23" s="53" t="s">
        <v>8</v>
      </c>
      <c r="T23" s="51">
        <f ca="1">((100+AA3*IF(F5="T",P12,0.8*P12))/100)*AA7*AC20*P13*F6*(F9+X12)*IF(OR(F5="F",F5="B"),P18,P19)*(1-T15)</f>
        <v>14452.690660448823</v>
      </c>
      <c r="U23" s="51"/>
      <c r="V23" s="51">
        <f ca="1">((100+AA3*IF(G5="T",P12,0.8*P12))/100)*AB7*$AC$20*$P$13*$G$6*($G$9+X13)*IF(OR(G5="F",G5="B"),P18,P19)*(1-T15)</f>
        <v>19826.88333131553</v>
      </c>
      <c r="W23" s="51"/>
      <c r="X23" s="51">
        <f ca="1">((100+AA3*IF(H5="T",P12,0.8*P12))/100)*AC7*$AC$20*$P$13*$H$6*($H$9+X14)*IF(OR(H5="F",H5="B"),P18,P19)*(1-T15)</f>
        <v>0</v>
      </c>
      <c r="Y23" s="35"/>
      <c r="Z23" s="35"/>
      <c r="AA23" s="5"/>
      <c r="AB23" s="5"/>
      <c r="AC23" s="5"/>
      <c r="AD23" s="5"/>
      <c r="AE23" s="5"/>
      <c r="AF23" s="5"/>
      <c r="AG23" s="5"/>
    </row>
    <row r="24" spans="1:33" x14ac:dyDescent="0.3">
      <c r="A24" s="13"/>
      <c r="B24" s="44" t="str">
        <f ca="1">IFERROR(INDEX(INDIRECT(C3&amp;"Table"),MATCH(C2,INDIRECT(C3&amp;"Table"&amp;"[Name]"),0),COLUMN(INDIRECT(C3&amp;"Table"&amp;"[Barg2]"))),0)</f>
        <v>N/A</v>
      </c>
      <c r="C24" s="44"/>
      <c r="D24" s="44">
        <f ca="1">IFERROR(INDEX(Barrage[],MATCH(B24,Barrage[Name],0),COLUMN(Barrage[Total Damage])),0)</f>
        <v>0</v>
      </c>
      <c r="E24" s="44">
        <f ca="1">IFERROR(INDEX(Barrage[],MATCH(B24,Barrage[Name],0),COLUMN(Barrage[Base Damage])),0)</f>
        <v>0</v>
      </c>
      <c r="F24" s="44">
        <f ca="1">IFERROR(INDEX(Barrage[],MATCH(B24,Barrage[Name],0),COLUMN(Barrage[Total Rounds])),0)</f>
        <v>0</v>
      </c>
      <c r="G24" s="44">
        <f ca="1">IFERROR(INDEX(Barrage[],MATCH(B24,Barrage[Name],0),COLUMN(Barrage[Light Armor])),0)</f>
        <v>0</v>
      </c>
      <c r="H24" s="44">
        <f ca="1">IFERROR(INDEX(Barrage[],MATCH(B24,Barrage[Name],0),COLUMN(Barrage[Medium Armor])),0)</f>
        <v>0</v>
      </c>
      <c r="I24" s="44">
        <f ca="1">IFERROR(INDEX(Barrage[],MATCH(B24,Barrage[Name],0),COLUMN(Barrage[Heavy Armor])),0)</f>
        <v>0</v>
      </c>
      <c r="J24" s="50">
        <f ca="1">IFERROR(INDEX(Barrage[],MATCH(B24,Barrage[Name],0),COLUMN(Barrage[Burn %])),0)</f>
        <v>0</v>
      </c>
      <c r="K24" s="44">
        <f ca="1">IFERROR(INDEX(Barrage[],MATCH(B24,Barrage[Name],0),COLUMN(Barrage[Burn Coeff])),0)</f>
        <v>0</v>
      </c>
      <c r="L24" s="50">
        <f ca="1">IFERROR(INDEX(Barrage[],MATCH(B24,Barrage[Name],0),COLUMN(Barrage[Flood %])),0)</f>
        <v>0</v>
      </c>
      <c r="M24" s="134">
        <f ca="1">IFERROR(INDEX(Barrage[],MATCH(B24,Barrage[Name],0),COLUMN(Barrage[Flood Coeff])),0)</f>
        <v>0</v>
      </c>
      <c r="N24" s="59">
        <v>0.7</v>
      </c>
      <c r="O24" s="61">
        <v>0</v>
      </c>
      <c r="P24" s="44">
        <f ca="1">IFERROR(INDEX(Barrage[],MATCH(B24,Barrage[Name],0),COLUMN(Barrage[Stat Mod])),0)</f>
        <v>0</v>
      </c>
      <c r="Q24" s="59">
        <v>1</v>
      </c>
      <c r="R24" s="13"/>
      <c r="S24" s="53" t="s">
        <v>10</v>
      </c>
      <c r="T24" s="51">
        <f ca="1">((100+AA3*IF(F5="T",P12,0.8*P12))/100)*AA8*AC20*P13*F6*(F9+X12)*IF(OR(F5="F",F5="B"),P18,P19)*(1-T15)</f>
        <v>16259.276993004927</v>
      </c>
      <c r="U24" s="51"/>
      <c r="V24" s="51">
        <f ca="1">((100+AA3*IF(G5="T",P12,0.8*P12))/100)*AB8*$AC$20*$P$13*$G$6*($G$9+X13)*IF(OR(G5="F",G5="B"),P18,P19)*(1-T15)</f>
        <v>27261.964580558855</v>
      </c>
      <c r="W24" s="51"/>
      <c r="X24" s="51">
        <f ca="1">((100+AA3*IF(H5="T",P12,0.8*P12))/100)*AC8*$AC$20*$P$13*$H$6*($H$9+X14)*IF(OR(H5="F",H5="B"),P18,P19)*(1-T15)</f>
        <v>0</v>
      </c>
      <c r="Y24" s="35"/>
      <c r="Z24" s="35"/>
      <c r="AA24" s="5"/>
      <c r="AB24" s="5"/>
      <c r="AC24" s="5"/>
      <c r="AD24" s="5"/>
      <c r="AE24" s="5"/>
      <c r="AF24" s="5"/>
      <c r="AG24" s="5"/>
    </row>
    <row r="25" spans="1:33" x14ac:dyDescent="0.3">
      <c r="A25" s="13"/>
      <c r="B25" s="44" t="str">
        <f ca="1">IFERROR(INDEX(INDIRECT(C3&amp;"Table"),MATCH(C2,INDIRECT(C3&amp;"Table"&amp;"[Name]"),0),COLUMN(INDIRECT(C3&amp;"Table"&amp;"[Barg3]"))),0)</f>
        <v>N/A</v>
      </c>
      <c r="C25" s="44"/>
      <c r="D25" s="44">
        <f ca="1">IFERROR(INDEX(Barrage[],MATCH(B25,Barrage[Name],0),COLUMN(Barrage[Total Damage])),0)</f>
        <v>0</v>
      </c>
      <c r="E25" s="44">
        <f ca="1">IFERROR(INDEX(Barrage[],MATCH(B25,Barrage[Name],0),COLUMN(Barrage[Base Damage])),0)</f>
        <v>0</v>
      </c>
      <c r="F25" s="44">
        <f ca="1">IFERROR(INDEX(Barrage[],MATCH(B25,Barrage[Name],0),COLUMN(Barrage[Total Rounds])),0)</f>
        <v>0</v>
      </c>
      <c r="G25" s="44">
        <f ca="1">IFERROR(INDEX(Barrage[],MATCH(B25,Barrage[Name],0),COLUMN(Barrage[Light Armor])),0)</f>
        <v>0</v>
      </c>
      <c r="H25" s="44">
        <f ca="1">IFERROR(INDEX(Barrage[],MATCH(B25,Barrage[Name],0),COLUMN(Barrage[Medium Armor])),0)</f>
        <v>0</v>
      </c>
      <c r="I25" s="44">
        <f ca="1">IFERROR(INDEX(Barrage[],MATCH(B25,Barrage[Name],0),COLUMN(Barrage[Heavy Armor])),0)</f>
        <v>0</v>
      </c>
      <c r="J25" s="50">
        <f ca="1">IFERROR(INDEX(Barrage[],MATCH(B25,Barrage[Name],0),COLUMN(Barrage[Burn %])),0)</f>
        <v>0</v>
      </c>
      <c r="K25" s="44">
        <f ca="1">IFERROR(INDEX(Barrage[],MATCH(B25,Barrage[Name],0),COLUMN(Barrage[Burn Coeff])),0)</f>
        <v>0</v>
      </c>
      <c r="L25" s="50">
        <f ca="1">IFERROR(INDEX(Barrage[],MATCH(B25,Barrage[Name],0),COLUMN(Barrage[Flood %])),0)</f>
        <v>0</v>
      </c>
      <c r="M25" s="134">
        <f ca="1">IFERROR(INDEX(Barrage[],MATCH(B25,Barrage[Name],0),COLUMN(Barrage[Flood Coeff])),0)</f>
        <v>0</v>
      </c>
      <c r="N25" s="59">
        <v>1</v>
      </c>
      <c r="O25" s="61">
        <v>0</v>
      </c>
      <c r="P25" s="44">
        <f ca="1">IFERROR(INDEX(Barrage[],MATCH(B25,Barrage[Name],0),COLUMN(Barrage[Stat Mod])),0)</f>
        <v>0</v>
      </c>
      <c r="Q25" s="59">
        <v>1</v>
      </c>
      <c r="R25" s="13"/>
      <c r="S25" s="53" t="s">
        <v>12</v>
      </c>
      <c r="T25" s="51">
        <f ca="1">((100+AA3*IF(F5="T",P12,0.8*P12))/100)*AA9*AC20*P13*F6*(F9+X12)*IF(OR(F5="F",F5="B"),P18,P19)*(1-T15)</f>
        <v>19872.449658117137</v>
      </c>
      <c r="U25" s="51"/>
      <c r="V25" s="51">
        <f ca="1">((100+AA3*IF(G5="T",P12,0.8*P12))/100)*AB9*$AC$20*$P$13*$G$6*($G$9+X13)*IF(OR(G5="F",G5="B"),P18,P19)*(1-T15)</f>
        <v>32218.685413387735</v>
      </c>
      <c r="W25" s="51"/>
      <c r="X25" s="51">
        <f ca="1">((100+AA3*IF(H5="T",P12,0.8*P12))/100)*AC9*$AC$20*$P$13*$H$6*($H$9+X14)*IF(OR(H5="F",H5="B"),P18,P19)*(1-T15)</f>
        <v>0</v>
      </c>
      <c r="Y25" s="35"/>
      <c r="Z25" s="35"/>
      <c r="AA25" s="5"/>
      <c r="AB25" s="5"/>
      <c r="AC25" s="5"/>
      <c r="AD25" s="5"/>
      <c r="AE25" s="5"/>
      <c r="AF25" s="5"/>
      <c r="AG25" s="5"/>
    </row>
    <row r="26" spans="1:33" x14ac:dyDescent="0.3">
      <c r="A26" s="13"/>
      <c r="B26" s="44" t="str">
        <f ca="1">IFERROR(INDEX(INDIRECT(C3&amp;"Table"),MATCH(C2,INDIRECT(C3&amp;"Table"&amp;"[Name]"),0),COLUMN(INDIRECT(C3&amp;"Table"&amp;"[Barg4]"))),0)</f>
        <v>N/A</v>
      </c>
      <c r="C26" s="44"/>
      <c r="D26" s="44">
        <f ca="1">IFERROR(INDEX(Barrage[],MATCH(B26,Barrage[Name],0),COLUMN(Barrage[Total Damage])),0)</f>
        <v>0</v>
      </c>
      <c r="E26" s="44">
        <f ca="1">IFERROR(INDEX(Barrage[],MATCH(B26,Barrage[Name],0),COLUMN(Barrage[Base Damage])),0)</f>
        <v>0</v>
      </c>
      <c r="F26" s="44">
        <f ca="1">IFERROR(INDEX(Barrage[],MATCH(B26,Barrage[Name],0),COLUMN(Barrage[Total Rounds])),0)</f>
        <v>0</v>
      </c>
      <c r="G26" s="44">
        <f ca="1">IFERROR(INDEX(Barrage[],MATCH(B26,Barrage[Name],0),COLUMN(Barrage[Light Armor])),0)</f>
        <v>0</v>
      </c>
      <c r="H26" s="44">
        <f ca="1">IFERROR(INDEX(Barrage[],MATCH(B26,Barrage[Name],0),COLUMN(Barrage[Medium Armor])),0)</f>
        <v>0</v>
      </c>
      <c r="I26" s="44">
        <f ca="1">IFERROR(INDEX(Barrage[],MATCH(B26,Barrage[Name],0),COLUMN(Barrage[Heavy Armor])),0)</f>
        <v>0</v>
      </c>
      <c r="J26" s="50">
        <f ca="1">IFERROR(INDEX(Barrage[],MATCH(B26,Barrage[Name],0),COLUMN(Barrage[Burn %])),0)</f>
        <v>0</v>
      </c>
      <c r="K26" s="44">
        <f ca="1">IFERROR(INDEX(Barrage[],MATCH(B26,Barrage[Name],0),COLUMN(Barrage[Burn Coeff])),0)</f>
        <v>0</v>
      </c>
      <c r="L26" s="50">
        <f ca="1">IFERROR(INDEX(Barrage[],MATCH(B26,Barrage[Name],0),COLUMN(Barrage[Flood %])),0)</f>
        <v>0</v>
      </c>
      <c r="M26" s="134">
        <f ca="1">IFERROR(INDEX(Barrage[],MATCH(B26,Barrage[Name],0),COLUMN(Barrage[Flood Coeff])),0)</f>
        <v>0</v>
      </c>
      <c r="N26" s="59">
        <v>1</v>
      </c>
      <c r="O26" s="61">
        <v>0</v>
      </c>
      <c r="P26" s="44">
        <f ca="1">IFERROR(INDEX(Barrage[],MATCH(B26,Barrage[Name],0),COLUMN(Barrage[Stat Mod])),0)</f>
        <v>0</v>
      </c>
      <c r="Q26" s="59">
        <v>1</v>
      </c>
      <c r="R26" s="13"/>
      <c r="S26" s="53"/>
      <c r="T26" s="35"/>
      <c r="U26" s="35"/>
      <c r="V26" s="35"/>
      <c r="W26" s="35"/>
      <c r="X26" s="35"/>
      <c r="Y26" s="35"/>
      <c r="Z26" s="35"/>
      <c r="AA26" s="5"/>
      <c r="AB26" s="5"/>
      <c r="AC26" s="5"/>
      <c r="AD26" s="5"/>
      <c r="AE26" s="5"/>
      <c r="AF26" s="5"/>
      <c r="AG26" s="5"/>
    </row>
    <row r="27" spans="1:33" x14ac:dyDescent="0.3">
      <c r="A27" s="13"/>
      <c r="B27" s="13"/>
      <c r="C27" s="13"/>
      <c r="D27" s="13"/>
      <c r="E27" s="13"/>
      <c r="F27" s="13"/>
      <c r="G27" s="13"/>
      <c r="H27" s="13"/>
      <c r="I27" s="13"/>
      <c r="J27" s="13"/>
      <c r="K27" s="13"/>
      <c r="L27" s="13"/>
      <c r="M27" s="13"/>
      <c r="N27" s="13"/>
      <c r="O27" s="13"/>
      <c r="P27" s="13"/>
      <c r="Q27" s="13"/>
      <c r="R27" s="13"/>
      <c r="S27" s="53"/>
      <c r="T27" s="53" t="s">
        <v>128</v>
      </c>
      <c r="U27" s="53"/>
      <c r="V27" s="53" t="s">
        <v>129</v>
      </c>
      <c r="W27" s="53"/>
      <c r="X27" s="53" t="s">
        <v>130</v>
      </c>
      <c r="Y27" s="35"/>
      <c r="Z27" s="35"/>
      <c r="AA27" s="5"/>
      <c r="AB27" s="5"/>
      <c r="AC27" s="5"/>
      <c r="AD27" s="5"/>
      <c r="AE27" s="5"/>
      <c r="AF27" s="5"/>
      <c r="AG27" s="5"/>
    </row>
    <row r="28" spans="1:33" x14ac:dyDescent="0.3">
      <c r="A28" s="13"/>
      <c r="B28" s="13"/>
      <c r="C28" s="13"/>
      <c r="D28" s="13"/>
      <c r="E28" s="13"/>
      <c r="F28" s="13"/>
      <c r="G28" s="13"/>
      <c r="H28" s="13"/>
      <c r="I28" s="13"/>
      <c r="J28" s="13"/>
      <c r="K28" s="13"/>
      <c r="L28" s="13"/>
      <c r="M28" s="13"/>
      <c r="N28" s="13"/>
      <c r="O28" s="13"/>
      <c r="P28" s="13"/>
      <c r="Q28" s="13"/>
      <c r="R28" s="13"/>
      <c r="S28" s="53" t="s">
        <v>8</v>
      </c>
      <c r="T28" s="51">
        <f ca="1">T23/$L$14</f>
        <v>755.35788595144436</v>
      </c>
      <c r="U28" s="51"/>
      <c r="V28" s="51">
        <f ca="1">V23/$L$14</f>
        <v>1036.2356069193931</v>
      </c>
      <c r="W28" s="51"/>
      <c r="X28" s="51">
        <f ca="1">X23/$L$14</f>
        <v>0</v>
      </c>
      <c r="Y28" s="35"/>
      <c r="Z28" s="35"/>
      <c r="AA28" s="5"/>
      <c r="AB28" s="5"/>
      <c r="AC28" s="5"/>
      <c r="AD28" s="5"/>
      <c r="AE28" s="5"/>
      <c r="AF28" s="5"/>
      <c r="AG28" s="5"/>
    </row>
    <row r="29" spans="1:33" x14ac:dyDescent="0.3">
      <c r="A29" s="13"/>
      <c r="B29" s="13"/>
      <c r="C29" s="13"/>
      <c r="D29" s="13"/>
      <c r="E29" s="13"/>
      <c r="F29" s="13"/>
      <c r="G29" s="13"/>
      <c r="H29" s="13"/>
      <c r="I29" s="13"/>
      <c r="J29" s="13"/>
      <c r="K29" s="13"/>
      <c r="L29" s="13"/>
      <c r="M29" s="13"/>
      <c r="N29" s="13"/>
      <c r="O29" s="13"/>
      <c r="P29" s="13"/>
      <c r="Q29" s="13"/>
      <c r="R29" s="13"/>
      <c r="S29" s="53" t="s">
        <v>10</v>
      </c>
      <c r="T29" s="51">
        <f ca="1">T24/$L$14</f>
        <v>849.77762169537493</v>
      </c>
      <c r="U29" s="51"/>
      <c r="V29" s="51">
        <f ca="1">V24/$L$14</f>
        <v>1424.8239595141656</v>
      </c>
      <c r="W29" s="51"/>
      <c r="X29" s="51">
        <f ca="1">X24/$L$14</f>
        <v>0</v>
      </c>
      <c r="Y29" s="35"/>
      <c r="Z29" s="35"/>
      <c r="AA29" s="5"/>
      <c r="AB29" s="5"/>
      <c r="AC29" s="5"/>
      <c r="AD29" s="5"/>
      <c r="AE29" s="5"/>
      <c r="AF29" s="5"/>
      <c r="AG29" s="5"/>
    </row>
    <row r="30" spans="1:33" x14ac:dyDescent="0.3">
      <c r="A30" s="13"/>
      <c r="B30" s="13"/>
      <c r="C30" s="13"/>
      <c r="D30" s="13"/>
      <c r="E30" s="13"/>
      <c r="F30" s="13"/>
      <c r="G30" s="13"/>
      <c r="H30" s="13"/>
      <c r="I30" s="13"/>
      <c r="J30" s="13"/>
      <c r="K30" s="13"/>
      <c r="L30" s="13"/>
      <c r="M30" s="13"/>
      <c r="N30" s="13"/>
      <c r="O30" s="13"/>
      <c r="P30" s="13"/>
      <c r="Q30" s="13"/>
      <c r="R30" s="13"/>
      <c r="S30" s="53" t="s">
        <v>12</v>
      </c>
      <c r="T30" s="51">
        <f ca="1">T25/$L$14</f>
        <v>1038.6170931832362</v>
      </c>
      <c r="U30" s="51"/>
      <c r="V30" s="51">
        <f ca="1">V25/$L$14</f>
        <v>1683.8828612440136</v>
      </c>
      <c r="W30" s="51"/>
      <c r="X30" s="51">
        <f ca="1">X25/$L$14</f>
        <v>0</v>
      </c>
      <c r="Y30" s="35"/>
      <c r="Z30" s="35"/>
      <c r="AA30" s="5"/>
      <c r="AB30" s="5"/>
      <c r="AC30" s="5"/>
      <c r="AD30" s="5"/>
      <c r="AE30" s="5"/>
      <c r="AF30" s="5"/>
      <c r="AG30" s="5"/>
    </row>
    <row r="31" spans="1:33" x14ac:dyDescent="0.3">
      <c r="A31" s="13"/>
      <c r="B31" s="13"/>
      <c r="C31" s="13"/>
      <c r="D31" s="13"/>
      <c r="E31" s="13"/>
      <c r="F31" s="13"/>
      <c r="G31" s="13"/>
      <c r="H31" s="13"/>
      <c r="I31" s="13"/>
      <c r="J31" s="13"/>
      <c r="K31" s="13"/>
      <c r="L31" s="13"/>
      <c r="M31" s="13"/>
      <c r="N31" s="13"/>
      <c r="O31" s="13"/>
      <c r="P31" s="13"/>
      <c r="Q31" s="13"/>
      <c r="R31" s="13"/>
      <c r="S31" s="53"/>
      <c r="T31" s="35"/>
      <c r="U31" s="35"/>
      <c r="V31" s="35"/>
      <c r="W31" s="35"/>
      <c r="X31" s="35"/>
      <c r="Y31" s="35"/>
      <c r="Z31" s="35"/>
      <c r="AA31" s="5"/>
      <c r="AB31" s="5"/>
      <c r="AC31" s="5"/>
      <c r="AD31" s="5"/>
      <c r="AE31" s="5"/>
      <c r="AF31" s="5"/>
      <c r="AG31" s="5"/>
    </row>
    <row r="32" spans="1:33" x14ac:dyDescent="0.3">
      <c r="A32" s="13"/>
      <c r="B32" s="13"/>
      <c r="C32" s="13"/>
      <c r="D32" s="13"/>
      <c r="E32" s="13"/>
      <c r="F32" s="13"/>
      <c r="G32" s="13"/>
      <c r="H32" s="13"/>
      <c r="I32" s="13"/>
      <c r="J32" s="13"/>
      <c r="K32" s="13"/>
      <c r="L32" s="13"/>
      <c r="M32" s="13"/>
      <c r="N32" s="13"/>
      <c r="O32" s="13"/>
      <c r="P32" s="13"/>
      <c r="Q32" s="13"/>
      <c r="R32" s="13"/>
      <c r="S32" s="53" t="s">
        <v>823</v>
      </c>
      <c r="T32" s="53" t="s">
        <v>828</v>
      </c>
      <c r="U32" s="53"/>
      <c r="V32" s="53" t="s">
        <v>829</v>
      </c>
      <c r="W32" s="53"/>
      <c r="X32" s="53" t="s">
        <v>830</v>
      </c>
      <c r="Y32" s="53"/>
      <c r="Z32" s="53" t="s">
        <v>831</v>
      </c>
      <c r="AA32" s="5"/>
      <c r="AB32" s="5"/>
      <c r="AC32" s="5"/>
      <c r="AD32" s="5"/>
      <c r="AE32" s="5"/>
      <c r="AF32" s="5"/>
      <c r="AG32" s="5"/>
    </row>
    <row r="33" spans="1:33" x14ac:dyDescent="0.3">
      <c r="A33" s="13"/>
      <c r="B33" s="13"/>
      <c r="C33" s="13"/>
      <c r="D33" s="13"/>
      <c r="E33" s="13"/>
      <c r="F33" s="13"/>
      <c r="G33" s="13"/>
      <c r="H33" s="13"/>
      <c r="I33" s="13"/>
      <c r="J33" s="13"/>
      <c r="K33" s="13"/>
      <c r="L33" s="13"/>
      <c r="M33" s="13"/>
      <c r="N33" s="13"/>
      <c r="O33" s="13"/>
      <c r="P33" s="13"/>
      <c r="Q33" s="13"/>
      <c r="R33" s="13"/>
      <c r="S33" s="53" t="s">
        <v>8</v>
      </c>
      <c r="T33" s="51">
        <f ca="1">((100+AA3*P23*P12)/100)/IF(O23=0,L14,O23)*AC20*N23*D23*G23*P13*(1-T15)*Q23</f>
        <v>0</v>
      </c>
      <c r="U33" s="51"/>
      <c r="V33" s="51">
        <f ca="1">((100+AA3*P24*P12)/100)/IF(O24=0,L14,O24)*AC20*N24*D24*G24*P13*(1-T15)*Q24</f>
        <v>0</v>
      </c>
      <c r="W33" s="51"/>
      <c r="X33" s="51">
        <f ca="1">((100+AA3*P25*P12)/100)/IF(O25=0,L14,O25)*AC20*N25*D25*G25*P13*(1-T15)*Q25</f>
        <v>0</v>
      </c>
      <c r="Y33" s="51"/>
      <c r="Z33" s="51">
        <f ca="1">((100+AA3*P26*(P12))/100)/IF(O26=0,L14,O26)*AC20*N26*D26*G26*P13*(1-T15)*Q26</f>
        <v>0</v>
      </c>
      <c r="AA33" s="5"/>
      <c r="AB33" s="5"/>
      <c r="AC33" s="5"/>
      <c r="AD33" s="5"/>
      <c r="AE33" s="5"/>
      <c r="AF33" s="5"/>
      <c r="AG33" s="5"/>
    </row>
    <row r="34" spans="1:33" x14ac:dyDescent="0.3">
      <c r="A34" s="13"/>
      <c r="B34" s="13"/>
      <c r="C34" s="13"/>
      <c r="D34" s="13"/>
      <c r="E34" s="13"/>
      <c r="F34" s="13"/>
      <c r="G34" s="13"/>
      <c r="H34" s="13"/>
      <c r="I34" s="13"/>
      <c r="J34" s="13"/>
      <c r="K34" s="13"/>
      <c r="L34" s="13"/>
      <c r="M34" s="13"/>
      <c r="N34" s="13"/>
      <c r="O34" s="13"/>
      <c r="P34" s="13"/>
      <c r="Q34" s="13"/>
      <c r="R34" s="13"/>
      <c r="S34" s="53" t="s">
        <v>10</v>
      </c>
      <c r="T34" s="51">
        <f ca="1">((100+AA3*P23*P12)/100)/IF(O23=0,L14,O23)*AC20*N23*D23*H23*P13*(1-T15)*Q23</f>
        <v>0</v>
      </c>
      <c r="U34" s="51"/>
      <c r="V34" s="51">
        <f ca="1">((100+AA3*P24*P12)/100)/IF(O24=0,L14,O24)*AC20*N24*D24*H24*P13*(1-T15)*Q24</f>
        <v>0</v>
      </c>
      <c r="W34" s="51"/>
      <c r="X34" s="51">
        <f ca="1">((100+AA3*P25*P12)/100)/IF(O25=0,L14,O25)*AC20*N25*D25*H25*P13*(1-T15)*Q25</f>
        <v>0</v>
      </c>
      <c r="Y34" s="51"/>
      <c r="Z34" s="51">
        <f ca="1">((100+AA3*P26*(P12))/100)/IF(O26=0,L14,O26)*AC20*N26*D26*H26*P13*(1-T15)*Q26</f>
        <v>0</v>
      </c>
      <c r="AA34" s="5"/>
      <c r="AB34" s="5"/>
      <c r="AC34" s="5"/>
      <c r="AD34" s="5"/>
      <c r="AE34" s="5"/>
      <c r="AF34" s="5"/>
      <c r="AG34" s="5"/>
    </row>
    <row r="35" spans="1:33" x14ac:dyDescent="0.3">
      <c r="A35" s="13"/>
      <c r="B35" s="13"/>
      <c r="C35" s="13"/>
      <c r="D35" s="13"/>
      <c r="E35" s="13"/>
      <c r="F35" s="13"/>
      <c r="G35" s="13"/>
      <c r="H35" s="13"/>
      <c r="I35" s="13"/>
      <c r="J35" s="13"/>
      <c r="K35" s="13"/>
      <c r="L35" s="13"/>
      <c r="M35" s="13"/>
      <c r="N35" s="13"/>
      <c r="O35" s="13"/>
      <c r="P35" s="13"/>
      <c r="Q35" s="13"/>
      <c r="R35" s="13"/>
      <c r="S35" s="53" t="s">
        <v>12</v>
      </c>
      <c r="T35" s="51">
        <f ca="1">((100+AA3*P23*P12)/100)/IF(O23=0,L14,O23)*AC20*N23*D23*I23*P13*(1-T15)*Q23</f>
        <v>0</v>
      </c>
      <c r="U35" s="51"/>
      <c r="V35" s="51">
        <f ca="1">((100+AA3*P24*P12)/100)/IF(O24=0,L14,O24)*AC20*N24*D24*I24*P13*(1-T15)*Q24</f>
        <v>0</v>
      </c>
      <c r="W35" s="51"/>
      <c r="X35" s="51">
        <f ca="1">((100+AA3*P25*P12)/100)/IF(O25=0,L14,O25)*AC20*N25*D25*I25*P13*(1-T15)*Q25</f>
        <v>0</v>
      </c>
      <c r="Y35" s="51"/>
      <c r="Z35" s="51">
        <f ca="1">((100+AA3*P26*(P12))/100)/IF(O26=0,L14,O26)*AC20*N26*D26*I26*P13*(1-T15)*Q26</f>
        <v>0</v>
      </c>
      <c r="AA35" s="5"/>
      <c r="AB35" s="5"/>
      <c r="AC35" s="5"/>
      <c r="AD35" s="5"/>
      <c r="AE35" s="5"/>
      <c r="AF35" s="5"/>
      <c r="AG35" s="5"/>
    </row>
    <row r="36" spans="1:33" x14ac:dyDescent="0.3">
      <c r="A36" s="13"/>
      <c r="B36" s="13"/>
      <c r="C36" s="13"/>
      <c r="D36" s="13"/>
      <c r="E36" s="13"/>
      <c r="F36" s="13"/>
      <c r="G36" s="13"/>
      <c r="H36" s="13"/>
      <c r="I36" s="13"/>
      <c r="J36" s="13"/>
      <c r="K36" s="13"/>
      <c r="L36" s="13"/>
      <c r="M36" s="13"/>
      <c r="N36" s="13"/>
      <c r="O36" s="13"/>
      <c r="P36" s="13"/>
      <c r="Q36" s="13"/>
      <c r="R36" s="13"/>
      <c r="S36" s="53"/>
      <c r="T36" s="35"/>
      <c r="U36" s="35"/>
      <c r="V36" s="35"/>
      <c r="W36" s="35"/>
      <c r="X36" s="35"/>
      <c r="Y36" s="35"/>
      <c r="Z36" s="35"/>
      <c r="AA36" s="5"/>
      <c r="AB36" s="5"/>
      <c r="AC36" s="5"/>
      <c r="AD36" s="5"/>
      <c r="AE36" s="5"/>
      <c r="AF36" s="5"/>
      <c r="AG36" s="5"/>
    </row>
    <row r="37" spans="1:33" x14ac:dyDescent="0.3">
      <c r="A37" s="13"/>
      <c r="B37" s="13"/>
      <c r="C37" s="13"/>
      <c r="D37" s="13"/>
      <c r="E37" s="13"/>
      <c r="F37" s="13"/>
      <c r="G37" s="13"/>
      <c r="H37" s="13"/>
      <c r="I37" s="13"/>
      <c r="J37" s="13"/>
      <c r="K37" s="13"/>
      <c r="L37" s="13"/>
      <c r="M37" s="13"/>
      <c r="N37" s="13"/>
      <c r="O37" s="13"/>
      <c r="P37" s="13"/>
      <c r="Q37" s="13"/>
      <c r="R37" s="13"/>
      <c r="S37" s="53" t="s">
        <v>833</v>
      </c>
      <c r="T37" s="53" t="s">
        <v>824</v>
      </c>
      <c r="U37" s="53"/>
      <c r="V37" s="53" t="s">
        <v>821</v>
      </c>
      <c r="W37" s="53"/>
      <c r="X37" s="53" t="s">
        <v>822</v>
      </c>
      <c r="Y37" s="53"/>
      <c r="Z37" s="53" t="s">
        <v>832</v>
      </c>
      <c r="AA37" s="5"/>
      <c r="AB37" s="5"/>
      <c r="AC37" s="5"/>
      <c r="AD37" s="5"/>
      <c r="AE37" s="5"/>
      <c r="AF37" s="5"/>
      <c r="AG37" s="5"/>
    </row>
    <row r="38" spans="1:33" x14ac:dyDescent="0.3">
      <c r="A38" s="13"/>
      <c r="B38" s="13"/>
      <c r="C38" s="13"/>
      <c r="D38" s="13"/>
      <c r="E38" s="13"/>
      <c r="F38" s="13"/>
      <c r="G38" s="13"/>
      <c r="H38" s="13"/>
      <c r="I38" s="13"/>
      <c r="J38" s="13"/>
      <c r="K38" s="13"/>
      <c r="L38" s="13"/>
      <c r="M38" s="13"/>
      <c r="N38" s="13"/>
      <c r="O38" s="13"/>
      <c r="P38" s="13"/>
      <c r="Q38" s="13"/>
      <c r="R38" s="13"/>
      <c r="S38" s="53" t="s">
        <v>15</v>
      </c>
      <c r="T38" s="51">
        <f ca="1">(E23*N23*((100+P23*AA3*P12)/100)*IF(K23=0,K18,K23)+5)*(1-(1-J23)^(F23))*5*T15</f>
        <v>0</v>
      </c>
      <c r="U38" s="51"/>
      <c r="V38" s="51">
        <f ca="1">(E24*N24*((100+P24*AA3*P12)/100)*IF(K24=0,K18,K24)+5)*(1-(1-J24)^(F24))*5*T15</f>
        <v>0</v>
      </c>
      <c r="W38" s="51"/>
      <c r="X38" s="51">
        <f ca="1">(E25*N25*((100+P25*AA3*P12)/100)*IF(K25=0,K18,K25)+5)*(1-(1-J25)^(F25))*5*T15</f>
        <v>0</v>
      </c>
      <c r="Y38" s="51"/>
      <c r="Z38" s="51">
        <f ca="1">(E26*N26*((100+P26*AA3*(1+P12))/100)*IF(K26=0,K18,K26)+5)*(1-(1-J26)^(F26))*5*T15</f>
        <v>0</v>
      </c>
      <c r="AA38" s="5"/>
      <c r="AB38" s="5"/>
      <c r="AC38" s="5"/>
      <c r="AD38" s="5"/>
      <c r="AE38" s="5"/>
      <c r="AF38" s="5"/>
      <c r="AG38" s="5"/>
    </row>
    <row r="39" spans="1:33" x14ac:dyDescent="0.3">
      <c r="A39" s="13"/>
      <c r="B39" s="13"/>
      <c r="C39" s="13"/>
      <c r="D39" s="13"/>
      <c r="E39" s="13"/>
      <c r="F39" s="13"/>
      <c r="G39" s="13"/>
      <c r="H39" s="13"/>
      <c r="I39" s="13"/>
      <c r="J39" s="13"/>
      <c r="K39" s="13"/>
      <c r="L39" s="13"/>
      <c r="M39" s="13"/>
      <c r="N39" s="13"/>
      <c r="O39" s="13"/>
      <c r="P39" s="13"/>
      <c r="Q39" s="13"/>
      <c r="R39" s="13"/>
      <c r="S39" s="53" t="s">
        <v>145</v>
      </c>
      <c r="T39" s="51">
        <f ca="1">L23*(E23*((100+AA3*P23*P12)/100)*M23+10)*8*T15</f>
        <v>0</v>
      </c>
      <c r="U39" s="51"/>
      <c r="V39" s="51">
        <f ca="1">L24*(E24*((100+AA3*P24*P12)/100)*M24+10)*8*T15</f>
        <v>0</v>
      </c>
      <c r="W39" s="51"/>
      <c r="X39" s="51">
        <f ca="1">L25*(E25*((100+AA3*P25*P12)/100)*M25+10)*8*T15</f>
        <v>0</v>
      </c>
      <c r="Y39" s="51"/>
      <c r="Z39" s="51">
        <f ca="1">L26*(E26*((100+AA3*P26*(1+P12))/100)*M26+10)*8*T15</f>
        <v>0</v>
      </c>
      <c r="AA39" s="5"/>
      <c r="AB39" s="5"/>
      <c r="AC39" s="5"/>
      <c r="AD39" s="5"/>
      <c r="AE39" s="5"/>
      <c r="AF39" s="5"/>
      <c r="AG39" s="5"/>
    </row>
    <row r="40" spans="1:33" x14ac:dyDescent="0.3">
      <c r="A40" s="13"/>
      <c r="B40" s="13"/>
      <c r="C40" s="13"/>
      <c r="D40" s="13"/>
      <c r="E40" s="13"/>
      <c r="F40" s="13"/>
      <c r="G40" s="13"/>
      <c r="H40" s="13"/>
      <c r="I40" s="13"/>
      <c r="J40" s="13"/>
      <c r="K40" s="13"/>
      <c r="L40" s="13"/>
      <c r="M40" s="13"/>
      <c r="N40" s="13"/>
      <c r="O40" s="13"/>
      <c r="P40" s="13"/>
      <c r="Q40" s="13"/>
      <c r="R40" s="13"/>
      <c r="S40" s="53"/>
      <c r="T40" s="35"/>
      <c r="U40" s="35"/>
      <c r="V40" s="35"/>
      <c r="W40" s="35"/>
      <c r="X40" s="35"/>
      <c r="Y40" s="35"/>
      <c r="Z40" s="35"/>
      <c r="AA40" s="5"/>
      <c r="AB40" s="5"/>
      <c r="AC40" s="5"/>
      <c r="AD40" s="5"/>
      <c r="AE40" s="5"/>
      <c r="AF40" s="5"/>
      <c r="AG40" s="5"/>
    </row>
    <row r="41" spans="1:33" x14ac:dyDescent="0.3">
      <c r="A41" s="13"/>
      <c r="B41" s="13"/>
      <c r="C41" s="13"/>
      <c r="D41" s="13"/>
      <c r="E41" s="13"/>
      <c r="F41" s="13"/>
      <c r="G41" s="13"/>
      <c r="H41" s="13"/>
      <c r="I41" s="13"/>
      <c r="J41" s="13"/>
      <c r="K41" s="13"/>
      <c r="L41" s="13"/>
      <c r="M41" s="13"/>
      <c r="N41" s="13"/>
      <c r="O41" s="13"/>
      <c r="P41" s="13"/>
      <c r="Q41" s="13"/>
      <c r="R41" s="13"/>
      <c r="S41" s="53" t="s">
        <v>833</v>
      </c>
      <c r="T41" s="53" t="s">
        <v>828</v>
      </c>
      <c r="U41" s="53"/>
      <c r="V41" s="53" t="s">
        <v>829</v>
      </c>
      <c r="W41" s="53"/>
      <c r="X41" s="53" t="s">
        <v>830</v>
      </c>
      <c r="Y41" s="53"/>
      <c r="Z41" s="53" t="s">
        <v>831</v>
      </c>
      <c r="AA41" s="5"/>
      <c r="AB41" s="5"/>
      <c r="AC41" s="5"/>
      <c r="AD41" s="5"/>
      <c r="AE41" s="5"/>
      <c r="AF41" s="5"/>
      <c r="AG41" s="5"/>
    </row>
    <row r="42" spans="1:33" x14ac:dyDescent="0.3">
      <c r="A42" s="13"/>
      <c r="B42" s="13"/>
      <c r="C42" s="13"/>
      <c r="D42" s="13"/>
      <c r="E42" s="13"/>
      <c r="F42" s="13"/>
      <c r="G42" s="13"/>
      <c r="H42" s="13"/>
      <c r="I42" s="13"/>
      <c r="J42" s="13"/>
      <c r="K42" s="13"/>
      <c r="L42" s="13"/>
      <c r="M42" s="13"/>
      <c r="N42" s="13"/>
      <c r="O42" s="13"/>
      <c r="P42" s="13"/>
      <c r="Q42" s="13"/>
      <c r="R42" s="13"/>
      <c r="S42" s="53" t="s">
        <v>44</v>
      </c>
      <c r="T42" s="51">
        <f ca="1">T38/15*(MIN((15/IF(O23=0,L14,O23)),1))</f>
        <v>0</v>
      </c>
      <c r="U42" s="51"/>
      <c r="V42" s="51">
        <f ca="1">V38/15*(MIN((15/IF(O24=0,L14,O24)),1))</f>
        <v>0</v>
      </c>
      <c r="W42" s="51"/>
      <c r="X42" s="51">
        <f ca="1">X38/15*(MIN((15/IF(O25=0,L14,O25)),1))</f>
        <v>0</v>
      </c>
      <c r="Y42" s="51"/>
      <c r="Z42" s="51">
        <f ca="1">Z38/15*(MIN((15/IF(O26=0,L14,O26)),1))</f>
        <v>0</v>
      </c>
      <c r="AA42" s="5"/>
      <c r="AB42" s="5"/>
      <c r="AC42" s="5"/>
      <c r="AD42" s="5"/>
      <c r="AE42" s="5"/>
      <c r="AF42" s="5"/>
      <c r="AG42" s="5"/>
    </row>
    <row r="43" spans="1:33" x14ac:dyDescent="0.3">
      <c r="A43" s="13"/>
      <c r="B43" s="13"/>
      <c r="C43" s="13"/>
      <c r="D43" s="13"/>
      <c r="E43" s="13"/>
      <c r="F43" s="13"/>
      <c r="G43" s="13"/>
      <c r="H43" s="13"/>
      <c r="I43" s="13"/>
      <c r="J43" s="13"/>
      <c r="K43" s="13"/>
      <c r="L43" s="13"/>
      <c r="M43" s="13"/>
      <c r="N43" s="13"/>
      <c r="O43" s="13"/>
      <c r="P43" s="13"/>
      <c r="Q43" s="13"/>
      <c r="R43" s="13"/>
      <c r="S43" s="53" t="s">
        <v>147</v>
      </c>
      <c r="T43" s="51">
        <f ca="1">T39/24*(MIN((24/IF(O23=0,L14,O23)),1))</f>
        <v>0</v>
      </c>
      <c r="U43" s="51"/>
      <c r="V43" s="51">
        <f ca="1">V39/15*(MIN((24/IF(O24=0,L14,O24)),1))</f>
        <v>0</v>
      </c>
      <c r="W43" s="51"/>
      <c r="X43" s="51">
        <f ca="1">X39/24*(MIN((24/IF(O25=0,L14,O25)),1))</f>
        <v>0</v>
      </c>
      <c r="Y43" s="51"/>
      <c r="Z43" s="51">
        <f ca="1">Z39/24*(MIN((24/IF(O26=0,L14,O26)),1))</f>
        <v>0</v>
      </c>
      <c r="AA43" s="5"/>
      <c r="AB43" s="5"/>
      <c r="AC43" s="5"/>
      <c r="AD43" s="5"/>
      <c r="AE43" s="5"/>
      <c r="AF43" s="5"/>
      <c r="AG43" s="5"/>
    </row>
    <row r="44" spans="1:33"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5"/>
      <c r="AB44" s="5"/>
      <c r="AC44" s="5"/>
      <c r="AD44" s="5"/>
      <c r="AE44" s="5"/>
      <c r="AF44" s="5"/>
      <c r="AG44" s="5"/>
    </row>
    <row r="45" spans="1:33"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5"/>
      <c r="AB45" s="5"/>
      <c r="AC45" s="5"/>
      <c r="AD45" s="5"/>
      <c r="AE45" s="5"/>
      <c r="AF45" s="5"/>
      <c r="AG45" s="5"/>
    </row>
    <row r="46" spans="1:33"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5"/>
      <c r="AB46" s="5"/>
      <c r="AC46" s="5"/>
      <c r="AD46" s="5"/>
      <c r="AE46" s="5"/>
      <c r="AF46" s="5"/>
      <c r="AG46" s="5"/>
    </row>
    <row r="47" spans="1:33"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5"/>
      <c r="AB47" s="5"/>
      <c r="AC47" s="5"/>
      <c r="AD47" s="5"/>
      <c r="AE47" s="5"/>
      <c r="AF47" s="5"/>
      <c r="AG47" s="5"/>
    </row>
    <row r="48" spans="1:33"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5"/>
      <c r="AB48" s="5"/>
      <c r="AC48" s="5"/>
      <c r="AD48" s="5"/>
      <c r="AE48" s="5"/>
      <c r="AF48" s="5"/>
      <c r="AG48" s="5"/>
    </row>
    <row r="49" spans="1:33"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5"/>
      <c r="AB49" s="5"/>
      <c r="AC49" s="5"/>
      <c r="AD49" s="5"/>
      <c r="AE49" s="5"/>
      <c r="AF49" s="5"/>
      <c r="AG49" s="5"/>
    </row>
    <row r="50" spans="1:33"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5"/>
      <c r="AB50" s="5"/>
      <c r="AC50" s="5"/>
      <c r="AD50" s="5"/>
      <c r="AE50" s="5"/>
      <c r="AF50" s="5"/>
      <c r="AG50" s="5"/>
    </row>
    <row r="51" spans="1:33"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5"/>
      <c r="AB51" s="5"/>
      <c r="AC51" s="5"/>
      <c r="AD51" s="5"/>
      <c r="AE51" s="5"/>
      <c r="AF51" s="5"/>
      <c r="AG51" s="5"/>
    </row>
    <row r="52" spans="1:33"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5"/>
      <c r="AB52" s="5"/>
      <c r="AC52" s="5"/>
      <c r="AD52" s="5"/>
      <c r="AE52" s="5"/>
      <c r="AF52" s="5"/>
      <c r="AG52" s="5"/>
    </row>
    <row r="53" spans="1:33"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5"/>
      <c r="AB53" s="5"/>
      <c r="AC53" s="5"/>
      <c r="AD53" s="5"/>
      <c r="AE53" s="5"/>
      <c r="AF53" s="5"/>
      <c r="AG53" s="5"/>
    </row>
    <row r="54" spans="1:33"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5"/>
      <c r="AB54" s="5"/>
      <c r="AC54" s="5"/>
      <c r="AD54" s="5"/>
      <c r="AE54" s="5"/>
      <c r="AF54" s="5"/>
      <c r="AG54" s="5"/>
    </row>
    <row r="55" spans="1:33"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5"/>
      <c r="AB55" s="5"/>
      <c r="AC55" s="5"/>
      <c r="AD55" s="5"/>
      <c r="AE55" s="5"/>
      <c r="AF55" s="5"/>
      <c r="AG55" s="5"/>
    </row>
    <row r="56" spans="1:33"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5"/>
      <c r="AB56" s="5"/>
      <c r="AC56" s="5"/>
      <c r="AD56" s="5"/>
      <c r="AE56" s="5"/>
      <c r="AF56" s="5"/>
      <c r="AG56" s="5"/>
    </row>
    <row r="57" spans="1:33"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5"/>
      <c r="AB57" s="5"/>
      <c r="AC57" s="5"/>
      <c r="AD57" s="5"/>
      <c r="AE57" s="5"/>
      <c r="AF57" s="5"/>
      <c r="AG57" s="5"/>
    </row>
    <row r="58" spans="1:33"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5"/>
      <c r="AB58" s="5"/>
      <c r="AC58" s="5"/>
      <c r="AD58" s="5"/>
      <c r="AE58" s="5"/>
      <c r="AF58" s="5"/>
      <c r="AG58" s="5"/>
    </row>
    <row r="59" spans="1:33"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5"/>
      <c r="AB59" s="5"/>
      <c r="AC59" s="5"/>
      <c r="AD59" s="5"/>
      <c r="AE59" s="5"/>
      <c r="AF59" s="5"/>
      <c r="AG59" s="5"/>
    </row>
    <row r="60" spans="1:33"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5"/>
      <c r="AB60" s="5"/>
      <c r="AC60" s="5"/>
      <c r="AD60" s="5"/>
      <c r="AE60" s="5"/>
      <c r="AF60" s="5"/>
      <c r="AG60" s="5"/>
    </row>
    <row r="61" spans="1:33"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5"/>
      <c r="AB61" s="5"/>
      <c r="AC61" s="5"/>
      <c r="AD61" s="5"/>
      <c r="AE61" s="5"/>
      <c r="AF61" s="5"/>
      <c r="AG61" s="5"/>
    </row>
    <row r="62" spans="1:33" x14ac:dyDescent="0.3">
      <c r="A62" s="13"/>
    </row>
    <row r="63" spans="1:33" x14ac:dyDescent="0.3">
      <c r="A63" s="13"/>
    </row>
    <row r="64" spans="1:33" x14ac:dyDescent="0.3">
      <c r="A64" s="13"/>
    </row>
    <row r="65" spans="1:1" x14ac:dyDescent="0.3">
      <c r="A65" s="13"/>
    </row>
    <row r="66" spans="1:1" x14ac:dyDescent="0.3">
      <c r="A66" s="13"/>
    </row>
    <row r="67" spans="1:1" x14ac:dyDescent="0.3">
      <c r="A67" s="13"/>
    </row>
  </sheetData>
  <mergeCells count="1">
    <mergeCell ref="J11:T11"/>
  </mergeCells>
  <dataValidations disablePrompts="1" count="9">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L11" sqref="L11"/>
    </sheetView>
  </sheetViews>
  <sheetFormatPr defaultRowHeight="14.4" x14ac:dyDescent="0.3"/>
  <cols>
    <col min="4" max="8" width="12.77734375" customWidth="1"/>
  </cols>
  <sheetData>
    <row r="1" spans="1:33" x14ac:dyDescent="0.3">
      <c r="A1" s="13"/>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3">
      <c r="A2" s="13"/>
      <c r="B2" s="47" t="s">
        <v>188</v>
      </c>
      <c r="C2" s="46" t="s">
        <v>665</v>
      </c>
      <c r="D2" s="48" t="s">
        <v>2</v>
      </c>
      <c r="E2" s="48" t="s">
        <v>3</v>
      </c>
      <c r="F2" s="48" t="s">
        <v>54</v>
      </c>
      <c r="G2" s="48" t="s">
        <v>4</v>
      </c>
      <c r="H2" s="48" t="s">
        <v>881</v>
      </c>
      <c r="I2" s="32"/>
      <c r="J2" s="4"/>
      <c r="K2" s="4"/>
      <c r="L2" s="4"/>
      <c r="M2" s="4"/>
      <c r="N2" s="4"/>
      <c r="O2" s="4"/>
      <c r="P2" s="4"/>
      <c r="Q2" s="4"/>
      <c r="R2" s="5"/>
      <c r="S2" s="5"/>
      <c r="T2" s="5"/>
      <c r="U2" s="4"/>
      <c r="V2" s="14"/>
      <c r="W2" s="193" t="s">
        <v>269</v>
      </c>
      <c r="X2" s="193"/>
      <c r="Y2" s="193"/>
      <c r="Z2" s="193"/>
      <c r="AA2" s="193"/>
      <c r="AB2" s="193"/>
      <c r="AC2" s="193"/>
      <c r="AD2" s="14"/>
      <c r="AE2" s="14"/>
      <c r="AF2" s="14"/>
      <c r="AG2" s="14"/>
    </row>
    <row r="3" spans="1:33" x14ac:dyDescent="0.3">
      <c r="A3" s="13"/>
      <c r="B3" s="45" t="s">
        <v>150</v>
      </c>
      <c r="C3" s="34" t="str">
        <f>IFERROR(INDEX(SType[],MATCH(C4,SType[Ship],0),COLUMN(SType[Type])),0)</f>
        <v>Submarine</v>
      </c>
      <c r="D3" s="47" t="s">
        <v>301</v>
      </c>
      <c r="E3" s="47" t="s">
        <v>301</v>
      </c>
      <c r="F3" s="47" t="s">
        <v>188</v>
      </c>
      <c r="G3" s="47" t="s">
        <v>188</v>
      </c>
      <c r="H3" s="47" t="s">
        <v>157</v>
      </c>
      <c r="I3" s="32"/>
      <c r="J3" s="76" t="str">
        <f>C2</f>
        <v>I-19</v>
      </c>
      <c r="K3" s="73"/>
      <c r="L3" s="53" t="s">
        <v>910</v>
      </c>
      <c r="M3" s="53"/>
      <c r="N3" s="53" t="s">
        <v>912</v>
      </c>
      <c r="O3" s="53"/>
      <c r="P3" s="53" t="s">
        <v>913</v>
      </c>
      <c r="Q3" s="53"/>
      <c r="R3" s="53" t="s">
        <v>820</v>
      </c>
      <c r="S3" s="33"/>
      <c r="T3" s="38"/>
      <c r="U3" s="38"/>
      <c r="V3" s="14"/>
      <c r="W3" s="61" t="s">
        <v>151</v>
      </c>
      <c r="X3" s="61" t="s">
        <v>268</v>
      </c>
      <c r="Y3" s="61" t="s">
        <v>4</v>
      </c>
      <c r="Z3" s="61" t="s">
        <v>881</v>
      </c>
      <c r="AA3" s="61"/>
      <c r="AB3" s="61" t="s">
        <v>866</v>
      </c>
      <c r="AC3" s="52">
        <f>IF(H4="2x410mm Gold", 1.2, 0.6)</f>
        <v>0.6</v>
      </c>
      <c r="AD3" s="14"/>
      <c r="AE3" s="14"/>
      <c r="AF3" s="14"/>
      <c r="AG3" s="14"/>
    </row>
    <row r="4" spans="1:33" x14ac:dyDescent="0.3">
      <c r="A4" s="13"/>
      <c r="B4" s="45" t="s">
        <v>149</v>
      </c>
      <c r="C4" s="34" t="str">
        <f>IFERROR(INDEX(Base[],MATCH(C2,Base[Name],0),COLUMN(Base[Type])),0)</f>
        <v>SS</v>
      </c>
      <c r="D4" s="46" t="s">
        <v>304</v>
      </c>
      <c r="E4" s="46" t="s">
        <v>304</v>
      </c>
      <c r="F4" s="46" t="s">
        <v>895</v>
      </c>
      <c r="G4" s="46" t="s">
        <v>895</v>
      </c>
      <c r="H4" s="46" t="s">
        <v>737</v>
      </c>
      <c r="I4" s="32"/>
      <c r="J4" s="55"/>
      <c r="K4" s="56" t="s">
        <v>8</v>
      </c>
      <c r="L4" s="71">
        <f ca="1">Z25*$Y$18+R4+Z28+Z29</f>
        <v>28753.675443641569</v>
      </c>
      <c r="M4" s="71"/>
      <c r="N4" s="71">
        <f ca="1">L4/$AC$7/$Y$18</f>
        <v>1228.7895488735714</v>
      </c>
      <c r="O4" s="71"/>
      <c r="P4" s="71">
        <f ca="1">N4*$Y$18</f>
        <v>1105.9105939862143</v>
      </c>
      <c r="Q4" s="71"/>
      <c r="R4" s="71">
        <f ca="1">(AB32+$AB$35+$AB$36)*$Y$18</f>
        <v>6338.7406102004798</v>
      </c>
      <c r="S4" s="37"/>
      <c r="T4" s="38"/>
      <c r="U4" s="38"/>
      <c r="V4" s="14"/>
      <c r="W4" s="61" t="s">
        <v>150</v>
      </c>
      <c r="X4" s="61" t="str">
        <f ca="1">IFERROR(INDEX(INDIRECT(F3&amp;"Table"),MATCH(F4,INDIRECT(F3&amp;"Table"&amp;"[Name]"),0),COLUMN(INDIRECT(F3&amp;"Table"&amp;"[Ammo]"))),0)</f>
        <v>Normal</v>
      </c>
      <c r="Y4" s="61" t="str">
        <f ca="1">IFERROR(INDEX(INDIRECT(G3&amp;"Table"),MATCH(G4,INDIRECT(G3&amp;"Table"&amp;"[Name]"),0),COLUMN(INDIRECT(G3&amp;"Table"&amp;"[Ammo]"))),0)</f>
        <v>Normal</v>
      </c>
      <c r="Z4" s="61" t="str">
        <f ca="1">IFERROR(INDEX(INDIRECT(H3&amp;"Table"),MATCH(H4,INDIRECT(H3&amp;"Table"&amp;"[Name]"),0),COLUMN(INDIRECT(H3&amp;"Table"&amp;"[Ammo]"))),0)</f>
        <v>HE</v>
      </c>
      <c r="AA4" s="61"/>
      <c r="AB4" s="61" t="s">
        <v>55</v>
      </c>
      <c r="AC4" s="52">
        <f ca="1">IF(OR(Z4="Normal", Z4="Magnetic",Z4="AP"), 0,IFERROR(INDEX(BurnT[],MATCH(H3,BurnT[Type],0),COLUMN(BurnT[Burn])),0))</f>
        <v>0.01</v>
      </c>
      <c r="AD4" s="14"/>
      <c r="AE4" s="14"/>
      <c r="AF4" s="14"/>
      <c r="AG4" s="14"/>
    </row>
    <row r="5" spans="1:33" x14ac:dyDescent="0.3">
      <c r="A5" s="13"/>
      <c r="B5" s="45" t="s">
        <v>903</v>
      </c>
      <c r="C5" s="44">
        <f ca="1">IFERROR(INDEX(INDIRECT(C3&amp;"Table"),MATCH(C2,INDIRECT(C3&amp;"Table"&amp;"[Name]"),0),COLUMN(INDIRECT(C3&amp;"Table"&amp;"["&amp;B5&amp;"]"))),0)</f>
        <v>200</v>
      </c>
      <c r="D5" s="44">
        <f ca="1">IFERROR(INDEX(INDIRECT(D3&amp;"Table"),MATCH(D4,INDIRECT(D3&amp;"Table"&amp;"[Name]"),0),COLUMN(INDIRECT(D3&amp;"Table"&amp;"["&amp;B5&amp;"]"))),0)</f>
        <v>0</v>
      </c>
      <c r="E5" s="44">
        <f ca="1">IFERROR(INDEX(INDIRECT(E3&amp;"Table"),MATCH(E4,INDIRECT(E3&amp;"Table"&amp;"[Name]"),0),COLUMN(INDIRECT(E3&amp;"Table"&amp;"["&amp;B5&amp;"]"))),0)</f>
        <v>0</v>
      </c>
      <c r="F5" s="44">
        <f ca="1">IFERROR(INDEX(INDIRECT(F3&amp;"Table"),MATCH(F4,INDIRECT(F3&amp;"Table"&amp;"[Name]"),0),COLUMN(INDIRECT(F3&amp;"Table"&amp;"["&amp;B5&amp;"]"))),0)</f>
        <v>0</v>
      </c>
      <c r="G5" s="44">
        <f ca="1">IFERROR(INDEX(INDIRECT(G3&amp;"Table"),MATCH(G4,INDIRECT(G3&amp;"Table"&amp;"[Name]"),0),COLUMN(INDIRECT(G3&amp;"Table"&amp;"["&amp;B5&amp;"]"))),0)</f>
        <v>0</v>
      </c>
      <c r="H5" s="44">
        <f ca="1">IFERROR(INDEX(INDIRECT(G3&amp;"Table"),MATCH(G4,INDIRECT(G3&amp;"Table"&amp;"[Name]"),0),COLUMN(INDIRECT(G3&amp;"Table"&amp;"["&amp;B5&amp;"]"))),0)</f>
        <v>0</v>
      </c>
      <c r="I5" s="32"/>
      <c r="J5" s="55"/>
      <c r="K5" s="56" t="s">
        <v>10</v>
      </c>
      <c r="L5" s="71">
        <f ca="1">Z26*$Y$18+R5+Z28+Z29</f>
        <v>35570.182800794304</v>
      </c>
      <c r="M5" s="71"/>
      <c r="N5" s="71">
        <f t="shared" ref="N5:N6" ca="1" si="0">L5/$AC$7/$Y$18</f>
        <v>1520.0932820852267</v>
      </c>
      <c r="O5" s="71"/>
      <c r="P5" s="71">
        <f t="shared" ref="P5:P6" ca="1" si="1">N5*$Y$18</f>
        <v>1368.0839538767041</v>
      </c>
      <c r="Q5" s="71"/>
      <c r="R5" s="71">
        <f t="shared" ref="R5:R6" ca="1" si="2">(AB33+$AB$35+$AB$36)*$Y$18</f>
        <v>7923.4257627505995</v>
      </c>
      <c r="S5" s="37"/>
      <c r="T5" s="38"/>
      <c r="U5" s="38"/>
      <c r="V5" s="14"/>
      <c r="W5" s="61" t="s">
        <v>8</v>
      </c>
      <c r="X5" s="51">
        <f ca="1">IFERROR(INDEX(INDIRECT(F3&amp;"Coef"),MATCH(X4,INDIRECT(F3&amp;"Coef"&amp;"[Ammo]"),0),COLUMN(INDIRECT(F3&amp;"Coef"&amp;"["&amp;W5&amp;"]"))),0)</f>
        <v>0.8</v>
      </c>
      <c r="Y5" s="51">
        <f ca="1">IFERROR(INDEX(INDIRECT(G3&amp;"Coef"),MATCH(Y4,INDIRECT(G3&amp;"Coef"&amp;"[Ammo]"),0),COLUMN(INDIRECT(G3&amp;"Coef"&amp;"["&amp;W5&amp;"]"))),0)</f>
        <v>0.8</v>
      </c>
      <c r="Z5" s="51">
        <f ca="1">IFERROR(INDEX(INDIRECT(H3&amp;"Coef"),MATCH(Z4,INDIRECT(H3&amp;"Coef"&amp;"[Ammo]"),0),COLUMN(INDIRECT(H3&amp;"Coef"&amp;"["&amp;W5&amp;"]"))),0)</f>
        <v>1.2</v>
      </c>
      <c r="AA5" s="35"/>
      <c r="AB5" s="61" t="s">
        <v>900</v>
      </c>
      <c r="AC5" s="51">
        <f>IF(C2="Surcouf",18,6)</f>
        <v>6</v>
      </c>
      <c r="AD5" s="14"/>
      <c r="AE5" s="14"/>
      <c r="AF5" s="14"/>
      <c r="AG5" s="14"/>
    </row>
    <row r="6" spans="1:33" x14ac:dyDescent="0.3">
      <c r="A6" s="13"/>
      <c r="B6" s="45" t="s">
        <v>7</v>
      </c>
      <c r="C6" s="44">
        <f ca="1">IFERROR(INDEX(INDIRECT(C3&amp;"Table"),MATCH(C2,INDIRECT(C3&amp;"Table"&amp;"[Name]"),0),COLUMN(INDIRECT(C3&amp;"Table"&amp;"["&amp;B6&amp;"]"))),0)</f>
        <v>2165</v>
      </c>
      <c r="D6" s="44">
        <f ca="1">IFERROR(INDEX(INDIRECT(D3&amp;"Table"),MATCH(D4,INDIRECT(D3&amp;"Table"&amp;"[Name]"),0),COLUMN(INDIRECT(D3&amp;"Table"&amp;"["&amp;B6&amp;"]"))),0)</f>
        <v>0</v>
      </c>
      <c r="E6" s="44">
        <f ca="1">IFERROR(INDEX(INDIRECT(E3&amp;"Table"),MATCH(E4,INDIRECT(E3&amp;"Table"&amp;"[Name]"),0),COLUMN(INDIRECT(E3&amp;"Table"&amp;"["&amp;B6&amp;"]"))),0)</f>
        <v>0</v>
      </c>
      <c r="F6" s="44">
        <f ca="1">IFERROR(INDEX(INDIRECT(F3&amp;"Table"),MATCH(F4,INDIRECT(F3&amp;"Table"&amp;"[Name]"),0),COLUMN(INDIRECT(F3&amp;"Table"&amp;"["&amp;B6&amp;"]"))),0)</f>
        <v>0</v>
      </c>
      <c r="G6" s="44">
        <f ca="1">IFERROR(INDEX(INDIRECT(G3&amp;"Table"),MATCH(G4,INDIRECT(G3&amp;"Table"&amp;"[Name]"),0),COLUMN(INDIRECT(G3&amp;"Table"&amp;"["&amp;B6&amp;"]"))),0)</f>
        <v>0</v>
      </c>
      <c r="H6" s="44">
        <f ca="1">IFERROR(INDEX(INDIRECT(G3&amp;"Table"),MATCH(G4,INDIRECT(G3&amp;"Table"&amp;"[Name]"),0),COLUMN(INDIRECT(G3&amp;"Table"&amp;"["&amp;B6&amp;"]"))),0)</f>
        <v>0</v>
      </c>
      <c r="I6" s="32"/>
      <c r="J6" s="55"/>
      <c r="K6" s="56" t="s">
        <v>12</v>
      </c>
      <c r="L6" s="71">
        <f ca="1">Z27*$Y$18+R6+Z28+Z29</f>
        <v>46165.910787236775</v>
      </c>
      <c r="M6" s="71"/>
      <c r="N6" s="71">
        <f t="shared" ca="1" si="0"/>
        <v>1972.902170394734</v>
      </c>
      <c r="O6" s="71"/>
      <c r="P6" s="71">
        <f t="shared" ca="1" si="1"/>
        <v>1775.6119533552605</v>
      </c>
      <c r="Q6" s="71"/>
      <c r="R6" s="71">
        <f t="shared" ca="1" si="2"/>
        <v>10300.453491575779</v>
      </c>
      <c r="S6" s="37"/>
      <c r="T6" s="38"/>
      <c r="U6" s="38"/>
      <c r="V6" s="14"/>
      <c r="W6" s="61" t="s">
        <v>10</v>
      </c>
      <c r="X6" s="51">
        <f ca="1">IFERROR(INDEX(INDIRECT(F3&amp;"Coef"),MATCH(X4,INDIRECT(F3&amp;"Coef"&amp;"[Ammo]"),0),COLUMN(INDIRECT(F3&amp;"Coef"&amp;"["&amp;W6&amp;"]"))),0)</f>
        <v>1</v>
      </c>
      <c r="Y6" s="51">
        <f ca="1">IFERROR(INDEX(INDIRECT(G3&amp;"Coef"),MATCH(Y4,INDIRECT(G3&amp;"Coef"&amp;"[Ammo]"),0),COLUMN(INDIRECT(G3&amp;"Coef"&amp;"["&amp;W6&amp;"]"))),0)</f>
        <v>1</v>
      </c>
      <c r="Z6" s="51">
        <f ca="1">IFERROR(INDEX(INDIRECT(H3&amp;"Coef"),MATCH(Z4,INDIRECT(H3&amp;"Coef"&amp;"[Ammo]"),0),COLUMN(INDIRECT(H3&amp;"Coef"&amp;"["&amp;W6&amp;"]"))),0)</f>
        <v>0.6</v>
      </c>
      <c r="AA6" s="35"/>
      <c r="AB6" s="61" t="s">
        <v>905</v>
      </c>
      <c r="AC6" s="51">
        <f ca="1">G20/10</f>
        <v>20</v>
      </c>
      <c r="AD6" s="14"/>
      <c r="AE6" s="14"/>
      <c r="AF6" s="14"/>
      <c r="AG6" s="14"/>
    </row>
    <row r="7" spans="1:33" x14ac:dyDescent="0.3">
      <c r="A7" s="13"/>
      <c r="B7" s="45" t="s">
        <v>9</v>
      </c>
      <c r="C7" s="44">
        <f ca="1">IFERROR(INDEX(INDIRECT(C3&amp;"Table"),MATCH(C2,INDIRECT(C3&amp;"Table"&amp;"[Name]"),0),COLUMN(INDIRECT(C3&amp;"Table"&amp;"["&amp;B7&amp;"]"))),0)</f>
        <v>59</v>
      </c>
      <c r="D7" s="44">
        <f ca="1">IFERROR(INDEX(INDIRECT(D3&amp;"Table"),MATCH(D4,INDIRECT(D3&amp;"Table"&amp;"[Name]"),0),COLUMN(INDIRECT(D3&amp;"Table"&amp;"["&amp;B7&amp;"]"))),0)</f>
        <v>0</v>
      </c>
      <c r="E7" s="44">
        <f ca="1">IFERROR(INDEX(INDIRECT(E3&amp;"Table"),MATCH(E4,INDIRECT(E3&amp;"Table"&amp;"[Name]"),0),COLUMN(INDIRECT(E3&amp;"Table"&amp;"["&amp;B7&amp;"]"))),0)</f>
        <v>0</v>
      </c>
      <c r="F7" s="44">
        <f ca="1">IFERROR(INDEX(INDIRECT(F3&amp;"Table"),MATCH(F4,INDIRECT(F3&amp;"Table"&amp;"[Name]"),0),COLUMN(INDIRECT(F3&amp;"Table"&amp;"["&amp;B7&amp;"]"))),0)</f>
        <v>0</v>
      </c>
      <c r="G7" s="44">
        <f ca="1">IFERROR(INDEX(INDIRECT(G3&amp;"Table"),MATCH(G4,INDIRECT(G3&amp;"Table"&amp;"[Name]"),0),COLUMN(INDIRECT(G3&amp;"Table"&amp;"["&amp;B7&amp;"]"))),0)</f>
        <v>0</v>
      </c>
      <c r="H7" s="44">
        <f ca="1">IFERROR(INDEX(INDIRECT(H3&amp;"Table"),MATCH(H4,INDIRECT(H3&amp;"Table"&amp;"[Name]"),0),COLUMN(INDIRECT(H3&amp;"Table"&amp;"["&amp;B7&amp;"]"))),0)</f>
        <v>20</v>
      </c>
      <c r="I7" s="32"/>
      <c r="J7" s="37"/>
      <c r="K7" s="37"/>
      <c r="L7" s="37"/>
      <c r="M7" s="37"/>
      <c r="N7" s="37"/>
      <c r="O7" s="37"/>
      <c r="P7" s="37"/>
      <c r="Q7" s="37"/>
      <c r="R7" s="37"/>
      <c r="S7" s="37"/>
      <c r="T7" s="37"/>
      <c r="U7" s="38"/>
      <c r="V7" s="14"/>
      <c r="W7" s="61" t="s">
        <v>12</v>
      </c>
      <c r="X7" s="51">
        <f ca="1">IFERROR(INDEX(INDIRECT(F3&amp;"Coef"),MATCH(X4,INDIRECT(F3&amp;"Coef"&amp;"[Ammo]"),0),COLUMN(INDIRECT(F3&amp;"Coef"&amp;"["&amp;W7&amp;"]"))),0)</f>
        <v>1.3</v>
      </c>
      <c r="Y7" s="51">
        <f ca="1">IFERROR(INDEX(INDIRECT(G3&amp;"Coef"),MATCH(Y4,INDIRECT(G3&amp;"Coef"&amp;"[Ammo]"),0),COLUMN(INDIRECT(G3&amp;"Coef"&amp;"["&amp;W7&amp;"]"))),0)</f>
        <v>1.3</v>
      </c>
      <c r="Z7" s="51">
        <f ca="1">IFERROR(INDEX(INDIRECT(H3&amp;"Coef"),MATCH(Z4,INDIRECT(H3&amp;"Coef"&amp;"[Ammo]"),0),COLUMN(INDIRECT(H3&amp;"Coef"&amp;"["&amp;W7&amp;"]"))),0)</f>
        <v>0.6</v>
      </c>
      <c r="AA7" s="35"/>
      <c r="AB7" s="61" t="s">
        <v>906</v>
      </c>
      <c r="AC7" s="51">
        <f ca="1">AC5+AC6</f>
        <v>26</v>
      </c>
      <c r="AD7" s="14"/>
      <c r="AE7" s="14"/>
      <c r="AF7" s="14"/>
      <c r="AG7" s="14"/>
    </row>
    <row r="8" spans="1:33" x14ac:dyDescent="0.3">
      <c r="A8" s="13"/>
      <c r="B8" s="45" t="s">
        <v>11</v>
      </c>
      <c r="C8" s="44">
        <f ca="1">IFERROR(INDEX(INDIRECT(C3&amp;"Table"),MATCH(C2,INDIRECT(C3&amp;"Table"&amp;"[Name]"),0),COLUMN(INDIRECT(C3&amp;"Table"&amp;"["&amp;B8&amp;"]"))),0)</f>
        <v>549</v>
      </c>
      <c r="D8" s="44">
        <f ca="1">IFERROR(INDEX(INDIRECT(D3&amp;"Table"),MATCH(D4,INDIRECT(D3&amp;"Table"&amp;"[Name]"),0),COLUMN(INDIRECT(D3&amp;"Table"&amp;"["&amp;B8&amp;"]"))),0)</f>
        <v>100</v>
      </c>
      <c r="E8" s="44">
        <f ca="1">IFERROR(INDEX(INDIRECT(E3&amp;"Table"),MATCH(E4,INDIRECT(E3&amp;"Table"&amp;"[Name]"),0),COLUMN(INDIRECT(E3&amp;"Table"&amp;"["&amp;B8&amp;"]"))),0)</f>
        <v>100</v>
      </c>
      <c r="F8" s="44">
        <f ca="1">IFERROR(INDEX(INDIRECT(F3&amp;"Table"),MATCH(F4,INDIRECT(F3&amp;"Table"&amp;"[Name]"),0),COLUMN(INDIRECT(F3&amp;"Table"&amp;"["&amp;B8&amp;"]"))),0)</f>
        <v>45</v>
      </c>
      <c r="G8" s="44">
        <f ca="1">IFERROR(INDEX(INDIRECT(G3&amp;"Table"),MATCH(G4,INDIRECT(G3&amp;"Table"&amp;"[Name]"),0),COLUMN(INDIRECT(G3&amp;"Table"&amp;"["&amp;B8&amp;"]"))),0)</f>
        <v>45</v>
      </c>
      <c r="H8" s="44">
        <f ca="1">IFERROR(INDEX(INDIRECT(H3&amp;"Table"),MATCH(H4,INDIRECT(H3&amp;"Table"&amp;"[Name]"),0),COLUMN(INDIRECT(H3&amp;"Table"&amp;"["&amp;B8&amp;"]"))),0)</f>
        <v>0</v>
      </c>
      <c r="I8" s="32"/>
      <c r="J8" s="55" t="s">
        <v>30</v>
      </c>
      <c r="K8" s="56"/>
      <c r="L8" s="71">
        <f>J37</f>
        <v>0</v>
      </c>
      <c r="M8" s="37"/>
      <c r="N8" s="37"/>
      <c r="O8" s="37"/>
      <c r="P8" s="37"/>
      <c r="Q8" s="37"/>
      <c r="R8" s="37"/>
      <c r="S8" s="37"/>
      <c r="T8" s="37"/>
      <c r="U8" s="38"/>
      <c r="V8" s="14"/>
      <c r="W8" s="61" t="s">
        <v>899</v>
      </c>
      <c r="X8" s="51">
        <f ca="1">F18*L20+MIN(FLOOR((MAX(AC7-(F19*L22+(F18*L20*0.75)+(G18*L20*0.75)),0))/0.75,1),F18*L20)</f>
        <v>6</v>
      </c>
      <c r="Y8" s="51">
        <f ca="1">G18*L20+MIN(FLOOR((MAX(AC7-(G19*L22+(F18*L20*0.75)*2+(G18*L20*0.75)),0))/0.75,1),G18*L20)</f>
        <v>6</v>
      </c>
      <c r="Z8" s="51">
        <v>0</v>
      </c>
      <c r="AA8" s="35"/>
      <c r="AB8" s="35"/>
      <c r="AC8" s="35"/>
      <c r="AD8" s="14"/>
      <c r="AE8" s="14"/>
      <c r="AF8" s="14"/>
      <c r="AG8" s="14"/>
    </row>
    <row r="9" spans="1:33" x14ac:dyDescent="0.3">
      <c r="A9" s="13"/>
      <c r="B9" s="45" t="s">
        <v>265</v>
      </c>
      <c r="C9" s="44">
        <f ca="1">IFERROR(INDEX(INDIRECT(C3&amp;"Table"),MATCH(C2,INDIRECT(C3&amp;"Table"&amp;"[Name]"),0),COLUMN(INDIRECT(C3&amp;"Table"&amp;"["&amp;B9&amp;"]"))),0)</f>
        <v>0</v>
      </c>
      <c r="D9" s="44">
        <f ca="1">IFERROR(INDEX(INDIRECT(D3&amp;"Table"),MATCH(D4,INDIRECT(D3&amp;"Table"&amp;"[Name]"),0),COLUMN(INDIRECT(D3&amp;"Table"&amp;"["&amp;B9&amp;"]"))),0)</f>
        <v>0</v>
      </c>
      <c r="E9" s="44">
        <f ca="1">IFERROR(INDEX(INDIRECT(E3&amp;"Table"),MATCH(E4,INDIRECT(E3&amp;"Table"&amp;"[Name]"),0),COLUMN(INDIRECT(E3&amp;"Table"&amp;"["&amp;B9&amp;"]"))),0)</f>
        <v>0</v>
      </c>
      <c r="F9" s="44">
        <f ca="1">IFERROR(INDEX(INDIRECT(F3&amp;"Table"),MATCH(F4,INDIRECT(F3&amp;"Table"&amp;"[Name]"),0),COLUMN(INDIRECT(F3&amp;"Table"&amp;"["&amp;B9&amp;"]"))),0)</f>
        <v>0</v>
      </c>
      <c r="G9" s="44">
        <f ca="1">IFERROR(INDEX(INDIRECT(G3&amp;"Table"),MATCH(G4,INDIRECT(G3&amp;"Table"&amp;"[Name]"),0),COLUMN(INDIRECT(G3&amp;"Table"&amp;"["&amp;B9&amp;"]"))),0)</f>
        <v>0</v>
      </c>
      <c r="H9" s="44">
        <f ca="1">IFERROR(INDEX(INDIRECT(H3&amp;"Table"),MATCH(H4,INDIRECT(H3&amp;"Table"&amp;"[Name]"),0),COLUMN(INDIRECT(H3&amp;"Table"&amp;"["&amp;B9&amp;"]"))),0)</f>
        <v>25</v>
      </c>
      <c r="I9" s="32"/>
      <c r="J9" s="55" t="s">
        <v>861</v>
      </c>
      <c r="K9" s="56"/>
      <c r="L9" s="71">
        <f>J39</f>
        <v>0</v>
      </c>
      <c r="M9" s="37"/>
      <c r="N9" s="55" t="s">
        <v>908</v>
      </c>
      <c r="O9" s="42"/>
      <c r="P9" s="71">
        <f ca="1">F19*L22</f>
        <v>22.948943330794123</v>
      </c>
      <c r="Q9" s="63"/>
      <c r="R9" s="51" t="str">
        <f>F4</f>
        <v>Mark 16 Torpedo</v>
      </c>
      <c r="S9" s="51"/>
      <c r="T9" s="51"/>
      <c r="U9" s="38"/>
      <c r="V9" s="14"/>
      <c r="W9" s="61"/>
      <c r="X9" s="51"/>
      <c r="Y9" s="51"/>
      <c r="Z9" s="51"/>
      <c r="AA9" s="35"/>
      <c r="AB9" s="53"/>
      <c r="AC9" s="35"/>
      <c r="AD9" s="14"/>
      <c r="AE9" s="14"/>
      <c r="AF9" s="14"/>
      <c r="AG9" s="14"/>
    </row>
    <row r="10" spans="1:33" x14ac:dyDescent="0.3">
      <c r="A10" s="13"/>
      <c r="B10" s="45" t="s">
        <v>14</v>
      </c>
      <c r="C10" s="44">
        <f ca="1">IFERROR(INDEX(INDIRECT(C3&amp;"Table"),MATCH(C2,INDIRECT(C3&amp;"Table"&amp;"[Name]"),0),COLUMN(INDIRECT(C3&amp;"Table"&amp;"["&amp;B10&amp;"]"))),0)</f>
        <v>110</v>
      </c>
      <c r="D10" s="44">
        <f ca="1">IFERROR(INDEX(INDIRECT(D3&amp;"Table"),MATCH(D4,INDIRECT(D3&amp;"Table"&amp;"[Name]"),0),COLUMN(INDIRECT(D3&amp;"Table"&amp;"["&amp;B10&amp;"]"))),0)</f>
        <v>10</v>
      </c>
      <c r="E10" s="44">
        <f ca="1">IFERROR(INDEX(INDIRECT(E3&amp;"Table"),MATCH(E4,INDIRECT(E3&amp;"Table"&amp;"[Name]"),0),COLUMN(INDIRECT(E3&amp;"Table"&amp;"["&amp;B10&amp;"]"))),0)</f>
        <v>10</v>
      </c>
      <c r="F10" s="44">
        <f ca="1">IFERROR(INDEX(INDIRECT(F3&amp;"Table"),MATCH(F4,INDIRECT(F3&amp;"Table"&amp;"[Name]"),0),COLUMN(INDIRECT(F3&amp;"Table"&amp;"["&amp;B10&amp;"]"))),0)</f>
        <v>0</v>
      </c>
      <c r="G10" s="44">
        <f ca="1">IFERROR(INDEX(INDIRECT(G3&amp;"Table"),MATCH(G4,INDIRECT(G3&amp;"Table"&amp;"[Name]"),0),COLUMN(INDIRECT(G3&amp;"Table"&amp;"["&amp;B10&amp;"]"))),0)</f>
        <v>0</v>
      </c>
      <c r="H10" s="44">
        <f ca="1">IFERROR(INDEX(INDIRECT(H3&amp;"Table"),MATCH(H4,INDIRECT(H3&amp;"Table"&amp;"[Name]"),0),COLUMN(INDIRECT(H3&amp;"Table"&amp;"["&amp;B10&amp;"]"))),0)</f>
        <v>0</v>
      </c>
      <c r="I10" s="32"/>
      <c r="J10" s="55" t="s">
        <v>862</v>
      </c>
      <c r="K10" s="56"/>
      <c r="L10" s="71">
        <f>M32</f>
        <v>0</v>
      </c>
      <c r="M10" s="37"/>
      <c r="N10" s="55" t="s">
        <v>909</v>
      </c>
      <c r="O10" s="41"/>
      <c r="P10" s="71">
        <f ca="1">G19*L22</f>
        <v>22.948943330794123</v>
      </c>
      <c r="Q10" s="63"/>
      <c r="R10" s="51" t="str">
        <f>G4</f>
        <v>Mark 16 Torpedo</v>
      </c>
      <c r="S10" s="51"/>
      <c r="T10" s="51" t="str">
        <f>D4</f>
        <v>Type 93 Rainbow</v>
      </c>
      <c r="U10" s="38"/>
      <c r="V10" s="14"/>
      <c r="W10" s="61" t="s">
        <v>917</v>
      </c>
      <c r="X10" s="51"/>
      <c r="Y10" s="52">
        <f ca="1">1+(0.05+((SUM(C16:H16)*P16)/(SUM(C16:H16)*P16+2000+T16))+((SUM(C15:H15)-T14)/5000)+Y13)*(L16+Y12+L17)</f>
        <v>1.0660705069124423</v>
      </c>
      <c r="Z10" s="51"/>
      <c r="AA10" s="53"/>
      <c r="AB10" s="35"/>
      <c r="AC10" s="35"/>
      <c r="AD10" s="14"/>
      <c r="AE10" s="14"/>
      <c r="AF10" s="14"/>
      <c r="AG10" s="14"/>
    </row>
    <row r="11" spans="1:33" x14ac:dyDescent="0.3">
      <c r="A11" s="13"/>
      <c r="B11" s="45" t="s">
        <v>53</v>
      </c>
      <c r="C11" s="44">
        <f ca="1">IFERROR(INDEX(INDIRECT(C3&amp;"Table"),MATCH(C2,INDIRECT(C3&amp;"Table"&amp;"[Name]"),0),COLUMN(INDIRECT(C3&amp;"Table"&amp;"["&amp;B11&amp;"]"))),0)</f>
        <v>1.35</v>
      </c>
      <c r="D11" s="44">
        <f ca="1">IFERROR(INDEX(INDIRECT(D3&amp;"Table"),MATCH(D4,INDIRECT(D3&amp;"Table"&amp;"[Name]"),0),COLUMN(INDIRECT(D3&amp;"Table"&amp;"["&amp;B11&amp;"]"))),0)</f>
        <v>0</v>
      </c>
      <c r="E11" s="44">
        <f ca="1">IFERROR(INDEX(INDIRECT(E3&amp;"Table"),MATCH(E4,INDIRECT(E3&amp;"Table"&amp;"[Name]"),0),COLUMN(INDIRECT(E3&amp;"Table"&amp;"["&amp;B11&amp;"]"))),0)</f>
        <v>0</v>
      </c>
      <c r="F11" s="44">
        <f ca="1">IFERROR(INDEX(INDIRECT(F3&amp;"Table"),MATCH(F4,INDIRECT(F3&amp;"Table"&amp;"[Name]"),0),COLUMN(INDIRECT(F3&amp;"Table"&amp;"["&amp;B11&amp;"]"))),0)</f>
        <v>0</v>
      </c>
      <c r="G11" s="44">
        <f ca="1">IFERROR(INDEX(INDIRECT(G3&amp;"Table"),MATCH(G4,INDIRECT(G3&amp;"Table"&amp;"[Name]"),0),COLUMN(INDIRECT(G3&amp;"Table"&amp;"["&amp;B11&amp;"]"))),0)</f>
        <v>0</v>
      </c>
      <c r="H11" s="44">
        <f ca="1">IFERROR(INDEX(INDIRECT(H3&amp;"Table"),MATCH(H4,INDIRECT(H3&amp;"Table"&amp;"[Name]"),0),COLUMN(INDIRECT(H3&amp;"Table"&amp;"["&amp;B11&amp;"]"))),0)</f>
        <v>1.1000000000000001</v>
      </c>
      <c r="I11" s="32"/>
      <c r="J11" s="55" t="s">
        <v>914</v>
      </c>
      <c r="K11" s="56"/>
      <c r="L11" s="71">
        <f ca="1">AC7</f>
        <v>26</v>
      </c>
      <c r="M11" s="37"/>
      <c r="N11" s="55" t="s">
        <v>911</v>
      </c>
      <c r="O11" s="41"/>
      <c r="P11" s="71">
        <f ca="1">H19*L22</f>
        <v>1.4267323566076802</v>
      </c>
      <c r="Q11" s="63"/>
      <c r="R11" s="51" t="str">
        <f>H4</f>
        <v>2x127mm (Mk 12)</v>
      </c>
      <c r="S11" s="51"/>
      <c r="T11" s="51" t="str">
        <f>E4</f>
        <v>Type 93 Rainbow</v>
      </c>
      <c r="U11" s="38"/>
      <c r="V11" s="14"/>
      <c r="W11" s="61" t="s">
        <v>852</v>
      </c>
      <c r="X11" s="51"/>
      <c r="Y11" s="52">
        <f ca="1">1+(0.05+((SUM(C16:H16)*P16)/(SUM(C16:H16)*P16+2000+T16))+((SUM(C15:H15)-T14)/5000)+Y13)*(L16+Y12+L18)</f>
        <v>1.0660705069124423</v>
      </c>
      <c r="Z11" s="51"/>
      <c r="AA11" s="53"/>
      <c r="AB11" s="35"/>
      <c r="AC11" s="35"/>
      <c r="AD11" s="14"/>
      <c r="AE11" s="14"/>
      <c r="AF11" s="14"/>
      <c r="AG11" s="14"/>
    </row>
    <row r="12" spans="1:33" x14ac:dyDescent="0.3">
      <c r="A12" s="13"/>
      <c r="B12" s="45" t="s">
        <v>668</v>
      </c>
      <c r="C12" s="44">
        <f ca="1">IFERROR(INDEX(INDIRECT(C3&amp;"Table"),MATCH(C2,INDIRECT(C3&amp;"Table"&amp;"[Name]"),0),COLUMN(INDIRECT(C3&amp;"Table"&amp;"["&amp;B12&amp;"]"))),0)</f>
        <v>1.1499999999999999</v>
      </c>
      <c r="D12" s="44">
        <f ca="1">IFERROR(INDEX(INDIRECT(D3&amp;"Table"),MATCH(D4,INDIRECT(D3&amp;"Table"&amp;"[Name]"),0),COLUMN(INDIRECT(D3&amp;"Table"&amp;"["&amp;B12&amp;"]"))),0)</f>
        <v>0</v>
      </c>
      <c r="E12" s="44">
        <f ca="1">IFERROR(INDEX(INDIRECT(E3&amp;"Table"),MATCH(E4,INDIRECT(E3&amp;"Table"&amp;"[Name]"),0),COLUMN(INDIRECT(E3&amp;"Table"&amp;"["&amp;B12&amp;"]"))),0)</f>
        <v>0</v>
      </c>
      <c r="F12" s="44">
        <f ca="1">IFERROR(INDEX(INDIRECT(F3&amp;"Table"),MATCH(F4,INDIRECT(F3&amp;"Table"&amp;"[Name]"),0),COLUMN(INDIRECT(F3&amp;"Table"&amp;"["&amp;B12&amp;"]"))),0)</f>
        <v>0</v>
      </c>
      <c r="G12" s="44">
        <f ca="1">IFERROR(INDEX(INDIRECT(G3&amp;"Table"),MATCH(G4,INDIRECT(G3&amp;"Table"&amp;"[Name]"),0),COLUMN(INDIRECT(G3&amp;"Table"&amp;"["&amp;B12&amp;"]"))),0)</f>
        <v>0</v>
      </c>
      <c r="H12" s="44">
        <f ca="1">IFERROR(INDEX(INDIRECT(H3&amp;"Table"),MATCH(H4,INDIRECT(H3&amp;"Table"&amp;"[Name]"),0),COLUMN(INDIRECT(H3&amp;"Table"&amp;"["&amp;B12&amp;"]"))),0)</f>
        <v>0</v>
      </c>
      <c r="I12" s="32"/>
      <c r="J12" s="5"/>
      <c r="K12" s="5"/>
      <c r="L12" s="5"/>
      <c r="M12" s="5"/>
      <c r="N12" s="5"/>
      <c r="O12" s="5"/>
      <c r="P12" s="5"/>
      <c r="Q12" s="5"/>
      <c r="R12" s="5"/>
      <c r="S12" s="5"/>
      <c r="T12" s="5"/>
      <c r="U12" s="5"/>
      <c r="V12" s="14"/>
      <c r="W12" s="61" t="s">
        <v>315</v>
      </c>
      <c r="X12" s="51"/>
      <c r="Y12" s="51">
        <f ca="1">IFERROR(INDEX(INDIRECT(D3&amp;"Table"),MATCH(D4,INDIRECT(D3&amp;"Table"&amp;"[Name]"),0),COLUMN(INDIRECT(D3&amp;"Table"&amp;"[CritDamage]"))),0)+IFERROR(INDEX(INDIRECT(E3&amp;"Table"),MATCH(E4,INDIRECT(E3&amp;"Table"&amp;"[Name]"),0),COLUMN(INDIRECT(E3&amp;"Table"&amp;"[CritDamage]"))),0)</f>
        <v>0</v>
      </c>
      <c r="Z12" s="51"/>
      <c r="AA12" s="53"/>
      <c r="AB12" s="35"/>
      <c r="AC12" s="35"/>
      <c r="AD12" s="14"/>
      <c r="AE12" s="14"/>
      <c r="AF12" s="14"/>
      <c r="AG12" s="14"/>
    </row>
    <row r="13" spans="1:33" x14ac:dyDescent="0.3">
      <c r="A13" s="13"/>
      <c r="B13" s="45" t="s">
        <v>733</v>
      </c>
      <c r="C13" s="44">
        <f ca="1">IFERROR(INDEX(INDIRECT(C3&amp;"Table"),MATCH(C2,INDIRECT(C3&amp;"Table"&amp;"[Name]"),0),COLUMN(INDIRECT(C3&amp;"Table"&amp;"["&amp;B13&amp;"]"))),0)</f>
        <v>0.8</v>
      </c>
      <c r="D13" s="44">
        <v>0</v>
      </c>
      <c r="E13" s="44">
        <v>0</v>
      </c>
      <c r="F13" s="44">
        <v>0</v>
      </c>
      <c r="G13" s="44">
        <v>0</v>
      </c>
      <c r="H13" s="44">
        <v>0</v>
      </c>
      <c r="I13" s="64"/>
      <c r="J13" s="192" t="s">
        <v>270</v>
      </c>
      <c r="K13" s="192"/>
      <c r="L13" s="192"/>
      <c r="M13" s="192"/>
      <c r="N13" s="192"/>
      <c r="O13" s="192"/>
      <c r="P13" s="192"/>
      <c r="Q13" s="192"/>
      <c r="R13" s="192"/>
      <c r="S13" s="192"/>
      <c r="T13" s="192"/>
      <c r="U13" s="192"/>
      <c r="V13" s="5"/>
      <c r="W13" s="61" t="s">
        <v>313</v>
      </c>
      <c r="X13" s="51"/>
      <c r="Y13" s="52">
        <f ca="1">IFERROR(INDEX(INDIRECT(D3&amp;"Table"),MATCH(D4,INDIRECT(D3&amp;"Table"&amp;"[Name]"),0),COLUMN(INDIRECT(D3&amp;"Table"&amp;"[Crit%]"))),0)+IFERROR(INDEX(INDIRECT(E3&amp;"Table"),MATCH(E4,INDIRECT(E3&amp;"Table"&amp;"[Name]"),0),COLUMN(INDIRECT(E3&amp;"Table"&amp;"[Crit%]"))),0)</f>
        <v>0</v>
      </c>
      <c r="Z13" s="51"/>
      <c r="AA13" s="53"/>
      <c r="AB13" s="35"/>
      <c r="AC13" s="35"/>
      <c r="AD13" s="14"/>
      <c r="AE13" s="14"/>
      <c r="AF13" s="14"/>
      <c r="AG13" s="14"/>
    </row>
    <row r="14" spans="1:33" x14ac:dyDescent="0.3">
      <c r="A14" s="13"/>
      <c r="B14" s="45" t="s">
        <v>294</v>
      </c>
      <c r="C14" s="44">
        <f ca="1">IFERROR(INDEX(INDIRECT(C3&amp;"Table"),MATCH(C2,INDIRECT(C3&amp;"Table"&amp;"[Name]"),0),COLUMN(INDIRECT(C3&amp;"Table"&amp;"["&amp;B14&amp;"]"))),0)</f>
        <v>45</v>
      </c>
      <c r="D14" s="44">
        <f ca="1">IFERROR(INDEX(INDIRECT(D3&amp;"Table"),MATCH(D4,INDIRECT(D3&amp;"Table"&amp;"[Name]"),0),COLUMN(INDIRECT(D3&amp;"Table"&amp;"["&amp;B14&amp;"]"))),0)</f>
        <v>0</v>
      </c>
      <c r="E14" s="44">
        <f ca="1">IFERROR(INDEX(INDIRECT(E3&amp;"Table"),MATCH(E4,INDIRECT(E3&amp;"Table"&amp;"[Name]"),0),COLUMN(INDIRECT(E3&amp;"Table"&amp;"["&amp;B14&amp;"]"))),0)</f>
        <v>0</v>
      </c>
      <c r="F14" s="44">
        <f ca="1">IFERROR(INDEX(INDIRECT(F3&amp;"Table"),MATCH(F4,INDIRECT(F3&amp;"Table"&amp;"[Name]"),0),COLUMN(INDIRECT(F3&amp;"Table"&amp;"["&amp;B14&amp;"]"))),0)</f>
        <v>0</v>
      </c>
      <c r="G14" s="44">
        <f ca="1">IFERROR(INDEX(INDIRECT(G3&amp;"Table"),MATCH(G4,INDIRECT(G3&amp;"Table"&amp;"[Name]"),0),COLUMN(INDIRECT(G3&amp;"Table"&amp;"["&amp;B14&amp;"]"))),0)</f>
        <v>0</v>
      </c>
      <c r="H14" s="44">
        <f ca="1">IFERROR(INDEX(INDIRECT(H3&amp;"Table"),MATCH(H4,INDIRECT(H3&amp;"Table"&amp;"[Name]"),0),COLUMN(INDIRECT(H3&amp;"Table"&amp;"["&amp;B14&amp;"]"))),0)</f>
        <v>0</v>
      </c>
      <c r="I14" s="32"/>
      <c r="J14" s="57" t="s">
        <v>318</v>
      </c>
      <c r="K14" s="47"/>
      <c r="L14" s="38">
        <v>0</v>
      </c>
      <c r="M14" s="37"/>
      <c r="N14" s="58" t="s">
        <v>847</v>
      </c>
      <c r="O14" s="12"/>
      <c r="P14" s="38">
        <v>1</v>
      </c>
      <c r="Q14" s="37"/>
      <c r="R14" s="58" t="s">
        <v>5</v>
      </c>
      <c r="S14" s="58"/>
      <c r="T14" s="38">
        <v>0</v>
      </c>
      <c r="U14" s="37"/>
      <c r="V14" s="5"/>
      <c r="W14" s="61"/>
      <c r="X14" s="51"/>
      <c r="Y14" s="51"/>
      <c r="Z14" s="51"/>
      <c r="AA14" s="35"/>
      <c r="AB14" s="35"/>
      <c r="AC14" s="35"/>
      <c r="AD14" s="14"/>
      <c r="AE14" s="14"/>
      <c r="AF14" s="14"/>
      <c r="AG14" s="14"/>
    </row>
    <row r="15" spans="1:33" x14ac:dyDescent="0.3">
      <c r="A15" s="13"/>
      <c r="B15" s="45" t="s">
        <v>17</v>
      </c>
      <c r="C15" s="44">
        <f ca="1">IFERROR(INDEX(INDIRECT(C3&amp;"Table"),MATCH(C2,INDIRECT(C3&amp;"Table"&amp;"[Name]"),0),COLUMN(INDIRECT(C3&amp;"Table"&amp;"["&amp;B15&amp;"]"))),0)</f>
        <v>19</v>
      </c>
      <c r="D15" s="44">
        <f ca="1">IFERROR(INDEX(INDIRECT(D3&amp;"Table"),MATCH(D4,INDIRECT(D3&amp;"Table"&amp;"[Name]"),0),COLUMN(INDIRECT(D3&amp;"Table"&amp;"["&amp;B15&amp;"]"))),0)</f>
        <v>0</v>
      </c>
      <c r="E15" s="44">
        <f ca="1">IFERROR(INDEX(INDIRECT(E3&amp;"Table"),MATCH(E4,INDIRECT(E3&amp;"Table"&amp;"[Name]"),0),COLUMN(INDIRECT(E3&amp;"Table"&amp;"["&amp;B15&amp;"]"))),0)</f>
        <v>0</v>
      </c>
      <c r="F15" s="44">
        <f ca="1">IFERROR(INDEX(INDIRECT(F3&amp;"Table"),MATCH(F4,INDIRECT(F3&amp;"Table"&amp;"[Name]"),0),COLUMN(INDIRECT(F3&amp;"Table"&amp;"["&amp;B15&amp;"]"))),0)</f>
        <v>0</v>
      </c>
      <c r="G15" s="44">
        <f ca="1">IFERROR(INDEX(INDIRECT(G3&amp;"Table"),MATCH(G4,INDIRECT(G3&amp;"Table"&amp;"[Name]"),0),COLUMN(INDIRECT(G3&amp;"Table"&amp;"["&amp;B15&amp;"]"))),0)</f>
        <v>0</v>
      </c>
      <c r="H15" s="44">
        <f ca="1">IFERROR(INDEX(INDIRECT(H3&amp;"Table"),MATCH(H4,INDIRECT(H3&amp;"Table"&amp;"[Name]"),0),COLUMN(INDIRECT(H3&amp;"Table"&amp;"["&amp;B15&amp;"]"))),0)</f>
        <v>0</v>
      </c>
      <c r="I15" s="32"/>
      <c r="J15" s="57" t="s">
        <v>319</v>
      </c>
      <c r="K15" s="47"/>
      <c r="L15" s="38">
        <v>0</v>
      </c>
      <c r="M15" s="37"/>
      <c r="N15" s="58" t="s">
        <v>846</v>
      </c>
      <c r="O15" s="13"/>
      <c r="P15" s="38">
        <v>1</v>
      </c>
      <c r="Q15" s="37"/>
      <c r="R15" s="58" t="s">
        <v>57</v>
      </c>
      <c r="S15" s="58"/>
      <c r="T15" s="38">
        <v>0</v>
      </c>
      <c r="U15" s="37"/>
      <c r="V15" s="5"/>
      <c r="W15" s="61" t="s">
        <v>31</v>
      </c>
      <c r="X15" s="51"/>
      <c r="Y15" s="51">
        <f ca="1">SUM(C6:H6)</f>
        <v>2165</v>
      </c>
      <c r="Z15" s="51"/>
      <c r="AA15" s="53"/>
      <c r="AB15" s="35"/>
      <c r="AC15" s="35"/>
      <c r="AD15" s="14"/>
      <c r="AE15" s="14"/>
      <c r="AF15" s="14"/>
      <c r="AG15" s="14"/>
    </row>
    <row r="16" spans="1:33" x14ac:dyDescent="0.3">
      <c r="A16" s="13"/>
      <c r="B16" s="45" t="s">
        <v>6</v>
      </c>
      <c r="C16" s="44">
        <f ca="1">IFERROR(INDEX(INDIRECT(C3&amp;"Table"),MATCH(C2,INDIRECT(C3&amp;"Table"&amp;"[Name]"),0),COLUMN(INDIRECT(C3&amp;"Table"&amp;"["&amp;B16&amp;"]"))),0)</f>
        <v>170</v>
      </c>
      <c r="D16" s="44">
        <f ca="1">IFERROR(INDEX(INDIRECT(D3&amp;"Table"),MATCH(D4,INDIRECT(D3&amp;"Table"&amp;"[Name]"),0),COLUMN(INDIRECT(D3&amp;"Table"&amp;"["&amp;B16&amp;"]"))),0)</f>
        <v>0</v>
      </c>
      <c r="E16" s="44">
        <f ca="1">IFERROR(INDEX(INDIRECT(E3&amp;"Table"),MATCH(E4,INDIRECT(E3&amp;"Table"&amp;"[Name]"),0),COLUMN(INDIRECT(E3&amp;"Table"&amp;"["&amp;B16&amp;"]"))),0)</f>
        <v>0</v>
      </c>
      <c r="F16" s="44">
        <f ca="1">IFERROR(INDEX(INDIRECT(F3&amp;"Table"),MATCH(F4,INDIRECT(F3&amp;"Table"&amp;"[Name]"),0),COLUMN(INDIRECT(F3&amp;"Table"&amp;"["&amp;B16&amp;"]"))),0)</f>
        <v>0</v>
      </c>
      <c r="G16" s="44">
        <f ca="1">IFERROR(INDEX(INDIRECT(G3&amp;"Table"),MATCH(G4,INDIRECT(G3&amp;"Table"&amp;"[Name]"),0),COLUMN(INDIRECT(G3&amp;"Table"&amp;"["&amp;B16&amp;"]"))),0)</f>
        <v>0</v>
      </c>
      <c r="H16" s="44">
        <f ca="1">IFERROR(INDEX(INDIRECT(H3&amp;"Table"),MATCH(H4,INDIRECT(H3&amp;"Table"&amp;"[Name]"),0),COLUMN(INDIRECT(H3&amp;"Table"&amp;"["&amp;B16&amp;"]"))),0)</f>
        <v>0</v>
      </c>
      <c r="I16" s="32"/>
      <c r="J16" s="57" t="s">
        <v>60</v>
      </c>
      <c r="K16" s="47"/>
      <c r="L16" s="38">
        <v>0.5</v>
      </c>
      <c r="M16" s="37"/>
      <c r="N16" s="58" t="s">
        <v>845</v>
      </c>
      <c r="O16" s="81"/>
      <c r="P16" s="38">
        <v>1</v>
      </c>
      <c r="Q16" s="37"/>
      <c r="R16" s="58" t="s">
        <v>58</v>
      </c>
      <c r="S16" s="58"/>
      <c r="T16" s="38">
        <v>0</v>
      </c>
      <c r="U16" s="37"/>
      <c r="V16" s="5"/>
      <c r="W16" s="61" t="s">
        <v>33</v>
      </c>
      <c r="X16" s="51"/>
      <c r="Y16" s="51">
        <f ca="1">Y15/(Y20*(1-T19))</f>
        <v>21650</v>
      </c>
      <c r="Z16" s="51"/>
      <c r="AA16" s="35"/>
      <c r="AB16" s="35"/>
      <c r="AC16" s="35"/>
      <c r="AD16" s="14"/>
      <c r="AE16" s="14"/>
      <c r="AF16" s="14"/>
      <c r="AG16" s="14"/>
    </row>
    <row r="17" spans="1:33" x14ac:dyDescent="0.3">
      <c r="A17" s="13"/>
      <c r="B17" s="45" t="s">
        <v>21</v>
      </c>
      <c r="C17" s="44">
        <v>0</v>
      </c>
      <c r="D17" s="44">
        <f ca="1">IFERROR(INDEX(INDIRECT(D3&amp;"Table"),MATCH(D4,INDIRECT(D3&amp;"Table"&amp;"[Name]"),0),COLUMN(INDIRECT(D3&amp;"Table"&amp;"["&amp;B17&amp;"]"))),0)</f>
        <v>0</v>
      </c>
      <c r="E17" s="44">
        <f ca="1">IFERROR(INDEX(INDIRECT(E3&amp;"Table"),MATCH(E4,INDIRECT(E3&amp;"Table"&amp;"[Name]"),0),COLUMN(INDIRECT(E3&amp;"Table"&amp;"["&amp;B17&amp;"]"))),0)</f>
        <v>0</v>
      </c>
      <c r="F17" s="44">
        <f ca="1">IFERROR(INDEX(INDIRECT(F3&amp;"Table"),MATCH(F4,INDIRECT(F3&amp;"Table"&amp;"[Name]"),0),COLUMN(INDIRECT(F3&amp;"Table"&amp;"["&amp;B17&amp;"]"))),0)</f>
        <v>181</v>
      </c>
      <c r="G17" s="44">
        <f ca="1">IFERROR(INDEX(INDIRECT(G3&amp;"Table"),MATCH(G4,INDIRECT(G3&amp;"Table"&amp;"[Name]"),0),COLUMN(INDIRECT(G3&amp;"Table"&amp;"["&amp;B17&amp;"]"))),0)</f>
        <v>181</v>
      </c>
      <c r="H17" s="44">
        <f ca="1">IFERROR(INDEX(INDIRECT(H3&amp;"Table"),MATCH(H4,INDIRECT(H3&amp;"Table"&amp;"[Name]"),0),COLUMN(INDIRECT(H3&amp;"Table"&amp;"["&amp;B17&amp;"]"))),0)</f>
        <v>15</v>
      </c>
      <c r="I17" s="32"/>
      <c r="J17" s="57" t="s">
        <v>915</v>
      </c>
      <c r="K17" s="47"/>
      <c r="L17" s="38">
        <v>0</v>
      </c>
      <c r="M17" s="37"/>
      <c r="N17" s="58" t="s">
        <v>844</v>
      </c>
      <c r="O17" s="81"/>
      <c r="P17" s="38">
        <v>1</v>
      </c>
      <c r="Q17" s="37"/>
      <c r="R17" s="58" t="s">
        <v>32</v>
      </c>
      <c r="S17" s="58"/>
      <c r="T17" s="38">
        <v>0</v>
      </c>
      <c r="U17" s="37"/>
      <c r="V17" s="5"/>
      <c r="W17" s="61" t="s">
        <v>36</v>
      </c>
      <c r="X17" s="51"/>
      <c r="Y17" s="52">
        <f ca="1">0.1+(SUM(C16:H16)/(SUM(C16:H16)+2+T16))+((SUM(C15:H15)-T14)/1000)</f>
        <v>1.1073720930232558</v>
      </c>
      <c r="Z17" s="51"/>
      <c r="AA17" s="35"/>
      <c r="AB17" s="35"/>
      <c r="AC17" s="35"/>
      <c r="AD17" s="14"/>
      <c r="AE17" s="14"/>
      <c r="AF17" s="14"/>
      <c r="AG17" s="14"/>
    </row>
    <row r="18" spans="1:33" x14ac:dyDescent="0.3">
      <c r="A18" s="13"/>
      <c r="B18" s="45" t="s">
        <v>22</v>
      </c>
      <c r="C18" s="44">
        <v>0</v>
      </c>
      <c r="D18" s="80">
        <f ca="1">IFERROR(INDEX(INDIRECT(D3&amp;"Table"),MATCH(D4,INDIRECT(D3&amp;"Table"&amp;"[Name]"),0),COLUMN(INDIRECT(D3&amp;"Table"&amp;"["&amp;B18&amp;"]"))),0)</f>
        <v>0</v>
      </c>
      <c r="E18" s="80">
        <f ca="1">IFERROR(INDEX(INDIRECT(E3&amp;"Table"),MATCH(E4,INDIRECT(E3&amp;"Table"&amp;"[Name]"),0),COLUMN(INDIRECT(E3&amp;"Table"&amp;"["&amp;B18&amp;"]"))),0)</f>
        <v>0</v>
      </c>
      <c r="F18" s="39">
        <f ca="1">IFERROR(INDEX(INDIRECT(F3&amp;"Table"),MATCH(F4,INDIRECT(F3&amp;"Table"&amp;"[Name]"),0),COLUMN(INDIRECT(F3&amp;"Table"&amp;"["&amp;B18&amp;"]"))),0)</f>
        <v>3</v>
      </c>
      <c r="G18" s="44">
        <f ca="1">IFERROR(INDEX(INDIRECT(G3&amp;"Table"),MATCH(G4,INDIRECT(G3&amp;"Table"&amp;"[Name]"),0),COLUMN(INDIRECT(G3&amp;"Table"&amp;"["&amp;B18&amp;"]"))),0)</f>
        <v>3</v>
      </c>
      <c r="H18" s="44">
        <f ca="1">IFERROR(INDEX(INDIRECT(H3&amp;"Table"),MATCH(H4,INDIRECT(H3&amp;"Table"&amp;"[Name]"),0),COLUMN(INDIRECT(H3&amp;"Table"&amp;"["&amp;B18&amp;"]"))),0)</f>
        <v>4</v>
      </c>
      <c r="I18" s="32"/>
      <c r="J18" s="57" t="s">
        <v>818</v>
      </c>
      <c r="K18" s="47"/>
      <c r="L18" s="38">
        <v>0</v>
      </c>
      <c r="M18" s="37"/>
      <c r="N18" s="58" t="s">
        <v>878</v>
      </c>
      <c r="O18" s="12"/>
      <c r="P18" s="38">
        <v>1.1200000000000001</v>
      </c>
      <c r="Q18" s="37"/>
      <c r="R18" s="58" t="s">
        <v>34</v>
      </c>
      <c r="S18" s="58"/>
      <c r="T18" s="38">
        <v>1</v>
      </c>
      <c r="U18" s="37"/>
      <c r="V18" s="5"/>
      <c r="W18" s="61" t="s">
        <v>51</v>
      </c>
      <c r="X18" s="51"/>
      <c r="Y18" s="52">
        <f ca="1">IF(Y17&lt;=0.1, 0.1, IF(Y17&gt;=0.9, 0.9, Y17))</f>
        <v>0.9</v>
      </c>
      <c r="Z18" s="51"/>
      <c r="AA18" s="35"/>
      <c r="AB18" s="35"/>
      <c r="AC18" s="35"/>
      <c r="AD18" s="14"/>
      <c r="AE18" s="14"/>
      <c r="AF18" s="14"/>
      <c r="AG18" s="14"/>
    </row>
    <row r="19" spans="1:33" x14ac:dyDescent="0.3">
      <c r="A19" s="13"/>
      <c r="B19" s="45" t="s">
        <v>266</v>
      </c>
      <c r="C19" s="44">
        <v>0</v>
      </c>
      <c r="D19" s="80">
        <f ca="1">IFERROR(INDEX(INDIRECT(D3&amp;"Table"),MATCH(D4,INDIRECT(D3&amp;"Table"&amp;"[Name]"),0),COLUMN(INDIRECT(D3&amp;"Table"&amp;"["&amp;B19&amp;"]"))),0)</f>
        <v>0</v>
      </c>
      <c r="E19" s="80">
        <f ca="1">IFERROR(INDEX(INDIRECT(E3&amp;"Table"),MATCH(E4,INDIRECT(E3&amp;"Table"&amp;"[Name]"),0),COLUMN(INDIRECT(E3&amp;"Table"&amp;"["&amp;B19&amp;"]"))),0)</f>
        <v>0</v>
      </c>
      <c r="F19" s="39">
        <f ca="1">IFERROR(INDEX(INDIRECT(F3&amp;"Table"),MATCH(F4,INDIRECT(F3&amp;"Table"&amp;"[Name]"),0),COLUMN(INDIRECT(F3&amp;"Table"&amp;"["&amp;B19&amp;"]"))),0)</f>
        <v>24.61</v>
      </c>
      <c r="G19" s="44">
        <f ca="1">IFERROR(INDEX(INDIRECT(G3&amp;"Table"),MATCH(G4,INDIRECT(G3&amp;"Table"&amp;"[Name]"),0),COLUMN(INDIRECT(G3&amp;"Table"&amp;"["&amp;B19&amp;"]"))),0)</f>
        <v>24.61</v>
      </c>
      <c r="H19" s="44">
        <f ca="1">IFERROR(INDEX(INDIRECT(H3&amp;"Table"),MATCH(H4,INDIRECT(H3&amp;"Table"&amp;"[Name]"),0),COLUMN(INDIRECT(H3&amp;"Table"&amp;"["&amp;B19&amp;"]"))),0)</f>
        <v>1.53</v>
      </c>
      <c r="I19" s="32"/>
      <c r="J19" s="38"/>
      <c r="K19" s="38"/>
      <c r="L19" s="38"/>
      <c r="M19" s="37"/>
      <c r="N19" s="58" t="s">
        <v>143</v>
      </c>
      <c r="O19" s="12"/>
      <c r="P19" s="38">
        <v>0</v>
      </c>
      <c r="Q19" s="37"/>
      <c r="R19" s="58" t="s">
        <v>314</v>
      </c>
      <c r="S19" s="58"/>
      <c r="T19" s="38">
        <v>0</v>
      </c>
      <c r="U19" s="37"/>
      <c r="V19" s="5"/>
      <c r="W19" s="61" t="s">
        <v>37</v>
      </c>
      <c r="X19" s="51"/>
      <c r="Y19" s="52">
        <f ca="1">0.1+(T15/(T15+2+T18*SUM(C14:H14)))+((T14-SUM(C15:H15))/1000)-T17</f>
        <v>8.1000000000000003E-2</v>
      </c>
      <c r="Z19" s="51"/>
      <c r="AA19" s="35"/>
      <c r="AB19" s="35"/>
      <c r="AC19" s="35"/>
      <c r="AD19" s="14"/>
      <c r="AE19" s="14"/>
      <c r="AF19" s="14"/>
      <c r="AG19" s="14"/>
    </row>
    <row r="20" spans="1:33" x14ac:dyDescent="0.3">
      <c r="A20" s="13"/>
      <c r="B20" s="45" t="s">
        <v>23</v>
      </c>
      <c r="C20" s="44">
        <f ca="1">SUM(C7:H7)</f>
        <v>79</v>
      </c>
      <c r="D20" s="76" t="s">
        <v>24</v>
      </c>
      <c r="E20" s="80">
        <f ca="1">SUM(C8:H8)</f>
        <v>839</v>
      </c>
      <c r="F20" s="76" t="s">
        <v>904</v>
      </c>
      <c r="G20" s="80">
        <f ca="1">SUM(C5:H5)</f>
        <v>200</v>
      </c>
      <c r="H20" s="80"/>
      <c r="I20" s="32"/>
      <c r="J20" s="57" t="s">
        <v>898</v>
      </c>
      <c r="K20" s="47"/>
      <c r="L20" s="38">
        <v>2</v>
      </c>
      <c r="M20" s="37"/>
      <c r="N20" s="58" t="s">
        <v>826</v>
      </c>
      <c r="O20" s="13"/>
      <c r="P20" s="124">
        <v>0</v>
      </c>
      <c r="Q20" s="37"/>
      <c r="R20" s="37"/>
      <c r="S20" s="37"/>
      <c r="T20" s="38"/>
      <c r="U20" s="37"/>
      <c r="V20" s="5"/>
      <c r="W20" s="61" t="s">
        <v>50</v>
      </c>
      <c r="X20" s="51"/>
      <c r="Y20" s="52">
        <f ca="1">IF(Y19&lt;=0.1, 0.1, IF(Y19&gt;=0.9, 0.9, Y19))</f>
        <v>0.1</v>
      </c>
      <c r="Z20" s="51"/>
      <c r="AA20" s="35"/>
      <c r="AB20" s="35"/>
      <c r="AC20" s="35"/>
      <c r="AD20" s="14"/>
      <c r="AE20" s="14"/>
      <c r="AF20" s="14"/>
      <c r="AG20" s="14"/>
    </row>
    <row r="21" spans="1:33" x14ac:dyDescent="0.3">
      <c r="A21" s="13"/>
      <c r="B21" s="13"/>
      <c r="C21" s="13"/>
      <c r="D21" s="13"/>
      <c r="E21" s="13"/>
      <c r="F21" s="13"/>
      <c r="G21" s="13"/>
      <c r="H21" s="13"/>
      <c r="I21" s="13"/>
      <c r="J21" s="57" t="s">
        <v>848</v>
      </c>
      <c r="K21" s="47"/>
      <c r="L21" s="38">
        <v>1</v>
      </c>
      <c r="M21" s="37"/>
      <c r="N21" s="37"/>
      <c r="O21" s="37"/>
      <c r="P21" s="37"/>
      <c r="Q21" s="37"/>
      <c r="R21" s="37"/>
      <c r="S21" s="37"/>
      <c r="T21" s="37"/>
      <c r="U21" s="37"/>
      <c r="V21" s="5"/>
      <c r="W21" s="5"/>
      <c r="X21" s="5"/>
      <c r="Y21" s="5"/>
      <c r="Z21" s="5"/>
      <c r="AA21" s="5"/>
      <c r="AB21" s="5"/>
      <c r="AC21" s="5"/>
      <c r="AD21" s="14"/>
      <c r="AE21" s="14"/>
      <c r="AF21" s="14"/>
      <c r="AG21" s="14"/>
    </row>
    <row r="22" spans="1:33" x14ac:dyDescent="0.3">
      <c r="A22" s="13"/>
      <c r="B22" s="13"/>
      <c r="C22" s="13"/>
      <c r="D22" s="13"/>
      <c r="E22" s="13"/>
      <c r="F22" s="13"/>
      <c r="G22" s="13"/>
      <c r="H22" s="13"/>
      <c r="I22" s="13"/>
      <c r="J22" s="57" t="s">
        <v>739</v>
      </c>
      <c r="K22" s="47"/>
      <c r="L22" s="38">
        <f ca="1">SQRT(200/(100+SUM(C10:H10)*(L21)))</f>
        <v>0.93250480824031379</v>
      </c>
      <c r="M22" s="37"/>
      <c r="N22" s="37"/>
      <c r="O22" s="37"/>
      <c r="P22" s="37"/>
      <c r="Q22" s="37"/>
      <c r="R22" s="37"/>
      <c r="S22" s="37"/>
      <c r="T22" s="37"/>
      <c r="U22" s="37"/>
      <c r="V22" s="5"/>
      <c r="W22" s="5"/>
      <c r="X22" s="5"/>
      <c r="Y22" s="5"/>
      <c r="Z22" s="5"/>
      <c r="AA22" s="5"/>
      <c r="AB22" s="5"/>
      <c r="AC22" s="5"/>
      <c r="AD22" s="14"/>
      <c r="AE22" s="14"/>
      <c r="AF22" s="14"/>
      <c r="AG22" s="14"/>
    </row>
    <row r="23" spans="1:33"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x14ac:dyDescent="0.3">
      <c r="A24" s="13"/>
      <c r="B24" s="48" t="s">
        <v>1389</v>
      </c>
      <c r="C24" s="48"/>
      <c r="D24" s="48" t="s">
        <v>816</v>
      </c>
      <c r="E24" s="48" t="s">
        <v>819</v>
      </c>
      <c r="F24" s="48" t="s">
        <v>850</v>
      </c>
      <c r="G24" s="48" t="s">
        <v>8</v>
      </c>
      <c r="H24" s="48" t="s">
        <v>10</v>
      </c>
      <c r="I24" s="48" t="s">
        <v>12</v>
      </c>
      <c r="J24" s="48" t="s">
        <v>55</v>
      </c>
      <c r="K24" s="48" t="s">
        <v>826</v>
      </c>
      <c r="L24" s="83" t="s">
        <v>27</v>
      </c>
      <c r="M24" s="84" t="s">
        <v>59</v>
      </c>
      <c r="N24" s="48" t="s">
        <v>769</v>
      </c>
      <c r="O24" s="48" t="s">
        <v>849</v>
      </c>
      <c r="P24" s="48" t="s">
        <v>773</v>
      </c>
      <c r="Q24" s="83" t="s">
        <v>844</v>
      </c>
      <c r="R24" s="13"/>
      <c r="S24" s="53"/>
      <c r="T24" s="53" t="s">
        <v>69</v>
      </c>
      <c r="U24" s="53"/>
      <c r="V24" s="53" t="s">
        <v>70</v>
      </c>
      <c r="W24" s="53"/>
      <c r="X24" s="53" t="s">
        <v>71</v>
      </c>
      <c r="Y24" s="35"/>
      <c r="Z24" s="53" t="s">
        <v>907</v>
      </c>
      <c r="AA24" s="51"/>
      <c r="AB24" s="51"/>
      <c r="AC24" s="51"/>
      <c r="AD24" s="51"/>
      <c r="AE24" s="51"/>
      <c r="AF24" s="13"/>
      <c r="AG24" s="13"/>
    </row>
    <row r="25" spans="1:33" x14ac:dyDescent="0.3">
      <c r="A25" s="13"/>
      <c r="B25" s="44" t="str">
        <f ca="1">IFERROR(INDEX(INDIRECT(C3&amp;"Table"),MATCH(C2,INDIRECT(C3&amp;"Table"&amp;"[Name]"),0),COLUMN(INDIRECT(C3&amp;"Table"&amp;"[Barg1]"))),0)</f>
        <v>I-19-Exclusive Barrage</v>
      </c>
      <c r="C25" s="44"/>
      <c r="D25" s="44">
        <f ca="1">IFERROR(INDEX(Barrage[],MATCH(B25,Barrage[Name],0),COLUMN(Barrage[Total Damage])),0)</f>
        <v>540</v>
      </c>
      <c r="E25" s="44">
        <f ca="1">IFERROR(INDEX(Barrage[],MATCH(B25,Barrage[Name],0),COLUMN(Barrage[Base Damage])),0)</f>
        <v>60</v>
      </c>
      <c r="F25" s="44">
        <f ca="1">IFERROR(INDEX(Barrage[],MATCH(B25,Barrage[Name],0),COLUMN(Barrage[Total Rounds])),0)</f>
        <v>9</v>
      </c>
      <c r="G25" s="44">
        <f ca="1">IFERROR(INDEX(Barrage[],MATCH(B25,Barrage[Name],0),COLUMN(Barrage[Light Armor])),0)</f>
        <v>0.8</v>
      </c>
      <c r="H25" s="44">
        <f ca="1">IFERROR(INDEX(Barrage[],MATCH(B25,Barrage[Name],0),COLUMN(Barrage[Medium Armor])),0)</f>
        <v>1</v>
      </c>
      <c r="I25" s="44">
        <f ca="1">IFERROR(INDEX(Barrage[],MATCH(B25,Barrage[Name],0),COLUMN(Barrage[Heavy Armor])),0)</f>
        <v>1.3</v>
      </c>
      <c r="J25" s="44">
        <f ca="1">IFERROR(INDEX(Barrage[],MATCH(B25,Barrage[Name],0),COLUMN(Barrage[Burn %])),0)</f>
        <v>0</v>
      </c>
      <c r="K25" s="44">
        <f ca="1">IFERROR(INDEX(Barrage[],MATCH(B25,Barrage[Name],0),COLUMN(Barrage[Flood %])),0)</f>
        <v>0</v>
      </c>
      <c r="L25" s="59">
        <v>1</v>
      </c>
      <c r="M25" s="59">
        <v>0</v>
      </c>
      <c r="N25" s="44" t="str">
        <f ca="1">IFERROR(INDEX(Barrage[],MATCH(B25,Barrage[Name],0),COLUMN(Barrage[Type2])),0)</f>
        <v>TP</v>
      </c>
      <c r="O25" s="44">
        <f ca="1">IFERROR(INDEX(Barrage[],MATCH(B25,Barrage[Name],0),COLUMN(Barrage[Stat Mod])),0)</f>
        <v>1</v>
      </c>
      <c r="P25" s="50">
        <f ca="1">IFERROR(INDEX(Barrage[],MATCH(B25,Barrage[Name],0),COLUMN(Barrage[Crit %])),0)</f>
        <v>0</v>
      </c>
      <c r="Q25" s="59">
        <v>1</v>
      </c>
      <c r="R25" s="13"/>
      <c r="S25" s="53" t="s">
        <v>8</v>
      </c>
      <c r="T25" s="51">
        <f ca="1">((100+E20*P15)/100)*X8*F17*Y11*X5*C11*P18</f>
        <v>13149.920412187668</v>
      </c>
      <c r="U25" s="51"/>
      <c r="V25" s="51">
        <f ca="1">((100+E20*P15)/100)*Y8*G17*Y11*Y5*C12*P18</f>
        <v>11201.78405482653</v>
      </c>
      <c r="W25" s="51"/>
      <c r="X25" s="51">
        <f ca="1">((100+C20*P14))/100*FLOOR(AC5/(L22*H19),1)*H18*H17*Y10*P17*Z5</f>
        <v>549.5806677235023</v>
      </c>
      <c r="Y25" s="35"/>
      <c r="Z25" s="51">
        <f ca="1">T25+V25+X25</f>
        <v>24901.2851347377</v>
      </c>
      <c r="AA25" s="51"/>
      <c r="AB25" s="51"/>
      <c r="AC25" s="51"/>
      <c r="AD25" s="51"/>
      <c r="AE25" s="51"/>
      <c r="AF25" s="13"/>
      <c r="AG25" s="13"/>
    </row>
    <row r="26" spans="1:33" x14ac:dyDescent="0.3">
      <c r="A26" s="13"/>
      <c r="B26" s="44" t="str">
        <f ca="1">IFERROR(INDEX(INDIRECT(C3&amp;"Table"),MATCH(C2,INDIRECT(C3&amp;"Table"&amp;"[Name]"),0),COLUMN(INDIRECT(C3&amp;"Table"&amp;"[Barg2]"))),0)</f>
        <v>Fatal Penetration</v>
      </c>
      <c r="C26" s="44"/>
      <c r="D26" s="44">
        <f ca="1">IFERROR(INDEX(Barrage[],MATCH(B26,Barrage[Name],0),COLUMN(Barrage[Total Damage])),0)</f>
        <v>288</v>
      </c>
      <c r="E26" s="44">
        <f ca="1">IFERROR(INDEX(Barrage[],MATCH(B26,Barrage[Name],0),COLUMN(Barrage[Base Damage])),0)</f>
        <v>48</v>
      </c>
      <c r="F26" s="44">
        <f ca="1">IFERROR(INDEX(Barrage[],MATCH(B26,Barrage[Name],0),COLUMN(Barrage[Total Rounds])),0)</f>
        <v>6</v>
      </c>
      <c r="G26" s="44">
        <f ca="1">IFERROR(INDEX(Barrage[],MATCH(B26,Barrage[Name],0),COLUMN(Barrage[Light Armor])),0)</f>
        <v>0.8</v>
      </c>
      <c r="H26" s="44">
        <f ca="1">IFERROR(INDEX(Barrage[],MATCH(B26,Barrage[Name],0),COLUMN(Barrage[Medium Armor])),0)</f>
        <v>1</v>
      </c>
      <c r="I26" s="44">
        <f ca="1">IFERROR(INDEX(Barrage[],MATCH(B26,Barrage[Name],0),COLUMN(Barrage[Heavy Armor])),0)</f>
        <v>1.3</v>
      </c>
      <c r="J26" s="44">
        <f ca="1">IFERROR(INDEX(Barrage[],MATCH(B26,Barrage[Name],0),COLUMN(Barrage[Burn %])),0)</f>
        <v>0</v>
      </c>
      <c r="K26" s="44">
        <f ca="1">IFERROR(INDEX(Barrage[],MATCH(B26,Barrage[Name],0),COLUMN(Barrage[Flood %])),0)</f>
        <v>0</v>
      </c>
      <c r="L26" s="59">
        <v>1</v>
      </c>
      <c r="M26" s="59">
        <v>0</v>
      </c>
      <c r="N26" s="44" t="str">
        <f ca="1">IFERROR(INDEX(Barrage[],MATCH(B26,Barrage[Name],0),COLUMN(Barrage[Type2])),0)</f>
        <v>TP</v>
      </c>
      <c r="O26" s="44">
        <f ca="1">IFERROR(INDEX(Barrage[],MATCH(B26,Barrage[Name],0),COLUMN(Barrage[Stat Mod])),0)</f>
        <v>1.2</v>
      </c>
      <c r="P26" s="50">
        <f ca="1">IFERROR(INDEX(Barrage[],MATCH(B26,Barrage[Name],0),COLUMN(Barrage[Crit %])),0)</f>
        <v>0</v>
      </c>
      <c r="Q26" s="59">
        <v>1</v>
      </c>
      <c r="R26" s="13"/>
      <c r="S26" s="53" t="s">
        <v>10</v>
      </c>
      <c r="T26" s="51">
        <f ca="1">((100+E20*P15)/100)*X8*F17*Y11*X6*C11*P18</f>
        <v>16437.400515234582</v>
      </c>
      <c r="U26" s="51"/>
      <c r="V26" s="51">
        <f ca="1">((100+E20*P15)/100)*Y8*G17*Y11*Y6*C12*P18</f>
        <v>14002.230068533163</v>
      </c>
      <c r="W26" s="51"/>
      <c r="X26" s="51">
        <f ca="1">((100+C20*P14))/100*FLOOR(AC5/(L22*H19),1)*H18*H17*Y10*P17*Z6</f>
        <v>274.79033386175115</v>
      </c>
      <c r="Y26" s="35"/>
      <c r="Z26" s="51">
        <f ca="1">T26+V26+X26</f>
        <v>30714.420917629493</v>
      </c>
      <c r="AA26" s="51"/>
      <c r="AB26" s="51"/>
      <c r="AC26" s="51"/>
      <c r="AD26" s="51"/>
      <c r="AE26" s="51"/>
      <c r="AF26" s="13"/>
      <c r="AG26" s="13"/>
    </row>
    <row r="27" spans="1:33" x14ac:dyDescent="0.3">
      <c r="A27" s="13"/>
      <c r="B27" s="44" t="str">
        <f ca="1">IFERROR(INDEX(INDIRECT(C3&amp;"Table"),MATCH(C2,INDIRECT(C3&amp;"Table"&amp;"[Name]"),0),COLUMN(INDIRECT(C3&amp;"Table"&amp;"[Barg3]"))),0)</f>
        <v>N/A</v>
      </c>
      <c r="C27" s="44"/>
      <c r="D27" s="44">
        <f ca="1">IFERROR(INDEX(Barrage[],MATCH(B27,Barrage[Name],0),COLUMN(Barrage[Total Damage])),0)</f>
        <v>0</v>
      </c>
      <c r="E27" s="44">
        <f ca="1">IFERROR(INDEX(Barrage[],MATCH(B27,Barrage[Name],0),COLUMN(Barrage[Base Damage])),0)</f>
        <v>0</v>
      </c>
      <c r="F27" s="44">
        <f ca="1">IFERROR(INDEX(Barrage[],MATCH(B27,Barrage[Name],0),COLUMN(Barrage[Total Rounds])),0)</f>
        <v>0</v>
      </c>
      <c r="G27" s="44">
        <f ca="1">IFERROR(INDEX(Barrage[],MATCH(B27,Barrage[Name],0),COLUMN(Barrage[Light Armor])),0)</f>
        <v>0</v>
      </c>
      <c r="H27" s="44">
        <f ca="1">IFERROR(INDEX(Barrage[],MATCH(B27,Barrage[Name],0),COLUMN(Barrage[Medium Armor])),0)</f>
        <v>0</v>
      </c>
      <c r="I27" s="44">
        <f ca="1">IFERROR(INDEX(Barrage[],MATCH(B27,Barrage[Name],0),COLUMN(Barrage[Heavy Armor])),0)</f>
        <v>0</v>
      </c>
      <c r="J27" s="44">
        <f ca="1">IFERROR(INDEX(Barrage[],MATCH(B27,Barrage[Name],0),COLUMN(Barrage[Burn %])),0)</f>
        <v>0</v>
      </c>
      <c r="K27" s="44">
        <f ca="1">IFERROR(INDEX(Barrage[],MATCH(B27,Barrage[Name],0),COLUMN(Barrage[Flood %])),0)</f>
        <v>0</v>
      </c>
      <c r="L27" s="59">
        <v>1</v>
      </c>
      <c r="M27" s="59">
        <v>0</v>
      </c>
      <c r="N27" s="44">
        <f ca="1">IFERROR(INDEX(Barrage[],MATCH(B27,Barrage[Name],0),COLUMN(Barrage[Type2])),0)</f>
        <v>0</v>
      </c>
      <c r="O27" s="44">
        <f ca="1">IFERROR(INDEX(Barrage[],MATCH(B27,Barrage[Name],0),COLUMN(Barrage[Stat Mod])),0)</f>
        <v>0</v>
      </c>
      <c r="P27" s="50">
        <f ca="1">IFERROR(INDEX(Barrage[],MATCH(B27,Barrage[Name],0),COLUMN(Barrage[Crit %])),0)</f>
        <v>0</v>
      </c>
      <c r="Q27" s="59">
        <v>1</v>
      </c>
      <c r="R27" s="13"/>
      <c r="S27" s="53" t="s">
        <v>12</v>
      </c>
      <c r="T27" s="51">
        <f ca="1">((100+E20*P15)/100)*X8*F17*Y11*X7*C11*P18</f>
        <v>21368.620669804957</v>
      </c>
      <c r="U27" s="51"/>
      <c r="V27" s="51">
        <f ca="1">((100+E20*P15)/100)*Y8*G17*Y11*Y7*C12*P18</f>
        <v>18202.899089093109</v>
      </c>
      <c r="W27" s="51"/>
      <c r="X27" s="51">
        <f ca="1">((100+C20*P14))/100*FLOOR(AC5/(L22*H19),1)*H18*H17*Y10*P17*Z7</f>
        <v>274.79033386175115</v>
      </c>
      <c r="Y27" s="35"/>
      <c r="Z27" s="51">
        <f ca="1">T27+V27+X27</f>
        <v>39846.310092759821</v>
      </c>
      <c r="AA27" s="51"/>
      <c r="AB27" s="51"/>
      <c r="AC27" s="51"/>
      <c r="AD27" s="51"/>
      <c r="AE27" s="51"/>
      <c r="AF27" s="13"/>
      <c r="AG27" s="13"/>
    </row>
    <row r="28" spans="1:33" x14ac:dyDescent="0.3">
      <c r="A28" s="13"/>
      <c r="B28" s="44" t="str">
        <f ca="1">IFERROR(INDEX(INDIRECT(C3&amp;"Table"),MATCH(C2,INDIRECT(C3&amp;"Table"&amp;"[Name]"),0),COLUMN(INDIRECT(C3&amp;"Table"&amp;"[Barg4]"))),0)</f>
        <v>N/A</v>
      </c>
      <c r="C28" s="44"/>
      <c r="D28" s="44">
        <f ca="1">IFERROR(INDEX(Barrage[],MATCH(B28,Barrage[Name],0),COLUMN(Barrage[Total Damage])),0)</f>
        <v>0</v>
      </c>
      <c r="E28" s="44">
        <f ca="1">IFERROR(INDEX(Barrage[],MATCH(B28,Barrage[Name],0),COLUMN(Barrage[Base Damage])),0)</f>
        <v>0</v>
      </c>
      <c r="F28" s="44">
        <f ca="1">IFERROR(INDEX(Barrage[],MATCH(B28,Barrage[Name],0),COLUMN(Barrage[Total Rounds])),0)</f>
        <v>0</v>
      </c>
      <c r="G28" s="44">
        <f ca="1">IFERROR(INDEX(Barrage[],MATCH(B28,Barrage[Name],0),COLUMN(Barrage[Light Armor])),0)</f>
        <v>0</v>
      </c>
      <c r="H28" s="44">
        <f ca="1">IFERROR(INDEX(Barrage[],MATCH(B28,Barrage[Name],0),COLUMN(Barrage[Medium Armor])),0)</f>
        <v>0</v>
      </c>
      <c r="I28" s="44">
        <f ca="1">IFERROR(INDEX(Barrage[],MATCH(B28,Barrage[Name],0),COLUMN(Barrage[Heavy Armor])),0)</f>
        <v>0</v>
      </c>
      <c r="J28" s="44">
        <f ca="1">IFERROR(INDEX(Barrage[],MATCH(B28,Barrage[Name],0),COLUMN(Barrage[Burn %])),0)</f>
        <v>0</v>
      </c>
      <c r="K28" s="44">
        <f ca="1">IFERROR(INDEX(Barrage[],MATCH(B28,Barrage[Name],0),COLUMN(Barrage[Flood %])),0)</f>
        <v>0</v>
      </c>
      <c r="L28" s="59">
        <v>1</v>
      </c>
      <c r="M28" s="59">
        <v>0</v>
      </c>
      <c r="N28" s="44">
        <f ca="1">IFERROR(INDEX(Barrage[],MATCH(B28,Barrage[Name],0),COLUMN(Barrage[Type2])),0)</f>
        <v>0</v>
      </c>
      <c r="O28" s="44">
        <f ca="1">IFERROR(INDEX(Barrage[],MATCH(B28,Barrage[Name],0),COLUMN(Barrage[Stat Mod])),0)</f>
        <v>0</v>
      </c>
      <c r="P28" s="50">
        <f ca="1">IFERROR(INDEX(Barrage[],MATCH(B28,Barrage[Name],0),COLUMN(Barrage[Crit %])),0)</f>
        <v>0</v>
      </c>
      <c r="Q28" s="59">
        <v>1</v>
      </c>
      <c r="R28" s="13"/>
      <c r="S28" s="53" t="s">
        <v>817</v>
      </c>
      <c r="T28" s="51">
        <v>0</v>
      </c>
      <c r="U28" s="51"/>
      <c r="V28" s="51">
        <v>0</v>
      </c>
      <c r="W28" s="51"/>
      <c r="X28" s="51">
        <f ca="1">(((100+C20)/100)*C13*H11*H17*AC3+5)*5*(1-(1-AC4)^(H18))</f>
        <v>3.7782121771600057</v>
      </c>
      <c r="Y28" s="51"/>
      <c r="Z28" s="51">
        <f ca="1">SUM(T28+V28+X28)</f>
        <v>3.7782121771600057</v>
      </c>
      <c r="AA28" s="51"/>
      <c r="AB28" s="51"/>
      <c r="AC28" s="51"/>
      <c r="AD28" s="51"/>
      <c r="AE28" s="51"/>
      <c r="AF28" s="13"/>
      <c r="AG28" s="13"/>
    </row>
    <row r="29" spans="1:33" x14ac:dyDescent="0.3">
      <c r="A29" s="13"/>
      <c r="B29" s="13"/>
      <c r="C29" s="13"/>
      <c r="D29" s="13"/>
      <c r="E29" s="13"/>
      <c r="F29" s="13"/>
      <c r="G29" s="13"/>
      <c r="H29" s="13"/>
      <c r="I29" s="13"/>
      <c r="J29" s="13"/>
      <c r="K29" s="13"/>
      <c r="L29" s="13"/>
      <c r="M29" s="13"/>
      <c r="N29" s="13"/>
      <c r="O29" s="13"/>
      <c r="P29" s="13"/>
      <c r="Q29" s="13"/>
      <c r="R29" s="13"/>
      <c r="S29" s="53" t="s">
        <v>918</v>
      </c>
      <c r="T29" s="51">
        <f ca="1">(((100+E20)/100)*1*1*F17*P19+10)*8*(1-(1-P20)^(X8))</f>
        <v>0</v>
      </c>
      <c r="U29" s="53"/>
      <c r="V29" s="51">
        <f ca="1">(((100+E20)/100)*1*1*G17*P19+10)*8*(1-(1-P20)^(X8))</f>
        <v>0</v>
      </c>
      <c r="W29" s="53"/>
      <c r="X29" s="51">
        <v>0</v>
      </c>
      <c r="Y29" s="35"/>
      <c r="Z29" s="51">
        <f ca="1">SUM(T29+V29+X29)</f>
        <v>0</v>
      </c>
      <c r="AA29" s="51"/>
      <c r="AB29" s="51"/>
      <c r="AC29" s="51"/>
      <c r="AD29" s="51"/>
      <c r="AE29" s="51"/>
      <c r="AF29" s="13"/>
      <c r="AG29" s="13"/>
    </row>
    <row r="30" spans="1:33" x14ac:dyDescent="0.3">
      <c r="A30" s="13"/>
      <c r="B30" s="13"/>
      <c r="C30" s="13"/>
      <c r="D30" s="13"/>
      <c r="E30" s="13"/>
      <c r="F30" s="13"/>
      <c r="G30" s="13"/>
      <c r="H30" s="13"/>
      <c r="I30" s="13"/>
      <c r="J30" s="13"/>
      <c r="K30" s="13"/>
      <c r="L30" s="13"/>
      <c r="M30" s="13"/>
      <c r="N30" s="13"/>
      <c r="O30" s="13"/>
      <c r="P30" s="13"/>
      <c r="Q30" s="13"/>
      <c r="R30" s="13"/>
      <c r="S30" s="51"/>
      <c r="T30" s="51"/>
      <c r="U30" s="51"/>
      <c r="V30" s="51"/>
      <c r="W30" s="51"/>
      <c r="X30" s="51"/>
      <c r="Y30" s="51"/>
      <c r="Z30" s="51"/>
      <c r="AA30" s="51"/>
      <c r="AB30" s="51"/>
      <c r="AC30" s="51"/>
      <c r="AD30" s="51"/>
      <c r="AE30" s="51"/>
      <c r="AF30" s="13"/>
      <c r="AG30" s="13"/>
    </row>
    <row r="31" spans="1:33" x14ac:dyDescent="0.3">
      <c r="A31" s="13"/>
      <c r="B31" s="13"/>
      <c r="C31" s="13"/>
      <c r="D31" s="13"/>
      <c r="E31" s="13"/>
      <c r="F31" s="13"/>
      <c r="G31" s="13"/>
      <c r="H31" s="13"/>
      <c r="I31" s="13"/>
      <c r="J31" s="13"/>
      <c r="K31" s="13"/>
      <c r="L31" s="13"/>
      <c r="M31" s="13"/>
      <c r="N31" s="13"/>
      <c r="O31" s="13"/>
      <c r="P31" s="13"/>
      <c r="Q31" s="13"/>
      <c r="R31" s="13"/>
      <c r="S31" s="53" t="s">
        <v>916</v>
      </c>
      <c r="T31" s="51"/>
      <c r="U31" s="51"/>
      <c r="V31" s="53" t="s">
        <v>774</v>
      </c>
      <c r="W31" s="51"/>
      <c r="X31" s="53" t="s">
        <v>774</v>
      </c>
      <c r="Y31" s="35"/>
      <c r="Z31" s="53" t="s">
        <v>774</v>
      </c>
      <c r="AA31" s="51"/>
      <c r="AB31" s="53" t="s">
        <v>1456</v>
      </c>
      <c r="AC31" s="51"/>
      <c r="AD31" s="51"/>
      <c r="AE31" s="51"/>
      <c r="AF31" s="13"/>
      <c r="AG31" s="13"/>
    </row>
    <row r="32" spans="1:33" x14ac:dyDescent="0.3">
      <c r="A32" s="13"/>
      <c r="B32" s="13"/>
      <c r="C32" s="13"/>
      <c r="D32" s="13"/>
      <c r="E32" s="13"/>
      <c r="F32" s="13"/>
      <c r="G32" s="13"/>
      <c r="H32" s="13"/>
      <c r="I32" s="13"/>
      <c r="J32" s="13"/>
      <c r="K32" s="13"/>
      <c r="L32" s="13"/>
      <c r="M32" s="13"/>
      <c r="N32" s="13"/>
      <c r="O32" s="13"/>
      <c r="P32" s="13"/>
      <c r="Q32" s="13"/>
      <c r="R32" s="13"/>
      <c r="S32" s="53" t="s">
        <v>8</v>
      </c>
      <c r="T32" s="51">
        <f ca="1">IFERROR((D25*G25*((100+IF(N25="FP",C20*P14,E20*P15)*O25)/100))*IF(P25=0,IF(N25="FP",Y10,Y11),P25*IF(N25="FP",L16+L17+1,L16+L18+1))*L25,0)*Q25</f>
        <v>4324.4936898801843</v>
      </c>
      <c r="U32" s="51"/>
      <c r="V32" s="51">
        <f ca="1">IFERROR((D26*G26*((100+IF(N26="FP",C20*P14,E20*P15)*O26)/100))*IF(P26=0,IF(N26="FP",Y10,Y11),P26*IF(N26="FP",L16+L17+1,L16+L18+1))*L26,0)*Q26</f>
        <v>2718.5514325647923</v>
      </c>
      <c r="W32" s="51"/>
      <c r="X32" s="51">
        <f ca="1">IFERROR((D27*G27*((100+IF(N27="FP",C20*P14,E20*P15)*O27)/100))*IF(P27=0,IF(N27="FP",Y10,Y11),P27*IF(N27="FP",L16+L17+1,L16+L18+1))*L27,0)*Q27</f>
        <v>0</v>
      </c>
      <c r="Y32" s="35"/>
      <c r="Z32" s="51">
        <f ca="1">IFERROR((D28*G28*((100+IF(N28="FP",C20*P14,E20*P15)*O28)/100))*IF(P28=0,IF(N28="FP",Y10,Y11),P28*IF(N28="FP",L16+L17+1,L16+L18+1))*L28,0)*Q28</f>
        <v>0</v>
      </c>
      <c r="AA32" s="51"/>
      <c r="AB32" s="51">
        <f ca="1">SUM(T32:Z32)</f>
        <v>7043.0451224449771</v>
      </c>
      <c r="AC32" s="51"/>
      <c r="AD32" s="51"/>
      <c r="AE32" s="51"/>
      <c r="AF32" s="13"/>
      <c r="AG32" s="13"/>
    </row>
    <row r="33" spans="1:33" x14ac:dyDescent="0.3">
      <c r="A33" s="13"/>
      <c r="B33" s="13"/>
      <c r="C33" s="13"/>
      <c r="D33" s="13"/>
      <c r="E33" s="13"/>
      <c r="F33" s="13"/>
      <c r="G33" s="13"/>
      <c r="H33" s="13"/>
      <c r="I33" s="13"/>
      <c r="J33" s="13"/>
      <c r="K33" s="13"/>
      <c r="L33" s="13"/>
      <c r="M33" s="13"/>
      <c r="N33" s="13"/>
      <c r="O33" s="13"/>
      <c r="P33" s="13"/>
      <c r="Q33" s="13"/>
      <c r="R33" s="13"/>
      <c r="S33" s="53" t="s">
        <v>10</v>
      </c>
      <c r="T33" s="51">
        <f ca="1">IFERROR((D25*H25*((100+IF(N25="FP",C20*P14,E20*P15)*O25)/100))*IF(P25=0,IF(N25="FP",Y10,Y11),P25*IF(N25="FP",L16+L17+1,L16+L18+1))*L25,0)*Q25</f>
        <v>5405.6171123502309</v>
      </c>
      <c r="U33" s="51"/>
      <c r="V33" s="51">
        <f ca="1">IFERROR((D26*H26*((100+IF(N26="FP",C20*P14,E20*P15)*O26)/100))*IF(P26=0,IF(N26="FP",Y10,Y11),P26*IF(N26="FP",L16+L17+1,L16+L18+1))*L26,0)*Q26</f>
        <v>3398.1892907059905</v>
      </c>
      <c r="W33" s="51"/>
      <c r="X33" s="51">
        <f ca="1">IFERROR((D27*H27*((100+IF(N27="FP",C20*P14,E20*P15)*O27)/100))*IF(P27=0,IF(N27="FP",Y10,Y11),P27*IF(N27="FP",L16+L17+1,L16+L18+1))*L27,0)*Q27</f>
        <v>0</v>
      </c>
      <c r="Y33" s="35"/>
      <c r="Z33" s="51">
        <f ca="1">IFERROR((D28*H28*((100+IF(N28="FP",C20*P14,E20*P15)*O28)/100))*IF(P28=0,IF(N28="FP",Y10,Y11),P28*IF(N28="FP",L16+L17+1,L16+L18+1))*L28,0)*Q28</f>
        <v>0</v>
      </c>
      <c r="AA33" s="51"/>
      <c r="AB33" s="51">
        <f t="shared" ref="AB33:AB36" ca="1" si="3">SUM(T33:Z33)</f>
        <v>8803.8064030562218</v>
      </c>
      <c r="AC33" s="51"/>
      <c r="AD33" s="51"/>
      <c r="AE33" s="51"/>
      <c r="AF33" s="13"/>
      <c r="AG33" s="13"/>
    </row>
    <row r="34" spans="1:33" x14ac:dyDescent="0.3">
      <c r="A34" s="13"/>
      <c r="B34" s="13"/>
      <c r="C34" s="13"/>
      <c r="D34" s="13"/>
      <c r="E34" s="13"/>
      <c r="F34" s="13"/>
      <c r="G34" s="13"/>
      <c r="H34" s="13"/>
      <c r="I34" s="13"/>
      <c r="J34" s="13"/>
      <c r="K34" s="13"/>
      <c r="L34" s="13"/>
      <c r="M34" s="13"/>
      <c r="N34" s="13"/>
      <c r="O34" s="13"/>
      <c r="P34" s="13"/>
      <c r="Q34" s="13"/>
      <c r="R34" s="13"/>
      <c r="S34" s="53" t="s">
        <v>12</v>
      </c>
      <c r="T34" s="51">
        <f ca="1">IFERROR((D25*I25*((100+IF(N25="FP",C20*P14,E20*P15)*O25)/100))*IF(P25=0,IF(N25="FP",Y10,Y11),P25*IF(N25="FP",L16+L17+1,L16+L18+1))*L25,0)*Q25</f>
        <v>7027.3022460552993</v>
      </c>
      <c r="U34" s="53"/>
      <c r="V34" s="51">
        <f ca="1">IFERROR((D26*I26*((100+IF(N26="FP",C20*P14,E20*P15)*O26)/100))*IF(P26=0,IF(N26="FP",Y10,Y11),P26*IF(N26="FP",L16+L17+1,L16+L18+1))*L26,0)*Q26</f>
        <v>4417.6460779177878</v>
      </c>
      <c r="W34" s="53"/>
      <c r="X34" s="51">
        <f ca="1">IFERROR((D27*I27*((100+IF(N27="FP",C20*P14,E20*P15)*O27)/100))*IF(P27=0,IF(N27="FP",Y10,Y11),P27*IF(N27="FP",L16+L17+1,L16+L18+1))*L27,0)*Q27</f>
        <v>0</v>
      </c>
      <c r="Y34" s="53"/>
      <c r="Z34" s="51">
        <f ca="1">IFERROR((D28*I28*((100+IF(N28="FP",C20*P14,E20*P15)*O28)/100))*IF(P28=0,IF(N28="FP",Y10,Y11),P28*IF(N28="FP",L16+L17+1,L16+L18+1))*L28,0)*Q28</f>
        <v>0</v>
      </c>
      <c r="AA34" s="51"/>
      <c r="AB34" s="51">
        <f t="shared" ca="1" si="3"/>
        <v>11444.948323973087</v>
      </c>
      <c r="AC34" s="51"/>
      <c r="AD34" s="51"/>
      <c r="AE34" s="51"/>
      <c r="AF34" s="13"/>
      <c r="AG34" s="13"/>
    </row>
    <row r="35" spans="1:33" x14ac:dyDescent="0.3">
      <c r="A35" s="13"/>
      <c r="B35" s="13"/>
      <c r="C35" s="13"/>
      <c r="D35" s="13"/>
      <c r="E35" s="13"/>
      <c r="F35" s="13"/>
      <c r="G35" s="13"/>
      <c r="H35" s="13"/>
      <c r="I35" s="13"/>
      <c r="J35" s="13"/>
      <c r="K35" s="13"/>
      <c r="L35" s="13"/>
      <c r="M35" s="13"/>
      <c r="N35" s="13"/>
      <c r="O35" s="13"/>
      <c r="P35" s="13"/>
      <c r="Q35" s="13"/>
      <c r="R35" s="13"/>
      <c r="S35" s="53" t="s">
        <v>817</v>
      </c>
      <c r="T35" s="51">
        <f ca="1">(((100+IF(N25="FP",C20*P14,E20*P15)*O25/100)*C13*1*E25*AC3+5)*(1-(1-J25)^(F25))*5)</f>
        <v>0</v>
      </c>
      <c r="U35" s="53"/>
      <c r="V35" s="51">
        <f ca="1">(((100+IF(N26="FP",C20*P14,E20*P15)*O26)/100)*C13*1*E26*AC3+5)*(1-(1-J26)^(F26))*5</f>
        <v>0</v>
      </c>
      <c r="W35" s="53"/>
      <c r="X35" s="51">
        <f ca="1">(((100+IF(N27="FP",C20*P14,E20*P15)*O27)/100)*C13*1*E27*AC3+5)*(1-(1-J27)^(F27))*5</f>
        <v>0</v>
      </c>
      <c r="Y35" s="53"/>
      <c r="Z35" s="51">
        <f ca="1">(((100+IF(N28="FP",C20*P14,E20*P15)*O28)/100)*C13*1*E28*AC3+5)*(1-(1-J28)^(F28))*5</f>
        <v>0</v>
      </c>
      <c r="AA35" s="51"/>
      <c r="AB35" s="51">
        <f t="shared" ca="1" si="3"/>
        <v>0</v>
      </c>
      <c r="AC35" s="51"/>
      <c r="AD35" s="51"/>
      <c r="AE35" s="51"/>
      <c r="AF35" s="13"/>
      <c r="AG35" s="13"/>
    </row>
    <row r="36" spans="1:33" x14ac:dyDescent="0.3">
      <c r="A36" s="13"/>
      <c r="B36" s="13"/>
      <c r="C36" s="13"/>
      <c r="D36" s="13"/>
      <c r="E36" s="13"/>
      <c r="F36" s="13"/>
      <c r="G36" s="13"/>
      <c r="H36" s="13"/>
      <c r="I36" s="13"/>
      <c r="J36" s="13"/>
      <c r="K36" s="13"/>
      <c r="L36" s="13"/>
      <c r="M36" s="13"/>
      <c r="N36" s="13"/>
      <c r="O36" s="13"/>
      <c r="P36" s="13"/>
      <c r="Q36" s="13"/>
      <c r="R36" s="13"/>
      <c r="S36" s="53" t="s">
        <v>44</v>
      </c>
      <c r="T36" s="51">
        <f ca="1">IFERROR(T35/15*(MIN((15/IF(T14=1,IF(M25=0,G19*L22+AC7,M25),T15)),1)),0)</f>
        <v>0</v>
      </c>
      <c r="U36" s="53"/>
      <c r="V36" s="51">
        <f ca="1">IFERROR(V35/15*(MIN((15/IF(T14=1,IF(M26=0,G19*L22+AC7,M26),T15)),1)),0)</f>
        <v>0</v>
      </c>
      <c r="W36" s="53"/>
      <c r="X36" s="51">
        <f ca="1">IFERROR(X35/15*(MIN((15/IF(T14=1,IF(M27=0,G19*L22+AC7,M27),T15)),1)),0)</f>
        <v>0</v>
      </c>
      <c r="Y36" s="53"/>
      <c r="Z36" s="51">
        <f ca="1">IFERROR(Z35/15*(MIN((15/IF(T14=1,IF(M28=0,G19*L22+AC7,M28),T15)),1)),0)</f>
        <v>0</v>
      </c>
      <c r="AA36" s="51"/>
      <c r="AB36" s="51">
        <f t="shared" ca="1" si="3"/>
        <v>0</v>
      </c>
      <c r="AC36" s="51"/>
      <c r="AD36" s="51"/>
      <c r="AE36" s="51"/>
      <c r="AF36" s="13"/>
      <c r="AG36" s="13"/>
    </row>
    <row r="37" spans="1:33" x14ac:dyDescent="0.3">
      <c r="A37" s="13"/>
      <c r="B37" s="13"/>
      <c r="C37" s="13"/>
      <c r="D37" s="13"/>
      <c r="E37" s="13"/>
      <c r="F37" s="13"/>
      <c r="G37" s="13"/>
      <c r="H37" s="13"/>
      <c r="I37" s="13"/>
      <c r="J37" s="13"/>
      <c r="K37" s="13"/>
      <c r="L37" s="13"/>
      <c r="M37" s="13"/>
      <c r="N37" s="13"/>
      <c r="O37" s="13"/>
      <c r="P37" s="13"/>
      <c r="Q37" s="13"/>
      <c r="R37" s="13"/>
      <c r="S37" s="53" t="s">
        <v>918</v>
      </c>
      <c r="T37" s="51">
        <f ca="1">K25*(E25*((100+E20*O25*P15)/100)*L25+10)*8</f>
        <v>0</v>
      </c>
      <c r="U37" s="53"/>
      <c r="V37" s="51">
        <f ca="1">K26*(E26*((100+E20*O26*P15)/100)*L26+10)*8</f>
        <v>0</v>
      </c>
      <c r="W37" s="53"/>
      <c r="X37" s="51"/>
      <c r="Y37" s="53"/>
      <c r="Z37" s="51"/>
      <c r="AA37" s="51"/>
      <c r="AB37" s="51"/>
      <c r="AC37" s="51"/>
      <c r="AD37" s="51"/>
      <c r="AE37" s="51"/>
      <c r="AF37" s="13"/>
      <c r="AG37" s="13"/>
    </row>
    <row r="38" spans="1:33" x14ac:dyDescent="0.3">
      <c r="A38" s="13"/>
      <c r="B38" s="13"/>
      <c r="C38" s="13"/>
      <c r="D38" s="13"/>
      <c r="E38" s="13"/>
      <c r="F38" s="13"/>
      <c r="G38" s="13"/>
      <c r="H38" s="13"/>
      <c r="I38" s="13"/>
      <c r="J38" s="13"/>
      <c r="K38" s="13"/>
      <c r="L38" s="13"/>
      <c r="M38" s="13"/>
      <c r="N38" s="13"/>
      <c r="O38" s="13"/>
      <c r="P38" s="13"/>
      <c r="Q38" s="13"/>
      <c r="R38" s="13"/>
      <c r="S38" s="53" t="s">
        <v>147</v>
      </c>
      <c r="T38" s="51">
        <f ca="1">T37/24*(MIN((24/IF(M25=0,AC7,M25)),1))</f>
        <v>0</v>
      </c>
      <c r="U38" s="53"/>
      <c r="V38" s="51">
        <f ca="1">V37/24*(MIN((24/IF(M26=0,AC7,M26)),1))</f>
        <v>0</v>
      </c>
      <c r="W38" s="53"/>
      <c r="X38" s="51"/>
      <c r="Y38" s="53"/>
      <c r="Z38" s="51"/>
      <c r="AA38" s="51"/>
      <c r="AB38" s="51"/>
      <c r="AC38" s="51"/>
      <c r="AD38" s="51"/>
      <c r="AE38" s="51"/>
      <c r="AF38" s="13"/>
      <c r="AG38" s="13"/>
    </row>
    <row r="39" spans="1:33"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Stats'!$A$872:$A$874</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H19" sqref="H19"/>
    </sheetView>
  </sheetViews>
  <sheetFormatPr defaultRowHeight="14.4" x14ac:dyDescent="0.3"/>
  <cols>
    <col min="4" max="8" width="12.77734375" customWidth="1"/>
    <col min="23" max="23" width="12.77734375" customWidth="1"/>
  </cols>
  <sheetData>
    <row r="1" spans="1:38" x14ac:dyDescent="0.3">
      <c r="A1" s="13"/>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row>
    <row r="2" spans="1:38" x14ac:dyDescent="0.3">
      <c r="A2" s="13"/>
      <c r="B2" s="47" t="s">
        <v>879</v>
      </c>
      <c r="C2" s="46" t="s">
        <v>872</v>
      </c>
      <c r="D2" s="48" t="s">
        <v>2</v>
      </c>
      <c r="E2" s="48" t="s">
        <v>3</v>
      </c>
      <c r="F2" s="48" t="s">
        <v>54</v>
      </c>
      <c r="G2" s="48" t="s">
        <v>4</v>
      </c>
      <c r="H2" s="48" t="s">
        <v>881</v>
      </c>
      <c r="I2" s="32"/>
      <c r="J2" s="4"/>
      <c r="K2" s="4"/>
      <c r="L2" s="4"/>
      <c r="M2" s="4"/>
      <c r="N2" s="4"/>
      <c r="O2" s="4"/>
      <c r="P2" s="4"/>
      <c r="Q2" s="4"/>
      <c r="R2" s="5"/>
      <c r="S2" s="5"/>
      <c r="T2" s="5"/>
      <c r="U2" s="4"/>
      <c r="V2" s="14"/>
      <c r="W2" s="193" t="s">
        <v>269</v>
      </c>
      <c r="X2" s="193"/>
      <c r="Y2" s="193"/>
      <c r="Z2" s="193"/>
      <c r="AA2" s="193"/>
      <c r="AB2" s="193"/>
      <c r="AC2" s="193"/>
      <c r="AD2" s="14"/>
      <c r="AE2" s="14"/>
      <c r="AF2" s="14"/>
      <c r="AG2" s="14"/>
      <c r="AH2" s="14"/>
      <c r="AI2" s="14"/>
      <c r="AJ2" s="14"/>
      <c r="AK2" s="14"/>
      <c r="AL2" s="14"/>
    </row>
    <row r="3" spans="1:38" x14ac:dyDescent="0.3">
      <c r="A3" s="13"/>
      <c r="B3" s="45" t="s">
        <v>150</v>
      </c>
      <c r="C3" s="34" t="str">
        <f>IFERROR(INDEX(SType[],MATCH(C4,SType[Ship],0),COLUMN(SType[Type])),0)</f>
        <v>SubmarineCarrier</v>
      </c>
      <c r="D3" s="47" t="s">
        <v>301</v>
      </c>
      <c r="E3" s="47" t="s">
        <v>301</v>
      </c>
      <c r="F3" s="47" t="s">
        <v>188</v>
      </c>
      <c r="G3" s="47" t="s">
        <v>188</v>
      </c>
      <c r="H3" s="47" t="s">
        <v>740</v>
      </c>
      <c r="I3" s="32"/>
      <c r="J3" s="115" t="str">
        <f>C2</f>
        <v>I-13</v>
      </c>
      <c r="K3" s="114"/>
      <c r="L3" s="53" t="s">
        <v>910</v>
      </c>
      <c r="M3" s="53"/>
      <c r="N3" s="53" t="s">
        <v>912</v>
      </c>
      <c r="O3" s="53"/>
      <c r="P3" s="53" t="s">
        <v>913</v>
      </c>
      <c r="Q3" s="53"/>
      <c r="R3" s="53" t="s">
        <v>820</v>
      </c>
      <c r="S3" s="33"/>
      <c r="T3" s="38"/>
      <c r="U3" s="38"/>
      <c r="V3" s="14"/>
      <c r="W3" s="61" t="s">
        <v>151</v>
      </c>
      <c r="X3" s="61" t="s">
        <v>268</v>
      </c>
      <c r="Y3" s="61" t="s">
        <v>4</v>
      </c>
      <c r="Z3" s="61" t="s">
        <v>881</v>
      </c>
      <c r="AA3" s="61"/>
      <c r="AB3" s="61" t="s">
        <v>866</v>
      </c>
      <c r="AC3" s="52">
        <f>IF(H4="2x410mm Gold", 1.2, 0.6)</f>
        <v>0.6</v>
      </c>
      <c r="AD3" s="14"/>
      <c r="AE3" s="14"/>
      <c r="AF3" s="14"/>
      <c r="AG3" s="14"/>
      <c r="AH3" s="14"/>
      <c r="AI3" s="14"/>
      <c r="AJ3" s="14"/>
      <c r="AK3" s="14"/>
      <c r="AL3" s="14"/>
    </row>
    <row r="4" spans="1:38" x14ac:dyDescent="0.3">
      <c r="A4" s="13"/>
      <c r="B4" s="45" t="s">
        <v>149</v>
      </c>
      <c r="C4" s="34" t="str">
        <f>IFERROR(INDEX(Base[],MATCH(C2,Base[Name],0),COLUMN(Base[Type])),0)</f>
        <v>SSV</v>
      </c>
      <c r="D4" s="46" t="s">
        <v>304</v>
      </c>
      <c r="E4" s="46" t="s">
        <v>304</v>
      </c>
      <c r="F4" s="46" t="s">
        <v>895</v>
      </c>
      <c r="G4" s="46" t="s">
        <v>895</v>
      </c>
      <c r="H4" s="46" t="s">
        <v>874</v>
      </c>
      <c r="I4" s="32"/>
      <c r="J4" s="55"/>
      <c r="K4" s="56" t="s">
        <v>8</v>
      </c>
      <c r="L4" s="71">
        <f ca="1">Z26*$Y$18+R4+Z29+Z30</f>
        <v>28244.377737825413</v>
      </c>
      <c r="M4" s="71"/>
      <c r="N4" s="71">
        <f ca="1">L4/$AC$7/$Y$18</f>
        <v>1053.1087896280915</v>
      </c>
      <c r="O4" s="71"/>
      <c r="P4" s="71">
        <f ca="1">N4*$Y$18</f>
        <v>947.7979106652823</v>
      </c>
      <c r="Q4" s="71"/>
      <c r="R4" s="71">
        <f ca="1">(AB33+$AB$36+$AB$37)*$Y$18</f>
        <v>3436.4149959779002</v>
      </c>
      <c r="S4" s="37"/>
      <c r="T4" s="38"/>
      <c r="U4" s="38"/>
      <c r="V4" s="14"/>
      <c r="W4" s="61" t="s">
        <v>150</v>
      </c>
      <c r="X4" s="61" t="str">
        <f ca="1">IFERROR(INDEX(INDIRECT(F3&amp;"Table"),MATCH(F4,INDIRECT(F3&amp;"Table"&amp;"[Name]"),0),COLUMN(INDIRECT(F3&amp;"Table"&amp;"[Ammo]"))),0)</f>
        <v>Normal</v>
      </c>
      <c r="Y4" s="61" t="str">
        <f ca="1">IFERROR(INDEX(INDIRECT(G3&amp;"Table"),MATCH(G4,INDIRECT(G3&amp;"Table"&amp;"[Name]"),0),COLUMN(INDIRECT(G3&amp;"Table"&amp;"[Ammo]"))),0)</f>
        <v>Normal</v>
      </c>
      <c r="Z4" s="61" t="str">
        <f ca="1">IFERROR(INDEX(INDIRECT(C3&amp;"Table"),MATCH(C2,INDIRECT(C3&amp;"Table"&amp;"[Name]"),0),COLUMN(INDIRECT(C3&amp;"Table"&amp;"["&amp;W4&amp;"3"&amp;"]"))),0)</f>
        <v>B</v>
      </c>
      <c r="AA4" s="61"/>
      <c r="AB4" s="61" t="s">
        <v>55</v>
      </c>
      <c r="AC4" s="52">
        <f ca="1">IF(OR(Z4="Normal", Z4="Magnetic",Z4="AP"), 0,IFERROR(INDEX(BurnT[],MATCH(H3,BurnT[Type],0),COLUMN(BurnT[Burn])),0))</f>
        <v>0</v>
      </c>
      <c r="AD4" s="14"/>
      <c r="AE4" s="14"/>
      <c r="AF4" s="14"/>
      <c r="AG4" s="14"/>
      <c r="AH4" s="14"/>
      <c r="AI4" s="14"/>
      <c r="AJ4" s="14"/>
      <c r="AK4" s="14"/>
      <c r="AL4" s="14"/>
    </row>
    <row r="5" spans="1:38" x14ac:dyDescent="0.3">
      <c r="A5" s="13"/>
      <c r="B5" s="45" t="s">
        <v>903</v>
      </c>
      <c r="C5" s="44">
        <f ca="1">IFERROR(INDEX(INDIRECT(C3&amp;"Table"),MATCH(C2,INDIRECT(C3&amp;"Table"&amp;"[Name]"),0),COLUMN(INDIRECT(C3&amp;"Table"&amp;"["&amp;B5&amp;"]"))),0)</f>
        <v>238</v>
      </c>
      <c r="D5" s="44">
        <f ca="1">IFERROR(INDEX(INDIRECT(D3&amp;"Table"),MATCH(D4,INDIRECT(D3&amp;"Table"&amp;"[Name]"),0),COLUMN(INDIRECT(D3&amp;"Table"&amp;"["&amp;B5&amp;"]"))),0)</f>
        <v>0</v>
      </c>
      <c r="E5" s="44">
        <f ca="1">IFERROR(INDEX(INDIRECT(E3&amp;"Table"),MATCH(E4,INDIRECT(E3&amp;"Table"&amp;"[Name]"),0),COLUMN(INDIRECT(E3&amp;"Table"&amp;"["&amp;B5&amp;"]"))),0)</f>
        <v>0</v>
      </c>
      <c r="F5" s="44">
        <f ca="1">IFERROR(INDEX(INDIRECT(F3&amp;"Table"),MATCH(F4,INDIRECT(F3&amp;"Table"&amp;"[Name]"),0),COLUMN(INDIRECT(F3&amp;"Table"&amp;"["&amp;B5&amp;"]"))),0)</f>
        <v>0</v>
      </c>
      <c r="G5" s="44">
        <f ca="1">IFERROR(INDEX(INDIRECT(G3&amp;"Table"),MATCH(G4,INDIRECT(G3&amp;"Table"&amp;"[Name]"),0),COLUMN(INDIRECT(G3&amp;"Table"&amp;"["&amp;B5&amp;"]"))),0)</f>
        <v>0</v>
      </c>
      <c r="H5" s="44">
        <f ca="1">IFERROR(INDEX(INDIRECT(G3&amp;"Table"),MATCH(G4,INDIRECT(G3&amp;"Table"&amp;"[Name]"),0),COLUMN(INDIRECT(G3&amp;"Table"&amp;"["&amp;B5&amp;"]"))),0)</f>
        <v>0</v>
      </c>
      <c r="I5" s="32"/>
      <c r="J5" s="55"/>
      <c r="K5" s="56" t="s">
        <v>10</v>
      </c>
      <c r="L5" s="71">
        <f ca="1">Z27*$Y$18+R5+Z29+Z30</f>
        <v>35802.117768769065</v>
      </c>
      <c r="M5" s="71"/>
      <c r="N5" s="71">
        <f t="shared" ref="N5:N6" ca="1" si="0">L5/$AC$7/$Y$18</f>
        <v>1334.9037199391894</v>
      </c>
      <c r="O5" s="71"/>
      <c r="P5" s="71">
        <f t="shared" ref="P5:P6" ca="1" si="1">N5*$Y$18</f>
        <v>1201.4133479452705</v>
      </c>
      <c r="Q5" s="71"/>
      <c r="R5" s="71">
        <f t="shared" ref="R5:R6" ca="1" si="2">(AB34+$AB$36+$AB$37)*$Y$18</f>
        <v>4295.5187449723753</v>
      </c>
      <c r="S5" s="37"/>
      <c r="T5" s="38"/>
      <c r="U5" s="38"/>
      <c r="V5" s="14"/>
      <c r="W5" s="61" t="s">
        <v>8</v>
      </c>
      <c r="X5" s="51">
        <f ca="1">IFERROR(INDEX(INDIRECT(F3&amp;"Coef"),MATCH(X4,INDIRECT(F3&amp;"Coef"&amp;"[Ammo]"),0),COLUMN(INDIRECT(F3&amp;"Coef"&amp;"["&amp;W5&amp;"]"))),0)</f>
        <v>0.8</v>
      </c>
      <c r="Y5" s="51">
        <f ca="1">IFERROR(INDEX(INDIRECT(G3&amp;"Coef"),MATCH(Y4,INDIRECT(G3&amp;"Coef"&amp;"[Ammo]"),0),COLUMN(INDIRECT(G3&amp;"Coef"&amp;"["&amp;W5&amp;"]"))),0)</f>
        <v>0.8</v>
      </c>
      <c r="Z5" s="51">
        <f>IFERROR(INDEX(IF(H3="TB",TorpedoDamage[],BombDamage[]),MATCH(H4,IF(H3="TB",TorpedoDamage[Name],BombDamage[Name]),0),COLUMN(IF(H3="TB",TorpedoDamage[Light],BombDamage[Light]))),0)</f>
        <v>321.75</v>
      </c>
      <c r="AA5" s="35"/>
      <c r="AB5" s="61" t="s">
        <v>900</v>
      </c>
      <c r="AC5" s="51">
        <v>6</v>
      </c>
      <c r="AD5" s="14"/>
      <c r="AE5" s="14"/>
      <c r="AF5" s="14"/>
      <c r="AG5" s="14"/>
      <c r="AH5" s="14"/>
      <c r="AI5" s="14"/>
      <c r="AJ5" s="14"/>
      <c r="AK5" s="14"/>
      <c r="AL5" s="14"/>
    </row>
    <row r="6" spans="1:38" x14ac:dyDescent="0.3">
      <c r="A6" s="13"/>
      <c r="B6" s="45" t="s">
        <v>7</v>
      </c>
      <c r="C6" s="44">
        <f ca="1">IFERROR(INDEX(INDIRECT(C3&amp;"Table"),MATCH(C2,INDIRECT(C3&amp;"Table"&amp;"[Name]"),0),COLUMN(INDIRECT(C3&amp;"Table"&amp;"["&amp;B6&amp;"]"))),0)</f>
        <v>2657</v>
      </c>
      <c r="D6" s="44">
        <f ca="1">IFERROR(INDEX(INDIRECT(D3&amp;"Table"),MATCH(D4,INDIRECT(D3&amp;"Table"&amp;"[Name]"),0),COLUMN(INDIRECT(D3&amp;"Table"&amp;"["&amp;B6&amp;"]"))),0)</f>
        <v>0</v>
      </c>
      <c r="E6" s="44">
        <f ca="1">IFERROR(INDEX(INDIRECT(E3&amp;"Table"),MATCH(E4,INDIRECT(E3&amp;"Table"&amp;"[Name]"),0),COLUMN(INDIRECT(E3&amp;"Table"&amp;"["&amp;B6&amp;"]"))),0)</f>
        <v>0</v>
      </c>
      <c r="F6" s="44">
        <f ca="1">IFERROR(INDEX(INDIRECT(F3&amp;"Table"),MATCH(F4,INDIRECT(F3&amp;"Table"&amp;"[Name]"),0),COLUMN(INDIRECT(F3&amp;"Table"&amp;"["&amp;B6&amp;"]"))),0)</f>
        <v>0</v>
      </c>
      <c r="G6" s="44">
        <f ca="1">IFERROR(INDEX(INDIRECT(G3&amp;"Table"),MATCH(G4,INDIRECT(G3&amp;"Table"&amp;"[Name]"),0),COLUMN(INDIRECT(G3&amp;"Table"&amp;"["&amp;B6&amp;"]"))),0)</f>
        <v>0</v>
      </c>
      <c r="H6" s="44">
        <f ca="1">IFERROR(INDEX(INDIRECT(G3&amp;"Table"),MATCH(G4,INDIRECT(G3&amp;"Table"&amp;"[Name]"),0),COLUMN(INDIRECT(G3&amp;"Table"&amp;"["&amp;B6&amp;"]"))),0)</f>
        <v>0</v>
      </c>
      <c r="I6" s="32"/>
      <c r="J6" s="55"/>
      <c r="K6" s="56" t="s">
        <v>12</v>
      </c>
      <c r="L6" s="71">
        <f ca="1">Z28*$Y$18+R6+Z29+Z30</f>
        <v>45748.120145020112</v>
      </c>
      <c r="M6" s="71"/>
      <c r="N6" s="71">
        <f t="shared" ca="1" si="0"/>
        <v>1705.7464632744263</v>
      </c>
      <c r="O6" s="71"/>
      <c r="P6" s="71">
        <f t="shared" ca="1" si="1"/>
        <v>1535.1718169469837</v>
      </c>
      <c r="Q6" s="71"/>
      <c r="R6" s="71">
        <f t="shared" ca="1" si="2"/>
        <v>5584.1743684640887</v>
      </c>
      <c r="S6" s="37"/>
      <c r="T6" s="38"/>
      <c r="U6" s="38"/>
      <c r="V6" s="14"/>
      <c r="W6" s="61" t="s">
        <v>10</v>
      </c>
      <c r="X6" s="51">
        <f ca="1">IFERROR(INDEX(INDIRECT(F3&amp;"Coef"),MATCH(X4,INDIRECT(F3&amp;"Coef"&amp;"[Ammo]"),0),COLUMN(INDIRECT(F3&amp;"Coef"&amp;"["&amp;W6&amp;"]"))),0)</f>
        <v>1</v>
      </c>
      <c r="Y6" s="51">
        <f ca="1">IFERROR(INDEX(INDIRECT(G3&amp;"Coef"),MATCH(Y4,INDIRECT(G3&amp;"Coef"&amp;"[Ammo]"),0),COLUMN(INDIRECT(G3&amp;"Coef"&amp;"["&amp;W6&amp;"]"))),0)</f>
        <v>1</v>
      </c>
      <c r="Z6" s="51">
        <f>IFERROR(INDEX(IF(H3="TB",TorpedoDamage[],BombDamage[]),MATCH(H4,IF(H3="TB",TorpedoDamage[Name],BombDamage[Name]),0),COLUMN(IF(H3="TB",TorpedoDamage[Medium],BombDamage[Medium]))),0)</f>
        <v>429</v>
      </c>
      <c r="AA6" s="35"/>
      <c r="AB6" s="61" t="s">
        <v>905</v>
      </c>
      <c r="AC6" s="51">
        <f ca="1">G21/10</f>
        <v>23.8</v>
      </c>
      <c r="AD6" s="14"/>
      <c r="AE6" s="14"/>
      <c r="AF6" s="14"/>
      <c r="AG6" s="14"/>
      <c r="AH6" s="14"/>
      <c r="AI6" s="14"/>
      <c r="AJ6" s="14"/>
      <c r="AK6" s="14"/>
      <c r="AL6" s="14"/>
    </row>
    <row r="7" spans="1:38" x14ac:dyDescent="0.3">
      <c r="A7" s="13"/>
      <c r="B7" s="45" t="s">
        <v>9</v>
      </c>
      <c r="C7" s="44">
        <f ca="1">IFERROR(INDEX(INDIRECT(C3&amp;"Table"),MATCH(C2,INDIRECT(C3&amp;"Table"&amp;"[Name]"),0),COLUMN(INDIRECT(C3&amp;"Table"&amp;"["&amp;B7&amp;"]"))),0)</f>
        <v>59</v>
      </c>
      <c r="D7" s="44">
        <f ca="1">IFERROR(INDEX(INDIRECT(D3&amp;"Table"),MATCH(D4,INDIRECT(D3&amp;"Table"&amp;"[Name]"),0),COLUMN(INDIRECT(D3&amp;"Table"&amp;"["&amp;B7&amp;"]"))),0)</f>
        <v>0</v>
      </c>
      <c r="E7" s="44">
        <f ca="1">IFERROR(INDEX(INDIRECT(E3&amp;"Table"),MATCH(E4,INDIRECT(E3&amp;"Table"&amp;"[Name]"),0),COLUMN(INDIRECT(E3&amp;"Table"&amp;"["&amp;B7&amp;"]"))),0)</f>
        <v>0</v>
      </c>
      <c r="F7" s="44">
        <f ca="1">IFERROR(INDEX(INDIRECT(F3&amp;"Table"),MATCH(F4,INDIRECT(F3&amp;"Table"&amp;"[Name]"),0),COLUMN(INDIRECT(F3&amp;"Table"&amp;"["&amp;B7&amp;"]"))),0)</f>
        <v>0</v>
      </c>
      <c r="G7" s="44">
        <f ca="1">IFERROR(INDEX(INDIRECT(G3&amp;"Table"),MATCH(G4,INDIRECT(G3&amp;"Table"&amp;"[Name]"),0),COLUMN(INDIRECT(G3&amp;"Table"&amp;"["&amp;B7&amp;"]"))),0)</f>
        <v>0</v>
      </c>
      <c r="H7" s="44">
        <f ca="1">IFERROR(INDEX(INDIRECT(H3&amp;"Table"),MATCH(H4,INDIRECT(H3&amp;"Table"&amp;"[Name]"),0),COLUMN(INDIRECT(H3&amp;"Table"&amp;"["&amp;B7&amp;"]"))),0)</f>
        <v>0</v>
      </c>
      <c r="I7" s="32"/>
      <c r="J7" s="55" t="s">
        <v>1409</v>
      </c>
      <c r="K7" s="56"/>
      <c r="L7" s="37">
        <f ca="1">FLOOR(2*Z9*SUM(C10:H10)/100,1)</f>
        <v>66</v>
      </c>
      <c r="M7" s="37"/>
      <c r="N7" s="37"/>
      <c r="O7" s="37"/>
      <c r="P7" s="37"/>
      <c r="Q7" s="37"/>
      <c r="R7" s="37"/>
      <c r="S7" s="37"/>
      <c r="T7" s="37"/>
      <c r="U7" s="38"/>
      <c r="V7" s="14"/>
      <c r="W7" s="61" t="s">
        <v>12</v>
      </c>
      <c r="X7" s="51">
        <f ca="1">IFERROR(INDEX(INDIRECT(F3&amp;"Coef"),MATCH(X4,INDIRECT(F3&amp;"Coef"&amp;"[Ammo]"),0),COLUMN(INDIRECT(F3&amp;"Coef"&amp;"["&amp;W7&amp;"]"))),0)</f>
        <v>1.3</v>
      </c>
      <c r="Y7" s="51">
        <f ca="1">IFERROR(INDEX(INDIRECT(G3&amp;"Coef"),MATCH(Y4,INDIRECT(G3&amp;"Coef"&amp;"[Ammo]"),0),COLUMN(INDIRECT(G3&amp;"Coef"&amp;"["&amp;W7&amp;"]"))),0)</f>
        <v>1.3</v>
      </c>
      <c r="Z7" s="51">
        <f>IFERROR(INDEX(IF(H3="TB",TorpedoDamage[],BombDamage[]),MATCH(H4,IF(H3="TB",TorpedoDamage[Name],BombDamage[Name]),0),COLUMN(IF(H3="TB",TorpedoDamage[Heavy],BombDamage[Heavy]))),0)</f>
        <v>514.79999999999995</v>
      </c>
      <c r="AA7" s="35"/>
      <c r="AB7" s="61" t="s">
        <v>906</v>
      </c>
      <c r="AC7" s="51">
        <f ca="1">AC5+AC6</f>
        <v>29.8</v>
      </c>
      <c r="AD7" s="14"/>
      <c r="AE7" s="14"/>
      <c r="AF7" s="14"/>
      <c r="AG7" s="14"/>
      <c r="AH7" s="14"/>
      <c r="AI7" s="14"/>
      <c r="AJ7" s="14"/>
      <c r="AK7" s="14"/>
      <c r="AL7" s="14"/>
    </row>
    <row r="8" spans="1:38" x14ac:dyDescent="0.3">
      <c r="A8" s="13"/>
      <c r="B8" s="45" t="s">
        <v>11</v>
      </c>
      <c r="C8" s="44">
        <f ca="1">IFERROR(INDEX(INDIRECT(C3&amp;"Table"),MATCH(C2,INDIRECT(C3&amp;"Table"&amp;"[Name]"),0),COLUMN(INDIRECT(C3&amp;"Table"&amp;"["&amp;B8&amp;"]"))),0)</f>
        <v>514</v>
      </c>
      <c r="D8" s="44">
        <f ca="1">IFERROR(INDEX(INDIRECT(D3&amp;"Table"),MATCH(D4,INDIRECT(D3&amp;"Table"&amp;"[Name]"),0),COLUMN(INDIRECT(D3&amp;"Table"&amp;"["&amp;B8&amp;"]"))),0)</f>
        <v>100</v>
      </c>
      <c r="E8" s="44">
        <f ca="1">IFERROR(INDEX(INDIRECT(E3&amp;"Table"),MATCH(E4,INDIRECT(E3&amp;"Table"&amp;"[Name]"),0),COLUMN(INDIRECT(E3&amp;"Table"&amp;"["&amp;B8&amp;"]"))),0)</f>
        <v>100</v>
      </c>
      <c r="F8" s="44">
        <f ca="1">IFERROR(INDEX(INDIRECT(F3&amp;"Table"),MATCH(F4,INDIRECT(F3&amp;"Table"&amp;"[Name]"),0),COLUMN(INDIRECT(F3&amp;"Table"&amp;"["&amp;B8&amp;"]"))),0)</f>
        <v>45</v>
      </c>
      <c r="G8" s="44">
        <f ca="1">IFERROR(INDEX(INDIRECT(G3&amp;"Table"),MATCH(G4,INDIRECT(G3&amp;"Table"&amp;"[Name]"),0),COLUMN(INDIRECT(G3&amp;"Table"&amp;"["&amp;B8&amp;"]"))),0)</f>
        <v>45</v>
      </c>
      <c r="H8" s="44">
        <f ca="1">IFERROR(INDEX(INDIRECT(H3&amp;"Table"),MATCH(H4,INDIRECT(H3&amp;"Table"&amp;"[Name]"),0),COLUMN(INDIRECT(H3&amp;"Table"&amp;"["&amp;B8&amp;"]"))),0)</f>
        <v>0</v>
      </c>
      <c r="I8" s="32"/>
      <c r="J8" s="55" t="s">
        <v>30</v>
      </c>
      <c r="K8" s="56"/>
      <c r="L8" s="37">
        <f>J38</f>
        <v>0</v>
      </c>
      <c r="M8" s="37"/>
      <c r="N8" s="37"/>
      <c r="O8" s="37"/>
      <c r="P8" s="37"/>
      <c r="Q8" s="37"/>
      <c r="R8" s="37"/>
      <c r="S8" s="37"/>
      <c r="T8" s="37"/>
      <c r="U8" s="38"/>
      <c r="V8" s="14"/>
      <c r="W8" s="61" t="s">
        <v>1410</v>
      </c>
      <c r="X8" s="51">
        <f ca="1">F19*L20+MIN(FLOOR((MAX(AC7-(F20*L22+(F19*L20*0.75)+(G19*L20*0.75)),0))/0.75,1),F19*L20)</f>
        <v>6</v>
      </c>
      <c r="Y8" s="51">
        <f ca="1">G19*L20+MIN(FLOOR((MAX(AC7-(G20*L22+(F19*L20*0.75)*2+(G19*L20*0.75)),0))/0.75,1),G19*L20)</f>
        <v>6</v>
      </c>
      <c r="Z8" s="51">
        <f ca="1">IFERROR(INDEX(INDIRECT(C3&amp;"Table"),MATCH(C2,INDIRECT(C3&amp;"Table"&amp;"[Name]"),0),COLUMN(INDIRECT(C3&amp;"Table"&amp;"["&amp;"Plane3"&amp;"]"))),0)</f>
        <v>2</v>
      </c>
      <c r="AA8" s="35"/>
      <c r="AB8" s="35"/>
      <c r="AC8" s="35"/>
      <c r="AD8" s="14"/>
      <c r="AE8" s="14"/>
      <c r="AF8" s="14"/>
      <c r="AG8" s="14"/>
      <c r="AH8" s="14"/>
      <c r="AI8" s="14"/>
      <c r="AJ8" s="14"/>
      <c r="AK8" s="14"/>
      <c r="AL8" s="14"/>
    </row>
    <row r="9" spans="1:38" x14ac:dyDescent="0.3">
      <c r="A9" s="13"/>
      <c r="B9" s="45" t="s">
        <v>265</v>
      </c>
      <c r="C9" s="44">
        <f ca="1">IFERROR(INDEX(INDIRECT(C3&amp;"Table"),MATCH(C2,INDIRECT(C3&amp;"Table"&amp;"[Name]"),0),COLUMN(INDIRECT(C3&amp;"Table"&amp;"["&amp;B9&amp;"]"))),0)</f>
        <v>0</v>
      </c>
      <c r="D9" s="44">
        <f ca="1">IFERROR(INDEX(INDIRECT(D3&amp;"Table"),MATCH(D4,INDIRECT(D3&amp;"Table"&amp;"[Name]"),0),COLUMN(INDIRECT(D3&amp;"Table"&amp;"["&amp;B9&amp;"]"))),0)</f>
        <v>0</v>
      </c>
      <c r="E9" s="44">
        <f ca="1">IFERROR(INDEX(INDIRECT(E3&amp;"Table"),MATCH(E4,INDIRECT(E3&amp;"Table"&amp;"[Name]"),0),COLUMN(INDIRECT(E3&amp;"Table"&amp;"["&amp;B9&amp;"]"))),0)</f>
        <v>0</v>
      </c>
      <c r="F9" s="44">
        <f ca="1">IFERROR(INDEX(INDIRECT(F3&amp;"Table"),MATCH(F4,INDIRECT(F3&amp;"Table"&amp;"[Name]"),0),COLUMN(INDIRECT(F3&amp;"Table"&amp;"["&amp;B9&amp;"]"))),0)</f>
        <v>0</v>
      </c>
      <c r="G9" s="44">
        <f ca="1">IFERROR(INDEX(INDIRECT(G3&amp;"Table"),MATCH(G4,INDIRECT(G3&amp;"Table"&amp;"[Name]"),0),COLUMN(INDIRECT(G3&amp;"Table"&amp;"["&amp;B9&amp;"]"))),0)</f>
        <v>0</v>
      </c>
      <c r="H9" s="44">
        <f ca="1">IFERROR(INDEX(INDIRECT(H3&amp;"Table"),MATCH(H4,INDIRECT(H3&amp;"Table"&amp;"[Name]"),0),COLUMN(INDIRECT(H3&amp;"Table"&amp;"["&amp;B9&amp;"]"))),0)</f>
        <v>0</v>
      </c>
      <c r="I9" s="32"/>
      <c r="J9" s="55" t="s">
        <v>861</v>
      </c>
      <c r="K9" s="56"/>
      <c r="L9" s="71">
        <f>J40</f>
        <v>0</v>
      </c>
      <c r="M9" s="37"/>
      <c r="N9" s="55" t="s">
        <v>908</v>
      </c>
      <c r="O9" s="42"/>
      <c r="P9" s="37">
        <f ca="1">F20*L22</f>
        <v>22.99899561125741</v>
      </c>
      <c r="Q9" s="63"/>
      <c r="R9" s="51" t="str">
        <f>F4</f>
        <v>Mark 16 Torpedo</v>
      </c>
      <c r="S9" s="51"/>
      <c r="T9" s="51"/>
      <c r="U9" s="38"/>
      <c r="V9" s="14"/>
      <c r="W9" s="61" t="s">
        <v>870</v>
      </c>
      <c r="X9" s="51"/>
      <c r="Y9" s="51"/>
      <c r="Z9" s="51">
        <f ca="1">(IF(Z4="F",10*Z8,IF(Z4="B",6*Z8,IF(Z4="T",5*Z8,0))))</f>
        <v>12</v>
      </c>
      <c r="AA9" s="35"/>
      <c r="AB9" s="35"/>
      <c r="AC9" s="61"/>
      <c r="AD9" s="14"/>
      <c r="AE9" s="14"/>
      <c r="AF9" s="14"/>
      <c r="AG9" s="14"/>
      <c r="AH9" s="14"/>
      <c r="AI9" s="14"/>
      <c r="AJ9" s="14"/>
      <c r="AK9" s="14"/>
      <c r="AL9" s="14"/>
    </row>
    <row r="10" spans="1:38" x14ac:dyDescent="0.3">
      <c r="A10" s="13"/>
      <c r="B10" s="45" t="s">
        <v>293</v>
      </c>
      <c r="C10" s="44">
        <f ca="1">IFERROR(INDEX(INDIRECT(C3&amp;"Table"),MATCH(C2,INDIRECT(C3&amp;"Table"&amp;"[Name]"),0),COLUMN(INDIRECT(C3&amp;"Table"&amp;"["&amp;B10&amp;"]"))),0)</f>
        <v>252</v>
      </c>
      <c r="D10" s="44">
        <f ca="1">IFERROR(INDEX(INDIRECT(D3&amp;"Table"),MATCH(D4,INDIRECT(D3&amp;"Table"&amp;"[Name]"),0),COLUMN(INDIRECT(D3&amp;"Table"&amp;"["&amp;B10&amp;"]"))),0)</f>
        <v>0</v>
      </c>
      <c r="E10" s="44">
        <f ca="1">IFERROR(INDEX(INDIRECT(E3&amp;"Table"),MATCH(E4,INDIRECT(E3&amp;"Table"&amp;"[Name]"),0),COLUMN(INDIRECT(E3&amp;"Table"&amp;"["&amp;B10&amp;"]"))),0)</f>
        <v>0</v>
      </c>
      <c r="F10" s="44">
        <f ca="1">IFERROR(INDEX(INDIRECT(F3&amp;"Table"),MATCH(F4,INDIRECT(F3&amp;"Table"&amp;"[Name]"),0),COLUMN(INDIRECT(F3&amp;"Table"&amp;"["&amp;B10&amp;"]"))),0)</f>
        <v>0</v>
      </c>
      <c r="G10" s="44">
        <f ca="1">IFERROR(INDEX(INDIRECT(G3&amp;"Table"),MATCH(G4,INDIRECT(G3&amp;"Table"&amp;"[Name]"),0),COLUMN(INDIRECT(G3&amp;"Table"&amp;"["&amp;B10&amp;"]"))),0)</f>
        <v>0</v>
      </c>
      <c r="H10" s="44">
        <f ca="1">IFERROR(INDEX(INDIRECT(H3&amp;"Table"),MATCH(H4,INDIRECT(H3&amp;"Table"&amp;"[Name]"),0),COLUMN(INDIRECT(H3&amp;"Table"&amp;"["&amp;B10&amp;"]"))),0)</f>
        <v>25</v>
      </c>
      <c r="I10" s="32"/>
      <c r="J10" s="55" t="s">
        <v>862</v>
      </c>
      <c r="K10" s="56"/>
      <c r="L10" s="71">
        <f>M33</f>
        <v>0</v>
      </c>
      <c r="M10" s="37"/>
      <c r="N10" s="55" t="s">
        <v>909</v>
      </c>
      <c r="O10" s="41"/>
      <c r="P10" s="71">
        <f ca="1">G20*L22</f>
        <v>22.99899561125741</v>
      </c>
      <c r="Q10" s="63"/>
      <c r="R10" s="51" t="str">
        <f>G4</f>
        <v>Mark 16 Torpedo</v>
      </c>
      <c r="S10" s="51"/>
      <c r="T10" s="51" t="str">
        <f>D4</f>
        <v>Type 93 Rainbow</v>
      </c>
      <c r="U10" s="38"/>
      <c r="V10" s="14"/>
      <c r="W10" s="61" t="s">
        <v>917</v>
      </c>
      <c r="X10" s="51"/>
      <c r="Y10" s="52">
        <f ca="1">1+(0.05+((SUM(C17:H17)*P17)/(SUM(C17:H17)*P17+2000+T16))+((SUM(C16:H16)-T14)/5000)+Y13)*(L16+Y12+L17)</f>
        <v>1.0665948434622468</v>
      </c>
      <c r="Z10" s="51"/>
      <c r="AA10" s="35"/>
      <c r="AB10" s="61"/>
      <c r="AC10" s="51"/>
      <c r="AD10" s="14"/>
      <c r="AE10" s="14"/>
      <c r="AF10" s="14"/>
      <c r="AG10" s="14"/>
      <c r="AH10" s="14"/>
      <c r="AI10" s="14"/>
      <c r="AJ10" s="14"/>
      <c r="AK10" s="14"/>
      <c r="AL10" s="14"/>
    </row>
    <row r="11" spans="1:38" x14ac:dyDescent="0.3">
      <c r="A11" s="13"/>
      <c r="B11" s="45" t="s">
        <v>14</v>
      </c>
      <c r="C11" s="44">
        <f ca="1">IFERROR(INDEX(INDIRECT(C3&amp;"Table"),MATCH(C2,INDIRECT(C3&amp;"Table"&amp;"[Name]"),0),COLUMN(INDIRECT(C3&amp;"Table"&amp;"["&amp;B11&amp;"]"))),0)</f>
        <v>109</v>
      </c>
      <c r="D11" s="44">
        <f ca="1">IFERROR(INDEX(INDIRECT(D3&amp;"Table"),MATCH(D4,INDIRECT(D3&amp;"Table"&amp;"[Name]"),0),COLUMN(INDIRECT(D3&amp;"Table"&amp;"["&amp;B11&amp;"]"))),0)</f>
        <v>10</v>
      </c>
      <c r="E11" s="44">
        <f ca="1">IFERROR(INDEX(INDIRECT(E3&amp;"Table"),MATCH(E4,INDIRECT(E3&amp;"Table"&amp;"[Name]"),0),COLUMN(INDIRECT(E3&amp;"Table"&amp;"["&amp;B11&amp;"]"))),0)</f>
        <v>10</v>
      </c>
      <c r="F11" s="44">
        <f ca="1">IFERROR(INDEX(INDIRECT(F3&amp;"Table"),MATCH(F4,INDIRECT(F3&amp;"Table"&amp;"[Name]"),0),COLUMN(INDIRECT(F3&amp;"Table"&amp;"["&amp;B11&amp;"]"))),0)</f>
        <v>0</v>
      </c>
      <c r="G11" s="44">
        <f ca="1">IFERROR(INDEX(INDIRECT(G3&amp;"Table"),MATCH(G4,INDIRECT(G3&amp;"Table"&amp;"[Name]"),0),COLUMN(INDIRECT(G3&amp;"Table"&amp;"["&amp;B11&amp;"]"))),0)</f>
        <v>0</v>
      </c>
      <c r="H11" s="44">
        <f ca="1">IFERROR(INDEX(INDIRECT(H3&amp;"Table"),MATCH(H4,INDIRECT(H3&amp;"Table"&amp;"[Name]"),0),COLUMN(INDIRECT(H3&amp;"Table"&amp;"["&amp;B11&amp;"]"))),0)</f>
        <v>0</v>
      </c>
      <c r="I11" s="32"/>
      <c r="J11" s="55" t="s">
        <v>914</v>
      </c>
      <c r="K11" s="56"/>
      <c r="L11" s="71">
        <f ca="1">AC7</f>
        <v>29.8</v>
      </c>
      <c r="M11" s="37"/>
      <c r="N11" s="55" t="s">
        <v>911</v>
      </c>
      <c r="O11" s="41"/>
      <c r="P11" s="71">
        <f ca="1">H20*L22</f>
        <v>13.363902366557536</v>
      </c>
      <c r="Q11" s="63"/>
      <c r="R11" s="51" t="str">
        <f>H4</f>
        <v>Seiran</v>
      </c>
      <c r="S11" s="51"/>
      <c r="T11" s="51" t="str">
        <f>E4</f>
        <v>Type 93 Rainbow</v>
      </c>
      <c r="U11" s="38"/>
      <c r="V11" s="14"/>
      <c r="W11" s="61" t="s">
        <v>852</v>
      </c>
      <c r="X11" s="51"/>
      <c r="Y11" s="52">
        <f ca="1">1+(0.05+((SUM(C17:H17)*P17)/(SUM(C17:H17)*P17+2000+T16))+((SUM(C16:H16)-T14)/5000)+Y13)*(L16+Y12+L18)</f>
        <v>1.0665948434622468</v>
      </c>
      <c r="Z11" s="51"/>
      <c r="AA11" s="35"/>
      <c r="AB11" s="61"/>
      <c r="AC11" s="51"/>
      <c r="AD11" s="14"/>
      <c r="AE11" s="14"/>
      <c r="AF11" s="14"/>
      <c r="AG11" s="14"/>
      <c r="AH11" s="14"/>
      <c r="AI11" s="14"/>
      <c r="AJ11" s="14"/>
      <c r="AK11" s="14"/>
      <c r="AL11" s="14"/>
    </row>
    <row r="12" spans="1:38" x14ac:dyDescent="0.3">
      <c r="A12" s="13"/>
      <c r="B12" s="45" t="s">
        <v>53</v>
      </c>
      <c r="C12" s="44">
        <f ca="1">IFERROR(INDEX(INDIRECT(C3&amp;"Table"),MATCH(C2,INDIRECT(C3&amp;"Table"&amp;"[Name]"),0),COLUMN(INDIRECT(C3&amp;"Table"&amp;"["&amp;B12&amp;"]"))),0)</f>
        <v>1.35</v>
      </c>
      <c r="D12" s="44">
        <f ca="1">IFERROR(INDEX(INDIRECT(D3&amp;"Table"),MATCH(D4,INDIRECT(D3&amp;"Table"&amp;"[Name]"),0),COLUMN(INDIRECT(D3&amp;"Table"&amp;"["&amp;B12&amp;"]"))),0)</f>
        <v>0</v>
      </c>
      <c r="E12" s="44">
        <f ca="1">IFERROR(INDEX(INDIRECT(E3&amp;"Table"),MATCH(E4,INDIRECT(E3&amp;"Table"&amp;"[Name]"),0),COLUMN(INDIRECT(E3&amp;"Table"&amp;"["&amp;B12&amp;"]"))),0)</f>
        <v>0</v>
      </c>
      <c r="F12" s="44">
        <f ca="1">IFERROR(INDEX(INDIRECT(F3&amp;"Table"),MATCH(F4,INDIRECT(F3&amp;"Table"&amp;"[Name]"),0),COLUMN(INDIRECT(F3&amp;"Table"&amp;"["&amp;B12&amp;"]"))),0)</f>
        <v>0</v>
      </c>
      <c r="G12" s="44">
        <f ca="1">IFERROR(INDEX(INDIRECT(G3&amp;"Table"),MATCH(G4,INDIRECT(G3&amp;"Table"&amp;"[Name]"),0),COLUMN(INDIRECT(G3&amp;"Table"&amp;"["&amp;B12&amp;"]"))),0)</f>
        <v>0</v>
      </c>
      <c r="H12" s="44">
        <f ca="1">IFERROR(INDEX(INDIRECT(H3&amp;"Table"),MATCH(H4,INDIRECT(H3&amp;"Table"&amp;"[Name]"),0),COLUMN(INDIRECT(H3&amp;"Table"&amp;"["&amp;B12&amp;"]"))),0)</f>
        <v>0</v>
      </c>
      <c r="I12" s="32"/>
      <c r="J12" s="5"/>
      <c r="K12" s="5"/>
      <c r="L12" s="5"/>
      <c r="M12" s="5"/>
      <c r="N12" s="5"/>
      <c r="O12" s="5"/>
      <c r="P12" s="5"/>
      <c r="Q12" s="5"/>
      <c r="R12" s="5"/>
      <c r="S12" s="5"/>
      <c r="T12" s="5"/>
      <c r="U12" s="5"/>
      <c r="V12" s="14"/>
      <c r="W12" s="61" t="s">
        <v>315</v>
      </c>
      <c r="X12" s="51"/>
      <c r="Y12" s="51">
        <f ca="1">IFERROR(INDEX(INDIRECT(D3&amp;"Table"),MATCH(D4,INDIRECT(D3&amp;"Table"&amp;"[Name]"),0),COLUMN(INDIRECT(D3&amp;"Table"&amp;"[CritDamage]"))),0)+IFERROR(INDEX(INDIRECT(E3&amp;"Table"),MATCH(E4,INDIRECT(E3&amp;"Table"&amp;"[Name]"),0),COLUMN(INDIRECT(E3&amp;"Table"&amp;"[CritDamage]"))),0)</f>
        <v>0</v>
      </c>
      <c r="Z12" s="51"/>
      <c r="AA12" s="35"/>
      <c r="AB12" s="61"/>
      <c r="AC12" s="51"/>
      <c r="AD12" s="14"/>
      <c r="AE12" s="14"/>
      <c r="AF12" s="14"/>
      <c r="AG12" s="14"/>
      <c r="AH12" s="14"/>
      <c r="AI12" s="14"/>
      <c r="AJ12" s="14"/>
      <c r="AK12" s="14"/>
      <c r="AL12" s="14"/>
    </row>
    <row r="13" spans="1:38" x14ac:dyDescent="0.3">
      <c r="A13" s="13"/>
      <c r="B13" s="45" t="s">
        <v>668</v>
      </c>
      <c r="C13" s="44">
        <f ca="1">IFERROR(INDEX(INDIRECT(C3&amp;"Table"),MATCH(C2,INDIRECT(C3&amp;"Table"&amp;"[Name]"),0),COLUMN(INDIRECT(C3&amp;"Table"&amp;"["&amp;B13&amp;"]"))),0)</f>
        <v>1.1499999999999999</v>
      </c>
      <c r="D13" s="44">
        <f ca="1">IFERROR(INDEX(INDIRECT(D3&amp;"Table"),MATCH(D4,INDIRECT(D3&amp;"Table"&amp;"[Name]"),0),COLUMN(INDIRECT(D3&amp;"Table"&amp;"["&amp;B13&amp;"]"))),0)</f>
        <v>0</v>
      </c>
      <c r="E13" s="44">
        <f ca="1">IFERROR(INDEX(INDIRECT(E3&amp;"Table"),MATCH(E4,INDIRECT(E3&amp;"Table"&amp;"[Name]"),0),COLUMN(INDIRECT(E3&amp;"Table"&amp;"["&amp;B13&amp;"]"))),0)</f>
        <v>0</v>
      </c>
      <c r="F13" s="44">
        <f ca="1">IFERROR(INDEX(INDIRECT(F3&amp;"Table"),MATCH(F4,INDIRECT(F3&amp;"Table"&amp;"[Name]"),0),COLUMN(INDIRECT(F3&amp;"Table"&amp;"["&amp;B13&amp;"]"))),0)</f>
        <v>0</v>
      </c>
      <c r="G13" s="44">
        <f ca="1">IFERROR(INDEX(INDIRECT(G3&amp;"Table"),MATCH(G4,INDIRECT(G3&amp;"Table"&amp;"[Name]"),0),COLUMN(INDIRECT(G3&amp;"Table"&amp;"["&amp;B13&amp;"]"))),0)</f>
        <v>0</v>
      </c>
      <c r="H13" s="44">
        <f ca="1">IFERROR(INDEX(INDIRECT(H3&amp;"Table"),MATCH(H4,INDIRECT(H3&amp;"Table"&amp;"[Name]"),0),COLUMN(INDIRECT(H3&amp;"Table"&amp;"["&amp;B13&amp;"]"))),0)</f>
        <v>0</v>
      </c>
      <c r="I13" s="64"/>
      <c r="J13" s="192" t="s">
        <v>270</v>
      </c>
      <c r="K13" s="192"/>
      <c r="L13" s="192"/>
      <c r="M13" s="192"/>
      <c r="N13" s="192"/>
      <c r="O13" s="192"/>
      <c r="P13" s="192"/>
      <c r="Q13" s="192"/>
      <c r="R13" s="192"/>
      <c r="S13" s="192"/>
      <c r="T13" s="192"/>
      <c r="U13" s="192"/>
      <c r="V13" s="5"/>
      <c r="W13" s="61" t="s">
        <v>313</v>
      </c>
      <c r="X13" s="51"/>
      <c r="Y13" s="52">
        <f ca="1">IFERROR(INDEX(INDIRECT(D3&amp;"Table"),MATCH(D4,INDIRECT(D3&amp;"Table"&amp;"[Name]"),0),COLUMN(INDIRECT(D3&amp;"Table"&amp;"[Crit%]"))),0)+IFERROR(INDEX(INDIRECT(E3&amp;"Table"),MATCH(E4,INDIRECT(E3&amp;"Table"&amp;"[Name]"),0),COLUMN(INDIRECT(E3&amp;"Table"&amp;"[Crit%]"))),0)</f>
        <v>0</v>
      </c>
      <c r="Z13" s="51"/>
      <c r="AA13" s="35"/>
      <c r="AB13" s="61"/>
      <c r="AC13" s="51"/>
      <c r="AD13" s="14"/>
      <c r="AE13" s="14"/>
      <c r="AF13" s="14"/>
      <c r="AG13" s="14"/>
      <c r="AH13" s="14"/>
      <c r="AI13" s="14"/>
      <c r="AJ13" s="14"/>
      <c r="AK13" s="14"/>
      <c r="AL13" s="14"/>
    </row>
    <row r="14" spans="1:38" x14ac:dyDescent="0.3">
      <c r="A14" s="13"/>
      <c r="B14" s="45" t="s">
        <v>733</v>
      </c>
      <c r="C14" s="44">
        <f ca="1">IFERROR(INDEX(INDIRECT(C3&amp;"Table"),MATCH(C2,INDIRECT(C3&amp;"Table"&amp;"[Name]"),0),COLUMN(INDIRECT(C3&amp;"Table"&amp;"["&amp;B14&amp;"]"))),0)</f>
        <v>1.5</v>
      </c>
      <c r="D14" s="44">
        <v>0</v>
      </c>
      <c r="E14" s="44">
        <v>0</v>
      </c>
      <c r="F14" s="44">
        <v>0</v>
      </c>
      <c r="G14" s="44">
        <v>0</v>
      </c>
      <c r="H14" s="44">
        <v>0</v>
      </c>
      <c r="I14" s="32"/>
      <c r="J14" s="57" t="s">
        <v>318</v>
      </c>
      <c r="K14" s="47"/>
      <c r="L14" s="38">
        <v>0</v>
      </c>
      <c r="M14" s="37"/>
      <c r="N14" s="58" t="s">
        <v>847</v>
      </c>
      <c r="O14" s="12"/>
      <c r="P14" s="38">
        <v>1</v>
      </c>
      <c r="Q14" s="37"/>
      <c r="R14" s="58" t="s">
        <v>5</v>
      </c>
      <c r="S14" s="58"/>
      <c r="T14" s="38">
        <v>0</v>
      </c>
      <c r="U14" s="37"/>
      <c r="V14" s="5"/>
      <c r="W14" s="61"/>
      <c r="X14" s="51"/>
      <c r="Y14" s="51"/>
      <c r="Z14" s="51"/>
      <c r="AA14" s="35"/>
      <c r="AB14" s="61"/>
      <c r="AC14" s="51"/>
      <c r="AD14" s="14"/>
      <c r="AE14" s="14"/>
      <c r="AF14" s="14"/>
      <c r="AG14" s="14"/>
      <c r="AH14" s="14"/>
      <c r="AI14" s="14"/>
      <c r="AJ14" s="14"/>
      <c r="AK14" s="14"/>
      <c r="AL14" s="14"/>
    </row>
    <row r="15" spans="1:38" x14ac:dyDescent="0.3">
      <c r="A15" s="13"/>
      <c r="B15" s="45" t="s">
        <v>294</v>
      </c>
      <c r="C15" s="44">
        <f ca="1">IFERROR(INDEX(INDIRECT(C3&amp;"Table"),MATCH(C2,INDIRECT(C3&amp;"Table"&amp;"[Name]"),0),COLUMN(INDIRECT(C3&amp;"Table"&amp;"["&amp;B15&amp;"]"))),0)</f>
        <v>36</v>
      </c>
      <c r="D15" s="44">
        <f ca="1">IFERROR(INDEX(INDIRECT(D3&amp;"Table"),MATCH(D4,INDIRECT(D3&amp;"Table"&amp;"[Name]"),0),COLUMN(INDIRECT(D3&amp;"Table"&amp;"["&amp;B15&amp;"]"))),0)</f>
        <v>0</v>
      </c>
      <c r="E15" s="44">
        <f ca="1">IFERROR(INDEX(INDIRECT(E3&amp;"Table"),MATCH(E4,INDIRECT(E3&amp;"Table"&amp;"[Name]"),0),COLUMN(INDIRECT(E3&amp;"Table"&amp;"["&amp;B15&amp;"]"))),0)</f>
        <v>0</v>
      </c>
      <c r="F15" s="44">
        <f ca="1">IFERROR(INDEX(INDIRECT(F3&amp;"Table"),MATCH(F4,INDIRECT(F3&amp;"Table"&amp;"[Name]"),0),COLUMN(INDIRECT(F3&amp;"Table"&amp;"["&amp;B15&amp;"]"))),0)</f>
        <v>0</v>
      </c>
      <c r="G15" s="44">
        <f ca="1">IFERROR(INDEX(INDIRECT(G3&amp;"Table"),MATCH(G4,INDIRECT(G3&amp;"Table"&amp;"[Name]"),0),COLUMN(INDIRECT(G3&amp;"Table"&amp;"["&amp;B15&amp;"]"))),0)</f>
        <v>0</v>
      </c>
      <c r="H15" s="44">
        <f ca="1">IFERROR(INDEX(INDIRECT(H3&amp;"Table"),MATCH(H4,INDIRECT(H3&amp;"Table"&amp;"[Name]"),0),COLUMN(INDIRECT(H3&amp;"Table"&amp;"["&amp;B15&amp;"]"))),0)</f>
        <v>0</v>
      </c>
      <c r="I15" s="32"/>
      <c r="J15" s="57" t="s">
        <v>319</v>
      </c>
      <c r="K15" s="47"/>
      <c r="L15" s="38">
        <v>0</v>
      </c>
      <c r="M15" s="37"/>
      <c r="N15" s="58" t="s">
        <v>846</v>
      </c>
      <c r="O15" s="13"/>
      <c r="P15" s="38">
        <v>1</v>
      </c>
      <c r="Q15" s="37"/>
      <c r="R15" s="58" t="s">
        <v>57</v>
      </c>
      <c r="S15" s="58"/>
      <c r="T15" s="38">
        <v>0</v>
      </c>
      <c r="U15" s="37"/>
      <c r="V15" s="5"/>
      <c r="W15" s="61" t="s">
        <v>31</v>
      </c>
      <c r="X15" s="51"/>
      <c r="Y15" s="51">
        <f ca="1">SUM(C6:H6)</f>
        <v>2657</v>
      </c>
      <c r="Z15" s="51"/>
      <c r="AA15" s="35"/>
      <c r="AB15" s="61"/>
      <c r="AC15" s="51"/>
      <c r="AD15" s="14"/>
      <c r="AE15" s="14"/>
      <c r="AF15" s="14"/>
      <c r="AG15" s="14"/>
      <c r="AH15" s="14"/>
      <c r="AI15" s="14"/>
      <c r="AJ15" s="14"/>
      <c r="AK15" s="14"/>
      <c r="AL15" s="14"/>
    </row>
    <row r="16" spans="1:38" x14ac:dyDescent="0.3">
      <c r="A16" s="13"/>
      <c r="B16" s="45" t="s">
        <v>17</v>
      </c>
      <c r="C16" s="44">
        <f ca="1">IFERROR(INDEX(INDIRECT(C3&amp;"Table"),MATCH(C2,INDIRECT(C3&amp;"Table"&amp;"[Name]"),0),COLUMN(INDIRECT(C3&amp;"Table"&amp;"["&amp;B16&amp;"]"))),0)</f>
        <v>20</v>
      </c>
      <c r="D16" s="44">
        <f ca="1">IFERROR(INDEX(INDIRECT(D3&amp;"Table"),MATCH(D4,INDIRECT(D3&amp;"Table"&amp;"[Name]"),0),COLUMN(INDIRECT(D3&amp;"Table"&amp;"["&amp;B16&amp;"]"))),0)</f>
        <v>0</v>
      </c>
      <c r="E16" s="44">
        <f ca="1">IFERROR(INDEX(INDIRECT(E3&amp;"Table"),MATCH(E4,INDIRECT(E3&amp;"Table"&amp;"[Name]"),0),COLUMN(INDIRECT(E3&amp;"Table"&amp;"["&amp;B16&amp;"]"))),0)</f>
        <v>0</v>
      </c>
      <c r="F16" s="44">
        <f ca="1">IFERROR(INDEX(INDIRECT(F3&amp;"Table"),MATCH(F4,INDIRECT(F3&amp;"Table"&amp;"[Name]"),0),COLUMN(INDIRECT(F3&amp;"Table"&amp;"["&amp;B16&amp;"]"))),0)</f>
        <v>0</v>
      </c>
      <c r="G16" s="44">
        <f ca="1">IFERROR(INDEX(INDIRECT(G3&amp;"Table"),MATCH(G4,INDIRECT(G3&amp;"Table"&amp;"[Name]"),0),COLUMN(INDIRECT(G3&amp;"Table"&amp;"["&amp;B16&amp;"]"))),0)</f>
        <v>0</v>
      </c>
      <c r="H16" s="44">
        <f ca="1">IFERROR(INDEX(INDIRECT(H3&amp;"Table"),MATCH(H4,INDIRECT(H3&amp;"Table"&amp;"[Name]"),0),COLUMN(INDIRECT(H3&amp;"Table"&amp;"["&amp;B16&amp;"]"))),0)</f>
        <v>0</v>
      </c>
      <c r="I16" s="32"/>
      <c r="J16" s="57" t="s">
        <v>60</v>
      </c>
      <c r="K16" s="47"/>
      <c r="L16" s="38">
        <v>0.5</v>
      </c>
      <c r="M16" s="37"/>
      <c r="N16" s="58" t="s">
        <v>293</v>
      </c>
      <c r="O16" s="13"/>
      <c r="P16" s="38">
        <v>1</v>
      </c>
      <c r="Q16" s="37"/>
      <c r="R16" s="58" t="s">
        <v>58</v>
      </c>
      <c r="S16" s="58"/>
      <c r="T16" s="38">
        <v>0</v>
      </c>
      <c r="U16" s="37"/>
      <c r="V16" s="5"/>
      <c r="W16" s="61" t="s">
        <v>33</v>
      </c>
      <c r="X16" s="51"/>
      <c r="Y16" s="51">
        <f ca="1">Y15/(Y20*(1-T19))</f>
        <v>26570</v>
      </c>
      <c r="Z16" s="51"/>
      <c r="AA16" s="35"/>
      <c r="AB16" s="35"/>
      <c r="AC16" s="35"/>
      <c r="AD16" s="14"/>
      <c r="AE16" s="14"/>
      <c r="AF16" s="14"/>
      <c r="AG16" s="14"/>
      <c r="AH16" s="14"/>
      <c r="AI16" s="14"/>
      <c r="AJ16" s="14"/>
      <c r="AK16" s="14"/>
      <c r="AL16" s="14"/>
    </row>
    <row r="17" spans="1:38" x14ac:dyDescent="0.3">
      <c r="A17" s="13"/>
      <c r="B17" s="45" t="s">
        <v>6</v>
      </c>
      <c r="C17" s="44">
        <f ca="1">IFERROR(INDEX(INDIRECT(C3&amp;"Table"),MATCH(C2,INDIRECT(C3&amp;"Table"&amp;"[Name]"),0),COLUMN(INDIRECT(C3&amp;"Table"&amp;"["&amp;B17&amp;"]"))),0)</f>
        <v>172</v>
      </c>
      <c r="D17" s="44">
        <f ca="1">IFERROR(INDEX(INDIRECT(D3&amp;"Table"),MATCH(D4,INDIRECT(D3&amp;"Table"&amp;"[Name]"),0),COLUMN(INDIRECT(D3&amp;"Table"&amp;"["&amp;B17&amp;"]"))),0)</f>
        <v>0</v>
      </c>
      <c r="E17" s="44">
        <f ca="1">IFERROR(INDEX(INDIRECT(E3&amp;"Table"),MATCH(E4,INDIRECT(E3&amp;"Table"&amp;"[Name]"),0),COLUMN(INDIRECT(E3&amp;"Table"&amp;"["&amp;B17&amp;"]"))),0)</f>
        <v>0</v>
      </c>
      <c r="F17" s="44">
        <f ca="1">IFERROR(INDEX(INDIRECT(F3&amp;"Table"),MATCH(F4,INDIRECT(F3&amp;"Table"&amp;"[Name]"),0),COLUMN(INDIRECT(F3&amp;"Table"&amp;"["&amp;B17&amp;"]"))),0)</f>
        <v>0</v>
      </c>
      <c r="G17" s="44">
        <f ca="1">IFERROR(INDEX(INDIRECT(G3&amp;"Table"),MATCH(G4,INDIRECT(G3&amp;"Table"&amp;"[Name]"),0),COLUMN(INDIRECT(G3&amp;"Table"&amp;"["&amp;B17&amp;"]"))),0)</f>
        <v>0</v>
      </c>
      <c r="H17" s="44">
        <f ca="1">IFERROR(INDEX(INDIRECT(H3&amp;"Table"),MATCH(H4,INDIRECT(H3&amp;"Table"&amp;"[Name]"),0),COLUMN(INDIRECT(H3&amp;"Table"&amp;"["&amp;B17&amp;"]"))),0)</f>
        <v>0</v>
      </c>
      <c r="I17" s="32"/>
      <c r="J17" s="57" t="s">
        <v>915</v>
      </c>
      <c r="K17" s="47"/>
      <c r="L17" s="38">
        <v>0</v>
      </c>
      <c r="M17" s="37"/>
      <c r="N17" s="58" t="s">
        <v>845</v>
      </c>
      <c r="O17" s="81"/>
      <c r="P17" s="38">
        <v>1</v>
      </c>
      <c r="Q17" s="37"/>
      <c r="R17" s="58" t="s">
        <v>32</v>
      </c>
      <c r="S17" s="58"/>
      <c r="T17" s="38">
        <v>0</v>
      </c>
      <c r="U17" s="37"/>
      <c r="V17" s="5"/>
      <c r="W17" s="61" t="s">
        <v>36</v>
      </c>
      <c r="X17" s="51"/>
      <c r="Y17" s="52">
        <f ca="1">0.1+(SUM(C17:H17)/(SUM(C17:H17)+2+T16))+((SUM(C16:H16)-T14)/1000)</f>
        <v>1.1085057471264368</v>
      </c>
      <c r="Z17" s="51"/>
      <c r="AA17" s="35"/>
      <c r="AB17" s="35"/>
      <c r="AC17" s="35"/>
      <c r="AD17" s="14"/>
      <c r="AE17" s="14"/>
      <c r="AF17" s="14"/>
      <c r="AG17" s="14"/>
      <c r="AH17" s="14"/>
      <c r="AI17" s="14"/>
      <c r="AJ17" s="14"/>
      <c r="AK17" s="14"/>
      <c r="AL17" s="14"/>
    </row>
    <row r="18" spans="1:38" x14ac:dyDescent="0.3">
      <c r="A18" s="13"/>
      <c r="B18" s="45" t="s">
        <v>21</v>
      </c>
      <c r="C18" s="44">
        <v>0</v>
      </c>
      <c r="D18" s="44">
        <f ca="1">IFERROR(INDEX(INDIRECT(D3&amp;"Table"),MATCH(D4,INDIRECT(D3&amp;"Table"&amp;"[Name]"),0),COLUMN(INDIRECT(D3&amp;"Table"&amp;"["&amp;B18&amp;"]"))),0)</f>
        <v>0</v>
      </c>
      <c r="E18" s="44">
        <f ca="1">IFERROR(INDEX(INDIRECT(E3&amp;"Table"),MATCH(E4,INDIRECT(E3&amp;"Table"&amp;"[Name]"),0),COLUMN(INDIRECT(E3&amp;"Table"&amp;"["&amp;B18&amp;"]"))),0)</f>
        <v>0</v>
      </c>
      <c r="F18" s="44">
        <f ca="1">IFERROR(INDEX(INDIRECT(F3&amp;"Table"),MATCH(F4,INDIRECT(F3&amp;"Table"&amp;"[Name]"),0),COLUMN(INDIRECT(F3&amp;"Table"&amp;"["&amp;B18&amp;"]"))),0)</f>
        <v>181</v>
      </c>
      <c r="G18" s="44">
        <f ca="1">IFERROR(INDEX(INDIRECT(G3&amp;"Table"),MATCH(G4,INDIRECT(G3&amp;"Table"&amp;"[Name]"),0),COLUMN(INDIRECT(G3&amp;"Table"&amp;"["&amp;B18&amp;"]"))),0)</f>
        <v>181</v>
      </c>
      <c r="H18" s="44">
        <f ca="1">IFERROR(INDEX(INDIRECT(H3&amp;"Table"),MATCH(H4,INDIRECT(H3&amp;"Table"&amp;"[Name]"),0),COLUMN(INDIRECT(H3&amp;"Table"&amp;"["&amp;B18&amp;"]"))),0)</f>
        <v>0</v>
      </c>
      <c r="I18" s="32"/>
      <c r="J18" s="57" t="s">
        <v>818</v>
      </c>
      <c r="K18" s="47"/>
      <c r="L18" s="38">
        <v>0</v>
      </c>
      <c r="M18" s="37"/>
      <c r="N18" s="58" t="s">
        <v>844</v>
      </c>
      <c r="O18" s="81"/>
      <c r="P18" s="38">
        <v>1</v>
      </c>
      <c r="Q18" s="37"/>
      <c r="R18" s="58" t="s">
        <v>34</v>
      </c>
      <c r="S18" s="58"/>
      <c r="T18" s="38">
        <v>1</v>
      </c>
      <c r="U18" s="37"/>
      <c r="V18" s="5"/>
      <c r="W18" s="61" t="s">
        <v>51</v>
      </c>
      <c r="X18" s="51"/>
      <c r="Y18" s="52">
        <f ca="1">IF(Y17&lt;=0.1, 0.1, IF(Y17&gt;=0.9, 0.9, Y17))</f>
        <v>0.9</v>
      </c>
      <c r="Z18" s="51"/>
      <c r="AA18" s="35"/>
      <c r="AB18" s="35"/>
      <c r="AC18" s="35"/>
      <c r="AD18" s="14"/>
      <c r="AE18" s="14"/>
      <c r="AF18" s="14"/>
      <c r="AG18" s="14"/>
      <c r="AH18" s="14"/>
      <c r="AI18" s="14"/>
      <c r="AJ18" s="14"/>
      <c r="AK18" s="14"/>
      <c r="AL18" s="14"/>
    </row>
    <row r="19" spans="1:38" x14ac:dyDescent="0.3">
      <c r="A19" s="13"/>
      <c r="B19" s="45" t="s">
        <v>22</v>
      </c>
      <c r="C19" s="44">
        <v>0</v>
      </c>
      <c r="D19" s="80">
        <f ca="1">IFERROR(INDEX(INDIRECT(D3&amp;"Table"),MATCH(D4,INDIRECT(D3&amp;"Table"&amp;"[Name]"),0),COLUMN(INDIRECT(D3&amp;"Table"&amp;"["&amp;B19&amp;"]"))),0)</f>
        <v>0</v>
      </c>
      <c r="E19" s="80">
        <f ca="1">IFERROR(INDEX(INDIRECT(E3&amp;"Table"),MATCH(E4,INDIRECT(E3&amp;"Table"&amp;"[Name]"),0),COLUMN(INDIRECT(E3&amp;"Table"&amp;"["&amp;B19&amp;"]"))),0)</f>
        <v>0</v>
      </c>
      <c r="F19" s="39">
        <f ca="1">IFERROR(INDEX(INDIRECT(F3&amp;"Table"),MATCH(F4,INDIRECT(F3&amp;"Table"&amp;"[Name]"),0),COLUMN(INDIRECT(F3&amp;"Table"&amp;"["&amp;B19&amp;"]"))),0)</f>
        <v>3</v>
      </c>
      <c r="G19" s="44">
        <f ca="1">IFERROR(INDEX(INDIRECT(G3&amp;"Table"),MATCH(G4,INDIRECT(G3&amp;"Table"&amp;"[Name]"),0),COLUMN(INDIRECT(G3&amp;"Table"&amp;"["&amp;B19&amp;"]"))),0)</f>
        <v>3</v>
      </c>
      <c r="H19" s="44">
        <f ca="1">IFERROR(INDEX(INDIRECT(H3&amp;"Table"),MATCH(H4,INDIRECT(H3&amp;"Table"&amp;"[Name]"),0),COLUMN(INDIRECT(H3&amp;"Table"&amp;"["&amp;B19&amp;"]"))),0)</f>
        <v>0</v>
      </c>
      <c r="I19" s="32"/>
      <c r="J19" s="38"/>
      <c r="K19" s="38"/>
      <c r="L19" s="38"/>
      <c r="M19" s="37"/>
      <c r="N19" s="58" t="s">
        <v>878</v>
      </c>
      <c r="O19" s="12"/>
      <c r="P19" s="38">
        <v>1</v>
      </c>
      <c r="Q19" s="37"/>
      <c r="R19" s="58" t="s">
        <v>314</v>
      </c>
      <c r="S19" s="58"/>
      <c r="T19" s="38">
        <v>0</v>
      </c>
      <c r="U19" s="37"/>
      <c r="V19" s="5"/>
      <c r="W19" s="61" t="s">
        <v>37</v>
      </c>
      <c r="X19" s="51"/>
      <c r="Y19" s="52">
        <f ca="1">0.1+(T15/(T15+2+T18*SUM(C15:H15)))+((T14-SUM(C16:H16))/1000)-T17</f>
        <v>0.08</v>
      </c>
      <c r="Z19" s="51"/>
      <c r="AA19" s="35"/>
      <c r="AB19" s="35"/>
      <c r="AC19" s="35"/>
      <c r="AD19" s="14"/>
      <c r="AE19" s="14"/>
      <c r="AF19" s="14"/>
      <c r="AG19" s="14"/>
      <c r="AH19" s="14"/>
      <c r="AI19" s="14"/>
      <c r="AJ19" s="14"/>
      <c r="AK19" s="14"/>
      <c r="AL19" s="14"/>
    </row>
    <row r="20" spans="1:38" x14ac:dyDescent="0.3">
      <c r="A20" s="13"/>
      <c r="B20" s="45" t="s">
        <v>266</v>
      </c>
      <c r="C20" s="44">
        <v>0</v>
      </c>
      <c r="D20" s="80">
        <f ca="1">IFERROR(INDEX(INDIRECT(D3&amp;"Table"),MATCH(D4,INDIRECT(D3&amp;"Table"&amp;"[Name]"),0),COLUMN(INDIRECT(D3&amp;"Table"&amp;"["&amp;B20&amp;"]"))),0)</f>
        <v>0</v>
      </c>
      <c r="E20" s="80">
        <f ca="1">IFERROR(INDEX(INDIRECT(E3&amp;"Table"),MATCH(E4,INDIRECT(E3&amp;"Table"&amp;"[Name]"),0),COLUMN(INDIRECT(E3&amp;"Table"&amp;"["&amp;B20&amp;"]"))),0)</f>
        <v>0</v>
      </c>
      <c r="F20" s="39">
        <f ca="1">IFERROR(INDEX(INDIRECT(F3&amp;"Table"),MATCH(F4,INDIRECT(F3&amp;"Table"&amp;"[Name]"),0),COLUMN(INDIRECT(F3&amp;"Table"&amp;"["&amp;B20&amp;"]"))),0)</f>
        <v>24.61</v>
      </c>
      <c r="G20" s="44">
        <f ca="1">IFERROR(INDEX(INDIRECT(G3&amp;"Table"),MATCH(G4,INDIRECT(G3&amp;"Table"&amp;"[Name]"),0),COLUMN(INDIRECT(G3&amp;"Table"&amp;"["&amp;B20&amp;"]"))),0)</f>
        <v>24.61</v>
      </c>
      <c r="H20" s="44">
        <f ca="1">IFERROR(INDEX(INDIRECT(H3&amp;"Table"),MATCH(H4,INDIRECT(H3&amp;"Table"&amp;"[Name]"),0),COLUMN(INDIRECT(H3&amp;"Table"&amp;"["&amp;B20&amp;"]"))),0)</f>
        <v>14.3</v>
      </c>
      <c r="I20" s="32"/>
      <c r="J20" s="57" t="s">
        <v>898</v>
      </c>
      <c r="K20" s="47"/>
      <c r="L20" s="38">
        <v>2</v>
      </c>
      <c r="M20" s="37"/>
      <c r="N20" s="58" t="s">
        <v>143</v>
      </c>
      <c r="O20" s="12"/>
      <c r="P20" s="38">
        <v>0</v>
      </c>
      <c r="Q20" s="37"/>
      <c r="R20" s="37"/>
      <c r="S20" s="37"/>
      <c r="T20" s="38"/>
      <c r="U20" s="37"/>
      <c r="V20" s="5"/>
      <c r="W20" s="61" t="s">
        <v>50</v>
      </c>
      <c r="X20" s="51"/>
      <c r="Y20" s="52">
        <f ca="1">IF(Y19&lt;=0.1, 0.1, IF(Y19&gt;=0.9, 0.9, Y19))</f>
        <v>0.1</v>
      </c>
      <c r="Z20" s="51"/>
      <c r="AA20" s="35"/>
      <c r="AB20" s="35"/>
      <c r="AC20" s="35"/>
      <c r="AD20" s="14"/>
      <c r="AE20" s="14"/>
      <c r="AF20" s="14"/>
      <c r="AG20" s="14"/>
      <c r="AH20" s="14"/>
      <c r="AI20" s="14"/>
      <c r="AJ20" s="14"/>
      <c r="AK20" s="14"/>
      <c r="AL20" s="14"/>
    </row>
    <row r="21" spans="1:38" x14ac:dyDescent="0.3">
      <c r="A21" s="13"/>
      <c r="B21" s="45" t="s">
        <v>23</v>
      </c>
      <c r="C21" s="44">
        <f ca="1">SUM(C7:H7)</f>
        <v>59</v>
      </c>
      <c r="D21" s="115" t="s">
        <v>24</v>
      </c>
      <c r="E21" s="80">
        <f ca="1">SUM(C8:H8)</f>
        <v>804</v>
      </c>
      <c r="F21" s="115" t="s">
        <v>904</v>
      </c>
      <c r="G21" s="80">
        <f ca="1">SUM(C5:H5)</f>
        <v>238</v>
      </c>
      <c r="H21" s="80"/>
      <c r="I21" s="13"/>
      <c r="J21" s="57" t="s">
        <v>848</v>
      </c>
      <c r="K21" s="47"/>
      <c r="L21" s="38">
        <v>1</v>
      </c>
      <c r="M21" s="37"/>
      <c r="N21" s="58" t="s">
        <v>826</v>
      </c>
      <c r="O21" s="13"/>
      <c r="P21" s="124">
        <v>0</v>
      </c>
      <c r="Q21" s="37"/>
      <c r="R21" s="37"/>
      <c r="S21" s="37"/>
      <c r="T21" s="37"/>
      <c r="U21" s="37"/>
      <c r="V21" s="5"/>
      <c r="W21" s="5"/>
      <c r="X21" s="5"/>
      <c r="Y21" s="5"/>
      <c r="Z21" s="5"/>
      <c r="AA21" s="5"/>
      <c r="AB21" s="5"/>
      <c r="AC21" s="5"/>
      <c r="AD21" s="14"/>
      <c r="AE21" s="14"/>
      <c r="AF21" s="14"/>
      <c r="AG21" s="14"/>
      <c r="AH21" s="14"/>
      <c r="AI21" s="14"/>
      <c r="AJ21" s="14"/>
      <c r="AK21" s="14"/>
      <c r="AL21" s="14"/>
    </row>
    <row r="22" spans="1:38" x14ac:dyDescent="0.3">
      <c r="A22" s="13"/>
      <c r="B22" s="13"/>
      <c r="C22" s="13"/>
      <c r="D22" s="13"/>
      <c r="E22" s="13"/>
      <c r="F22" s="13"/>
      <c r="G22" s="13"/>
      <c r="H22" s="13"/>
      <c r="I22" s="13"/>
      <c r="J22" s="57" t="s">
        <v>739</v>
      </c>
      <c r="K22" s="47"/>
      <c r="L22" s="38">
        <f ca="1">SQRT(200/(100+SUM(C11:H11)*(L21)))</f>
        <v>0.93453862703199553</v>
      </c>
      <c r="M22" s="37"/>
      <c r="N22" s="37"/>
      <c r="O22" s="37"/>
      <c r="P22" s="37"/>
      <c r="Q22" s="37"/>
      <c r="R22" s="37"/>
      <c r="S22" s="37"/>
      <c r="T22" s="37"/>
      <c r="U22" s="37"/>
      <c r="V22" s="5"/>
      <c r="W22" s="5"/>
      <c r="X22" s="5"/>
      <c r="Y22" s="5"/>
      <c r="Z22" s="5"/>
      <c r="AA22" s="5"/>
      <c r="AB22" s="5"/>
      <c r="AC22" s="5"/>
      <c r="AD22" s="14"/>
      <c r="AE22" s="14"/>
      <c r="AF22" s="14"/>
      <c r="AG22" s="14"/>
      <c r="AH22" s="14"/>
      <c r="AI22" s="14"/>
      <c r="AJ22" s="14"/>
      <c r="AK22" s="14"/>
      <c r="AL22" s="14"/>
    </row>
    <row r="23" spans="1:38" x14ac:dyDescent="0.3">
      <c r="A23" s="13"/>
      <c r="B23" s="13"/>
      <c r="C23" s="13"/>
      <c r="D23" s="13"/>
      <c r="E23" s="13"/>
      <c r="F23" s="13"/>
      <c r="G23" s="13"/>
      <c r="H23" s="13"/>
      <c r="I23" s="13"/>
      <c r="J23" s="47"/>
      <c r="K23" s="47"/>
      <c r="L23" s="38"/>
      <c r="M23" s="37"/>
      <c r="N23" s="37"/>
      <c r="O23" s="37"/>
      <c r="P23" s="37"/>
      <c r="Q23" s="37"/>
      <c r="R23" s="37"/>
      <c r="S23" s="37"/>
      <c r="T23" s="37"/>
      <c r="U23" s="37"/>
      <c r="V23" s="5"/>
      <c r="W23" s="5"/>
      <c r="X23" s="5"/>
      <c r="Y23" s="5"/>
      <c r="Z23" s="5"/>
      <c r="AA23" s="5"/>
      <c r="AB23" s="5"/>
      <c r="AC23" s="5"/>
      <c r="AD23" s="14"/>
      <c r="AE23" s="14"/>
      <c r="AF23" s="14"/>
      <c r="AG23" s="14"/>
      <c r="AH23" s="14"/>
      <c r="AI23" s="14"/>
      <c r="AJ23" s="14"/>
      <c r="AK23" s="14"/>
      <c r="AL23" s="14"/>
    </row>
    <row r="24" spans="1:38"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row>
    <row r="25" spans="1:38" x14ac:dyDescent="0.3">
      <c r="A25" s="13"/>
      <c r="B25" s="48" t="s">
        <v>1389</v>
      </c>
      <c r="C25" s="48"/>
      <c r="D25" s="48" t="s">
        <v>816</v>
      </c>
      <c r="E25" s="48" t="s">
        <v>819</v>
      </c>
      <c r="F25" s="48" t="s">
        <v>850</v>
      </c>
      <c r="G25" s="48" t="s">
        <v>8</v>
      </c>
      <c r="H25" s="48" t="s">
        <v>10</v>
      </c>
      <c r="I25" s="48" t="s">
        <v>12</v>
      </c>
      <c r="J25" s="131" t="s">
        <v>55</v>
      </c>
      <c r="K25" s="131" t="s">
        <v>826</v>
      </c>
      <c r="L25" s="83" t="s">
        <v>27</v>
      </c>
      <c r="M25" s="84" t="s">
        <v>59</v>
      </c>
      <c r="N25" s="48" t="s">
        <v>769</v>
      </c>
      <c r="O25" s="48" t="s">
        <v>849</v>
      </c>
      <c r="P25" s="131" t="s">
        <v>773</v>
      </c>
      <c r="Q25" s="83" t="s">
        <v>844</v>
      </c>
      <c r="R25" s="13"/>
      <c r="S25" s="53"/>
      <c r="T25" s="53" t="s">
        <v>69</v>
      </c>
      <c r="U25" s="53"/>
      <c r="V25" s="53" t="s">
        <v>70</v>
      </c>
      <c r="W25" s="53"/>
      <c r="X25" s="53" t="s">
        <v>71</v>
      </c>
      <c r="Y25" s="35"/>
      <c r="Z25" s="53" t="s">
        <v>907</v>
      </c>
      <c r="AA25" s="51"/>
      <c r="AB25" s="51"/>
      <c r="AC25" s="51"/>
      <c r="AD25" s="51"/>
      <c r="AE25" s="51"/>
      <c r="AF25" s="13"/>
      <c r="AG25" s="13"/>
      <c r="AH25" s="13"/>
      <c r="AI25" s="13"/>
      <c r="AJ25" s="13"/>
      <c r="AK25" s="13"/>
      <c r="AL25" s="13"/>
    </row>
    <row r="26" spans="1:38" x14ac:dyDescent="0.3">
      <c r="A26" s="13"/>
      <c r="B26" s="44" t="str">
        <f ca="1">IFERROR(INDEX(INDIRECT(C3&amp;"Table"),MATCH(C2,INDIRECT(C3&amp;"Table"&amp;"[Name]"),0),COLUMN(INDIRECT(C3&amp;"Table"&amp;"[Barg1]"))),0)</f>
        <v>I-13-Exclussive Barrage</v>
      </c>
      <c r="C26" s="44"/>
      <c r="D26" s="44">
        <f ca="1">IFERROR(INDEX(Barrage[],MATCH(B26,Barrage[Name],0),COLUMN(Barrage[Total Damage])),0)</f>
        <v>495</v>
      </c>
      <c r="E26" s="44">
        <f ca="1">IFERROR(INDEX(Barrage[],MATCH(B26,Barrage[Name],0),COLUMN(Barrage[Base Damage])),0)</f>
        <v>55</v>
      </c>
      <c r="F26" s="44">
        <f ca="1">IFERROR(INDEX(Barrage[],MATCH(B26,Barrage[Name],0),COLUMN(Barrage[Total Rounds])),0)</f>
        <v>9</v>
      </c>
      <c r="G26" s="44">
        <f ca="1">IFERROR(INDEX(Barrage[],MATCH(B26,Barrage[Name],0),COLUMN(Barrage[Light Armor])),0)</f>
        <v>0.8</v>
      </c>
      <c r="H26" s="44">
        <f ca="1">IFERROR(INDEX(Barrage[],MATCH(B26,Barrage[Name],0),COLUMN(Barrage[Medium Armor])),0)</f>
        <v>1</v>
      </c>
      <c r="I26" s="44">
        <f ca="1">IFERROR(INDEX(Barrage[],MATCH(B26,Barrage[Name],0),COLUMN(Barrage[Heavy Armor])),0)</f>
        <v>1.3</v>
      </c>
      <c r="J26" s="50">
        <f ca="1">IFERROR(INDEX(Barrage[],MATCH(B26,Barrage[Name],0),COLUMN(Barrage[Burn %])),0)</f>
        <v>0</v>
      </c>
      <c r="K26" s="50">
        <f ca="1">IFERROR(INDEX(Barrage[],MATCH(B26,Barrage[Name],0),COLUMN(Barrage[Flood %])),0)</f>
        <v>0</v>
      </c>
      <c r="L26" s="59">
        <v>1</v>
      </c>
      <c r="M26" s="59">
        <v>0</v>
      </c>
      <c r="N26" s="44" t="str">
        <f ca="1">IFERROR(INDEX(Barrage[],MATCH(B26,Barrage[Name],0),COLUMN(Barrage[Type2])),0)</f>
        <v>TP</v>
      </c>
      <c r="O26" s="44">
        <f ca="1">IFERROR(INDEX(Barrage[],MATCH(B26,Barrage[Name],0),COLUMN(Barrage[Stat Mod])),0)</f>
        <v>1</v>
      </c>
      <c r="P26" s="50">
        <f ca="1">IFERROR(INDEX(Barrage[],MATCH(B26,Barrage[Name],0),COLUMN(Barrage[Crit %])),0)</f>
        <v>0</v>
      </c>
      <c r="Q26" s="59">
        <v>1</v>
      </c>
      <c r="R26" s="13"/>
      <c r="S26" s="53" t="s">
        <v>8</v>
      </c>
      <c r="T26" s="51">
        <f ca="1">((100+E21*P15)/100)*X8*F18*Y11*X5*C12*P19</f>
        <v>11308.929350400002</v>
      </c>
      <c r="U26" s="51"/>
      <c r="V26" s="51">
        <f ca="1">((100+E21*P15)/100)*Y8*G18*Y11*Y5*C13*P19</f>
        <v>9633.5324096000004</v>
      </c>
      <c r="W26" s="51"/>
      <c r="X26" s="51">
        <f ca="1">((100+IF(Z4="B",0.8,IF(Z4="F",0.8,1))*SUM(C10:H10))/100)*Z5*Z8*C14*Y10*P16*2</f>
        <v>6621.9412864972373</v>
      </c>
      <c r="Y26" s="35"/>
      <c r="Z26" s="51">
        <f ca="1">T26+V26+X26</f>
        <v>27564.403046497238</v>
      </c>
      <c r="AA26" s="51"/>
      <c r="AB26" s="51"/>
      <c r="AC26" s="51"/>
      <c r="AD26" s="51"/>
      <c r="AE26" s="51"/>
      <c r="AF26" s="13"/>
      <c r="AG26" s="13"/>
      <c r="AH26" s="13"/>
      <c r="AI26" s="13"/>
      <c r="AJ26" s="13"/>
      <c r="AK26" s="13"/>
      <c r="AL26" s="13"/>
    </row>
    <row r="27" spans="1:38" x14ac:dyDescent="0.3">
      <c r="A27" s="13"/>
      <c r="B27" s="44" t="str">
        <f ca="1">IFERROR(INDEX(INDIRECT(C3&amp;"Table"),MATCH(C2,INDIRECT(C3&amp;"Table"&amp;"[Name]"),0),COLUMN(INDIRECT(C3&amp;"Table"&amp;"[Barg2]"))),0)</f>
        <v>N/A</v>
      </c>
      <c r="C27" s="44"/>
      <c r="D27" s="44">
        <f ca="1">IFERROR(INDEX(Barrage[],MATCH(B27,Barrage[Name],0),COLUMN(Barrage[Total Damage])),0)</f>
        <v>0</v>
      </c>
      <c r="E27" s="44">
        <f ca="1">IFERROR(INDEX(Barrage[],MATCH(B27,Barrage[Name],0),COLUMN(Barrage[Base Damage])),0)</f>
        <v>0</v>
      </c>
      <c r="F27" s="44">
        <f ca="1">IFERROR(INDEX(Barrage[],MATCH(B27,Barrage[Name],0),COLUMN(Barrage[Total Rounds])),0)</f>
        <v>0</v>
      </c>
      <c r="G27" s="44">
        <f ca="1">IFERROR(INDEX(Barrage[],MATCH(B27,Barrage[Name],0),COLUMN(Barrage[Light Armor])),0)</f>
        <v>0</v>
      </c>
      <c r="H27" s="44">
        <f ca="1">IFERROR(INDEX(Barrage[],MATCH(B27,Barrage[Name],0),COLUMN(Barrage[Medium Armor])),0)</f>
        <v>0</v>
      </c>
      <c r="I27" s="44">
        <f ca="1">IFERROR(INDEX(Barrage[],MATCH(B27,Barrage[Name],0),COLUMN(Barrage[Heavy Armor])),0)</f>
        <v>0</v>
      </c>
      <c r="J27" s="50">
        <f ca="1">IFERROR(INDEX(Barrage[],MATCH(B27,Barrage[Name],0),COLUMN(Barrage[Burn %])),0)</f>
        <v>0</v>
      </c>
      <c r="K27" s="50">
        <f ca="1">IFERROR(INDEX(Barrage[],MATCH(B27,Barrage[Name],0),COLUMN(Barrage[Flood %])),0)</f>
        <v>0</v>
      </c>
      <c r="L27" s="59">
        <v>1</v>
      </c>
      <c r="M27" s="59">
        <v>0</v>
      </c>
      <c r="N27" s="44">
        <f ca="1">IFERROR(INDEX(Barrage[],MATCH(B27,Barrage[Name],0),COLUMN(Barrage[Type2])),0)</f>
        <v>0</v>
      </c>
      <c r="O27" s="44">
        <f ca="1">IFERROR(INDEX(Barrage[],MATCH(B27,Barrage[Name],0),COLUMN(Barrage[Stat Mod])),0)</f>
        <v>0</v>
      </c>
      <c r="P27" s="50">
        <f ca="1">IFERROR(INDEX(Barrage[],MATCH(B27,Barrage[Name],0),COLUMN(Barrage[Crit %])),0)</f>
        <v>0</v>
      </c>
      <c r="Q27" s="59">
        <v>1</v>
      </c>
      <c r="R27" s="13"/>
      <c r="S27" s="53" t="s">
        <v>10</v>
      </c>
      <c r="T27" s="51">
        <f ca="1">((100+E21*P15)/100)*X8*F18*Y11*X6*C12*P19</f>
        <v>14136.161688</v>
      </c>
      <c r="U27" s="51"/>
      <c r="V27" s="51">
        <f ca="1">((100+E21*P15)/100)*Y8*G18*Y11*Y6*C13*P19</f>
        <v>12041.915511999998</v>
      </c>
      <c r="W27" s="51"/>
      <c r="X27" s="51">
        <f ca="1">((100+IF(Z4="B",0.8,IF(Z4="F",0.8,1))*SUM(C10:H10))/100)*Z6*Z8*C14*Y10*P16*2</f>
        <v>8829.2550486629843</v>
      </c>
      <c r="Y27" s="35"/>
      <c r="Z27" s="51">
        <f t="shared" ref="Z27:Z28" ca="1" si="3">T27+V27+X27</f>
        <v>35007.332248662984</v>
      </c>
      <c r="AA27" s="51"/>
      <c r="AB27" s="51"/>
      <c r="AC27" s="51"/>
      <c r="AD27" s="51"/>
      <c r="AE27" s="51"/>
      <c r="AF27" s="13"/>
      <c r="AG27" s="13"/>
      <c r="AH27" s="13"/>
      <c r="AI27" s="13"/>
      <c r="AJ27" s="13"/>
      <c r="AK27" s="13"/>
      <c r="AL27" s="13"/>
    </row>
    <row r="28" spans="1:38" x14ac:dyDescent="0.3">
      <c r="A28" s="13"/>
      <c r="B28" s="44" t="str">
        <f ca="1">IFERROR(INDEX(INDIRECT(C3&amp;"Table"),MATCH(C2,INDIRECT(C3&amp;"Table"&amp;"[Name]"),0),COLUMN(INDIRECT(C3&amp;"Table"&amp;"[Barg3]"))),0)</f>
        <v>N/A</v>
      </c>
      <c r="C28" s="44"/>
      <c r="D28" s="44">
        <f ca="1">IFERROR(INDEX(Barrage[],MATCH(B28,Barrage[Name],0),COLUMN(Barrage[Total Damage])),0)</f>
        <v>0</v>
      </c>
      <c r="E28" s="44">
        <f ca="1">IFERROR(INDEX(Barrage[],MATCH(B28,Barrage[Name],0),COLUMN(Barrage[Base Damage])),0)</f>
        <v>0</v>
      </c>
      <c r="F28" s="44">
        <f ca="1">IFERROR(INDEX(Barrage[],MATCH(B28,Barrage[Name],0),COLUMN(Barrage[Total Rounds])),0)</f>
        <v>0</v>
      </c>
      <c r="G28" s="44">
        <f ca="1">IFERROR(INDEX(Barrage[],MATCH(B28,Barrage[Name],0),COLUMN(Barrage[Light Armor])),0)</f>
        <v>0</v>
      </c>
      <c r="H28" s="44">
        <f ca="1">IFERROR(INDEX(Barrage[],MATCH(B28,Barrage[Name],0),COLUMN(Barrage[Medium Armor])),0)</f>
        <v>0</v>
      </c>
      <c r="I28" s="44">
        <f ca="1">IFERROR(INDEX(Barrage[],MATCH(B28,Barrage[Name],0),COLUMN(Barrage[Heavy Armor])),0)</f>
        <v>0</v>
      </c>
      <c r="J28" s="50">
        <f ca="1">IFERROR(INDEX(Barrage[],MATCH(B28,Barrage[Name],0),COLUMN(Barrage[Burn %])),0)</f>
        <v>0</v>
      </c>
      <c r="K28" s="50">
        <f ca="1">IFERROR(INDEX(Barrage[],MATCH(B28,Barrage[Name],0),COLUMN(Barrage[Flood %])),0)</f>
        <v>0</v>
      </c>
      <c r="L28" s="59">
        <v>1</v>
      </c>
      <c r="M28" s="59">
        <v>0</v>
      </c>
      <c r="N28" s="44">
        <f ca="1">IFERROR(INDEX(Barrage[],MATCH(B28,Barrage[Name],0),COLUMN(Barrage[Type2])),0)</f>
        <v>0</v>
      </c>
      <c r="O28" s="44">
        <f ca="1">IFERROR(INDEX(Barrage[],MATCH(B28,Barrage[Name],0),COLUMN(Barrage[Stat Mod])),0)</f>
        <v>0</v>
      </c>
      <c r="P28" s="50">
        <f ca="1">IFERROR(INDEX(Barrage[],MATCH(B28,Barrage[Name],0),COLUMN(Barrage[Crit %])),0)</f>
        <v>0</v>
      </c>
      <c r="Q28" s="59">
        <v>1</v>
      </c>
      <c r="R28" s="13"/>
      <c r="S28" s="53" t="s">
        <v>12</v>
      </c>
      <c r="T28" s="51">
        <f ca="1">((100+E21*P15)/100)*X8*F18*Y11*X7*C12*P19</f>
        <v>18377.010194400002</v>
      </c>
      <c r="U28" s="51"/>
      <c r="V28" s="51">
        <f ca="1">((100+E21*P15)/100)*Y8*G18*Y11*Y7*C13*P19</f>
        <v>15654.490165599998</v>
      </c>
      <c r="W28" s="51"/>
      <c r="X28" s="51">
        <f ca="1">((100+IF(Z4="B",0.8,IF(Z4="F",0.8,1))*SUM(C10:H10))/100)*Z7*Z8*C14*Y10*P16*2</f>
        <v>10595.10605839558</v>
      </c>
      <c r="Y28" s="35"/>
      <c r="Z28" s="51">
        <f t="shared" ca="1" si="3"/>
        <v>44626.606418395575</v>
      </c>
      <c r="AA28" s="51"/>
      <c r="AB28" s="51"/>
      <c r="AC28" s="51"/>
      <c r="AD28" s="51"/>
      <c r="AE28" s="51"/>
      <c r="AF28" s="13"/>
      <c r="AG28" s="13"/>
      <c r="AH28" s="13"/>
      <c r="AI28" s="13"/>
      <c r="AJ28" s="13"/>
      <c r="AK28" s="13"/>
      <c r="AL28" s="13"/>
    </row>
    <row r="29" spans="1:38" x14ac:dyDescent="0.3">
      <c r="A29" s="13"/>
      <c r="B29" s="44" t="str">
        <f ca="1">IFERROR(INDEX(INDIRECT(C3&amp;"Table"),MATCH(C2,INDIRECT(C3&amp;"Table"&amp;"[Name]"),0),COLUMN(INDIRECT(C3&amp;"Table"&amp;"[Barg4]"))),0)</f>
        <v>N/A</v>
      </c>
      <c r="C29" s="44"/>
      <c r="D29" s="44">
        <f ca="1">IFERROR(INDEX(Barrage[],MATCH(B29,Barrage[Name],0),COLUMN(Barrage[Total Damage])),0)</f>
        <v>0</v>
      </c>
      <c r="E29" s="44">
        <f ca="1">IFERROR(INDEX(Barrage[],MATCH(B29,Barrage[Name],0),COLUMN(Barrage[Base Damage])),0)</f>
        <v>0</v>
      </c>
      <c r="F29" s="44">
        <f ca="1">IFERROR(INDEX(Barrage[],MATCH(B29,Barrage[Name],0),COLUMN(Barrage[Total Rounds])),0)</f>
        <v>0</v>
      </c>
      <c r="G29" s="44">
        <f ca="1">IFERROR(INDEX(Barrage[],MATCH(B29,Barrage[Name],0),COLUMN(Barrage[Light Armor])),0)</f>
        <v>0</v>
      </c>
      <c r="H29" s="44">
        <f ca="1">IFERROR(INDEX(Barrage[],MATCH(B29,Barrage[Name],0),COLUMN(Barrage[Medium Armor])),0)</f>
        <v>0</v>
      </c>
      <c r="I29" s="44">
        <f ca="1">IFERROR(INDEX(Barrage[],MATCH(B29,Barrage[Name],0),COLUMN(Barrage[Heavy Armor])),0)</f>
        <v>0</v>
      </c>
      <c r="J29" s="50">
        <f ca="1">IFERROR(INDEX(Barrage[],MATCH(B29,Barrage[Name],0),COLUMN(Barrage[Burn %])),0)</f>
        <v>0</v>
      </c>
      <c r="K29" s="50">
        <f ca="1">IFERROR(INDEX(Barrage[],MATCH(B29,Barrage[Name],0),COLUMN(Barrage[Flood %])),0)</f>
        <v>0</v>
      </c>
      <c r="L29" s="59">
        <v>1</v>
      </c>
      <c r="M29" s="59">
        <v>0</v>
      </c>
      <c r="N29" s="44">
        <f ca="1">IFERROR(INDEX(Barrage[],MATCH(B29,Barrage[Name],0),COLUMN(Barrage[Type2])),0)</f>
        <v>0</v>
      </c>
      <c r="O29" s="44">
        <f ca="1">IFERROR(INDEX(Barrage[],MATCH(B29,Barrage[Name],0),COLUMN(Barrage[Stat Mod])),0)</f>
        <v>0</v>
      </c>
      <c r="P29" s="50">
        <f ca="1">IFERROR(INDEX(Barrage[],MATCH(B29,Barrage[Name],0),COLUMN(Barrage[Crit %])),0)</f>
        <v>0</v>
      </c>
      <c r="Q29" s="59">
        <v>1</v>
      </c>
      <c r="R29" s="13"/>
      <c r="S29" s="53" t="s">
        <v>817</v>
      </c>
      <c r="T29" s="51">
        <v>0</v>
      </c>
      <c r="U29" s="51"/>
      <c r="V29" s="51">
        <v>0</v>
      </c>
      <c r="W29" s="51"/>
      <c r="X29" s="51">
        <f ca="1">(((100+C21)/100)*C14*H12*H18*AC3+5)*5*(1-(1-AC4)^(H19))</f>
        <v>0</v>
      </c>
      <c r="Y29" s="51"/>
      <c r="Z29" s="51">
        <f ca="1">SUM(T29+V29+X29)</f>
        <v>0</v>
      </c>
      <c r="AA29" s="51"/>
      <c r="AB29" s="51"/>
      <c r="AC29" s="51"/>
      <c r="AD29" s="51"/>
      <c r="AE29" s="51"/>
      <c r="AF29" s="13"/>
      <c r="AG29" s="13"/>
      <c r="AH29" s="13"/>
      <c r="AI29" s="13"/>
      <c r="AJ29" s="13"/>
      <c r="AK29" s="13"/>
      <c r="AL29" s="13"/>
    </row>
    <row r="30" spans="1:38" x14ac:dyDescent="0.3">
      <c r="A30" s="13"/>
      <c r="B30" s="13"/>
      <c r="C30" s="13"/>
      <c r="D30" s="13"/>
      <c r="E30" s="13"/>
      <c r="F30" s="13"/>
      <c r="G30" s="13"/>
      <c r="H30" s="13"/>
      <c r="I30" s="13"/>
      <c r="J30" s="13"/>
      <c r="K30" s="13"/>
      <c r="L30" s="13"/>
      <c r="M30" s="13"/>
      <c r="N30" s="13"/>
      <c r="O30" s="13"/>
      <c r="P30" s="13"/>
      <c r="Q30" s="13"/>
      <c r="R30" s="13"/>
      <c r="S30" s="53" t="s">
        <v>918</v>
      </c>
      <c r="T30" s="51">
        <f ca="1">(((100+E20)/100)*1*1*F17*P19+10)*8*(1-(1-P20)^(X8))</f>
        <v>0</v>
      </c>
      <c r="U30" s="51"/>
      <c r="V30" s="51">
        <f ca="1">(((100+E20)/100)*1*1*G17*P19+10)*8*(1-(1-P20)^(X8))</f>
        <v>0</v>
      </c>
      <c r="W30" s="51"/>
      <c r="X30" s="51">
        <v>0</v>
      </c>
      <c r="Y30" s="51"/>
      <c r="Z30" s="51">
        <f ca="1">SUM(T30+V30+X30)</f>
        <v>0</v>
      </c>
      <c r="AA30" s="51"/>
      <c r="AB30" s="51"/>
      <c r="AC30" s="51"/>
      <c r="AD30" s="51"/>
      <c r="AE30" s="51"/>
      <c r="AF30" s="13"/>
      <c r="AG30" s="13"/>
      <c r="AH30" s="13"/>
      <c r="AI30" s="13"/>
      <c r="AJ30" s="13"/>
      <c r="AK30" s="13"/>
      <c r="AL30" s="13"/>
    </row>
    <row r="31" spans="1:38" x14ac:dyDescent="0.3">
      <c r="A31" s="13"/>
      <c r="B31" s="13"/>
      <c r="C31" s="13"/>
      <c r="D31" s="13"/>
      <c r="E31" s="13"/>
      <c r="F31" s="13"/>
      <c r="G31" s="13"/>
      <c r="H31" s="13"/>
      <c r="I31" s="13"/>
      <c r="J31" s="13"/>
      <c r="K31" s="13"/>
      <c r="L31" s="13"/>
      <c r="M31" s="13"/>
      <c r="N31" s="13"/>
      <c r="O31" s="13"/>
      <c r="P31" s="13"/>
      <c r="Q31" s="13"/>
      <c r="R31" s="13"/>
      <c r="S31" s="53"/>
      <c r="T31" s="53"/>
      <c r="U31" s="53"/>
      <c r="V31" s="53"/>
      <c r="W31" s="53"/>
      <c r="X31" s="53"/>
      <c r="Y31" s="35"/>
      <c r="Z31" s="35"/>
      <c r="AA31" s="51"/>
      <c r="AB31" s="51"/>
      <c r="AC31" s="51"/>
      <c r="AD31" s="51"/>
      <c r="AE31" s="51"/>
      <c r="AF31" s="13"/>
      <c r="AG31" s="13"/>
      <c r="AH31" s="13"/>
      <c r="AI31" s="13"/>
      <c r="AJ31" s="13"/>
      <c r="AK31" s="13"/>
      <c r="AL31" s="13"/>
    </row>
    <row r="32" spans="1:38" x14ac:dyDescent="0.3">
      <c r="A32" s="13"/>
      <c r="B32" s="13"/>
      <c r="C32" s="13"/>
      <c r="D32" s="13"/>
      <c r="E32" s="13"/>
      <c r="F32" s="13"/>
      <c r="G32" s="13"/>
      <c r="H32" s="13"/>
      <c r="I32" s="13"/>
      <c r="J32" s="13"/>
      <c r="K32" s="13"/>
      <c r="L32" s="13"/>
      <c r="M32" s="13"/>
      <c r="N32" s="13"/>
      <c r="O32" s="13"/>
      <c r="P32" s="13"/>
      <c r="Q32" s="13"/>
      <c r="R32" s="13"/>
      <c r="S32" s="53" t="s">
        <v>916</v>
      </c>
      <c r="T32" s="51"/>
      <c r="U32" s="51"/>
      <c r="V32" s="53" t="s">
        <v>774</v>
      </c>
      <c r="W32" s="51"/>
      <c r="X32" s="53" t="s">
        <v>774</v>
      </c>
      <c r="Y32" s="35"/>
      <c r="Z32" s="53" t="s">
        <v>774</v>
      </c>
      <c r="AA32" s="51"/>
      <c r="AB32" s="53" t="s">
        <v>1456</v>
      </c>
      <c r="AC32" s="51"/>
      <c r="AD32" s="51"/>
      <c r="AE32" s="51"/>
      <c r="AF32" s="13"/>
      <c r="AG32" s="13"/>
      <c r="AH32" s="13"/>
      <c r="AI32" s="13"/>
      <c r="AJ32" s="13"/>
      <c r="AK32" s="13"/>
      <c r="AL32" s="13"/>
    </row>
    <row r="33" spans="1:38" x14ac:dyDescent="0.3">
      <c r="A33" s="13"/>
      <c r="B33" s="13"/>
      <c r="C33" s="13"/>
      <c r="D33" s="13"/>
      <c r="E33" s="13"/>
      <c r="F33" s="13"/>
      <c r="G33" s="13"/>
      <c r="H33" s="13"/>
      <c r="I33" s="13"/>
      <c r="J33" s="13"/>
      <c r="K33" s="13"/>
      <c r="L33" s="13"/>
      <c r="M33" s="13"/>
      <c r="N33" s="13"/>
      <c r="O33" s="13"/>
      <c r="P33" s="13"/>
      <c r="Q33" s="13"/>
      <c r="R33" s="13"/>
      <c r="S33" s="53" t="s">
        <v>8</v>
      </c>
      <c r="T33" s="51">
        <f ca="1">IFERROR((D26*G26*((100+IF(N26="FP",C21*P14,E21*P15)*O26)/100))*IF(P26=0,IF(N26="FP",Y10,Y11),P26*IF(N26="FP",L16+L17+1,L16+L18+1))*L26,0)*Q26</f>
        <v>3818.238884419889</v>
      </c>
      <c r="U33" s="51"/>
      <c r="V33" s="51">
        <f ca="1">IFERROR((D27*G27*((100+IF(N27="FP",C21*P14,E21*P15)*O27)/100))*IF(P27=0,IF(N27="FP",Y10,Y11),P27*IF(N27="FP",L16+L17+1,L16+L18+1))*L27,0)*Q27</f>
        <v>0</v>
      </c>
      <c r="W33" s="51"/>
      <c r="X33" s="51">
        <f ca="1">IFERROR((D28*G28*((100+IF(N28="FP",C21*P14,E21*P15)*O28)/100))*IF(P28=0,IF(N28="FP",Y10,Y11),P28*IF(N28="FP",L16+L17+1,L16+L18+1))*L28,0)*Q28</f>
        <v>0</v>
      </c>
      <c r="Y33" s="35"/>
      <c r="Z33" s="51">
        <f ca="1">IFERROR((D29*G29*((100+IF(N29="FP",C21*P14,E21*P15)*O29)/100))*IF(P29=0,IF(N29="FP",Y10,Y11),P29*IF(N29="FP",L16+L17+1,L16+L18+1))*L29,0)*Q29</f>
        <v>0</v>
      </c>
      <c r="AA33" s="51"/>
      <c r="AB33" s="51">
        <f ca="1">SUM(T33:Z33)</f>
        <v>3818.238884419889</v>
      </c>
      <c r="AC33" s="51"/>
      <c r="AD33" s="51"/>
      <c r="AE33" s="51"/>
      <c r="AF33" s="13"/>
      <c r="AG33" s="13"/>
      <c r="AH33" s="13"/>
      <c r="AI33" s="13"/>
      <c r="AJ33" s="13"/>
      <c r="AK33" s="13"/>
      <c r="AL33" s="13"/>
    </row>
    <row r="34" spans="1:38" x14ac:dyDescent="0.3">
      <c r="A34" s="13"/>
      <c r="B34" s="13"/>
      <c r="C34" s="13"/>
      <c r="D34" s="13"/>
      <c r="E34" s="13"/>
      <c r="F34" s="13"/>
      <c r="G34" s="13"/>
      <c r="H34" s="13"/>
      <c r="I34" s="13"/>
      <c r="J34" s="13"/>
      <c r="K34" s="13"/>
      <c r="L34" s="13"/>
      <c r="M34" s="13"/>
      <c r="N34" s="13"/>
      <c r="O34" s="13"/>
      <c r="P34" s="13"/>
      <c r="Q34" s="13"/>
      <c r="R34" s="13"/>
      <c r="S34" s="53" t="s">
        <v>10</v>
      </c>
      <c r="T34" s="51">
        <f ca="1">IFERROR((D26*H26*((100+IF(N26="FP",C21*P14,E21*P15)*O26)/100))*IF(P26=0,IF(N26="FP",Y10,Y11),P26*IF(N26="FP",L16+L17+1,L16+L18+1))*L26,0)*Q26</f>
        <v>4772.7986055248612</v>
      </c>
      <c r="U34" s="51"/>
      <c r="V34" s="51">
        <f ca="1">IFERROR((D27*H27*((100+IF(N27="FP",C21*P14,E21*P15)*O27)/100))*IF(P27=0,IF(N27="FP",Y10,Y11),P27*IF(N27="FP",L16+L17+1,L16+L18+1))*L27,0)*Q27</f>
        <v>0</v>
      </c>
      <c r="W34" s="51"/>
      <c r="X34" s="51">
        <f ca="1">IFERROR((D28*H28*((100+IF(N28="FP",C21*P14,E21*P15)*O28)/100))*IF(P28=0,IF(N28="FP",Y10,Y11),P28*IF(N28="FP",L16+L17+1,L16+L18+1))*L28,0)*Q28</f>
        <v>0</v>
      </c>
      <c r="Y34" s="35"/>
      <c r="Z34" s="51">
        <f ca="1">IFERROR((D29*H29*((100+IF(N29="FP",C21*P14,E21*P15)*O29)/100))*IF(P29=0,IF(N29="FP",Y10,Y11),P29*IF(N29="FP",L16+L17+1,L16+L18+1))*L29,0)*Q29</f>
        <v>0</v>
      </c>
      <c r="AA34" s="51"/>
      <c r="AB34" s="51">
        <f t="shared" ref="AB34:AB35" ca="1" si="4">SUM(T34:Z34)</f>
        <v>4772.7986055248612</v>
      </c>
      <c r="AC34" s="51"/>
      <c r="AD34" s="51"/>
      <c r="AE34" s="51"/>
      <c r="AF34" s="13"/>
      <c r="AG34" s="13"/>
      <c r="AH34" s="13"/>
      <c r="AI34" s="13"/>
      <c r="AJ34" s="13"/>
      <c r="AK34" s="13"/>
      <c r="AL34" s="13"/>
    </row>
    <row r="35" spans="1:38" x14ac:dyDescent="0.3">
      <c r="A35" s="13"/>
      <c r="B35" s="13"/>
      <c r="C35" s="13"/>
      <c r="D35" s="13"/>
      <c r="E35" s="13"/>
      <c r="F35" s="13"/>
      <c r="G35" s="13"/>
      <c r="H35" s="13"/>
      <c r="I35" s="13"/>
      <c r="J35" s="13"/>
      <c r="K35" s="13"/>
      <c r="L35" s="13"/>
      <c r="M35" s="13"/>
      <c r="N35" s="13"/>
      <c r="O35" s="13"/>
      <c r="P35" s="13"/>
      <c r="Q35" s="13"/>
      <c r="R35" s="13"/>
      <c r="S35" s="53" t="s">
        <v>12</v>
      </c>
      <c r="T35" s="51">
        <f ca="1">IFERROR((D26*I26*((100+IF(N26="FP",C21*P14,E21*P15)*O26)/100))*IF(P26=0,IF(N26="FP",Y10,Y11),P26*IF(N26="FP",L16+L17+1,L16+L18+1))*L26,0)*Q26</f>
        <v>6204.6381871823205</v>
      </c>
      <c r="U35" s="53"/>
      <c r="V35" s="51">
        <f ca="1">IFERROR((D27*I27*((100+IF(N27="FP",C21*P14,E21*P15)*O27)/100))*IF(P27=0,IF(N27="FP",Y10,Y11),P27*IF(N27="FP",L16+L17+1,L16+L18+1))*L27,0)*Q27</f>
        <v>0</v>
      </c>
      <c r="W35" s="53"/>
      <c r="X35" s="51">
        <f ca="1">IFERROR((D28*I28*((100+IF(N28="FP",C21*P14,E21*P15)*O28)/100))*IF(P28=0,IF(N28="FP",Y10,Y11),P28*IF(N28="FP",L16+L17+1,L16+L18+1))*L28,0)*Q28</f>
        <v>0</v>
      </c>
      <c r="Y35" s="53"/>
      <c r="Z35" s="51">
        <f ca="1">IFERROR((D29*I29*((100+IF(N29="FP",C21*P14,E21*P15)*O29)/100))*IF(P29=0,IF(N29="FP",Y10,Y11),P29*IF(N29="FP",L16+L17+1,L16+L18+1))*L29,0)*Q29</f>
        <v>0</v>
      </c>
      <c r="AA35" s="51"/>
      <c r="AB35" s="51">
        <f t="shared" ca="1" si="4"/>
        <v>6204.6381871823205</v>
      </c>
      <c r="AC35" s="51"/>
      <c r="AD35" s="51"/>
      <c r="AE35" s="51"/>
      <c r="AF35" s="13"/>
      <c r="AG35" s="13"/>
      <c r="AH35" s="13"/>
      <c r="AI35" s="13"/>
      <c r="AJ35" s="13"/>
      <c r="AK35" s="13"/>
      <c r="AL35" s="13"/>
    </row>
    <row r="36" spans="1:38" x14ac:dyDescent="0.3">
      <c r="A36" s="13"/>
      <c r="B36" s="13"/>
      <c r="C36" s="13"/>
      <c r="D36" s="13"/>
      <c r="E36" s="13"/>
      <c r="F36" s="13"/>
      <c r="G36" s="13"/>
      <c r="H36" s="13"/>
      <c r="I36" s="13"/>
      <c r="J36" s="13"/>
      <c r="K36" s="13"/>
      <c r="L36" s="13"/>
      <c r="M36" s="13"/>
      <c r="N36" s="13"/>
      <c r="O36" s="13"/>
      <c r="P36" s="13"/>
      <c r="Q36" s="13"/>
      <c r="R36" s="13"/>
      <c r="S36" s="53" t="s">
        <v>817</v>
      </c>
      <c r="T36" s="51">
        <f ca="1">(((100+IF(N26="FP",C21*P15,E21*P16)*O26/100)*C14*1*E26*AC5+5)*(1-(1-J26)^(F26))*5)</f>
        <v>0</v>
      </c>
      <c r="U36" s="53"/>
      <c r="V36" s="51">
        <f ca="1">(((100+IF(N26="FP",C21*P15,E21*P16)*O27)/100)*C14*1*E27*AC5+5)*(1-(1-J27)^(F27))*5</f>
        <v>0</v>
      </c>
      <c r="W36" s="53"/>
      <c r="X36" s="51">
        <f ca="1">(((100+IF(N26="FP",C21*P15,E21*P16)*O28)/100)*C14*1*E28*AC5+5)*(1-(1-J28)^(F28))*5</f>
        <v>0</v>
      </c>
      <c r="Y36" s="53"/>
      <c r="Z36" s="51">
        <f ca="1">(((100+IF(N26="FP",C21*P15,E21*P16)*O29)/100)*C14*1*E29*AC5+5)*(1-(1-J29)^(F29))*5</f>
        <v>0</v>
      </c>
      <c r="AA36" s="51"/>
      <c r="AB36" s="51">
        <f t="shared" ref="AB36:AB37" ca="1" si="5">SUM(T36:Z36)</f>
        <v>0</v>
      </c>
      <c r="AC36" s="51"/>
      <c r="AD36" s="51"/>
      <c r="AE36" s="51"/>
      <c r="AF36" s="13"/>
      <c r="AG36" s="13"/>
      <c r="AH36" s="13"/>
      <c r="AI36" s="13"/>
      <c r="AJ36" s="13"/>
      <c r="AK36" s="13"/>
      <c r="AL36" s="13"/>
    </row>
    <row r="37" spans="1:38" x14ac:dyDescent="0.3">
      <c r="A37" s="13"/>
      <c r="B37" s="13"/>
      <c r="C37" s="13"/>
      <c r="D37" s="13"/>
      <c r="E37" s="13"/>
      <c r="F37" s="13"/>
      <c r="G37" s="13"/>
      <c r="H37" s="13"/>
      <c r="I37" s="13"/>
      <c r="J37" s="13"/>
      <c r="K37" s="13"/>
      <c r="L37" s="13"/>
      <c r="M37" s="13"/>
      <c r="N37" s="13"/>
      <c r="O37" s="13"/>
      <c r="P37" s="13"/>
      <c r="Q37" s="13"/>
      <c r="R37" s="13"/>
      <c r="S37" s="53" t="s">
        <v>44</v>
      </c>
      <c r="T37" s="51">
        <f ca="1">IFERROR(T36/15*(MIN((15/IF(T15=1,IF(M26=0,G20*L23+AC8,M26),T16)),1)),0)</f>
        <v>0</v>
      </c>
      <c r="U37" s="53"/>
      <c r="V37" s="51">
        <f ca="1">IFERROR(V36/15*(MIN((15/IF(T15=1,IF(M27=0,G20*L23+AC8,M27),T16)),1)),0)</f>
        <v>0</v>
      </c>
      <c r="W37" s="53"/>
      <c r="X37" s="51">
        <f ca="1">IFERROR(X36/15*(MIN((15/IF(T15=1,IF(M28=0,G20*L23+AC8,M28),T16)),1)),0)</f>
        <v>0</v>
      </c>
      <c r="Y37" s="53"/>
      <c r="Z37" s="51">
        <f ca="1">IFERROR(Z36/15*(MIN((15/IF(T15=1,IF(M29=0,G20*L23+AC8,M29),T16)),1)),0)</f>
        <v>0</v>
      </c>
      <c r="AA37" s="51"/>
      <c r="AB37" s="51">
        <f t="shared" ca="1" si="5"/>
        <v>0</v>
      </c>
      <c r="AC37" s="51"/>
      <c r="AD37" s="51"/>
      <c r="AE37" s="51"/>
      <c r="AF37" s="13"/>
      <c r="AG37" s="13"/>
      <c r="AH37" s="13"/>
      <c r="AI37" s="13"/>
      <c r="AJ37" s="13"/>
      <c r="AK37" s="13"/>
      <c r="AL37" s="13"/>
    </row>
    <row r="38" spans="1:38" x14ac:dyDescent="0.3">
      <c r="A38" s="13"/>
      <c r="B38" s="13"/>
      <c r="C38" s="13"/>
      <c r="D38" s="13"/>
      <c r="E38" s="13"/>
      <c r="F38" s="13"/>
      <c r="G38" s="13"/>
      <c r="H38" s="13"/>
      <c r="I38" s="13"/>
      <c r="J38" s="13"/>
      <c r="K38" s="13"/>
      <c r="L38" s="13"/>
      <c r="M38" s="13"/>
      <c r="N38" s="13"/>
      <c r="O38" s="13"/>
      <c r="P38" s="13"/>
      <c r="Q38" s="13"/>
      <c r="R38" s="13"/>
      <c r="S38" s="53" t="s">
        <v>918</v>
      </c>
      <c r="T38" s="51">
        <f ca="1">K26*(E26*((100+E21*O26*P16)/100)*L26+10)*8</f>
        <v>0</v>
      </c>
      <c r="U38" s="53"/>
      <c r="V38" s="51">
        <f ca="1">K27*(E27*((100+E21*O27*P16)/100)*L27+10)*8</f>
        <v>0</v>
      </c>
      <c r="W38" s="53"/>
      <c r="X38" s="51"/>
      <c r="Y38" s="53"/>
      <c r="Z38" s="51"/>
      <c r="AA38" s="51"/>
      <c r="AB38" s="51"/>
      <c r="AC38" s="51"/>
      <c r="AD38" s="51"/>
      <c r="AE38" s="51"/>
      <c r="AF38" s="13"/>
      <c r="AG38" s="13"/>
      <c r="AH38" s="13"/>
      <c r="AI38" s="13"/>
      <c r="AJ38" s="13"/>
      <c r="AK38" s="13"/>
      <c r="AL38" s="13"/>
    </row>
    <row r="39" spans="1:38" x14ac:dyDescent="0.3">
      <c r="A39" s="13"/>
      <c r="B39" s="13"/>
      <c r="C39" s="13"/>
      <c r="D39" s="13"/>
      <c r="E39" s="13"/>
      <c r="F39" s="13"/>
      <c r="G39" s="13"/>
      <c r="H39" s="13"/>
      <c r="I39" s="13"/>
      <c r="J39" s="13"/>
      <c r="K39" s="13"/>
      <c r="L39" s="13"/>
      <c r="M39" s="13"/>
      <c r="N39" s="13"/>
      <c r="O39" s="13"/>
      <c r="P39" s="13"/>
      <c r="Q39" s="13"/>
      <c r="R39" s="13"/>
      <c r="S39" s="53" t="s">
        <v>147</v>
      </c>
      <c r="T39" s="51">
        <f ca="1">T38/24*(MIN((24/IF(M26=0,AC7,M26)),1))</f>
        <v>0</v>
      </c>
      <c r="U39" s="53"/>
      <c r="V39" s="51">
        <f ca="1">V38/24*(MIN((24/IF(M27=0,AC7,M27)),1))</f>
        <v>0</v>
      </c>
      <c r="W39" s="53"/>
      <c r="X39" s="51"/>
      <c r="Y39" s="53"/>
      <c r="Z39" s="51"/>
      <c r="AA39" s="51"/>
      <c r="AB39" s="51"/>
      <c r="AC39" s="51"/>
      <c r="AD39" s="51"/>
      <c r="AE39" s="51"/>
      <c r="AF39" s="13"/>
      <c r="AG39" s="13"/>
      <c r="AH39" s="13"/>
      <c r="AI39" s="13"/>
      <c r="AJ39" s="13"/>
      <c r="AK39" s="13"/>
      <c r="AL39" s="13"/>
    </row>
    <row r="40" spans="1:38"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row>
    <row r="41" spans="1:38"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row>
    <row r="42" spans="1:38"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row>
    <row r="44" spans="1:38"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row>
    <row r="45" spans="1:38"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row>
    <row r="46" spans="1:38"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row>
    <row r="47" spans="1:38"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row>
    <row r="48" spans="1:38"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row>
    <row r="49" spans="1:38"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row>
    <row r="50" spans="1:38"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row>
    <row r="51" spans="1:38"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row>
    <row r="52" spans="1:38"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row>
    <row r="53" spans="1:38"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row>
    <row r="54" spans="1:38"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row>
    <row r="55" spans="1:38"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row>
    <row r="56" spans="1:38"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row>
    <row r="57" spans="1:38"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row>
    <row r="58" spans="1:38"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row>
    <row r="59" spans="1:38"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0" spans="1:38"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row>
    <row r="61" spans="1:38"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row>
    <row r="62" spans="1:38"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row>
    <row r="63" spans="1:38"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row>
    <row r="64" spans="1:38"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row>
  </sheetData>
  <mergeCells count="2">
    <mergeCell ref="W2:AC2"/>
    <mergeCell ref="J13:U13"/>
  </mergeCells>
  <dataValidations disablePrompts="1" count="9">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0D05C09-BD81-4CF6-80D7-B9FE7A48B846}">
          <x14:formula1>
            <xm:f>'Ship Stats'!$A$872:$A$874</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T115"/>
  <sheetViews>
    <sheetView topLeftCell="A31" workbookViewId="0">
      <selection activeCell="E38" sqref="E38"/>
    </sheetView>
  </sheetViews>
  <sheetFormatPr defaultRowHeight="14.4" x14ac:dyDescent="0.3"/>
  <cols>
    <col min="4" max="4" width="13.109375" customWidth="1"/>
    <col min="5" max="5" width="15.77734375" customWidth="1"/>
    <col min="6" max="6" width="15.5546875" customWidth="1"/>
    <col min="7" max="7" width="14.33203125" customWidth="1"/>
    <col min="11" max="11" width="10.77734375" customWidth="1"/>
    <col min="13" max="13" width="10.5546875" customWidth="1"/>
  </cols>
  <sheetData>
    <row r="1" spans="1:20" x14ac:dyDescent="0.3">
      <c r="A1" s="13"/>
      <c r="B1" s="14"/>
      <c r="C1" s="14"/>
      <c r="D1" s="14"/>
      <c r="E1" s="14"/>
      <c r="F1" s="14"/>
      <c r="G1" s="14"/>
      <c r="H1" s="14"/>
      <c r="I1" s="14"/>
      <c r="J1" s="14"/>
      <c r="K1" s="14"/>
      <c r="L1" s="14"/>
      <c r="M1" s="14"/>
      <c r="N1" s="14"/>
      <c r="O1" s="14"/>
      <c r="P1" s="14"/>
      <c r="Q1" s="14"/>
      <c r="R1" s="14"/>
      <c r="S1" s="14"/>
      <c r="T1" s="14"/>
    </row>
    <row r="2" spans="1:20" x14ac:dyDescent="0.3">
      <c r="A2" s="13"/>
      <c r="B2" s="47" t="s">
        <v>615</v>
      </c>
      <c r="C2" s="46" t="s">
        <v>614</v>
      </c>
      <c r="D2" s="48" t="s">
        <v>2</v>
      </c>
      <c r="E2" s="48" t="s">
        <v>3</v>
      </c>
      <c r="F2" s="48" t="s">
        <v>946</v>
      </c>
      <c r="G2" s="48" t="s">
        <v>947</v>
      </c>
      <c r="H2" s="14"/>
      <c r="I2" s="194" t="s">
        <v>953</v>
      </c>
      <c r="J2" s="194"/>
      <c r="K2" s="194"/>
      <c r="L2" s="194"/>
      <c r="M2" s="79" t="s">
        <v>957</v>
      </c>
      <c r="N2" s="44">
        <f ca="1">SUM(F12,G12,F26,G26,F40,G40,F54,G54,F68,G68,F82,G82)</f>
        <v>126</v>
      </c>
      <c r="O2" s="79"/>
      <c r="P2" s="79" t="s">
        <v>962</v>
      </c>
      <c r="Q2" s="44">
        <f>_xlfn.NORM.INV(0.8,47.5,1)/100</f>
        <v>0.48341621233572918</v>
      </c>
      <c r="R2" s="14"/>
      <c r="S2" s="14"/>
      <c r="T2" s="14"/>
    </row>
    <row r="3" spans="1:20" x14ac:dyDescent="0.3">
      <c r="A3" s="13"/>
      <c r="B3" s="45" t="s">
        <v>150</v>
      </c>
      <c r="C3" s="34" t="str">
        <f>IFERROR(INDEX(SType[],MATCH(C4,SType[Ship],0),COLUMN(SType[Type])),0)</f>
        <v>RepairShip</v>
      </c>
      <c r="D3" s="47" t="s">
        <v>302</v>
      </c>
      <c r="E3" s="47" t="s">
        <v>301</v>
      </c>
      <c r="F3" s="47" t="s">
        <v>265</v>
      </c>
      <c r="G3" s="47" t="s">
        <v>265</v>
      </c>
      <c r="H3" s="14"/>
      <c r="I3" s="79" t="s">
        <v>848</v>
      </c>
      <c r="J3" s="78"/>
      <c r="K3" s="44">
        <f ca="1">SQRT(200/(100+(1+K8)*SUM(C6:G6)))</f>
        <v>0.86386842558136012</v>
      </c>
      <c r="L3" s="14"/>
      <c r="M3" s="79" t="s">
        <v>958</v>
      </c>
      <c r="N3" s="44">
        <f ca="1">SUM(E13,E27,E41,E69,E83,E55)</f>
        <v>4</v>
      </c>
      <c r="O3" s="79"/>
      <c r="P3" s="79" t="s">
        <v>963</v>
      </c>
      <c r="Q3" s="44">
        <f ca="1">SUM(K12,K13,K26,K27,K40,K41,K54,K55,K68,K69,K82,K83)*Q2</f>
        <v>1445.3371282898565</v>
      </c>
      <c r="R3" s="14"/>
      <c r="S3" s="14"/>
      <c r="T3" s="14"/>
    </row>
    <row r="4" spans="1:20" x14ac:dyDescent="0.3">
      <c r="A4" s="13"/>
      <c r="B4" s="45" t="s">
        <v>149</v>
      </c>
      <c r="C4" s="34" t="str">
        <f>IFERROR(INDEX(Base[],MATCH(C2,Base[Name],0),COLUMN(Base[Type])),0)</f>
        <v>AR</v>
      </c>
      <c r="D4" s="46" t="s">
        <v>288</v>
      </c>
      <c r="E4" s="46" t="s">
        <v>306</v>
      </c>
      <c r="F4" s="46" t="s">
        <v>799</v>
      </c>
      <c r="G4" s="46" t="s">
        <v>799</v>
      </c>
      <c r="H4" s="14"/>
      <c r="I4" s="79" t="s">
        <v>951</v>
      </c>
      <c r="J4" s="78"/>
      <c r="K4" s="44">
        <f ca="1">F11*K3</f>
        <v>1.1748610587906498</v>
      </c>
      <c r="L4" s="14"/>
      <c r="M4" s="79" t="s">
        <v>959</v>
      </c>
      <c r="N4" s="44">
        <f ca="1">N2/N3</f>
        <v>31.5</v>
      </c>
      <c r="O4" s="79"/>
      <c r="P4" s="79" t="s">
        <v>964</v>
      </c>
      <c r="Q4" s="44">
        <f ca="1">Q3/N5</f>
        <v>955.34423201575009</v>
      </c>
      <c r="R4" s="14"/>
      <c r="S4" s="14"/>
      <c r="T4" s="14"/>
    </row>
    <row r="5" spans="1:20" x14ac:dyDescent="0.3">
      <c r="A5" s="13"/>
      <c r="B5" s="45" t="s">
        <v>265</v>
      </c>
      <c r="C5" s="44">
        <f ca="1">IFERROR(INDEX(INDIRECT(C3&amp;"Table"),MATCH(C2,INDIRECT(C3&amp;"Table"&amp;"[Name]"),0),COLUMN(INDIRECT(C3&amp;"Table"&amp;"["&amp;B5&amp;"]"))),0)</f>
        <v>152</v>
      </c>
      <c r="D5" s="44">
        <f ca="1">IFERROR(INDEX(INDIRECT(D3&amp;"Table"),MATCH(D4,INDIRECT(D3&amp;"Table"&amp;"[Name]"),0),COLUMN(INDIRECT(D3&amp;"Table"&amp;"["&amp;B5&amp;"]"))),0)</f>
        <v>0</v>
      </c>
      <c r="E5" s="44">
        <f ca="1">IFERROR(INDEX(INDIRECT(E3&amp;"Table"),MATCH(E4,INDIRECT(E3&amp;"Table"&amp;"[Name]"),0),COLUMN(INDIRECT(E3&amp;"Table"&amp;"["&amp;B5&amp;"]"))),0)</f>
        <v>100</v>
      </c>
      <c r="F5" s="44">
        <f ca="1">IFERROR(INDEX(INDIRECT(F3&amp;"Table"),MATCH(F4,INDIRECT(F3&amp;"Table"&amp;"[Name]"),0),COLUMN(INDIRECT(F3&amp;"Table"&amp;"["&amp;B5&amp;"]"))),0)*IF(C7=0,0,1)</f>
        <v>45</v>
      </c>
      <c r="G5" s="44">
        <f ca="1">IFERROR(INDEX(INDIRECT(G3&amp;"Table"),MATCH(G4,INDIRECT(G3&amp;"Table"&amp;"[Name]"),0),COLUMN(INDIRECT(G3&amp;"Table"&amp;"["&amp;B5&amp;"]"))),0)*IF(C8=0,0,1)</f>
        <v>45</v>
      </c>
      <c r="H5" s="14"/>
      <c r="I5" s="79" t="s">
        <v>952</v>
      </c>
      <c r="J5" s="63"/>
      <c r="K5" s="44">
        <f ca="1">G11*K3</f>
        <v>1.1748610587906498</v>
      </c>
      <c r="L5" s="14"/>
      <c r="M5" s="79" t="s">
        <v>960</v>
      </c>
      <c r="N5" s="44">
        <f ca="1">SUM(K4,K5,K18,K19,K32,K33,K46,K47,K60,K61,K74,K75)/N3+0.5</f>
        <v>1.5128966919497016</v>
      </c>
      <c r="O5" s="79"/>
      <c r="P5" s="79"/>
      <c r="Q5" s="79"/>
      <c r="R5" s="14"/>
      <c r="S5" s="14"/>
      <c r="T5" s="14"/>
    </row>
    <row r="6" spans="1:20" x14ac:dyDescent="0.3">
      <c r="A6" s="13"/>
      <c r="B6" s="45" t="s">
        <v>14</v>
      </c>
      <c r="C6" s="44">
        <f ca="1">IFERROR(INDEX(INDIRECT(C3&amp;"Table"),MATCH(C2,INDIRECT(C3&amp;"Table"&amp;"[Name]"),0),COLUMN(INDIRECT(C3&amp;"Table"&amp;"["&amp;B6&amp;"]"))),0)</f>
        <v>168</v>
      </c>
      <c r="D6" s="44">
        <f ca="1">IFERROR(INDEX(INDIRECT(D3&amp;"Table"),MATCH(D4,INDIRECT(D3&amp;"Table"&amp;"[Name]"),0),COLUMN(INDIRECT(D3&amp;"Table"&amp;"["&amp;B6&amp;"]"))),0)</f>
        <v>0</v>
      </c>
      <c r="E6" s="44">
        <f ca="1">IFERROR(INDEX(INDIRECT(E3&amp;"Table"),MATCH(E4,INDIRECT(E3&amp;"Table"&amp;"[Name]"),0),COLUMN(INDIRECT(E3&amp;"Table"&amp;"["&amp;B6&amp;"]"))),0)</f>
        <v>0</v>
      </c>
      <c r="F6" s="44">
        <f ca="1">IFERROR(INDEX(INDIRECT(F3&amp;"Table"),MATCH(F4,INDIRECT(F3&amp;"Table"&amp;"[Name]"),0),COLUMN(INDIRECT(F3&amp;"Table"&amp;"["&amp;B6&amp;"]"))),0)</f>
        <v>0</v>
      </c>
      <c r="G6" s="44">
        <f ca="1">IFERROR(INDEX(INDIRECT(G3&amp;"Table"),MATCH(G4,INDIRECT(G3&amp;"Table"&amp;"[Name]"),0),COLUMN(INDIRECT(G3&amp;"Table"&amp;"["&amp;B6&amp;"]"))),0)</f>
        <v>0</v>
      </c>
      <c r="H6" s="14"/>
      <c r="I6" s="79"/>
      <c r="J6" s="44"/>
      <c r="K6" s="44"/>
      <c r="L6" s="14"/>
      <c r="M6" s="79"/>
      <c r="N6" s="79"/>
      <c r="O6" s="79"/>
      <c r="P6" s="79"/>
      <c r="Q6" s="79"/>
      <c r="R6" s="14"/>
      <c r="S6" s="14"/>
      <c r="T6" s="14"/>
    </row>
    <row r="7" spans="1:20" x14ac:dyDescent="0.3">
      <c r="A7" s="13"/>
      <c r="B7" s="45" t="s">
        <v>936</v>
      </c>
      <c r="C7" s="44">
        <f ca="1">IFERROR(INDEX(INDIRECT(C3&amp;"Table"),MATCH(C2,INDIRECT(C3&amp;"Table"&amp;"[Name]"),0),COLUMN(INDIRECT(C3&amp;"Table"&amp;"["&amp;B7&amp;"]"))),0)</f>
        <v>1</v>
      </c>
      <c r="D7" s="44">
        <f ca="1">IFERROR(INDEX(INDIRECT(D3&amp;"Table"),MATCH(D4,INDIRECT(D3&amp;"Table"&amp;"[Name]"),0),COLUMN(INDIRECT(D3&amp;"Table"&amp;"["&amp;B7&amp;"]"))),0)</f>
        <v>0</v>
      </c>
      <c r="E7" s="44">
        <f ca="1">IFERROR(INDEX(INDIRECT(E3&amp;"Table"),MATCH(E4,INDIRECT(E3&amp;"Table"&amp;"[Name]"),0),COLUMN(INDIRECT(E3&amp;"Table"&amp;"["&amp;B7&amp;"]"))),0)</f>
        <v>0</v>
      </c>
      <c r="F7" s="44">
        <f ca="1">IFERROR(INDEX(INDIRECT(F3&amp;"Table"),MATCH(F4,INDIRECT(F3&amp;"Table"&amp;"[Name]"),0),COLUMN(INDIRECT(F3&amp;"Table"&amp;"["&amp;B7&amp;"]"))),0)</f>
        <v>0</v>
      </c>
      <c r="G7" s="44">
        <f ca="1">IFERROR(INDEX(INDIRECT(G3&amp;"Table"),MATCH(G4,INDIRECT(G3&amp;"Table"&amp;"[Name]"),0),COLUMN(INDIRECT(G3&amp;"Table"&amp;"["&amp;B7&amp;"]"))),0)</f>
        <v>0</v>
      </c>
      <c r="H7" s="14"/>
      <c r="I7" s="79"/>
      <c r="J7" s="44"/>
      <c r="K7" s="44"/>
      <c r="L7" s="14"/>
      <c r="M7" s="79"/>
      <c r="N7" s="79"/>
      <c r="O7" s="79"/>
      <c r="P7" s="79"/>
      <c r="Q7" s="79"/>
      <c r="R7" s="14"/>
      <c r="S7" s="14"/>
      <c r="T7" s="14"/>
    </row>
    <row r="8" spans="1:20" x14ac:dyDescent="0.3">
      <c r="A8" s="13"/>
      <c r="B8" s="45" t="s">
        <v>937</v>
      </c>
      <c r="C8" s="44">
        <f ca="1">IFERROR(INDEX(INDIRECT(C3&amp;"Table"),MATCH(C2,INDIRECT(C3&amp;"Table"&amp;"[Name]"),0),COLUMN(INDIRECT(C3&amp;"Table"&amp;"["&amp;B8&amp;"]"))),0)</f>
        <v>1</v>
      </c>
      <c r="D8" s="44">
        <f ca="1">IFERROR(INDEX(INDIRECT(D3&amp;"Table"),MATCH(D4,INDIRECT(D3&amp;"Table"&amp;"[Name]"),0),COLUMN(INDIRECT(D3&amp;"Table"&amp;"["&amp;B8&amp;"]"))),0)</f>
        <v>0</v>
      </c>
      <c r="E8" s="44">
        <f ca="1">IFERROR(INDEX(INDIRECT(E3&amp;"Table"),MATCH(E4,INDIRECT(E3&amp;"Table"&amp;"[Name]"),0),COLUMN(INDIRECT(E3&amp;"Table"&amp;"["&amp;B8&amp;"]"))),0)</f>
        <v>0</v>
      </c>
      <c r="F8" s="44">
        <f ca="1">IFERROR(INDEX(INDIRECT(F3&amp;"Table"),MATCH(F4,INDIRECT(F3&amp;"Table"&amp;"[Name]"),0),COLUMN(INDIRECT(F3&amp;"Table"&amp;"["&amp;B8&amp;"]"))),0)</f>
        <v>0</v>
      </c>
      <c r="G8" s="44">
        <f ca="1">IFERROR(INDEX(INDIRECT(G3&amp;"Table"),MATCH(G4,INDIRECT(G3&amp;"Table"&amp;"[Name]"),0),COLUMN(INDIRECT(G3&amp;"Table"&amp;"["&amp;B8&amp;"]"))),0)</f>
        <v>0</v>
      </c>
      <c r="H8" s="14"/>
      <c r="I8" s="79" t="s">
        <v>65</v>
      </c>
      <c r="J8" s="63"/>
      <c r="K8" s="50">
        <v>0</v>
      </c>
      <c r="L8" s="14"/>
      <c r="M8" s="79"/>
      <c r="N8" s="79"/>
      <c r="O8" s="79"/>
      <c r="P8" s="79"/>
      <c r="Q8" s="79"/>
      <c r="R8" s="14"/>
      <c r="S8" s="14"/>
      <c r="T8" s="14"/>
    </row>
    <row r="9" spans="1:20" x14ac:dyDescent="0.3">
      <c r="A9" s="13"/>
      <c r="B9" s="45" t="s">
        <v>21</v>
      </c>
      <c r="C9" s="44">
        <v>0</v>
      </c>
      <c r="D9" s="44">
        <f ca="1">IFERROR(INDEX(INDIRECT(D3&amp;"Table"),MATCH(D4,INDIRECT(D3&amp;"Table"&amp;"[Name]"),0),COLUMN(INDIRECT(D3&amp;"Table"&amp;"["&amp;B9&amp;"]"))),0)</f>
        <v>0</v>
      </c>
      <c r="E9" s="44">
        <f ca="1">IFERROR(INDEX(INDIRECT(E3&amp;"Table"),MATCH(E4,INDIRECT(E3&amp;"Table"&amp;"[Name]"),0),COLUMN(INDIRECT(E3&amp;"Table"&amp;"["&amp;B9&amp;"]"))),0)</f>
        <v>0</v>
      </c>
      <c r="F9" s="44">
        <f ca="1">IFERROR(INDEX(INDIRECT(F3&amp;"Table"),MATCH(F4,INDIRECT(F3&amp;"Table"&amp;"[Name]"),0),COLUMN(INDIRECT(F3&amp;"Table"&amp;"["&amp;B9&amp;"]"))),0)*IF(C7=0,0,1)</f>
        <v>130</v>
      </c>
      <c r="G9" s="44">
        <f ca="1">IFERROR(INDEX(INDIRECT(G3&amp;"Table"),MATCH(G4,INDIRECT(G3&amp;"Table"&amp;"[Name]"),0),COLUMN(INDIRECT(G3&amp;"Table"&amp;"["&amp;B9&amp;"]"))),0)*IF(C8=0,0,1)</f>
        <v>130</v>
      </c>
      <c r="H9" s="14"/>
      <c r="I9" s="79" t="s">
        <v>948</v>
      </c>
      <c r="J9" s="63"/>
      <c r="K9" s="50">
        <v>2</v>
      </c>
      <c r="L9" s="14"/>
      <c r="M9" s="79"/>
      <c r="N9" s="79"/>
      <c r="O9" s="79"/>
      <c r="P9" s="79"/>
      <c r="Q9" s="79"/>
      <c r="R9" s="14"/>
      <c r="S9" s="14"/>
      <c r="T9" s="14"/>
    </row>
    <row r="10" spans="1:20" x14ac:dyDescent="0.3">
      <c r="A10" s="13"/>
      <c r="B10" s="45" t="s">
        <v>22</v>
      </c>
      <c r="C10" s="44">
        <v>0</v>
      </c>
      <c r="D10" s="44">
        <f ca="1">IFERROR(INDEX(INDIRECT(D3&amp;"Table"),MATCH(D4,INDIRECT(D3&amp;"Table"&amp;"[Name]"),0),COLUMN(INDIRECT(D3&amp;"Table"&amp;"["&amp;B10&amp;"]"))),0)</f>
        <v>0</v>
      </c>
      <c r="E10" s="44">
        <f ca="1">IFERROR(INDEX(INDIRECT(E3&amp;"Table"),MATCH(E4,INDIRECT(E3&amp;"Table"&amp;"[Name]"),0),COLUMN(INDIRECT(E3&amp;"Table"&amp;"["&amp;B10&amp;"]"))),0)</f>
        <v>0</v>
      </c>
      <c r="F10" s="44">
        <f ca="1">IFERROR(INDEX(INDIRECT(F3&amp;"Table"),MATCH(F4,INDIRECT(F3&amp;"Table"&amp;"[Name]"),0),COLUMN(INDIRECT(F3&amp;"Table"&amp;"["&amp;B10&amp;"]"))),0)</f>
        <v>0</v>
      </c>
      <c r="G10" s="44">
        <f ca="1">IFERROR(INDEX(INDIRECT(G3&amp;"Table"),MATCH(G4,INDIRECT(G3&amp;"Table"&amp;"[Name]"),0),COLUMN(INDIRECT(G3&amp;"Table"&amp;"["&amp;B10&amp;"]"))),0)</f>
        <v>0</v>
      </c>
      <c r="H10" s="14"/>
      <c r="I10" s="79" t="s">
        <v>949</v>
      </c>
      <c r="J10" s="63"/>
      <c r="K10" s="50">
        <v>1</v>
      </c>
      <c r="L10" s="14"/>
      <c r="M10" s="79"/>
      <c r="N10" s="79"/>
      <c r="O10" s="79"/>
      <c r="P10" s="79"/>
      <c r="Q10" s="79"/>
      <c r="R10" s="14"/>
      <c r="S10" s="14"/>
      <c r="T10" s="14"/>
    </row>
    <row r="11" spans="1:20" x14ac:dyDescent="0.3">
      <c r="A11" s="13"/>
      <c r="B11" s="45" t="s">
        <v>266</v>
      </c>
      <c r="C11" s="44">
        <v>0</v>
      </c>
      <c r="D11" s="44">
        <f ca="1">IFERROR(INDEX(INDIRECT(D3&amp;"Table"),MATCH(D4,INDIRECT(D3&amp;"Table"&amp;"[Name]"),0),COLUMN(INDIRECT(D3&amp;"Table"&amp;"["&amp;B11&amp;"]"))),0)</f>
        <v>0</v>
      </c>
      <c r="E11" s="44">
        <f ca="1">IFERROR(INDEX(INDIRECT(E3&amp;"Table"),MATCH(E4,INDIRECT(E3&amp;"Table"&amp;"[Name]"),0),COLUMN(INDIRECT(E3&amp;"Table"&amp;"["&amp;B11&amp;"]"))),0)</f>
        <v>0</v>
      </c>
      <c r="F11" s="44">
        <f ca="1">IFERROR(INDEX(INDIRECT(F3&amp;"Table"),MATCH(F4,INDIRECT(F3&amp;"Table"&amp;"[Name]"),0),COLUMN(INDIRECT(F3&amp;"Table"&amp;"["&amp;B11&amp;"]"))),0)*IF(C7=0,0,1)</f>
        <v>1.36</v>
      </c>
      <c r="G11" s="44">
        <f ca="1">IFERROR(INDEX(INDIRECT(G3&amp;"Table"),MATCH(G4,INDIRECT(G3&amp;"Table"&amp;"[Name]"),0),COLUMN(INDIRECT(G3&amp;"Table"&amp;"["&amp;B11&amp;"]"))),0)*IF(C8=0,0,1)</f>
        <v>1.36</v>
      </c>
      <c r="H11" s="14"/>
      <c r="I11" s="79" t="s">
        <v>950</v>
      </c>
      <c r="J11" s="63"/>
      <c r="K11" s="50">
        <v>1</v>
      </c>
      <c r="L11" s="14"/>
      <c r="M11" s="79"/>
      <c r="N11" s="79"/>
      <c r="O11" s="79"/>
      <c r="P11" s="79"/>
      <c r="Q11" s="79"/>
      <c r="R11" s="14"/>
      <c r="S11" s="14"/>
      <c r="T11" s="14"/>
    </row>
    <row r="12" spans="1:20" x14ac:dyDescent="0.3">
      <c r="A12" s="13"/>
      <c r="B12" s="45" t="s">
        <v>955</v>
      </c>
      <c r="C12" s="44"/>
      <c r="D12" s="44"/>
      <c r="E12" s="44"/>
      <c r="F12" s="44">
        <f ca="1">IFERROR(INDEX(INDIRECT(F3&amp;"Table"),MATCH(F4,INDIRECT(F3&amp;"Table"&amp;"[Name]"),0),COLUMN(INDIRECT(F3&amp;"Table"&amp;"["&amp;B12&amp;"]"))),0)*IF(C7=0,0,1)</f>
        <v>35</v>
      </c>
      <c r="G12" s="44">
        <f ca="1">IFERROR(INDEX(INDIRECT(G3&amp;"Table"),MATCH(G4,INDIRECT(G3&amp;"Table"&amp;"[Name]"),0),COLUMN(INDIRECT(G3&amp;"Table"&amp;"["&amp;B12&amp;"]"))),0)*IF(C8=0,0,1)</f>
        <v>35</v>
      </c>
      <c r="H12" s="14"/>
      <c r="I12" s="79" t="s">
        <v>954</v>
      </c>
      <c r="J12" s="63"/>
      <c r="K12" s="111">
        <f ca="1">((100+C13*K10)/100)*C7*F9*K9*K11</f>
        <v>1149.2</v>
      </c>
      <c r="L12" s="14"/>
      <c r="M12" s="79"/>
      <c r="N12" s="79"/>
      <c r="O12" s="79"/>
      <c r="P12" s="79"/>
      <c r="Q12" s="79"/>
      <c r="R12" s="14"/>
      <c r="S12" s="14"/>
      <c r="T12" s="14"/>
    </row>
    <row r="13" spans="1:20" x14ac:dyDescent="0.3">
      <c r="A13" s="13"/>
      <c r="B13" s="45" t="s">
        <v>801</v>
      </c>
      <c r="C13" s="44">
        <f ca="1">SUM(C5:G5)</f>
        <v>342</v>
      </c>
      <c r="D13" s="44" t="s">
        <v>956</v>
      </c>
      <c r="E13" s="44">
        <f ca="1">COUNTIF(F12:G12,"&gt;0")</f>
        <v>2</v>
      </c>
      <c r="F13" s="44"/>
      <c r="G13" s="44"/>
      <c r="H13" s="14"/>
      <c r="I13" s="79" t="s">
        <v>1405</v>
      </c>
      <c r="J13" s="63"/>
      <c r="K13" s="111">
        <f ca="1">((100+C13*K10)/100)*C8*G9*K9*K11</f>
        <v>1149.2</v>
      </c>
      <c r="L13" s="14"/>
      <c r="M13" s="79"/>
      <c r="N13" s="79"/>
      <c r="O13" s="79"/>
      <c r="P13" s="79"/>
      <c r="Q13" s="79"/>
      <c r="R13" s="14"/>
      <c r="S13" s="14"/>
      <c r="T13" s="14"/>
    </row>
    <row r="14" spans="1:20" x14ac:dyDescent="0.3">
      <c r="A14" s="13"/>
      <c r="B14" s="45"/>
      <c r="C14" s="44"/>
      <c r="D14" s="44"/>
      <c r="E14" s="44"/>
      <c r="F14" s="44"/>
      <c r="G14" s="44"/>
      <c r="H14" s="14"/>
      <c r="I14" s="44"/>
      <c r="J14" s="44"/>
      <c r="K14" s="44"/>
      <c r="L14" s="14"/>
      <c r="M14" s="79"/>
      <c r="N14" s="79"/>
      <c r="O14" s="79"/>
      <c r="P14" s="79"/>
      <c r="Q14" s="79"/>
      <c r="R14" s="14"/>
      <c r="S14" s="14"/>
      <c r="T14" s="14"/>
    </row>
    <row r="15" spans="1:20" x14ac:dyDescent="0.3">
      <c r="A15" s="13"/>
      <c r="B15" s="14"/>
      <c r="C15" s="14"/>
      <c r="D15" s="14"/>
      <c r="E15" s="14"/>
      <c r="F15" s="14"/>
      <c r="G15" s="14"/>
      <c r="H15" s="14"/>
      <c r="I15" s="14"/>
      <c r="J15" s="14"/>
      <c r="K15" s="14"/>
      <c r="L15" s="14"/>
      <c r="M15" s="14"/>
      <c r="N15" s="14"/>
      <c r="O15" s="14"/>
      <c r="P15" s="14"/>
      <c r="Q15" s="14"/>
      <c r="R15" s="14"/>
      <c r="S15" s="14"/>
      <c r="T15" s="14"/>
    </row>
    <row r="16" spans="1:20" x14ac:dyDescent="0.3">
      <c r="A16" s="13"/>
      <c r="B16" s="47" t="s">
        <v>189</v>
      </c>
      <c r="C16" s="46" t="s">
        <v>574</v>
      </c>
      <c r="D16" s="48" t="s">
        <v>2</v>
      </c>
      <c r="E16" s="48" t="s">
        <v>3</v>
      </c>
      <c r="F16" s="48" t="s">
        <v>946</v>
      </c>
      <c r="G16" s="48" t="s">
        <v>947</v>
      </c>
      <c r="H16" s="14"/>
      <c r="I16" s="194" t="s">
        <v>953</v>
      </c>
      <c r="J16" s="194"/>
      <c r="K16" s="194"/>
      <c r="L16" s="194"/>
      <c r="M16" s="14"/>
      <c r="N16" s="14"/>
      <c r="O16" s="14"/>
      <c r="P16" s="14"/>
      <c r="Q16" s="14"/>
      <c r="R16" s="14"/>
      <c r="S16" s="14"/>
      <c r="T16" s="14"/>
    </row>
    <row r="17" spans="1:20" x14ac:dyDescent="0.3">
      <c r="A17" s="13"/>
      <c r="B17" s="45" t="s">
        <v>150</v>
      </c>
      <c r="C17" s="34" t="str">
        <f>IFERROR(INDEX(SType[],MATCH(C18,SType[Ship],0),COLUMN(SType[Type])),0)</f>
        <v>Battleship</v>
      </c>
      <c r="D17" s="47" t="s">
        <v>302</v>
      </c>
      <c r="E17" s="47" t="s">
        <v>301</v>
      </c>
      <c r="F17" s="47" t="s">
        <v>265</v>
      </c>
      <c r="G17" s="47" t="s">
        <v>265</v>
      </c>
      <c r="H17" s="14"/>
      <c r="I17" s="79" t="s">
        <v>848</v>
      </c>
      <c r="J17" s="78"/>
      <c r="K17" s="79">
        <f ca="1">SQRT(200/(100+(1+K22)*SUM(C20:G20)))</f>
        <v>0.83189033080770292</v>
      </c>
      <c r="L17" s="14"/>
      <c r="M17" s="14"/>
      <c r="N17" s="14"/>
      <c r="O17" s="14"/>
      <c r="P17" s="14"/>
      <c r="Q17" s="14"/>
      <c r="R17" s="14"/>
      <c r="S17" s="14"/>
      <c r="T17" s="14"/>
    </row>
    <row r="18" spans="1:20" x14ac:dyDescent="0.3">
      <c r="A18" s="13"/>
      <c r="B18" s="45" t="s">
        <v>149</v>
      </c>
      <c r="C18" s="34" t="str">
        <f>IFERROR(INDEX(Base[],MATCH(C16,Base[Name],0),COLUMN(Base[Type])),0)</f>
        <v>BB</v>
      </c>
      <c r="D18" s="46" t="s">
        <v>288</v>
      </c>
      <c r="E18" s="46" t="s">
        <v>304</v>
      </c>
      <c r="F18" s="46" t="s">
        <v>800</v>
      </c>
      <c r="G18" s="46" t="s">
        <v>779</v>
      </c>
      <c r="H18" s="14"/>
      <c r="I18" s="79" t="s">
        <v>951</v>
      </c>
      <c r="J18" s="78"/>
      <c r="K18" s="79">
        <f ca="1">F25*K17</f>
        <v>0.86516594404001101</v>
      </c>
      <c r="L18" s="14"/>
      <c r="M18" s="14"/>
      <c r="N18" s="14"/>
      <c r="O18" s="14"/>
      <c r="P18" s="14"/>
      <c r="Q18" s="14"/>
      <c r="R18" s="14"/>
      <c r="S18" s="14"/>
      <c r="T18" s="14"/>
    </row>
    <row r="19" spans="1:20" x14ac:dyDescent="0.3">
      <c r="A19" s="13"/>
      <c r="B19" s="45" t="s">
        <v>265</v>
      </c>
      <c r="C19" s="44">
        <f ca="1">IFERROR(INDEX(INDIRECT(C17&amp;"Table"),MATCH(C16,INDIRECT(C17&amp;"Table"&amp;"[Name]"),0),COLUMN(INDIRECT(C17&amp;"Table"&amp;"["&amp;B19&amp;"]"))),0)</f>
        <v>241</v>
      </c>
      <c r="D19" s="44">
        <f ca="1">IFERROR(INDEX(INDIRECT(D17&amp;"Table"),MATCH(D18,INDIRECT(D17&amp;"Table"&amp;"[Name]"),0),COLUMN(INDIRECT(D17&amp;"Table"&amp;"["&amp;B19&amp;"]"))),0)</f>
        <v>0</v>
      </c>
      <c r="E19" s="44">
        <f ca="1">IFERROR(INDEX(INDIRECT(E17&amp;"Table"),MATCH(E18,INDIRECT(E17&amp;"Table"&amp;"[Name]"),0),COLUMN(INDIRECT(E17&amp;"Table"&amp;"["&amp;B19&amp;"]"))),0)</f>
        <v>0</v>
      </c>
      <c r="F19" s="44">
        <f ca="1">IFERROR(INDEX(INDIRECT(F17&amp;"Table"),MATCH(F18,INDIRECT(F17&amp;"Table"&amp;"[Name]"),0),COLUMN(INDIRECT(F17&amp;"Table"&amp;"["&amp;B19&amp;"]"))),0)*IF(C21=0,0,1)</f>
        <v>45</v>
      </c>
      <c r="G19" s="44">
        <f ca="1">IFERROR(INDEX(INDIRECT(G17&amp;"Table"),MATCH(G18,INDIRECT(G17&amp;"Table"&amp;"[Name]"),0),COLUMN(INDIRECT(G17&amp;"Table"&amp;"["&amp;B19&amp;"]"))),0)*IF(C22=0,0,1)</f>
        <v>0</v>
      </c>
      <c r="H19" s="14"/>
      <c r="I19" s="79" t="s">
        <v>952</v>
      </c>
      <c r="J19" s="63"/>
      <c r="K19" s="44">
        <f ca="1">G25*K17</f>
        <v>0</v>
      </c>
      <c r="L19" s="14"/>
      <c r="M19" s="14"/>
      <c r="N19" s="14"/>
      <c r="O19" s="14"/>
      <c r="P19" s="14"/>
      <c r="Q19" s="14"/>
      <c r="R19" s="14"/>
      <c r="S19" s="14"/>
      <c r="T19" s="14"/>
    </row>
    <row r="20" spans="1:20" x14ac:dyDescent="0.3">
      <c r="A20" s="13"/>
      <c r="B20" s="45" t="s">
        <v>14</v>
      </c>
      <c r="C20" s="44">
        <f ca="1">IFERROR(INDEX(INDIRECT(C17&amp;"Table"),MATCH(C16,INDIRECT(C17&amp;"Table"&amp;"[Name]"),0),COLUMN(INDIRECT(C17&amp;"Table"&amp;"["&amp;B20&amp;"]"))),0)</f>
        <v>179</v>
      </c>
      <c r="D20" s="44">
        <f ca="1">IFERROR(INDEX(INDIRECT(D17&amp;"Table"),MATCH(D18,INDIRECT(D17&amp;"Table"&amp;"[Name]"),0),COLUMN(INDIRECT(D17&amp;"Table"&amp;"["&amp;B20&amp;"]"))),0)</f>
        <v>0</v>
      </c>
      <c r="E20" s="44">
        <f ca="1">IFERROR(INDEX(INDIRECT(E17&amp;"Table"),MATCH(E18,INDIRECT(E17&amp;"Table"&amp;"[Name]"),0),COLUMN(INDIRECT(E17&amp;"Table"&amp;"["&amp;B20&amp;"]"))),0)</f>
        <v>10</v>
      </c>
      <c r="F20" s="44">
        <f ca="1">IFERROR(INDEX(INDIRECT(F17&amp;"Table"),MATCH(F18,INDIRECT(F17&amp;"Table"&amp;"[Name]"),0),COLUMN(INDIRECT(F17&amp;"Table"&amp;"["&amp;B20&amp;"]"))),0)</f>
        <v>0</v>
      </c>
      <c r="G20" s="44">
        <f ca="1">IFERROR(INDEX(INDIRECT(G17&amp;"Table"),MATCH(G18,INDIRECT(G17&amp;"Table"&amp;"[Name]"),0),COLUMN(INDIRECT(G17&amp;"Table"&amp;"["&amp;B20&amp;"]"))),0)</f>
        <v>0</v>
      </c>
      <c r="H20" s="14"/>
      <c r="I20" s="79"/>
      <c r="J20" s="44"/>
      <c r="K20" s="44"/>
      <c r="L20" s="14"/>
      <c r="M20" s="14"/>
      <c r="N20" s="14"/>
      <c r="O20" s="14"/>
      <c r="P20" s="14"/>
      <c r="Q20" s="14"/>
      <c r="R20" s="14"/>
      <c r="S20" s="14"/>
      <c r="T20" s="14"/>
    </row>
    <row r="21" spans="1:20" x14ac:dyDescent="0.3">
      <c r="A21" s="13"/>
      <c r="B21" s="45" t="s">
        <v>936</v>
      </c>
      <c r="C21" s="44">
        <f ca="1">IFERROR(INDEX(INDIRECT(C17&amp;"Table"),MATCH(C16,INDIRECT(C17&amp;"Table"&amp;"[Name]"),0),COLUMN(INDIRECT(C17&amp;"Table"&amp;"["&amp;B21&amp;"]"))),0)</f>
        <v>0.7</v>
      </c>
      <c r="D21" s="44">
        <f ca="1">IFERROR(INDEX(INDIRECT(D17&amp;"Table"),MATCH(D18,INDIRECT(D17&amp;"Table"&amp;"[Name]"),0),COLUMN(INDIRECT(D17&amp;"Table"&amp;"["&amp;B21&amp;"]"))),0)</f>
        <v>0</v>
      </c>
      <c r="E21" s="44">
        <f ca="1">IFERROR(INDEX(INDIRECT(E17&amp;"Table"),MATCH(E18,INDIRECT(E17&amp;"Table"&amp;"[Name]"),0),COLUMN(INDIRECT(E17&amp;"Table"&amp;"["&amp;B21&amp;"]"))),0)</f>
        <v>0</v>
      </c>
      <c r="F21" s="44">
        <f ca="1">IFERROR(INDEX(INDIRECT(F17&amp;"Table"),MATCH(F18,INDIRECT(F17&amp;"Table"&amp;"[Name]"),0),COLUMN(INDIRECT(F17&amp;"Table"&amp;"["&amp;B21&amp;"]"))),0)</f>
        <v>0</v>
      </c>
      <c r="G21" s="44">
        <f ca="1">IFERROR(INDEX(INDIRECT(G17&amp;"Table"),MATCH(G18,INDIRECT(G17&amp;"Table"&amp;"[Name]"),0),COLUMN(INDIRECT(G17&amp;"Table"&amp;"["&amp;B21&amp;"]"))),0)</f>
        <v>0</v>
      </c>
      <c r="H21" s="14"/>
      <c r="I21" s="79"/>
      <c r="J21" s="44"/>
      <c r="K21" s="44"/>
      <c r="L21" s="14"/>
      <c r="M21" s="14"/>
      <c r="N21" s="14"/>
      <c r="O21" s="14"/>
      <c r="P21" s="14"/>
      <c r="Q21" s="14"/>
      <c r="R21" s="14"/>
      <c r="S21" s="14"/>
      <c r="T21" s="14"/>
    </row>
    <row r="22" spans="1:20" x14ac:dyDescent="0.3">
      <c r="A22" s="13"/>
      <c r="B22" s="45" t="s">
        <v>937</v>
      </c>
      <c r="C22" s="44">
        <f ca="1">IFERROR(INDEX(INDIRECT(C17&amp;"Table"),MATCH(C16,INDIRECT(C17&amp;"Table"&amp;"[Name]"),0),COLUMN(INDIRECT(C17&amp;"Table"&amp;"["&amp;B22&amp;"]"))),0)</f>
        <v>0</v>
      </c>
      <c r="D22" s="44">
        <f ca="1">IFERROR(INDEX(INDIRECT(D17&amp;"Table"),MATCH(D18,INDIRECT(D17&amp;"Table"&amp;"[Name]"),0),COLUMN(INDIRECT(D17&amp;"Table"&amp;"["&amp;B22&amp;"]"))),0)</f>
        <v>0</v>
      </c>
      <c r="E22" s="44">
        <f ca="1">IFERROR(INDEX(INDIRECT(E17&amp;"Table"),MATCH(E18,INDIRECT(E17&amp;"Table"&amp;"[Name]"),0),COLUMN(INDIRECT(E17&amp;"Table"&amp;"["&amp;B22&amp;"]"))),0)</f>
        <v>0</v>
      </c>
      <c r="F22" s="44">
        <f ca="1">IFERROR(INDEX(INDIRECT(F17&amp;"Table"),MATCH(F18,INDIRECT(F17&amp;"Table"&amp;"[Name]"),0),COLUMN(INDIRECT(F17&amp;"Table"&amp;"["&amp;B22&amp;"]"))),0)</f>
        <v>0</v>
      </c>
      <c r="G22" s="44">
        <f ca="1">IFERROR(INDEX(INDIRECT(G17&amp;"Table"),MATCH(G18,INDIRECT(G17&amp;"Table"&amp;"[Name]"),0),COLUMN(INDIRECT(G17&amp;"Table"&amp;"["&amp;B22&amp;"]"))),0)</f>
        <v>0</v>
      </c>
      <c r="H22" s="14"/>
      <c r="I22" s="79" t="s">
        <v>65</v>
      </c>
      <c r="J22" s="63"/>
      <c r="K22" s="50">
        <v>0</v>
      </c>
      <c r="L22" s="14"/>
      <c r="M22" s="14"/>
      <c r="N22" s="14"/>
      <c r="O22" s="14"/>
      <c r="P22" s="14"/>
      <c r="Q22" s="14"/>
      <c r="R22" s="14"/>
      <c r="S22" s="14"/>
      <c r="T22" s="14"/>
    </row>
    <row r="23" spans="1:20" x14ac:dyDescent="0.3">
      <c r="A23" s="13"/>
      <c r="B23" s="45" t="s">
        <v>21</v>
      </c>
      <c r="C23" s="44">
        <v>0</v>
      </c>
      <c r="D23" s="44">
        <f ca="1">IFERROR(INDEX(INDIRECT(D17&amp;"Table"),MATCH(D18,INDIRECT(D17&amp;"Table"&amp;"[Name]"),0),COLUMN(INDIRECT(D17&amp;"Table"&amp;"["&amp;B23&amp;"]"))),0)</f>
        <v>0</v>
      </c>
      <c r="E23" s="44">
        <f ca="1">IFERROR(INDEX(INDIRECT(E17&amp;"Table"),MATCH(E18,INDIRECT(E17&amp;"Table"&amp;"[Name]"),0),COLUMN(INDIRECT(E17&amp;"Table"&amp;"["&amp;B23&amp;"]"))),0)</f>
        <v>0</v>
      </c>
      <c r="F23" s="44">
        <f ca="1">IFERROR(INDEX(INDIRECT(F17&amp;"Table"),MATCH(F18,INDIRECT(F17&amp;"Table"&amp;"[Name]"),0),COLUMN(INDIRECT(F17&amp;"Table"&amp;"["&amp;B23&amp;"]"))),0)*IF(C21=0,0,1)</f>
        <v>120</v>
      </c>
      <c r="G23" s="44">
        <f ca="1">IFERROR(INDEX(INDIRECT(G17&amp;"Table"),MATCH(G18,INDIRECT(G17&amp;"Table"&amp;"[Name]"),0),COLUMN(INDIRECT(G17&amp;"Table"&amp;"["&amp;B23&amp;"]"))),0)*IF(C22=0,0,1)</f>
        <v>0</v>
      </c>
      <c r="H23" s="14"/>
      <c r="I23" s="79" t="s">
        <v>948</v>
      </c>
      <c r="J23" s="63"/>
      <c r="K23" s="50">
        <v>1</v>
      </c>
      <c r="L23" s="14"/>
      <c r="M23" s="14"/>
      <c r="N23" s="14"/>
      <c r="O23" s="14"/>
      <c r="P23" s="14"/>
      <c r="Q23" s="14"/>
      <c r="R23" s="14"/>
      <c r="S23" s="14"/>
      <c r="T23" s="14"/>
    </row>
    <row r="24" spans="1:20" x14ac:dyDescent="0.3">
      <c r="A24" s="13"/>
      <c r="B24" s="45" t="s">
        <v>22</v>
      </c>
      <c r="C24" s="44">
        <v>0</v>
      </c>
      <c r="D24" s="44">
        <f ca="1">IFERROR(INDEX(INDIRECT(D17&amp;"Table"),MATCH(D18,INDIRECT(D17&amp;"Table"&amp;"[Name]"),0),COLUMN(INDIRECT(D17&amp;"Table"&amp;"["&amp;B24&amp;"]"))),0)</f>
        <v>0</v>
      </c>
      <c r="E24" s="44">
        <f ca="1">IFERROR(INDEX(INDIRECT(E17&amp;"Table"),MATCH(E18,INDIRECT(E17&amp;"Table"&amp;"[Name]"),0),COLUMN(INDIRECT(E17&amp;"Table"&amp;"["&amp;B24&amp;"]"))),0)</f>
        <v>0</v>
      </c>
      <c r="F24" s="44">
        <f ca="1">IFERROR(INDEX(INDIRECT(F17&amp;"Table"),MATCH(F18,INDIRECT(F17&amp;"Table"&amp;"[Name]"),0),COLUMN(INDIRECT(F17&amp;"Table"&amp;"["&amp;B24&amp;"]"))),0)</f>
        <v>0</v>
      </c>
      <c r="G24" s="44">
        <f ca="1">IFERROR(INDEX(INDIRECT(G17&amp;"Table"),MATCH(G18,INDIRECT(G17&amp;"Table"&amp;"[Name]"),0),COLUMN(INDIRECT(G17&amp;"Table"&amp;"["&amp;B24&amp;"]"))),0)</f>
        <v>0</v>
      </c>
      <c r="H24" s="14"/>
      <c r="I24" s="79" t="s">
        <v>949</v>
      </c>
      <c r="J24" s="63"/>
      <c r="K24" s="50">
        <v>1</v>
      </c>
      <c r="L24" s="14"/>
      <c r="M24" s="14"/>
      <c r="N24" s="14"/>
      <c r="O24" s="14"/>
      <c r="P24" s="14"/>
      <c r="Q24" s="14"/>
      <c r="R24" s="14"/>
      <c r="S24" s="14"/>
      <c r="T24" s="14"/>
    </row>
    <row r="25" spans="1:20" x14ac:dyDescent="0.3">
      <c r="A25" s="13"/>
      <c r="B25" s="45" t="s">
        <v>266</v>
      </c>
      <c r="C25" s="44">
        <v>0</v>
      </c>
      <c r="D25" s="44">
        <f ca="1">IFERROR(INDEX(INDIRECT(D17&amp;"Table"),MATCH(D18,INDIRECT(D17&amp;"Table"&amp;"[Name]"),0),COLUMN(INDIRECT(D17&amp;"Table"&amp;"["&amp;B25&amp;"]"))),0)</f>
        <v>0</v>
      </c>
      <c r="E25" s="44">
        <f ca="1">IFERROR(INDEX(INDIRECT(E17&amp;"Table"),MATCH(E18,INDIRECT(E17&amp;"Table"&amp;"[Name]"),0),COLUMN(INDIRECT(E17&amp;"Table"&amp;"["&amp;B25&amp;"]"))),0)</f>
        <v>0</v>
      </c>
      <c r="F25" s="44">
        <f ca="1">IFERROR(INDEX(INDIRECT(F17&amp;"Table"),MATCH(F18,INDIRECT(F17&amp;"Table"&amp;"[Name]"),0),COLUMN(INDIRECT(F17&amp;"Table"&amp;"["&amp;B25&amp;"]"))),0)*IF(C21=0,0,1)</f>
        <v>1.04</v>
      </c>
      <c r="G25" s="44">
        <f ca="1">IFERROR(INDEX(INDIRECT(G17&amp;"Table"),MATCH(G18,INDIRECT(G17&amp;"Table"&amp;"[Name]"),0),COLUMN(INDIRECT(G17&amp;"Table"&amp;"["&amp;B25&amp;"]"))),0)*IF(C22=0,0,1)</f>
        <v>0</v>
      </c>
      <c r="H25" s="14"/>
      <c r="I25" s="79" t="s">
        <v>950</v>
      </c>
      <c r="J25" s="63"/>
      <c r="K25" s="50">
        <v>1</v>
      </c>
      <c r="L25" s="14"/>
      <c r="M25" s="14"/>
      <c r="N25" s="14"/>
      <c r="O25" s="14"/>
      <c r="P25" s="14"/>
      <c r="Q25" s="14"/>
      <c r="R25" s="14"/>
      <c r="S25" s="14"/>
      <c r="T25" s="14"/>
    </row>
    <row r="26" spans="1:20" x14ac:dyDescent="0.3">
      <c r="A26" s="13"/>
      <c r="B26" s="45" t="s">
        <v>955</v>
      </c>
      <c r="C26" s="44"/>
      <c r="D26" s="44"/>
      <c r="E26" s="44"/>
      <c r="F26" s="44">
        <f ca="1">IFERROR(INDEX(INDIRECT(F17&amp;"Table"),MATCH(F18,INDIRECT(F17&amp;"Table"&amp;"[Name]"),0),COLUMN(INDIRECT(F17&amp;"Table"&amp;"["&amp;B26&amp;"]"))),0)*IF(C21=0,0,1)</f>
        <v>28</v>
      </c>
      <c r="G26" s="44">
        <f ca="1">IFERROR(INDEX(INDIRECT(G17&amp;"Table"),MATCH(G18,INDIRECT(G17&amp;"Table"&amp;"[Name]"),0),COLUMN(INDIRECT(G17&amp;"Table"&amp;"["&amp;B26&amp;"]"))),0)*IF(C22=0,0,1)</f>
        <v>0</v>
      </c>
      <c r="H26" s="14"/>
      <c r="I26" s="79" t="s">
        <v>954</v>
      </c>
      <c r="J26" s="63"/>
      <c r="K26" s="111">
        <f ca="1">((100+C27*K24)/100)*C21*F23*K23*K25</f>
        <v>324.24</v>
      </c>
      <c r="L26" s="14"/>
      <c r="M26" s="14"/>
      <c r="N26" s="14"/>
      <c r="O26" s="14"/>
      <c r="P26" s="14"/>
      <c r="Q26" s="14"/>
      <c r="R26" s="14"/>
      <c r="S26" s="14"/>
      <c r="T26" s="14"/>
    </row>
    <row r="27" spans="1:20" x14ac:dyDescent="0.3">
      <c r="A27" s="13"/>
      <c r="B27" s="45" t="s">
        <v>801</v>
      </c>
      <c r="C27" s="44">
        <f ca="1">SUM(C19:G19)</f>
        <v>286</v>
      </c>
      <c r="D27" s="44" t="s">
        <v>956</v>
      </c>
      <c r="E27" s="44">
        <f ca="1">COUNTIF(F26:G26,"&gt;0")</f>
        <v>1</v>
      </c>
      <c r="F27" s="44"/>
      <c r="G27" s="44"/>
      <c r="H27" s="14"/>
      <c r="I27" s="113" t="s">
        <v>1405</v>
      </c>
      <c r="J27" s="63"/>
      <c r="K27" s="111">
        <f ca="1">((100+C27*K24)/100)*C22*G23*K23*K25</f>
        <v>0</v>
      </c>
      <c r="L27" s="14"/>
      <c r="M27" s="14"/>
      <c r="N27" s="14"/>
      <c r="O27" s="14"/>
      <c r="P27" s="14"/>
      <c r="Q27" s="14"/>
      <c r="R27" s="14"/>
      <c r="S27" s="14"/>
      <c r="T27" s="14"/>
    </row>
    <row r="28" spans="1:20" x14ac:dyDescent="0.3">
      <c r="A28" s="13"/>
      <c r="B28" s="45"/>
      <c r="C28" s="44"/>
      <c r="D28" s="44"/>
      <c r="E28" s="44"/>
      <c r="F28" s="44"/>
      <c r="G28" s="44"/>
      <c r="H28" s="14"/>
      <c r="I28" s="44"/>
      <c r="J28" s="44"/>
      <c r="K28" s="44"/>
      <c r="L28" s="14"/>
      <c r="M28" s="14"/>
      <c r="N28" s="14"/>
      <c r="O28" s="14"/>
      <c r="P28" s="14"/>
      <c r="Q28" s="14"/>
      <c r="R28" s="14"/>
      <c r="S28" s="14"/>
      <c r="T28" s="14"/>
    </row>
    <row r="29" spans="1:20" x14ac:dyDescent="0.3">
      <c r="A29" s="13"/>
      <c r="B29" s="14"/>
      <c r="C29" s="14"/>
      <c r="D29" s="14"/>
      <c r="E29" s="14"/>
      <c r="F29" s="14"/>
      <c r="G29" s="14"/>
      <c r="H29" s="14"/>
      <c r="I29" s="14"/>
      <c r="J29" s="14"/>
      <c r="K29" s="14"/>
      <c r="L29" s="14"/>
      <c r="M29" s="14"/>
      <c r="N29" s="14"/>
      <c r="O29" s="14"/>
      <c r="P29" s="14"/>
      <c r="Q29" s="14"/>
      <c r="R29" s="14"/>
      <c r="S29" s="14"/>
      <c r="T29" s="14"/>
    </row>
    <row r="30" spans="1:20" x14ac:dyDescent="0.3">
      <c r="A30" s="13"/>
      <c r="B30" s="47" t="s">
        <v>157</v>
      </c>
      <c r="C30" s="46" t="s">
        <v>675</v>
      </c>
      <c r="D30" s="48" t="s">
        <v>2</v>
      </c>
      <c r="E30" s="48" t="s">
        <v>3</v>
      </c>
      <c r="F30" s="48" t="s">
        <v>946</v>
      </c>
      <c r="G30" s="48" t="s">
        <v>947</v>
      </c>
      <c r="H30" s="14"/>
      <c r="I30" s="194" t="s">
        <v>953</v>
      </c>
      <c r="J30" s="194"/>
      <c r="K30" s="194"/>
      <c r="L30" s="194"/>
      <c r="M30" s="14"/>
      <c r="N30" s="14"/>
      <c r="O30" s="14"/>
      <c r="P30" s="14"/>
      <c r="Q30" s="14"/>
      <c r="R30" s="14"/>
      <c r="S30" s="14"/>
      <c r="T30" s="14"/>
    </row>
    <row r="31" spans="1:20" x14ac:dyDescent="0.3">
      <c r="A31" s="13"/>
      <c r="B31" s="45" t="s">
        <v>150</v>
      </c>
      <c r="C31" s="34" t="str">
        <f>IFERROR(INDEX(SType[],MATCH(C32,SType[Ship],0),COLUMN(SType[Type])),0)</f>
        <v>Destroyer</v>
      </c>
      <c r="D31" s="47" t="s">
        <v>302</v>
      </c>
      <c r="E31" s="47" t="s">
        <v>301</v>
      </c>
      <c r="F31" s="47" t="s">
        <v>265</v>
      </c>
      <c r="G31" s="47" t="s">
        <v>265</v>
      </c>
      <c r="H31" s="14"/>
      <c r="I31" s="79" t="s">
        <v>848</v>
      </c>
      <c r="J31" s="78"/>
      <c r="K31" s="79">
        <f ca="1">SQRT(200/(100+(1+K36)*SUM(C34:G34)))</f>
        <v>0.80451798670912966</v>
      </c>
      <c r="L31" s="14"/>
      <c r="M31" s="14"/>
      <c r="N31" s="14"/>
      <c r="O31" s="14"/>
      <c r="P31" s="14"/>
      <c r="Q31" s="14"/>
      <c r="R31" s="14"/>
      <c r="S31" s="14"/>
      <c r="T31" s="14"/>
    </row>
    <row r="32" spans="1:20" x14ac:dyDescent="0.3">
      <c r="A32" s="13"/>
      <c r="B32" s="45" t="s">
        <v>149</v>
      </c>
      <c r="C32" s="34" t="str">
        <f>IFERROR(INDEX(Base[],MATCH(C30,Base[Name],0),COLUMN(Base[Type])),0)</f>
        <v>DD</v>
      </c>
      <c r="D32" s="46" t="s">
        <v>288</v>
      </c>
      <c r="E32" s="46" t="s">
        <v>304</v>
      </c>
      <c r="F32" s="46" t="s">
        <v>800</v>
      </c>
      <c r="G32" s="46" t="s">
        <v>779</v>
      </c>
      <c r="H32" s="14"/>
      <c r="I32" s="79" t="s">
        <v>951</v>
      </c>
      <c r="J32" s="78"/>
      <c r="K32" s="79">
        <f ca="1">F39*K31</f>
        <v>0.83669870617749487</v>
      </c>
      <c r="L32" s="14"/>
      <c r="M32" s="14"/>
      <c r="N32" s="14"/>
      <c r="O32" s="14"/>
      <c r="P32" s="14"/>
      <c r="Q32" s="14"/>
      <c r="R32" s="14"/>
      <c r="S32" s="14"/>
      <c r="T32" s="14"/>
    </row>
    <row r="33" spans="1:20" x14ac:dyDescent="0.3">
      <c r="A33" s="13"/>
      <c r="B33" s="45" t="s">
        <v>265</v>
      </c>
      <c r="C33" s="44">
        <f ca="1">IFERROR(INDEX(INDIRECT(C31&amp;"Table"),MATCH(C30,INDIRECT(C31&amp;"Table"&amp;"[Name]"),0),COLUMN(INDIRECT(C31&amp;"Table"&amp;"["&amp;B33&amp;"]"))),0)</f>
        <v>215</v>
      </c>
      <c r="D33" s="44">
        <f ca="1">IFERROR(INDEX(INDIRECT(D31&amp;"Table"),MATCH(D32,INDIRECT(D31&amp;"Table"&amp;"[Name]"),0),COLUMN(INDIRECT(D31&amp;"Table"&amp;"["&amp;B33&amp;"]"))),0)</f>
        <v>0</v>
      </c>
      <c r="E33" s="44">
        <f ca="1">IFERROR(INDEX(INDIRECT(E31&amp;"Table"),MATCH(E32,INDIRECT(E31&amp;"Table"&amp;"[Name]"),0),COLUMN(INDIRECT(E31&amp;"Table"&amp;"["&amp;B33&amp;"]"))),0)</f>
        <v>0</v>
      </c>
      <c r="F33" s="44">
        <f ca="1">IFERROR(INDEX(INDIRECT(F31&amp;"Table"),MATCH(F32,INDIRECT(F31&amp;"Table"&amp;"[Name]"),0),COLUMN(INDIRECT(F31&amp;"Table"&amp;"["&amp;B33&amp;"]"))),0)*IF(C35=0,0,1)</f>
        <v>45</v>
      </c>
      <c r="G33" s="44">
        <f ca="1">IFERROR(INDEX(INDIRECT(G31&amp;"Table"),MATCH(G32,INDIRECT(G31&amp;"Table"&amp;"[Name]"),0),COLUMN(INDIRECT(G31&amp;"Table"&amp;"["&amp;B33&amp;"]"))),0)*IF(C36=0,0,1)</f>
        <v>0</v>
      </c>
      <c r="H33" s="14"/>
      <c r="I33" s="79" t="s">
        <v>952</v>
      </c>
      <c r="J33" s="63"/>
      <c r="K33" s="44">
        <f ca="1">G39*K31</f>
        <v>0</v>
      </c>
      <c r="L33" s="14"/>
      <c r="M33" s="14"/>
      <c r="N33" s="14"/>
      <c r="O33" s="14"/>
      <c r="P33" s="14"/>
      <c r="Q33" s="14"/>
      <c r="R33" s="14"/>
      <c r="S33" s="14"/>
      <c r="T33" s="14"/>
    </row>
    <row r="34" spans="1:20" x14ac:dyDescent="0.3">
      <c r="A34" s="13"/>
      <c r="B34" s="45" t="s">
        <v>14</v>
      </c>
      <c r="C34" s="44">
        <f ca="1">IFERROR(INDEX(INDIRECT(C31&amp;"Table"),MATCH(C30,INDIRECT(C31&amp;"Table"&amp;"[Name]"),0),COLUMN(INDIRECT(C31&amp;"Table"&amp;"["&amp;B34&amp;"]"))),0)</f>
        <v>199</v>
      </c>
      <c r="D34" s="44">
        <f ca="1">IFERROR(INDEX(INDIRECT(D31&amp;"Table"),MATCH(D32,INDIRECT(D31&amp;"Table"&amp;"[Name]"),0),COLUMN(INDIRECT(D31&amp;"Table"&amp;"["&amp;B34&amp;"]"))),0)</f>
        <v>0</v>
      </c>
      <c r="E34" s="44">
        <f ca="1">IFERROR(INDEX(INDIRECT(E31&amp;"Table"),MATCH(E32,INDIRECT(E31&amp;"Table"&amp;"[Name]"),0),COLUMN(INDIRECT(E31&amp;"Table"&amp;"["&amp;B34&amp;"]"))),0)</f>
        <v>10</v>
      </c>
      <c r="F34" s="44">
        <f ca="1">IFERROR(INDEX(INDIRECT(F31&amp;"Table"),MATCH(F32,INDIRECT(F31&amp;"Table"&amp;"[Name]"),0),COLUMN(INDIRECT(F31&amp;"Table"&amp;"["&amp;B34&amp;"]"))),0)</f>
        <v>0</v>
      </c>
      <c r="G34" s="44">
        <f ca="1">IFERROR(INDEX(INDIRECT(G31&amp;"Table"),MATCH(G32,INDIRECT(G31&amp;"Table"&amp;"[Name]"),0),COLUMN(INDIRECT(G31&amp;"Table"&amp;"["&amp;B34&amp;"]"))),0)</f>
        <v>0</v>
      </c>
      <c r="H34" s="14"/>
      <c r="I34" s="79"/>
      <c r="J34" s="44"/>
      <c r="K34" s="44"/>
      <c r="L34" s="14"/>
      <c r="M34" s="14"/>
      <c r="N34" s="14"/>
      <c r="O34" s="14"/>
      <c r="P34" s="14"/>
      <c r="Q34" s="14"/>
      <c r="R34" s="14"/>
      <c r="S34" s="14"/>
      <c r="T34" s="14"/>
    </row>
    <row r="35" spans="1:20" x14ac:dyDescent="0.3">
      <c r="A35" s="13"/>
      <c r="B35" s="45" t="s">
        <v>936</v>
      </c>
      <c r="C35" s="44">
        <f ca="1">IFERROR(INDEX(INDIRECT(C31&amp;"Table"),MATCH(C30,INDIRECT(C31&amp;"Table"&amp;"[Name]"),0),COLUMN(INDIRECT(C31&amp;"Table"&amp;"["&amp;B35&amp;"]"))),0)</f>
        <v>0.85</v>
      </c>
      <c r="D35" s="44">
        <f ca="1">IFERROR(INDEX(INDIRECT(D31&amp;"Table"),MATCH(D32,INDIRECT(D31&amp;"Table"&amp;"[Name]"),0),COLUMN(INDIRECT(D31&amp;"Table"&amp;"["&amp;B35&amp;"]"))),0)</f>
        <v>0</v>
      </c>
      <c r="E35" s="44">
        <f ca="1">IFERROR(INDEX(INDIRECT(E31&amp;"Table"),MATCH(E32,INDIRECT(E31&amp;"Table"&amp;"[Name]"),0),COLUMN(INDIRECT(E31&amp;"Table"&amp;"["&amp;B35&amp;"]"))),0)</f>
        <v>0</v>
      </c>
      <c r="F35" s="44">
        <f ca="1">IFERROR(INDEX(INDIRECT(F31&amp;"Table"),MATCH(F32,INDIRECT(F31&amp;"Table"&amp;"[Name]"),0),COLUMN(INDIRECT(F31&amp;"Table"&amp;"["&amp;B35&amp;"]"))),0)</f>
        <v>0</v>
      </c>
      <c r="G35" s="44">
        <f ca="1">IFERROR(INDEX(INDIRECT(G31&amp;"Table"),MATCH(G32,INDIRECT(G31&amp;"Table"&amp;"[Name]"),0),COLUMN(INDIRECT(G31&amp;"Table"&amp;"["&amp;B35&amp;"]"))),0)</f>
        <v>0</v>
      </c>
      <c r="H35" s="14"/>
      <c r="I35" s="79"/>
      <c r="J35" s="44"/>
      <c r="K35" s="44"/>
      <c r="L35" s="14"/>
      <c r="M35" s="14"/>
      <c r="N35" s="14"/>
      <c r="O35" s="14"/>
      <c r="P35" s="14"/>
      <c r="Q35" s="14"/>
      <c r="R35" s="14"/>
      <c r="S35" s="14"/>
      <c r="T35" s="14"/>
    </row>
    <row r="36" spans="1:20" x14ac:dyDescent="0.3">
      <c r="A36" s="13"/>
      <c r="B36" s="45" t="s">
        <v>937</v>
      </c>
      <c r="C36" s="44">
        <f ca="1">IFERROR(INDEX(INDIRECT(C31&amp;"Table"),MATCH(C30,INDIRECT(C31&amp;"Table"&amp;"[Name]"),0),COLUMN(INDIRECT(C31&amp;"Table"&amp;"["&amp;B36&amp;"]"))),0)</f>
        <v>0</v>
      </c>
      <c r="D36" s="44">
        <f ca="1">IFERROR(INDEX(INDIRECT(D31&amp;"Table"),MATCH(D32,INDIRECT(D31&amp;"Table"&amp;"[Name]"),0),COLUMN(INDIRECT(D31&amp;"Table"&amp;"["&amp;B36&amp;"]"))),0)</f>
        <v>0</v>
      </c>
      <c r="E36" s="44">
        <f ca="1">IFERROR(INDEX(INDIRECT(E31&amp;"Table"),MATCH(E32,INDIRECT(E31&amp;"Table"&amp;"[Name]"),0),COLUMN(INDIRECT(E31&amp;"Table"&amp;"["&amp;B36&amp;"]"))),0)</f>
        <v>0</v>
      </c>
      <c r="F36" s="44">
        <f ca="1">IFERROR(INDEX(INDIRECT(F31&amp;"Table"),MATCH(F32,INDIRECT(F31&amp;"Table"&amp;"[Name]"),0),COLUMN(INDIRECT(F31&amp;"Table"&amp;"["&amp;B36&amp;"]"))),0)</f>
        <v>0</v>
      </c>
      <c r="G36" s="44">
        <f ca="1">IFERROR(INDEX(INDIRECT(G31&amp;"Table"),MATCH(G32,INDIRECT(G31&amp;"Table"&amp;"[Name]"),0),COLUMN(INDIRECT(G31&amp;"Table"&amp;"["&amp;B36&amp;"]"))),0)</f>
        <v>0</v>
      </c>
      <c r="H36" s="14"/>
      <c r="I36" s="79" t="s">
        <v>65</v>
      </c>
      <c r="J36" s="63"/>
      <c r="K36" s="50">
        <v>0</v>
      </c>
      <c r="L36" s="14"/>
      <c r="M36" s="14"/>
      <c r="N36" s="14"/>
      <c r="O36" s="14"/>
      <c r="P36" s="14"/>
      <c r="Q36" s="14"/>
      <c r="R36" s="14"/>
      <c r="S36" s="14"/>
      <c r="T36" s="14"/>
    </row>
    <row r="37" spans="1:20" x14ac:dyDescent="0.3">
      <c r="A37" s="13"/>
      <c r="B37" s="45" t="s">
        <v>21</v>
      </c>
      <c r="C37" s="44">
        <v>0</v>
      </c>
      <c r="D37" s="44">
        <f ca="1">IFERROR(INDEX(INDIRECT(D31&amp;"Table"),MATCH(D32,INDIRECT(D31&amp;"Table"&amp;"[Name]"),0),COLUMN(INDIRECT(D31&amp;"Table"&amp;"["&amp;B37&amp;"]"))),0)</f>
        <v>0</v>
      </c>
      <c r="E37" s="44">
        <f ca="1">IFERROR(INDEX(INDIRECT(E31&amp;"Table"),MATCH(E32,INDIRECT(E31&amp;"Table"&amp;"[Name]"),0),COLUMN(INDIRECT(E31&amp;"Table"&amp;"["&amp;B37&amp;"]"))),0)</f>
        <v>0</v>
      </c>
      <c r="F37" s="44">
        <f ca="1">IFERROR(INDEX(INDIRECT(F31&amp;"Table"),MATCH(F32,INDIRECT(F31&amp;"Table"&amp;"[Name]"),0),COLUMN(INDIRECT(F31&amp;"Table"&amp;"["&amp;B37&amp;"]"))),0)*IF(C35=0,0,1)</f>
        <v>120</v>
      </c>
      <c r="G37" s="44">
        <f ca="1">IFERROR(INDEX(INDIRECT(G31&amp;"Table"),MATCH(G32,INDIRECT(G31&amp;"Table"&amp;"[Name]"),0),COLUMN(INDIRECT(G31&amp;"Table"&amp;"["&amp;B37&amp;"]"))),0)*IF(C36=0,0,1)</f>
        <v>0</v>
      </c>
      <c r="H37" s="14"/>
      <c r="I37" s="79" t="s">
        <v>948</v>
      </c>
      <c r="J37" s="63"/>
      <c r="K37" s="50">
        <v>1</v>
      </c>
      <c r="L37" s="14"/>
      <c r="M37" s="14"/>
      <c r="N37" s="14"/>
      <c r="O37" s="14"/>
      <c r="P37" s="14"/>
      <c r="Q37" s="14"/>
      <c r="R37" s="14"/>
      <c r="S37" s="14"/>
      <c r="T37" s="14"/>
    </row>
    <row r="38" spans="1:20" x14ac:dyDescent="0.3">
      <c r="A38" s="13"/>
      <c r="B38" s="45" t="s">
        <v>22</v>
      </c>
      <c r="C38" s="44">
        <v>0</v>
      </c>
      <c r="D38" s="44">
        <f ca="1">IFERROR(INDEX(INDIRECT(D31&amp;"Table"),MATCH(D32,INDIRECT(D31&amp;"Table"&amp;"[Name]"),0),COLUMN(INDIRECT(D31&amp;"Table"&amp;"["&amp;B38&amp;"]"))),0)</f>
        <v>0</v>
      </c>
      <c r="E38" s="44">
        <f ca="1">IFERROR(INDEX(INDIRECT(E31&amp;"Table"),MATCH(E32,INDIRECT(E31&amp;"Table"&amp;"[Name]"),0),COLUMN(INDIRECT(E31&amp;"Table"&amp;"["&amp;B38&amp;"]"))),0)</f>
        <v>0</v>
      </c>
      <c r="F38" s="44">
        <f ca="1">IFERROR(INDEX(INDIRECT(F31&amp;"Table"),MATCH(F32,INDIRECT(F31&amp;"Table"&amp;"[Name]"),0),COLUMN(INDIRECT(F31&amp;"Table"&amp;"["&amp;B38&amp;"]"))),0)</f>
        <v>0</v>
      </c>
      <c r="G38" s="44">
        <f ca="1">IFERROR(INDEX(INDIRECT(G31&amp;"Table"),MATCH(G32,INDIRECT(G31&amp;"Table"&amp;"[Name]"),0),COLUMN(INDIRECT(G31&amp;"Table"&amp;"["&amp;B38&amp;"]"))),0)</f>
        <v>0</v>
      </c>
      <c r="H38" s="14"/>
      <c r="I38" s="79" t="s">
        <v>949</v>
      </c>
      <c r="J38" s="63"/>
      <c r="K38" s="50">
        <v>1</v>
      </c>
      <c r="L38" s="14"/>
      <c r="M38" s="14"/>
      <c r="N38" s="14"/>
      <c r="O38" s="14"/>
      <c r="P38" s="14"/>
      <c r="Q38" s="14"/>
      <c r="R38" s="14"/>
      <c r="S38" s="14"/>
      <c r="T38" s="14"/>
    </row>
    <row r="39" spans="1:20" x14ac:dyDescent="0.3">
      <c r="A39" s="13"/>
      <c r="B39" s="45" t="s">
        <v>266</v>
      </c>
      <c r="C39" s="44">
        <v>0</v>
      </c>
      <c r="D39" s="44">
        <f ca="1">IFERROR(INDEX(INDIRECT(D31&amp;"Table"),MATCH(D32,INDIRECT(D31&amp;"Table"&amp;"[Name]"),0),COLUMN(INDIRECT(D31&amp;"Table"&amp;"["&amp;B39&amp;"]"))),0)</f>
        <v>0</v>
      </c>
      <c r="E39" s="44">
        <f ca="1">IFERROR(INDEX(INDIRECT(E31&amp;"Table"),MATCH(E32,INDIRECT(E31&amp;"Table"&amp;"[Name]"),0),COLUMN(INDIRECT(E31&amp;"Table"&amp;"["&amp;B39&amp;"]"))),0)</f>
        <v>0</v>
      </c>
      <c r="F39" s="44">
        <f ca="1">IFERROR(INDEX(INDIRECT(F31&amp;"Table"),MATCH(F32,INDIRECT(F31&amp;"Table"&amp;"[Name]"),0),COLUMN(INDIRECT(F31&amp;"Table"&amp;"["&amp;B39&amp;"]"))),0)*IF(C35=0,0,1)</f>
        <v>1.04</v>
      </c>
      <c r="G39" s="44">
        <f ca="1">IFERROR(INDEX(INDIRECT(G31&amp;"Table"),MATCH(G32,INDIRECT(G31&amp;"Table"&amp;"[Name]"),0),COLUMN(INDIRECT(G31&amp;"Table"&amp;"["&amp;B39&amp;"]"))),0)*IF(C36=0,0,1)</f>
        <v>0</v>
      </c>
      <c r="H39" s="14"/>
      <c r="I39" s="79" t="s">
        <v>950</v>
      </c>
      <c r="J39" s="63"/>
      <c r="K39" s="50">
        <v>1</v>
      </c>
      <c r="L39" s="14"/>
      <c r="M39" s="14"/>
      <c r="N39" s="14"/>
      <c r="O39" s="14"/>
      <c r="P39" s="14"/>
      <c r="Q39" s="14"/>
      <c r="R39" s="14"/>
      <c r="S39" s="14"/>
      <c r="T39" s="14"/>
    </row>
    <row r="40" spans="1:20" x14ac:dyDescent="0.3">
      <c r="A40" s="13"/>
      <c r="B40" s="45" t="s">
        <v>955</v>
      </c>
      <c r="C40" s="44"/>
      <c r="D40" s="44"/>
      <c r="E40" s="44"/>
      <c r="F40" s="44">
        <f ca="1">IFERROR(INDEX(INDIRECT(F31&amp;"Table"),MATCH(F32,INDIRECT(F31&amp;"Table"&amp;"[Name]"),0),COLUMN(INDIRECT(F31&amp;"Table"&amp;"["&amp;B40&amp;"]"))),0)*IF(C35=0,0,1)</f>
        <v>28</v>
      </c>
      <c r="G40" s="44">
        <f ca="1">IFERROR(INDEX(INDIRECT(G31&amp;"Table"),MATCH(G32,INDIRECT(G31&amp;"Table"&amp;"[Name]"),0),COLUMN(INDIRECT(G31&amp;"Table"&amp;"["&amp;B40&amp;"]"))),0)*IF(C36=0,0,1)</f>
        <v>0</v>
      </c>
      <c r="H40" s="14"/>
      <c r="I40" s="79" t="s">
        <v>954</v>
      </c>
      <c r="J40" s="63"/>
      <c r="K40" s="111">
        <f ca="1">((100+C41*K38)/100)*C35*F37*K37*K39</f>
        <v>367.2</v>
      </c>
      <c r="L40" s="14"/>
      <c r="M40" s="14"/>
      <c r="N40" s="14"/>
      <c r="O40" s="14"/>
      <c r="P40" s="14"/>
      <c r="Q40" s="14"/>
      <c r="R40" s="14"/>
      <c r="S40" s="14"/>
      <c r="T40" s="14"/>
    </row>
    <row r="41" spans="1:20" x14ac:dyDescent="0.3">
      <c r="A41" s="13"/>
      <c r="B41" s="45" t="s">
        <v>801</v>
      </c>
      <c r="C41" s="44">
        <f ca="1">SUM(C33:G33)</f>
        <v>260</v>
      </c>
      <c r="D41" s="44" t="s">
        <v>956</v>
      </c>
      <c r="E41" s="44">
        <f ca="1">COUNTIF(F40:G40,"&gt;0")</f>
        <v>1</v>
      </c>
      <c r="F41" s="44"/>
      <c r="G41" s="44"/>
      <c r="H41" s="14"/>
      <c r="I41" s="113" t="s">
        <v>1405</v>
      </c>
      <c r="J41" s="63"/>
      <c r="K41" s="111">
        <f ca="1">((100+C41*K38)/100)*C36*G37*K37*K39</f>
        <v>0</v>
      </c>
      <c r="L41" s="14"/>
      <c r="M41" s="14"/>
      <c r="N41" s="14"/>
      <c r="O41" s="14"/>
      <c r="P41" s="14"/>
      <c r="Q41" s="14"/>
      <c r="R41" s="14"/>
      <c r="S41" s="14"/>
      <c r="T41" s="14"/>
    </row>
    <row r="42" spans="1:20" x14ac:dyDescent="0.3">
      <c r="A42" s="13"/>
      <c r="B42" s="45"/>
      <c r="C42" s="44"/>
      <c r="D42" s="44"/>
      <c r="E42" s="44"/>
      <c r="F42" s="44"/>
      <c r="G42" s="44"/>
      <c r="H42" s="14"/>
      <c r="I42" s="44"/>
      <c r="J42" s="44"/>
      <c r="K42" s="44"/>
      <c r="L42" s="14"/>
      <c r="M42" s="14"/>
      <c r="N42" s="14"/>
      <c r="O42" s="14"/>
      <c r="P42" s="14"/>
      <c r="Q42" s="14"/>
      <c r="R42" s="14"/>
      <c r="S42" s="14"/>
      <c r="T42" s="14"/>
    </row>
    <row r="43" spans="1:20" x14ac:dyDescent="0.3">
      <c r="A43" s="13"/>
      <c r="B43" s="14"/>
      <c r="C43" s="14"/>
      <c r="D43" s="14"/>
      <c r="E43" s="14"/>
      <c r="F43" s="14"/>
      <c r="G43" s="14"/>
      <c r="H43" s="14"/>
      <c r="I43" s="14"/>
      <c r="J43" s="14"/>
      <c r="K43" s="14"/>
      <c r="L43" s="14"/>
      <c r="M43" s="14"/>
      <c r="N43" s="14"/>
      <c r="O43" s="14"/>
      <c r="P43" s="14"/>
      <c r="Q43" s="14"/>
      <c r="R43" s="14"/>
      <c r="S43" s="14"/>
      <c r="T43" s="14"/>
    </row>
    <row r="44" spans="1:20" x14ac:dyDescent="0.3">
      <c r="A44" s="13"/>
      <c r="B44" s="47" t="s">
        <v>364</v>
      </c>
      <c r="C44" s="46"/>
      <c r="D44" s="48" t="s">
        <v>2</v>
      </c>
      <c r="E44" s="48" t="s">
        <v>3</v>
      </c>
      <c r="F44" s="48" t="s">
        <v>946</v>
      </c>
      <c r="G44" s="48" t="s">
        <v>947</v>
      </c>
      <c r="H44" s="14"/>
      <c r="I44" s="194" t="s">
        <v>953</v>
      </c>
      <c r="J44" s="194"/>
      <c r="K44" s="194"/>
      <c r="L44" s="194"/>
      <c r="M44" s="14"/>
      <c r="N44" s="14"/>
      <c r="O44" s="14"/>
      <c r="P44" s="14"/>
      <c r="Q44" s="14"/>
      <c r="R44" s="14"/>
      <c r="S44" s="14"/>
      <c r="T44" s="14"/>
    </row>
    <row r="45" spans="1:20" x14ac:dyDescent="0.3">
      <c r="A45" s="13"/>
      <c r="B45" s="45" t="s">
        <v>150</v>
      </c>
      <c r="C45" s="34">
        <f>IFERROR(INDEX(SType[],MATCH(C46,SType[Ship],0),COLUMN(SType[Type])),0)</f>
        <v>0</v>
      </c>
      <c r="D45" s="47" t="s">
        <v>302</v>
      </c>
      <c r="E45" s="47" t="s">
        <v>301</v>
      </c>
      <c r="F45" s="47" t="s">
        <v>265</v>
      </c>
      <c r="G45" s="47" t="s">
        <v>265</v>
      </c>
      <c r="H45" s="14"/>
      <c r="I45" s="79" t="s">
        <v>848</v>
      </c>
      <c r="J45" s="78"/>
      <c r="K45" s="79">
        <f ca="1">SQRT(200/(100+(1+K50)*SUM(C48:G48)))</f>
        <v>1.3483997249264841</v>
      </c>
      <c r="L45" s="14"/>
      <c r="M45" s="14"/>
      <c r="N45" s="14"/>
      <c r="O45" s="14"/>
      <c r="P45" s="14"/>
      <c r="Q45" s="14"/>
      <c r="R45" s="14"/>
      <c r="S45" s="14"/>
      <c r="T45" s="14"/>
    </row>
    <row r="46" spans="1:20" x14ac:dyDescent="0.3">
      <c r="A46" s="13"/>
      <c r="B46" s="45" t="s">
        <v>149</v>
      </c>
      <c r="C46" s="34">
        <f>IFERROR(INDEX(Base[],MATCH(C44,Base[Name],0),COLUMN(Base[Type])),0)</f>
        <v>0</v>
      </c>
      <c r="D46" s="46" t="s">
        <v>288</v>
      </c>
      <c r="E46" s="46" t="s">
        <v>304</v>
      </c>
      <c r="F46" s="46" t="s">
        <v>799</v>
      </c>
      <c r="G46" s="46" t="s">
        <v>779</v>
      </c>
      <c r="H46" s="14"/>
      <c r="I46" s="79" t="s">
        <v>951</v>
      </c>
      <c r="J46" s="78"/>
      <c r="K46" s="79">
        <f ca="1">F53*K45</f>
        <v>0</v>
      </c>
      <c r="L46" s="14"/>
      <c r="M46" s="14"/>
      <c r="N46" s="14"/>
      <c r="O46" s="14"/>
      <c r="P46" s="14"/>
      <c r="Q46" s="14"/>
      <c r="R46" s="14"/>
      <c r="S46" s="14"/>
      <c r="T46" s="14"/>
    </row>
    <row r="47" spans="1:20" x14ac:dyDescent="0.3">
      <c r="A47" s="13"/>
      <c r="B47" s="45" t="s">
        <v>265</v>
      </c>
      <c r="C47" s="44">
        <f ca="1">IFERROR(INDEX(INDIRECT(C45&amp;"Table"),MATCH(C44,INDIRECT(C45&amp;"Table"&amp;"[Name]"),0),COLUMN(INDIRECT(C45&amp;"Table"&amp;"["&amp;B47&amp;"]"))),0)</f>
        <v>0</v>
      </c>
      <c r="D47" s="44">
        <f ca="1">IFERROR(INDEX(INDIRECT(D45&amp;"Table"),MATCH(D46,INDIRECT(D45&amp;"Table"&amp;"[Name]"),0),COLUMN(INDIRECT(D45&amp;"Table"&amp;"["&amp;B47&amp;"]"))),0)</f>
        <v>0</v>
      </c>
      <c r="E47" s="44">
        <f ca="1">IFERROR(INDEX(INDIRECT(E45&amp;"Table"),MATCH(E46,INDIRECT(E45&amp;"Table"&amp;"[Name]"),0),COLUMN(INDIRECT(E45&amp;"Table"&amp;"["&amp;B47&amp;"]"))),0)</f>
        <v>0</v>
      </c>
      <c r="F47" s="44">
        <f ca="1">IFERROR(INDEX(INDIRECT(F45&amp;"Table"),MATCH(F46,INDIRECT(F45&amp;"Table"&amp;"[Name]"),0),COLUMN(INDIRECT(F45&amp;"Table"&amp;"["&amp;B47&amp;"]"))),0)*IF(C49=0,0,1)</f>
        <v>0</v>
      </c>
      <c r="G47" s="44">
        <f ca="1">IFERROR(INDEX(INDIRECT(G45&amp;"Table"),MATCH(G46,INDIRECT(G45&amp;"Table"&amp;"[Name]"),0),COLUMN(INDIRECT(G45&amp;"Table"&amp;"["&amp;B47&amp;"]"))),0)*IF(C50=0,0,1)</f>
        <v>0</v>
      </c>
      <c r="H47" s="14"/>
      <c r="I47" s="79" t="s">
        <v>952</v>
      </c>
      <c r="J47" s="63"/>
      <c r="K47" s="44">
        <f ca="1">G53*K45</f>
        <v>0</v>
      </c>
      <c r="L47" s="14"/>
      <c r="M47" s="14"/>
      <c r="N47" s="14"/>
      <c r="O47" s="14"/>
      <c r="P47" s="14"/>
      <c r="Q47" s="14"/>
      <c r="R47" s="14"/>
      <c r="S47" s="14"/>
      <c r="T47" s="14"/>
    </row>
    <row r="48" spans="1:20" x14ac:dyDescent="0.3">
      <c r="A48" s="13"/>
      <c r="B48" s="45" t="s">
        <v>14</v>
      </c>
      <c r="C48" s="44">
        <f ca="1">IFERROR(INDEX(INDIRECT(C45&amp;"Table"),MATCH(C44,INDIRECT(C45&amp;"Table"&amp;"[Name]"),0),COLUMN(INDIRECT(C45&amp;"Table"&amp;"["&amp;B48&amp;"]"))),0)</f>
        <v>0</v>
      </c>
      <c r="D48" s="44">
        <f ca="1">IFERROR(INDEX(INDIRECT(D45&amp;"Table"),MATCH(D46,INDIRECT(D45&amp;"Table"&amp;"[Name]"),0),COLUMN(INDIRECT(D45&amp;"Table"&amp;"["&amp;B48&amp;"]"))),0)</f>
        <v>0</v>
      </c>
      <c r="E48" s="44">
        <f ca="1">IFERROR(INDEX(INDIRECT(E45&amp;"Table"),MATCH(E46,INDIRECT(E45&amp;"Table"&amp;"[Name]"),0),COLUMN(INDIRECT(E45&amp;"Table"&amp;"["&amp;B48&amp;"]"))),0)</f>
        <v>10</v>
      </c>
      <c r="F48" s="44">
        <f ca="1">IFERROR(INDEX(INDIRECT(F45&amp;"Table"),MATCH(F46,INDIRECT(F45&amp;"Table"&amp;"[Name]"),0),COLUMN(INDIRECT(F45&amp;"Table"&amp;"["&amp;B48&amp;"]"))),0)</f>
        <v>0</v>
      </c>
      <c r="G48" s="44">
        <f ca="1">IFERROR(INDEX(INDIRECT(G45&amp;"Table"),MATCH(G46,INDIRECT(G45&amp;"Table"&amp;"[Name]"),0),COLUMN(INDIRECT(G45&amp;"Table"&amp;"["&amp;B48&amp;"]"))),0)</f>
        <v>0</v>
      </c>
      <c r="H48" s="14"/>
      <c r="I48" s="79"/>
      <c r="J48" s="44"/>
      <c r="K48" s="44"/>
      <c r="L48" s="14"/>
      <c r="M48" s="14"/>
      <c r="N48" s="14"/>
      <c r="O48" s="14"/>
      <c r="P48" s="14"/>
      <c r="Q48" s="14"/>
      <c r="R48" s="14"/>
      <c r="S48" s="14"/>
      <c r="T48" s="14"/>
    </row>
    <row r="49" spans="1:20" x14ac:dyDescent="0.3">
      <c r="A49" s="13"/>
      <c r="B49" s="45" t="s">
        <v>936</v>
      </c>
      <c r="C49" s="44">
        <f ca="1">IFERROR(INDEX(INDIRECT(C45&amp;"Table"),MATCH(C44,INDIRECT(C45&amp;"Table"&amp;"[Name]"),0),COLUMN(INDIRECT(C45&amp;"Table"&amp;"["&amp;B49&amp;"]"))),0)</f>
        <v>0</v>
      </c>
      <c r="D49" s="44">
        <f ca="1">IFERROR(INDEX(INDIRECT(D45&amp;"Table"),MATCH(D46,INDIRECT(D45&amp;"Table"&amp;"[Name]"),0),COLUMN(INDIRECT(D45&amp;"Table"&amp;"["&amp;B49&amp;"]"))),0)</f>
        <v>0</v>
      </c>
      <c r="E49" s="44">
        <f ca="1">IFERROR(INDEX(INDIRECT(E45&amp;"Table"),MATCH(E46,INDIRECT(E45&amp;"Table"&amp;"[Name]"),0),COLUMN(INDIRECT(E45&amp;"Table"&amp;"["&amp;B49&amp;"]"))),0)</f>
        <v>0</v>
      </c>
      <c r="F49" s="44">
        <f ca="1">IFERROR(INDEX(INDIRECT(F45&amp;"Table"),MATCH(F46,INDIRECT(F45&amp;"Table"&amp;"[Name]"),0),COLUMN(INDIRECT(F45&amp;"Table"&amp;"["&amp;B49&amp;"]"))),0)</f>
        <v>0</v>
      </c>
      <c r="G49" s="44">
        <f ca="1">IFERROR(INDEX(INDIRECT(G45&amp;"Table"),MATCH(G46,INDIRECT(G45&amp;"Table"&amp;"[Name]"),0),COLUMN(INDIRECT(G45&amp;"Table"&amp;"["&amp;B49&amp;"]"))),0)</f>
        <v>0</v>
      </c>
      <c r="H49" s="14"/>
      <c r="I49" s="79"/>
      <c r="J49" s="44"/>
      <c r="K49" s="44"/>
      <c r="L49" s="14"/>
      <c r="M49" s="14"/>
      <c r="N49" s="14"/>
      <c r="O49" s="14"/>
      <c r="P49" s="14"/>
      <c r="Q49" s="14"/>
      <c r="R49" s="14"/>
      <c r="S49" s="14"/>
      <c r="T49" s="14"/>
    </row>
    <row r="50" spans="1:20" x14ac:dyDescent="0.3">
      <c r="A50" s="13"/>
      <c r="B50" s="45" t="s">
        <v>937</v>
      </c>
      <c r="C50" s="44">
        <f ca="1">IFERROR(INDEX(INDIRECT(C45&amp;"Table"),MATCH(C44,INDIRECT(C45&amp;"Table"&amp;"[Name]"),0),COLUMN(INDIRECT(C45&amp;"Table"&amp;"["&amp;B50&amp;"]"))),0)</f>
        <v>0</v>
      </c>
      <c r="D50" s="44">
        <f ca="1">IFERROR(INDEX(INDIRECT(D45&amp;"Table"),MATCH(D46,INDIRECT(D45&amp;"Table"&amp;"[Name]"),0),COLUMN(INDIRECT(D45&amp;"Table"&amp;"["&amp;B50&amp;"]"))),0)</f>
        <v>0</v>
      </c>
      <c r="E50" s="44">
        <f ca="1">IFERROR(INDEX(INDIRECT(E45&amp;"Table"),MATCH(E46,INDIRECT(E45&amp;"Table"&amp;"[Name]"),0),COLUMN(INDIRECT(E45&amp;"Table"&amp;"["&amp;B50&amp;"]"))),0)</f>
        <v>0</v>
      </c>
      <c r="F50" s="44">
        <f ca="1">IFERROR(INDEX(INDIRECT(F45&amp;"Table"),MATCH(F46,INDIRECT(F45&amp;"Table"&amp;"[Name]"),0),COLUMN(INDIRECT(F45&amp;"Table"&amp;"["&amp;B50&amp;"]"))),0)</f>
        <v>0</v>
      </c>
      <c r="G50" s="44">
        <f ca="1">IFERROR(INDEX(INDIRECT(G45&amp;"Table"),MATCH(G46,INDIRECT(G45&amp;"Table"&amp;"[Name]"),0),COLUMN(INDIRECT(G45&amp;"Table"&amp;"["&amp;B50&amp;"]"))),0)</f>
        <v>0</v>
      </c>
      <c r="H50" s="14"/>
      <c r="I50" s="79" t="s">
        <v>65</v>
      </c>
      <c r="J50" s="63"/>
      <c r="K50" s="50">
        <v>0</v>
      </c>
      <c r="L50" s="14"/>
      <c r="M50" s="14"/>
      <c r="N50" s="14"/>
      <c r="O50" s="14"/>
      <c r="P50" s="14"/>
      <c r="Q50" s="14"/>
      <c r="R50" s="14"/>
      <c r="S50" s="14"/>
      <c r="T50" s="14"/>
    </row>
    <row r="51" spans="1:20" x14ac:dyDescent="0.3">
      <c r="A51" s="13"/>
      <c r="B51" s="45" t="s">
        <v>21</v>
      </c>
      <c r="C51" s="44">
        <v>0</v>
      </c>
      <c r="D51" s="44">
        <f ca="1">IFERROR(INDEX(INDIRECT(D45&amp;"Table"),MATCH(D46,INDIRECT(D45&amp;"Table"&amp;"[Name]"),0),COLUMN(INDIRECT(D45&amp;"Table"&amp;"["&amp;B51&amp;"]"))),0)</f>
        <v>0</v>
      </c>
      <c r="E51" s="44">
        <f ca="1">IFERROR(INDEX(INDIRECT(E45&amp;"Table"),MATCH(E46,INDIRECT(E45&amp;"Table"&amp;"[Name]"),0),COLUMN(INDIRECT(E45&amp;"Table"&amp;"["&amp;B51&amp;"]"))),0)</f>
        <v>0</v>
      </c>
      <c r="F51" s="44">
        <f ca="1">IFERROR(INDEX(INDIRECT(F45&amp;"Table"),MATCH(F46,INDIRECT(F45&amp;"Table"&amp;"[Name]"),0),COLUMN(INDIRECT(F45&amp;"Table"&amp;"["&amp;B51&amp;"]"))),0)*IF(C49=0,0,1)</f>
        <v>0</v>
      </c>
      <c r="G51" s="44">
        <f ca="1">IFERROR(INDEX(INDIRECT(G45&amp;"Table"),MATCH(G46,INDIRECT(G45&amp;"Table"&amp;"[Name]"),0),COLUMN(INDIRECT(G45&amp;"Table"&amp;"["&amp;B51&amp;"]"))),0)*IF(C50=0,0,1)</f>
        <v>0</v>
      </c>
      <c r="H51" s="14"/>
      <c r="I51" s="79" t="s">
        <v>948</v>
      </c>
      <c r="J51" s="63"/>
      <c r="K51" s="50">
        <v>1</v>
      </c>
      <c r="L51" s="14"/>
      <c r="M51" s="14"/>
      <c r="N51" s="14"/>
      <c r="O51" s="14"/>
      <c r="P51" s="14"/>
      <c r="Q51" s="14"/>
      <c r="R51" s="14"/>
      <c r="S51" s="14"/>
      <c r="T51" s="14"/>
    </row>
    <row r="52" spans="1:20" x14ac:dyDescent="0.3">
      <c r="A52" s="13"/>
      <c r="B52" s="45" t="s">
        <v>22</v>
      </c>
      <c r="C52" s="44">
        <v>0</v>
      </c>
      <c r="D52" s="44">
        <f ca="1">IFERROR(INDEX(INDIRECT(D45&amp;"Table"),MATCH(D46,INDIRECT(D45&amp;"Table"&amp;"[Name]"),0),COLUMN(INDIRECT(D45&amp;"Table"&amp;"["&amp;B52&amp;"]"))),0)</f>
        <v>0</v>
      </c>
      <c r="E52" s="44">
        <f ca="1">IFERROR(INDEX(INDIRECT(E45&amp;"Table"),MATCH(E46,INDIRECT(E45&amp;"Table"&amp;"[Name]"),0),COLUMN(INDIRECT(E45&amp;"Table"&amp;"["&amp;B52&amp;"]"))),0)</f>
        <v>0</v>
      </c>
      <c r="F52" s="44">
        <f ca="1">IFERROR(INDEX(INDIRECT(F45&amp;"Table"),MATCH(F46,INDIRECT(F45&amp;"Table"&amp;"[Name]"),0),COLUMN(INDIRECT(F45&amp;"Table"&amp;"["&amp;B52&amp;"]"))),0)</f>
        <v>0</v>
      </c>
      <c r="G52" s="44">
        <f ca="1">IFERROR(INDEX(INDIRECT(G45&amp;"Table"),MATCH(G46,INDIRECT(G45&amp;"Table"&amp;"[Name]"),0),COLUMN(INDIRECT(G45&amp;"Table"&amp;"["&amp;B52&amp;"]"))),0)</f>
        <v>0</v>
      </c>
      <c r="H52" s="14"/>
      <c r="I52" s="79" t="s">
        <v>949</v>
      </c>
      <c r="J52" s="63"/>
      <c r="K52" s="50">
        <v>1</v>
      </c>
      <c r="L52" s="14"/>
      <c r="M52" s="14"/>
      <c r="N52" s="14"/>
      <c r="O52" s="14"/>
      <c r="P52" s="14"/>
      <c r="Q52" s="14"/>
      <c r="R52" s="14"/>
      <c r="S52" s="14"/>
      <c r="T52" s="14"/>
    </row>
    <row r="53" spans="1:20" x14ac:dyDescent="0.3">
      <c r="A53" s="13"/>
      <c r="B53" s="45" t="s">
        <v>266</v>
      </c>
      <c r="C53" s="44">
        <v>0</v>
      </c>
      <c r="D53" s="44">
        <f ca="1">IFERROR(INDEX(INDIRECT(D45&amp;"Table"),MATCH(D46,INDIRECT(D45&amp;"Table"&amp;"[Name]"),0),COLUMN(INDIRECT(D45&amp;"Table"&amp;"["&amp;B53&amp;"]"))),0)</f>
        <v>0</v>
      </c>
      <c r="E53" s="44">
        <f ca="1">IFERROR(INDEX(INDIRECT(E45&amp;"Table"),MATCH(E46,INDIRECT(E45&amp;"Table"&amp;"[Name]"),0),COLUMN(INDIRECT(E45&amp;"Table"&amp;"["&amp;B53&amp;"]"))),0)</f>
        <v>0</v>
      </c>
      <c r="F53" s="44">
        <f ca="1">IFERROR(INDEX(INDIRECT(F45&amp;"Table"),MATCH(F46,INDIRECT(F45&amp;"Table"&amp;"[Name]"),0),COLUMN(INDIRECT(F45&amp;"Table"&amp;"["&amp;B53&amp;"]"))),0)*IF(C49=0,0,1)</f>
        <v>0</v>
      </c>
      <c r="G53" s="44">
        <f ca="1">IFERROR(INDEX(INDIRECT(G45&amp;"Table"),MATCH(G46,INDIRECT(G45&amp;"Table"&amp;"[Name]"),0),COLUMN(INDIRECT(G45&amp;"Table"&amp;"["&amp;B53&amp;"]"))),0)*IF(C50=0,0,1)</f>
        <v>0</v>
      </c>
      <c r="H53" s="14"/>
      <c r="I53" s="79" t="s">
        <v>950</v>
      </c>
      <c r="J53" s="63"/>
      <c r="K53" s="50">
        <v>1</v>
      </c>
      <c r="L53" s="14"/>
      <c r="M53" s="14"/>
      <c r="N53" s="14"/>
      <c r="O53" s="14"/>
      <c r="P53" s="14"/>
      <c r="Q53" s="14"/>
      <c r="R53" s="14"/>
      <c r="S53" s="14"/>
      <c r="T53" s="14"/>
    </row>
    <row r="54" spans="1:20" x14ac:dyDescent="0.3">
      <c r="A54" s="13"/>
      <c r="B54" s="45" t="s">
        <v>955</v>
      </c>
      <c r="C54" s="44"/>
      <c r="D54" s="44"/>
      <c r="E54" s="44"/>
      <c r="F54" s="44">
        <f ca="1">IFERROR(INDEX(INDIRECT(F45&amp;"Table"),MATCH(F46,INDIRECT(F45&amp;"Table"&amp;"[Name]"),0),COLUMN(INDIRECT(F45&amp;"Table"&amp;"["&amp;B54&amp;"]"))),0)*IF(C49=0,0,1)</f>
        <v>0</v>
      </c>
      <c r="G54" s="44">
        <f ca="1">IFERROR(INDEX(INDIRECT(G45&amp;"Table"),MATCH(G46,INDIRECT(G45&amp;"Table"&amp;"[Name]"),0),COLUMN(INDIRECT(G45&amp;"Table"&amp;"["&amp;B54&amp;"]"))),0)*IF(C50=0,0,1)</f>
        <v>0</v>
      </c>
      <c r="H54" s="14"/>
      <c r="I54" s="79" t="s">
        <v>954</v>
      </c>
      <c r="J54" s="63"/>
      <c r="K54" s="111">
        <f ca="1">((100+C55*K52)/100)*C49*F51*K51*K53</f>
        <v>0</v>
      </c>
      <c r="L54" s="14"/>
      <c r="M54" s="14"/>
      <c r="N54" s="14"/>
      <c r="O54" s="14"/>
      <c r="P54" s="14"/>
      <c r="Q54" s="14"/>
      <c r="R54" s="14"/>
      <c r="S54" s="14"/>
      <c r="T54" s="14"/>
    </row>
    <row r="55" spans="1:20" x14ac:dyDescent="0.3">
      <c r="A55" s="13"/>
      <c r="B55" s="45" t="s">
        <v>801</v>
      </c>
      <c r="C55" s="44">
        <f ca="1">SUM(C47:G47)</f>
        <v>0</v>
      </c>
      <c r="D55" s="44" t="s">
        <v>956</v>
      </c>
      <c r="E55" s="44">
        <f ca="1">COUNTIF(F54:G54,"&gt;0")</f>
        <v>0</v>
      </c>
      <c r="F55" s="44"/>
      <c r="G55" s="44"/>
      <c r="H55" s="14"/>
      <c r="I55" s="113" t="s">
        <v>1405</v>
      </c>
      <c r="J55" s="63"/>
      <c r="K55" s="111">
        <f ca="1">((100+C55*K52)/100)*C50*G51*K51*K53</f>
        <v>0</v>
      </c>
      <c r="L55" s="14"/>
      <c r="M55" s="14"/>
      <c r="N55" s="14"/>
      <c r="O55" s="14"/>
      <c r="P55" s="14"/>
      <c r="Q55" s="14"/>
      <c r="R55" s="14"/>
      <c r="S55" s="14"/>
      <c r="T55" s="14"/>
    </row>
    <row r="56" spans="1:20" x14ac:dyDescent="0.3">
      <c r="A56" s="13"/>
      <c r="B56" s="45"/>
      <c r="C56" s="44"/>
      <c r="D56" s="44"/>
      <c r="E56" s="44"/>
      <c r="F56" s="44"/>
      <c r="G56" s="44"/>
      <c r="H56" s="14"/>
      <c r="I56" s="44"/>
      <c r="J56" s="44"/>
      <c r="K56" s="44"/>
      <c r="L56" s="14"/>
      <c r="M56" s="14"/>
      <c r="N56" s="14"/>
      <c r="O56" s="14"/>
      <c r="P56" s="14"/>
      <c r="Q56" s="14"/>
      <c r="R56" s="14"/>
      <c r="S56" s="14"/>
      <c r="T56" s="14"/>
    </row>
    <row r="57" spans="1:20" x14ac:dyDescent="0.3">
      <c r="A57" s="13"/>
      <c r="B57" s="14"/>
      <c r="C57" s="14"/>
      <c r="D57" s="14"/>
      <c r="E57" s="14"/>
      <c r="F57" s="14"/>
      <c r="G57" s="14"/>
      <c r="H57" s="14"/>
      <c r="I57" s="14"/>
      <c r="J57" s="14"/>
      <c r="K57" s="14"/>
      <c r="L57" s="14"/>
      <c r="M57" s="14"/>
      <c r="N57" s="14"/>
      <c r="O57" s="14"/>
      <c r="P57" s="14"/>
      <c r="Q57" s="14"/>
      <c r="R57" s="14"/>
      <c r="S57" s="14"/>
      <c r="T57" s="14"/>
    </row>
    <row r="58" spans="1:20" x14ac:dyDescent="0.3">
      <c r="A58" s="13"/>
      <c r="B58" s="47" t="s">
        <v>364</v>
      </c>
      <c r="C58" s="46"/>
      <c r="D58" s="48" t="s">
        <v>2</v>
      </c>
      <c r="E58" s="48" t="s">
        <v>3</v>
      </c>
      <c r="F58" s="48" t="s">
        <v>946</v>
      </c>
      <c r="G58" s="48" t="s">
        <v>947</v>
      </c>
      <c r="H58" s="14"/>
      <c r="I58" s="194" t="s">
        <v>953</v>
      </c>
      <c r="J58" s="194"/>
      <c r="K58" s="194"/>
      <c r="L58" s="194"/>
      <c r="M58" s="14"/>
      <c r="N58" s="14"/>
      <c r="O58" s="14"/>
      <c r="P58" s="14"/>
      <c r="Q58" s="14"/>
      <c r="R58" s="14"/>
      <c r="S58" s="14"/>
      <c r="T58" s="14"/>
    </row>
    <row r="59" spans="1:20" x14ac:dyDescent="0.3">
      <c r="A59" s="13"/>
      <c r="B59" s="45" t="s">
        <v>150</v>
      </c>
      <c r="C59" s="34">
        <f>IFERROR(INDEX(SType[],MATCH(C60,SType[Ship],0),COLUMN(SType[Type])),0)</f>
        <v>0</v>
      </c>
      <c r="D59" s="47" t="s">
        <v>302</v>
      </c>
      <c r="E59" s="47" t="s">
        <v>301</v>
      </c>
      <c r="F59" s="47" t="s">
        <v>265</v>
      </c>
      <c r="G59" s="47" t="s">
        <v>265</v>
      </c>
      <c r="H59" s="14"/>
      <c r="I59" s="79" t="s">
        <v>848</v>
      </c>
      <c r="J59" s="78"/>
      <c r="K59" s="79">
        <f ca="1">SQRT(200/(100+(1+K64)*SUM(C62:G62)))</f>
        <v>1.3483997249264841</v>
      </c>
      <c r="L59" s="14"/>
      <c r="M59" s="14"/>
      <c r="N59" s="14"/>
      <c r="O59" s="14"/>
      <c r="P59" s="14"/>
      <c r="Q59" s="14"/>
      <c r="R59" s="14"/>
      <c r="S59" s="14"/>
      <c r="T59" s="14"/>
    </row>
    <row r="60" spans="1:20" x14ac:dyDescent="0.3">
      <c r="A60" s="13"/>
      <c r="B60" s="45" t="s">
        <v>149</v>
      </c>
      <c r="C60" s="34">
        <f>IFERROR(INDEX(Base[],MATCH(C58,Base[Name],0),COLUMN(Base[Type])),0)</f>
        <v>0</v>
      </c>
      <c r="D60" s="46" t="s">
        <v>288</v>
      </c>
      <c r="E60" s="46" t="s">
        <v>304</v>
      </c>
      <c r="F60" s="46" t="s">
        <v>799</v>
      </c>
      <c r="G60" s="46" t="s">
        <v>779</v>
      </c>
      <c r="H60" s="14"/>
      <c r="I60" s="79" t="s">
        <v>951</v>
      </c>
      <c r="J60" s="78"/>
      <c r="K60" s="79">
        <f ca="1">F67*K59</f>
        <v>0</v>
      </c>
      <c r="L60" s="14"/>
      <c r="M60" s="14"/>
      <c r="N60" s="14"/>
      <c r="O60" s="14"/>
      <c r="P60" s="14"/>
      <c r="Q60" s="14"/>
      <c r="R60" s="14"/>
      <c r="S60" s="14"/>
      <c r="T60" s="14"/>
    </row>
    <row r="61" spans="1:20" x14ac:dyDescent="0.3">
      <c r="A61" s="13"/>
      <c r="B61" s="45" t="s">
        <v>265</v>
      </c>
      <c r="C61" s="44">
        <f ca="1">IFERROR(INDEX(INDIRECT(C59&amp;"Table"),MATCH(C58,INDIRECT(C59&amp;"Table"&amp;"[Name]"),0),COLUMN(INDIRECT(C59&amp;"Table"&amp;"["&amp;B61&amp;"]"))),0)</f>
        <v>0</v>
      </c>
      <c r="D61" s="44">
        <f ca="1">IFERROR(INDEX(INDIRECT(D59&amp;"Table"),MATCH(D60,INDIRECT(D59&amp;"Table"&amp;"[Name]"),0),COLUMN(INDIRECT(D59&amp;"Table"&amp;"["&amp;B61&amp;"]"))),0)</f>
        <v>0</v>
      </c>
      <c r="E61" s="44">
        <f ca="1">IFERROR(INDEX(INDIRECT(E59&amp;"Table"),MATCH(E60,INDIRECT(E59&amp;"Table"&amp;"[Name]"),0),COLUMN(INDIRECT(E59&amp;"Table"&amp;"["&amp;B61&amp;"]"))),0)</f>
        <v>0</v>
      </c>
      <c r="F61" s="44">
        <f ca="1">IFERROR(INDEX(INDIRECT(F59&amp;"Table"),MATCH(F60,INDIRECT(F59&amp;"Table"&amp;"[Name]"),0),COLUMN(INDIRECT(F59&amp;"Table"&amp;"["&amp;B61&amp;"]"))),0)*IF(C63=0,0,1)</f>
        <v>0</v>
      </c>
      <c r="G61" s="44">
        <f ca="1">IFERROR(INDEX(INDIRECT(G59&amp;"Table"),MATCH(G60,INDIRECT(G59&amp;"Table"&amp;"[Name]"),0),COLUMN(INDIRECT(G59&amp;"Table"&amp;"["&amp;B61&amp;"]"))),0)*IF(C64=0,0,1)</f>
        <v>0</v>
      </c>
      <c r="H61" s="14"/>
      <c r="I61" s="79" t="s">
        <v>952</v>
      </c>
      <c r="J61" s="63"/>
      <c r="K61" s="44">
        <f ca="1">G67*K59</f>
        <v>0</v>
      </c>
      <c r="L61" s="14"/>
      <c r="M61" s="14"/>
      <c r="N61" s="14"/>
      <c r="O61" s="14"/>
      <c r="P61" s="14"/>
      <c r="Q61" s="14"/>
      <c r="R61" s="14"/>
      <c r="S61" s="14"/>
      <c r="T61" s="14"/>
    </row>
    <row r="62" spans="1:20" x14ac:dyDescent="0.3">
      <c r="A62" s="13"/>
      <c r="B62" s="45" t="s">
        <v>14</v>
      </c>
      <c r="C62" s="44">
        <f ca="1">IFERROR(INDEX(INDIRECT(C59&amp;"Table"),MATCH(C58,INDIRECT(C59&amp;"Table"&amp;"[Name]"),0),COLUMN(INDIRECT(C59&amp;"Table"&amp;"["&amp;B62&amp;"]"))),0)</f>
        <v>0</v>
      </c>
      <c r="D62" s="44">
        <f ca="1">IFERROR(INDEX(INDIRECT(D59&amp;"Table"),MATCH(D60,INDIRECT(D59&amp;"Table"&amp;"[Name]"),0),COLUMN(INDIRECT(D59&amp;"Table"&amp;"["&amp;B62&amp;"]"))),0)</f>
        <v>0</v>
      </c>
      <c r="E62" s="44">
        <f ca="1">IFERROR(INDEX(INDIRECT(E59&amp;"Table"),MATCH(E60,INDIRECT(E59&amp;"Table"&amp;"[Name]"),0),COLUMN(INDIRECT(E59&amp;"Table"&amp;"["&amp;B62&amp;"]"))),0)</f>
        <v>10</v>
      </c>
      <c r="F62" s="44">
        <f ca="1">IFERROR(INDEX(INDIRECT(F59&amp;"Table"),MATCH(F60,INDIRECT(F59&amp;"Table"&amp;"[Name]"),0),COLUMN(INDIRECT(F59&amp;"Table"&amp;"["&amp;B62&amp;"]"))),0)</f>
        <v>0</v>
      </c>
      <c r="G62" s="44">
        <f ca="1">IFERROR(INDEX(INDIRECT(G59&amp;"Table"),MATCH(G60,INDIRECT(G59&amp;"Table"&amp;"[Name]"),0),COLUMN(INDIRECT(G59&amp;"Table"&amp;"["&amp;B62&amp;"]"))),0)</f>
        <v>0</v>
      </c>
      <c r="H62" s="14"/>
      <c r="I62" s="79"/>
      <c r="J62" s="44"/>
      <c r="K62" s="44"/>
      <c r="L62" s="14"/>
      <c r="M62" s="14"/>
      <c r="N62" s="14"/>
      <c r="O62" s="14"/>
      <c r="P62" s="14"/>
      <c r="Q62" s="14"/>
      <c r="R62" s="14"/>
      <c r="S62" s="14"/>
      <c r="T62" s="14"/>
    </row>
    <row r="63" spans="1:20" x14ac:dyDescent="0.3">
      <c r="A63" s="13"/>
      <c r="B63" s="45" t="s">
        <v>936</v>
      </c>
      <c r="C63" s="44">
        <f ca="1">IFERROR(INDEX(INDIRECT(C59&amp;"Table"),MATCH(C58,INDIRECT(C59&amp;"Table"&amp;"[Name]"),0),COLUMN(INDIRECT(C59&amp;"Table"&amp;"["&amp;B63&amp;"]"))),0)</f>
        <v>0</v>
      </c>
      <c r="D63" s="44">
        <f ca="1">IFERROR(INDEX(INDIRECT(D59&amp;"Table"),MATCH(D60,INDIRECT(D59&amp;"Table"&amp;"[Name]"),0),COLUMN(INDIRECT(D59&amp;"Table"&amp;"["&amp;B63&amp;"]"))),0)</f>
        <v>0</v>
      </c>
      <c r="E63" s="44">
        <f ca="1">IFERROR(INDEX(INDIRECT(E59&amp;"Table"),MATCH(E60,INDIRECT(E59&amp;"Table"&amp;"[Name]"),0),COLUMN(INDIRECT(E59&amp;"Table"&amp;"["&amp;B63&amp;"]"))),0)</f>
        <v>0</v>
      </c>
      <c r="F63" s="44">
        <f ca="1">IFERROR(INDEX(INDIRECT(F59&amp;"Table"),MATCH(F60,INDIRECT(F59&amp;"Table"&amp;"[Name]"),0),COLUMN(INDIRECT(F59&amp;"Table"&amp;"["&amp;B63&amp;"]"))),0)</f>
        <v>0</v>
      </c>
      <c r="G63" s="44">
        <f ca="1">IFERROR(INDEX(INDIRECT(G59&amp;"Table"),MATCH(G60,INDIRECT(G59&amp;"Table"&amp;"[Name]"),0),COLUMN(INDIRECT(G59&amp;"Table"&amp;"["&amp;B63&amp;"]"))),0)</f>
        <v>0</v>
      </c>
      <c r="H63" s="14"/>
      <c r="I63" s="79"/>
      <c r="J63" s="44"/>
      <c r="K63" s="44"/>
      <c r="L63" s="14"/>
      <c r="M63" s="14"/>
      <c r="N63" s="14"/>
      <c r="O63" s="14"/>
      <c r="P63" s="14"/>
      <c r="Q63" s="14"/>
      <c r="R63" s="14"/>
      <c r="S63" s="14"/>
      <c r="T63" s="14"/>
    </row>
    <row r="64" spans="1:20" x14ac:dyDescent="0.3">
      <c r="A64" s="13"/>
      <c r="B64" s="45" t="s">
        <v>937</v>
      </c>
      <c r="C64" s="44">
        <f ca="1">IFERROR(INDEX(INDIRECT(C59&amp;"Table"),MATCH(C58,INDIRECT(C59&amp;"Table"&amp;"[Name]"),0),COLUMN(INDIRECT(C59&amp;"Table"&amp;"["&amp;B64&amp;"]"))),0)</f>
        <v>0</v>
      </c>
      <c r="D64" s="44">
        <f ca="1">IFERROR(INDEX(INDIRECT(D59&amp;"Table"),MATCH(D60,INDIRECT(D59&amp;"Table"&amp;"[Name]"),0),COLUMN(INDIRECT(D59&amp;"Table"&amp;"["&amp;B64&amp;"]"))),0)</f>
        <v>0</v>
      </c>
      <c r="E64" s="44">
        <f ca="1">IFERROR(INDEX(INDIRECT(E59&amp;"Table"),MATCH(E60,INDIRECT(E59&amp;"Table"&amp;"[Name]"),0),COLUMN(INDIRECT(E59&amp;"Table"&amp;"["&amp;B64&amp;"]"))),0)</f>
        <v>0</v>
      </c>
      <c r="F64" s="44">
        <f ca="1">IFERROR(INDEX(INDIRECT(F59&amp;"Table"),MATCH(F60,INDIRECT(F59&amp;"Table"&amp;"[Name]"),0),COLUMN(INDIRECT(F59&amp;"Table"&amp;"["&amp;B64&amp;"]"))),0)</f>
        <v>0</v>
      </c>
      <c r="G64" s="44">
        <f ca="1">IFERROR(INDEX(INDIRECT(G59&amp;"Table"),MATCH(G60,INDIRECT(G59&amp;"Table"&amp;"[Name]"),0),COLUMN(INDIRECT(G59&amp;"Table"&amp;"["&amp;B64&amp;"]"))),0)</f>
        <v>0</v>
      </c>
      <c r="H64" s="14"/>
      <c r="I64" s="79" t="s">
        <v>65</v>
      </c>
      <c r="J64" s="63"/>
      <c r="K64" s="50">
        <v>0</v>
      </c>
      <c r="L64" s="14"/>
      <c r="M64" s="14"/>
      <c r="N64" s="14"/>
      <c r="O64" s="14"/>
      <c r="P64" s="14"/>
      <c r="Q64" s="14"/>
      <c r="R64" s="14"/>
      <c r="S64" s="14"/>
      <c r="T64" s="14"/>
    </row>
    <row r="65" spans="1:20" x14ac:dyDescent="0.3">
      <c r="A65" s="13"/>
      <c r="B65" s="45" t="s">
        <v>21</v>
      </c>
      <c r="C65" s="44">
        <v>0</v>
      </c>
      <c r="D65" s="44">
        <f ca="1">IFERROR(INDEX(INDIRECT(D59&amp;"Table"),MATCH(D60,INDIRECT(D59&amp;"Table"&amp;"[Name]"),0),COLUMN(INDIRECT(D59&amp;"Table"&amp;"["&amp;B65&amp;"]"))),0)</f>
        <v>0</v>
      </c>
      <c r="E65" s="44">
        <f ca="1">IFERROR(INDEX(INDIRECT(E59&amp;"Table"),MATCH(E60,INDIRECT(E59&amp;"Table"&amp;"[Name]"),0),COLUMN(INDIRECT(E59&amp;"Table"&amp;"["&amp;B65&amp;"]"))),0)</f>
        <v>0</v>
      </c>
      <c r="F65" s="44">
        <f ca="1">IFERROR(INDEX(INDIRECT(F59&amp;"Table"),MATCH(F60,INDIRECT(F59&amp;"Table"&amp;"[Name]"),0),COLUMN(INDIRECT(F59&amp;"Table"&amp;"["&amp;B65&amp;"]"))),0)*IF(C63=0,0,1)</f>
        <v>0</v>
      </c>
      <c r="G65" s="44">
        <f ca="1">IFERROR(INDEX(INDIRECT(G59&amp;"Table"),MATCH(G60,INDIRECT(G59&amp;"Table"&amp;"[Name]"),0),COLUMN(INDIRECT(G59&amp;"Table"&amp;"["&amp;B65&amp;"]"))),0)*IF(C64=0,0,1)</f>
        <v>0</v>
      </c>
      <c r="H65" s="14"/>
      <c r="I65" s="79" t="s">
        <v>948</v>
      </c>
      <c r="J65" s="63"/>
      <c r="K65" s="50">
        <v>1</v>
      </c>
      <c r="L65" s="14"/>
      <c r="M65" s="14"/>
      <c r="N65" s="14"/>
      <c r="O65" s="14"/>
      <c r="P65" s="14"/>
      <c r="Q65" s="14"/>
      <c r="R65" s="14"/>
      <c r="S65" s="14"/>
      <c r="T65" s="14"/>
    </row>
    <row r="66" spans="1:20" x14ac:dyDescent="0.3">
      <c r="A66" s="13"/>
      <c r="B66" s="45" t="s">
        <v>22</v>
      </c>
      <c r="C66" s="44">
        <v>0</v>
      </c>
      <c r="D66" s="44">
        <f ca="1">IFERROR(INDEX(INDIRECT(D59&amp;"Table"),MATCH(D60,INDIRECT(D59&amp;"Table"&amp;"[Name]"),0),COLUMN(INDIRECT(D59&amp;"Table"&amp;"["&amp;B66&amp;"]"))),0)</f>
        <v>0</v>
      </c>
      <c r="E66" s="44">
        <f ca="1">IFERROR(INDEX(INDIRECT(E59&amp;"Table"),MATCH(E60,INDIRECT(E59&amp;"Table"&amp;"[Name]"),0),COLUMN(INDIRECT(E59&amp;"Table"&amp;"["&amp;B66&amp;"]"))),0)</f>
        <v>0</v>
      </c>
      <c r="F66" s="44">
        <f ca="1">IFERROR(INDEX(INDIRECT(F59&amp;"Table"),MATCH(F60,INDIRECT(F59&amp;"Table"&amp;"[Name]"),0),COLUMN(INDIRECT(F59&amp;"Table"&amp;"["&amp;B66&amp;"]"))),0)</f>
        <v>0</v>
      </c>
      <c r="G66" s="44">
        <f ca="1">IFERROR(INDEX(INDIRECT(G59&amp;"Table"),MATCH(G60,INDIRECT(G59&amp;"Table"&amp;"[Name]"),0),COLUMN(INDIRECT(G59&amp;"Table"&amp;"["&amp;B66&amp;"]"))),0)</f>
        <v>0</v>
      </c>
      <c r="H66" s="14"/>
      <c r="I66" s="79" t="s">
        <v>949</v>
      </c>
      <c r="J66" s="63"/>
      <c r="K66" s="50">
        <v>1</v>
      </c>
      <c r="L66" s="14"/>
      <c r="M66" s="14"/>
      <c r="N66" s="14"/>
      <c r="O66" s="14"/>
      <c r="P66" s="14"/>
      <c r="Q66" s="14"/>
      <c r="R66" s="14"/>
      <c r="S66" s="14"/>
      <c r="T66" s="14"/>
    </row>
    <row r="67" spans="1:20" x14ac:dyDescent="0.3">
      <c r="A67" s="13"/>
      <c r="B67" s="45" t="s">
        <v>266</v>
      </c>
      <c r="C67" s="44">
        <v>0</v>
      </c>
      <c r="D67" s="44">
        <f ca="1">IFERROR(INDEX(INDIRECT(D59&amp;"Table"),MATCH(D60,INDIRECT(D59&amp;"Table"&amp;"[Name]"),0),COLUMN(INDIRECT(D59&amp;"Table"&amp;"["&amp;B67&amp;"]"))),0)</f>
        <v>0</v>
      </c>
      <c r="E67" s="44">
        <f ca="1">IFERROR(INDEX(INDIRECT(E59&amp;"Table"),MATCH(E60,INDIRECT(E59&amp;"Table"&amp;"[Name]"),0),COLUMN(INDIRECT(E59&amp;"Table"&amp;"["&amp;B67&amp;"]"))),0)</f>
        <v>0</v>
      </c>
      <c r="F67" s="44">
        <f ca="1">IFERROR(INDEX(INDIRECT(F59&amp;"Table"),MATCH(F60,INDIRECT(F59&amp;"Table"&amp;"[Name]"),0),COLUMN(INDIRECT(F59&amp;"Table"&amp;"["&amp;B67&amp;"]"))),0)*IF(C63=0,0,1)</f>
        <v>0</v>
      </c>
      <c r="G67" s="44">
        <f ca="1">IFERROR(INDEX(INDIRECT(G59&amp;"Table"),MATCH(G60,INDIRECT(G59&amp;"Table"&amp;"[Name]"),0),COLUMN(INDIRECT(G59&amp;"Table"&amp;"["&amp;B67&amp;"]"))),0)*IF(C64=0,0,1)</f>
        <v>0</v>
      </c>
      <c r="H67" s="14"/>
      <c r="I67" s="79" t="s">
        <v>950</v>
      </c>
      <c r="J67" s="63"/>
      <c r="K67" s="50">
        <v>1</v>
      </c>
      <c r="L67" s="14"/>
      <c r="M67" s="14"/>
      <c r="N67" s="14"/>
      <c r="O67" s="14"/>
      <c r="P67" s="14"/>
      <c r="Q67" s="14"/>
      <c r="R67" s="14"/>
      <c r="S67" s="14"/>
      <c r="T67" s="14"/>
    </row>
    <row r="68" spans="1:20" x14ac:dyDescent="0.3">
      <c r="A68" s="13"/>
      <c r="B68" s="45" t="s">
        <v>955</v>
      </c>
      <c r="C68" s="44"/>
      <c r="D68" s="44"/>
      <c r="E68" s="44"/>
      <c r="F68" s="44">
        <f ca="1">IFERROR(INDEX(INDIRECT(F59&amp;"Table"),MATCH(F60,INDIRECT(F59&amp;"Table"&amp;"[Name]"),0),COLUMN(INDIRECT(F59&amp;"Table"&amp;"["&amp;B68&amp;"]"))),0)*IF(C63=0,0,1)</f>
        <v>0</v>
      </c>
      <c r="G68" s="44">
        <f ca="1">IFERROR(INDEX(INDIRECT(G59&amp;"Table"),MATCH(G60,INDIRECT(G59&amp;"Table"&amp;"[Name]"),0),COLUMN(INDIRECT(G59&amp;"Table"&amp;"["&amp;B68&amp;"]"))),0)*IF(C64=0,0,1)</f>
        <v>0</v>
      </c>
      <c r="H68" s="14"/>
      <c r="I68" s="79" t="s">
        <v>954</v>
      </c>
      <c r="J68" s="63"/>
      <c r="K68" s="111">
        <f ca="1">((100+C69*K66)/100)*C63*F65*K65*K67</f>
        <v>0</v>
      </c>
      <c r="L68" s="14"/>
      <c r="M68" s="14"/>
      <c r="N68" s="14"/>
      <c r="O68" s="14"/>
      <c r="P68" s="14"/>
      <c r="Q68" s="14"/>
      <c r="R68" s="14"/>
      <c r="S68" s="14"/>
      <c r="T68" s="14"/>
    </row>
    <row r="69" spans="1:20" x14ac:dyDescent="0.3">
      <c r="A69" s="13"/>
      <c r="B69" s="45" t="s">
        <v>801</v>
      </c>
      <c r="C69" s="44">
        <f ca="1">SUM(C61:G61)</f>
        <v>0</v>
      </c>
      <c r="D69" s="44" t="s">
        <v>956</v>
      </c>
      <c r="E69" s="44">
        <f ca="1">COUNTIF(F68:G68,"&gt;0")</f>
        <v>0</v>
      </c>
      <c r="F69" s="44"/>
      <c r="G69" s="44"/>
      <c r="H69" s="14"/>
      <c r="I69" s="113" t="s">
        <v>1405</v>
      </c>
      <c r="J69" s="63"/>
      <c r="K69" s="111">
        <f ca="1">((100+C69*K66)/100)*C64*G65*K65*K67</f>
        <v>0</v>
      </c>
      <c r="L69" s="14"/>
      <c r="M69" s="14"/>
      <c r="N69" s="14"/>
      <c r="O69" s="14"/>
      <c r="P69" s="14"/>
      <c r="Q69" s="14"/>
      <c r="R69" s="14"/>
      <c r="S69" s="14"/>
      <c r="T69" s="14"/>
    </row>
    <row r="70" spans="1:20" x14ac:dyDescent="0.3">
      <c r="A70" s="13"/>
      <c r="B70" s="45"/>
      <c r="C70" s="44"/>
      <c r="D70" s="44"/>
      <c r="E70" s="44"/>
      <c r="F70" s="44"/>
      <c r="G70" s="44"/>
      <c r="H70" s="14"/>
      <c r="I70" s="44"/>
      <c r="J70" s="44"/>
      <c r="K70" s="44"/>
      <c r="L70" s="14"/>
      <c r="M70" s="14"/>
      <c r="N70" s="14"/>
      <c r="O70" s="14"/>
      <c r="P70" s="14"/>
      <c r="Q70" s="14"/>
      <c r="R70" s="14"/>
      <c r="S70" s="14"/>
      <c r="T70" s="14"/>
    </row>
    <row r="71" spans="1:20" x14ac:dyDescent="0.3">
      <c r="A71" s="13"/>
      <c r="B71" s="14"/>
      <c r="C71" s="14"/>
      <c r="D71" s="14"/>
      <c r="E71" s="14"/>
      <c r="F71" s="14"/>
      <c r="G71" s="14"/>
      <c r="H71" s="14"/>
      <c r="I71" s="14"/>
      <c r="J71" s="14"/>
      <c r="K71" s="14"/>
      <c r="L71" s="14"/>
      <c r="M71" s="14"/>
      <c r="N71" s="14"/>
      <c r="O71" s="14"/>
      <c r="P71" s="14"/>
      <c r="Q71" s="14"/>
      <c r="R71" s="14"/>
      <c r="S71" s="14"/>
      <c r="T71" s="14"/>
    </row>
    <row r="72" spans="1:20" x14ac:dyDescent="0.3">
      <c r="A72" s="13"/>
      <c r="B72" s="47" t="s">
        <v>364</v>
      </c>
      <c r="C72" s="46"/>
      <c r="D72" s="48" t="s">
        <v>2</v>
      </c>
      <c r="E72" s="48" t="s">
        <v>3</v>
      </c>
      <c r="F72" s="48" t="s">
        <v>946</v>
      </c>
      <c r="G72" s="48" t="s">
        <v>947</v>
      </c>
      <c r="H72" s="14"/>
      <c r="I72" s="194" t="s">
        <v>953</v>
      </c>
      <c r="J72" s="194"/>
      <c r="K72" s="194"/>
      <c r="L72" s="194"/>
      <c r="M72" s="14"/>
      <c r="N72" s="14"/>
      <c r="O72" s="14"/>
      <c r="P72" s="14"/>
      <c r="Q72" s="14"/>
      <c r="R72" s="14"/>
      <c r="S72" s="14"/>
      <c r="T72" s="14"/>
    </row>
    <row r="73" spans="1:20" x14ac:dyDescent="0.3">
      <c r="A73" s="13"/>
      <c r="B73" s="45" t="s">
        <v>150</v>
      </c>
      <c r="C73" s="34">
        <f>IFERROR(INDEX(SType[],MATCH(C74,SType[Ship],0),COLUMN(SType[Type])),0)</f>
        <v>0</v>
      </c>
      <c r="D73" s="47" t="s">
        <v>302</v>
      </c>
      <c r="E73" s="47" t="s">
        <v>301</v>
      </c>
      <c r="F73" s="47" t="s">
        <v>265</v>
      </c>
      <c r="G73" s="47" t="s">
        <v>265</v>
      </c>
      <c r="H73" s="14"/>
      <c r="I73" s="79" t="s">
        <v>848</v>
      </c>
      <c r="J73" s="78"/>
      <c r="K73" s="79">
        <f ca="1">SQRT(200/(100+(1+K78)*SUM(C76:G76)))</f>
        <v>1.3483997249264841</v>
      </c>
      <c r="L73" s="14"/>
      <c r="M73" s="14"/>
      <c r="N73" s="14"/>
      <c r="O73" s="14"/>
      <c r="P73" s="14"/>
      <c r="Q73" s="14"/>
      <c r="R73" s="14"/>
      <c r="S73" s="14"/>
      <c r="T73" s="14"/>
    </row>
    <row r="74" spans="1:20" x14ac:dyDescent="0.3">
      <c r="A74" s="13"/>
      <c r="B74" s="45" t="s">
        <v>149</v>
      </c>
      <c r="C74" s="34">
        <f>IFERROR(INDEX(Base[],MATCH(C72,Base[Name],0),COLUMN(Base[Type])),0)</f>
        <v>0</v>
      </c>
      <c r="D74" s="46" t="s">
        <v>288</v>
      </c>
      <c r="E74" s="46" t="s">
        <v>304</v>
      </c>
      <c r="F74" s="46" t="s">
        <v>779</v>
      </c>
      <c r="G74" s="46" t="s">
        <v>779</v>
      </c>
      <c r="H74" s="14"/>
      <c r="I74" s="79" t="s">
        <v>951</v>
      </c>
      <c r="J74" s="78"/>
      <c r="K74" s="79">
        <f ca="1">F81*K73</f>
        <v>0</v>
      </c>
      <c r="L74" s="14"/>
      <c r="M74" s="14"/>
      <c r="N74" s="14"/>
      <c r="O74" s="14"/>
      <c r="P74" s="14"/>
      <c r="Q74" s="14"/>
      <c r="R74" s="14"/>
      <c r="S74" s="14"/>
      <c r="T74" s="14"/>
    </row>
    <row r="75" spans="1:20" x14ac:dyDescent="0.3">
      <c r="A75" s="13"/>
      <c r="B75" s="45" t="s">
        <v>265</v>
      </c>
      <c r="C75" s="44">
        <f ca="1">IFERROR(INDEX(INDIRECT(C73&amp;"Table"),MATCH(C72,INDIRECT(C73&amp;"Table"&amp;"[Name]"),0),COLUMN(INDIRECT(C73&amp;"Table"&amp;"["&amp;B75&amp;"]"))),0)</f>
        <v>0</v>
      </c>
      <c r="D75" s="44">
        <f ca="1">IFERROR(INDEX(INDIRECT(D73&amp;"Table"),MATCH(D74,INDIRECT(D73&amp;"Table"&amp;"[Name]"),0),COLUMN(INDIRECT(D73&amp;"Table"&amp;"["&amp;B75&amp;"]"))),0)</f>
        <v>0</v>
      </c>
      <c r="E75" s="44">
        <f ca="1">IFERROR(INDEX(INDIRECT(E73&amp;"Table"),MATCH(E74,INDIRECT(E73&amp;"Table"&amp;"[Name]"),0),COLUMN(INDIRECT(E73&amp;"Table"&amp;"["&amp;B75&amp;"]"))),0)</f>
        <v>0</v>
      </c>
      <c r="F75" s="44">
        <f ca="1">IFERROR(INDEX(INDIRECT(F73&amp;"Table"),MATCH(F74,INDIRECT(F73&amp;"Table"&amp;"[Name]"),0),COLUMN(INDIRECT(F73&amp;"Table"&amp;"["&amp;B75&amp;"]"))),0)*IF(C77=0,0,1)</f>
        <v>0</v>
      </c>
      <c r="G75" s="44">
        <f ca="1">IFERROR(INDEX(INDIRECT(G73&amp;"Table"),MATCH(G74,INDIRECT(G73&amp;"Table"&amp;"[Name]"),0),COLUMN(INDIRECT(G73&amp;"Table"&amp;"["&amp;B75&amp;"]"))),0)*IF(C78=0,0,1)</f>
        <v>0</v>
      </c>
      <c r="H75" s="14"/>
      <c r="I75" s="79" t="s">
        <v>952</v>
      </c>
      <c r="J75" s="63"/>
      <c r="K75" s="44">
        <f ca="1">G81*K73</f>
        <v>0</v>
      </c>
      <c r="L75" s="14"/>
      <c r="M75" s="14"/>
      <c r="N75" s="14"/>
      <c r="O75" s="14"/>
      <c r="P75" s="14"/>
      <c r="Q75" s="14"/>
      <c r="R75" s="14"/>
      <c r="S75" s="14"/>
      <c r="T75" s="14"/>
    </row>
    <row r="76" spans="1:20" x14ac:dyDescent="0.3">
      <c r="A76" s="13"/>
      <c r="B76" s="45" t="s">
        <v>14</v>
      </c>
      <c r="C76" s="44">
        <f ca="1">IFERROR(INDEX(INDIRECT(C73&amp;"Table"),MATCH(C72,INDIRECT(C73&amp;"Table"&amp;"[Name]"),0),COLUMN(INDIRECT(C73&amp;"Table"&amp;"["&amp;B76&amp;"]"))),0)</f>
        <v>0</v>
      </c>
      <c r="D76" s="44">
        <f ca="1">IFERROR(INDEX(INDIRECT(D73&amp;"Table"),MATCH(D74,INDIRECT(D73&amp;"Table"&amp;"[Name]"),0),COLUMN(INDIRECT(D73&amp;"Table"&amp;"["&amp;B76&amp;"]"))),0)</f>
        <v>0</v>
      </c>
      <c r="E76" s="44">
        <f ca="1">IFERROR(INDEX(INDIRECT(E73&amp;"Table"),MATCH(E74,INDIRECT(E73&amp;"Table"&amp;"[Name]"),0),COLUMN(INDIRECT(E73&amp;"Table"&amp;"["&amp;B76&amp;"]"))),0)</f>
        <v>10</v>
      </c>
      <c r="F76" s="44">
        <f ca="1">IFERROR(INDEX(INDIRECT(F73&amp;"Table"),MATCH(F74,INDIRECT(F73&amp;"Table"&amp;"[Name]"),0),COLUMN(INDIRECT(F73&amp;"Table"&amp;"["&amp;B76&amp;"]"))),0)</f>
        <v>0</v>
      </c>
      <c r="G76" s="44">
        <f ca="1">IFERROR(INDEX(INDIRECT(G73&amp;"Table"),MATCH(G74,INDIRECT(G73&amp;"Table"&amp;"[Name]"),0),COLUMN(INDIRECT(G73&amp;"Table"&amp;"["&amp;B76&amp;"]"))),0)</f>
        <v>0</v>
      </c>
      <c r="H76" s="14"/>
      <c r="I76" s="79"/>
      <c r="J76" s="44"/>
      <c r="K76" s="44"/>
      <c r="L76" s="14"/>
      <c r="M76" s="14"/>
      <c r="N76" s="14"/>
      <c r="O76" s="14"/>
      <c r="P76" s="14"/>
      <c r="Q76" s="14"/>
      <c r="R76" s="14"/>
      <c r="S76" s="14"/>
      <c r="T76" s="14"/>
    </row>
    <row r="77" spans="1:20" x14ac:dyDescent="0.3">
      <c r="A77" s="13"/>
      <c r="B77" s="45" t="s">
        <v>936</v>
      </c>
      <c r="C77" s="44">
        <f ca="1">IFERROR(INDEX(INDIRECT(C73&amp;"Table"),MATCH(C72,INDIRECT(C73&amp;"Table"&amp;"[Name]"),0),COLUMN(INDIRECT(C73&amp;"Table"&amp;"["&amp;B77&amp;"]"))),0)</f>
        <v>0</v>
      </c>
      <c r="D77" s="44">
        <f ca="1">IFERROR(INDEX(INDIRECT(D73&amp;"Table"),MATCH(D74,INDIRECT(D73&amp;"Table"&amp;"[Name]"),0),COLUMN(INDIRECT(D73&amp;"Table"&amp;"["&amp;B77&amp;"]"))),0)</f>
        <v>0</v>
      </c>
      <c r="E77" s="44">
        <f ca="1">IFERROR(INDEX(INDIRECT(E73&amp;"Table"),MATCH(E74,INDIRECT(E73&amp;"Table"&amp;"[Name]"),0),COLUMN(INDIRECT(E73&amp;"Table"&amp;"["&amp;B77&amp;"]"))),0)</f>
        <v>0</v>
      </c>
      <c r="F77" s="44">
        <f ca="1">IFERROR(INDEX(INDIRECT(F73&amp;"Table"),MATCH(F74,INDIRECT(F73&amp;"Table"&amp;"[Name]"),0),COLUMN(INDIRECT(F73&amp;"Table"&amp;"["&amp;B77&amp;"]"))),0)</f>
        <v>0</v>
      </c>
      <c r="G77" s="44">
        <f ca="1">IFERROR(INDEX(INDIRECT(G73&amp;"Table"),MATCH(G74,INDIRECT(G73&amp;"Table"&amp;"[Name]"),0),COLUMN(INDIRECT(G73&amp;"Table"&amp;"["&amp;B77&amp;"]"))),0)</f>
        <v>0</v>
      </c>
      <c r="H77" s="14"/>
      <c r="I77" s="79"/>
      <c r="J77" s="44"/>
      <c r="K77" s="44"/>
      <c r="L77" s="14"/>
      <c r="M77" s="14"/>
      <c r="N77" s="14"/>
      <c r="O77" s="14"/>
      <c r="P77" s="14"/>
      <c r="Q77" s="14"/>
      <c r="R77" s="14"/>
      <c r="S77" s="14"/>
      <c r="T77" s="14"/>
    </row>
    <row r="78" spans="1:20" x14ac:dyDescent="0.3">
      <c r="A78" s="13"/>
      <c r="B78" s="45" t="s">
        <v>937</v>
      </c>
      <c r="C78" s="44">
        <f ca="1">IFERROR(INDEX(INDIRECT(C73&amp;"Table"),MATCH(C72,INDIRECT(C73&amp;"Table"&amp;"[Name]"),0),COLUMN(INDIRECT(C73&amp;"Table"&amp;"["&amp;B78&amp;"]"))),0)</f>
        <v>0</v>
      </c>
      <c r="D78" s="44">
        <f ca="1">IFERROR(INDEX(INDIRECT(D73&amp;"Table"),MATCH(D74,INDIRECT(D73&amp;"Table"&amp;"[Name]"),0),COLUMN(INDIRECT(D73&amp;"Table"&amp;"["&amp;B78&amp;"]"))),0)</f>
        <v>0</v>
      </c>
      <c r="E78" s="44">
        <f ca="1">IFERROR(INDEX(INDIRECT(E73&amp;"Table"),MATCH(E74,INDIRECT(E73&amp;"Table"&amp;"[Name]"),0),COLUMN(INDIRECT(E73&amp;"Table"&amp;"["&amp;B78&amp;"]"))),0)</f>
        <v>0</v>
      </c>
      <c r="F78" s="44">
        <f ca="1">IFERROR(INDEX(INDIRECT(F73&amp;"Table"),MATCH(F74,INDIRECT(F73&amp;"Table"&amp;"[Name]"),0),COLUMN(INDIRECT(F73&amp;"Table"&amp;"["&amp;B78&amp;"]"))),0)</f>
        <v>0</v>
      </c>
      <c r="G78" s="44">
        <f ca="1">IFERROR(INDEX(INDIRECT(G73&amp;"Table"),MATCH(G74,INDIRECT(G73&amp;"Table"&amp;"[Name]"),0),COLUMN(INDIRECT(G73&amp;"Table"&amp;"["&amp;B78&amp;"]"))),0)</f>
        <v>0</v>
      </c>
      <c r="H78" s="14"/>
      <c r="I78" s="79" t="s">
        <v>65</v>
      </c>
      <c r="J78" s="63"/>
      <c r="K78" s="50">
        <v>0</v>
      </c>
      <c r="L78" s="14"/>
      <c r="M78" s="14"/>
      <c r="N78" s="14"/>
      <c r="O78" s="14"/>
      <c r="P78" s="14"/>
      <c r="Q78" s="14"/>
      <c r="R78" s="14"/>
      <c r="S78" s="14"/>
      <c r="T78" s="14"/>
    </row>
    <row r="79" spans="1:20" x14ac:dyDescent="0.3">
      <c r="A79" s="13"/>
      <c r="B79" s="45" t="s">
        <v>21</v>
      </c>
      <c r="C79" s="44">
        <v>0</v>
      </c>
      <c r="D79" s="44">
        <f ca="1">IFERROR(INDEX(INDIRECT(D73&amp;"Table"),MATCH(D74,INDIRECT(D73&amp;"Table"&amp;"[Name]"),0),COLUMN(INDIRECT(D73&amp;"Table"&amp;"["&amp;B79&amp;"]"))),0)</f>
        <v>0</v>
      </c>
      <c r="E79" s="44">
        <f ca="1">IFERROR(INDEX(INDIRECT(E73&amp;"Table"),MATCH(E74,INDIRECT(E73&amp;"Table"&amp;"[Name]"),0),COLUMN(INDIRECT(E73&amp;"Table"&amp;"["&amp;B79&amp;"]"))),0)</f>
        <v>0</v>
      </c>
      <c r="F79" s="44">
        <f ca="1">IFERROR(INDEX(INDIRECT(F73&amp;"Table"),MATCH(F74,INDIRECT(F73&amp;"Table"&amp;"[Name]"),0),COLUMN(INDIRECT(F73&amp;"Table"&amp;"["&amp;B79&amp;"]"))),0)*IF(C77=0,0,1)</f>
        <v>0</v>
      </c>
      <c r="G79" s="44">
        <f ca="1">IFERROR(INDEX(INDIRECT(G73&amp;"Table"),MATCH(G74,INDIRECT(G73&amp;"Table"&amp;"[Name]"),0),COLUMN(INDIRECT(G73&amp;"Table"&amp;"["&amp;B79&amp;"]"))),0)*IF(C78=0,0,1)</f>
        <v>0</v>
      </c>
      <c r="H79" s="14"/>
      <c r="I79" s="79" t="s">
        <v>948</v>
      </c>
      <c r="J79" s="63"/>
      <c r="K79" s="50">
        <v>1</v>
      </c>
      <c r="L79" s="14"/>
      <c r="M79" s="14"/>
      <c r="N79" s="14"/>
      <c r="O79" s="14"/>
      <c r="P79" s="14"/>
      <c r="Q79" s="14"/>
      <c r="R79" s="14"/>
      <c r="S79" s="14"/>
      <c r="T79" s="14"/>
    </row>
    <row r="80" spans="1:20" x14ac:dyDescent="0.3">
      <c r="A80" s="13"/>
      <c r="B80" s="45" t="s">
        <v>22</v>
      </c>
      <c r="C80" s="44">
        <v>0</v>
      </c>
      <c r="D80" s="44">
        <f ca="1">IFERROR(INDEX(INDIRECT(D73&amp;"Table"),MATCH(D74,INDIRECT(D73&amp;"Table"&amp;"[Name]"),0),COLUMN(INDIRECT(D73&amp;"Table"&amp;"["&amp;B80&amp;"]"))),0)</f>
        <v>0</v>
      </c>
      <c r="E80" s="44">
        <f ca="1">IFERROR(INDEX(INDIRECT(E73&amp;"Table"),MATCH(E74,INDIRECT(E73&amp;"Table"&amp;"[Name]"),0),COLUMN(INDIRECT(E73&amp;"Table"&amp;"["&amp;B80&amp;"]"))),0)</f>
        <v>0</v>
      </c>
      <c r="F80" s="44">
        <f ca="1">IFERROR(INDEX(INDIRECT(F73&amp;"Table"),MATCH(F74,INDIRECT(F73&amp;"Table"&amp;"[Name]"),0),COLUMN(INDIRECT(F73&amp;"Table"&amp;"["&amp;B80&amp;"]"))),0)</f>
        <v>0</v>
      </c>
      <c r="G80" s="44">
        <f ca="1">IFERROR(INDEX(INDIRECT(G73&amp;"Table"),MATCH(G74,INDIRECT(G73&amp;"Table"&amp;"[Name]"),0),COLUMN(INDIRECT(G73&amp;"Table"&amp;"["&amp;B80&amp;"]"))),0)</f>
        <v>0</v>
      </c>
      <c r="H80" s="14"/>
      <c r="I80" s="79" t="s">
        <v>949</v>
      </c>
      <c r="J80" s="63"/>
      <c r="K80" s="50">
        <v>1</v>
      </c>
      <c r="L80" s="14"/>
      <c r="M80" s="14"/>
      <c r="N80" s="14"/>
      <c r="O80" s="14"/>
      <c r="P80" s="14"/>
      <c r="Q80" s="14"/>
      <c r="R80" s="14"/>
      <c r="S80" s="14"/>
      <c r="T80" s="14"/>
    </row>
    <row r="81" spans="1:20" x14ac:dyDescent="0.3">
      <c r="A81" s="13"/>
      <c r="B81" s="45" t="s">
        <v>266</v>
      </c>
      <c r="C81" s="44">
        <v>0</v>
      </c>
      <c r="D81" s="44">
        <f ca="1">IFERROR(INDEX(INDIRECT(D73&amp;"Table"),MATCH(D74,INDIRECT(D73&amp;"Table"&amp;"[Name]"),0),COLUMN(INDIRECT(D73&amp;"Table"&amp;"["&amp;B81&amp;"]"))),0)</f>
        <v>0</v>
      </c>
      <c r="E81" s="44">
        <f ca="1">IFERROR(INDEX(INDIRECT(E73&amp;"Table"),MATCH(E74,INDIRECT(E73&amp;"Table"&amp;"[Name]"),0),COLUMN(INDIRECT(E73&amp;"Table"&amp;"["&amp;B81&amp;"]"))),0)</f>
        <v>0</v>
      </c>
      <c r="F81" s="44">
        <f ca="1">IFERROR(INDEX(INDIRECT(F73&amp;"Table"),MATCH(F74,INDIRECT(F73&amp;"Table"&amp;"[Name]"),0),COLUMN(INDIRECT(F73&amp;"Table"&amp;"["&amp;B81&amp;"]"))),0)*IF(C77=0,0,1)</f>
        <v>0</v>
      </c>
      <c r="G81" s="44">
        <f ca="1">IFERROR(INDEX(INDIRECT(G73&amp;"Table"),MATCH(G74,INDIRECT(G73&amp;"Table"&amp;"[Name]"),0),COLUMN(INDIRECT(G73&amp;"Table"&amp;"["&amp;B81&amp;"]"))),0)*IF(C78=0,0,1)</f>
        <v>0</v>
      </c>
      <c r="H81" s="14"/>
      <c r="I81" s="79" t="s">
        <v>950</v>
      </c>
      <c r="J81" s="63"/>
      <c r="K81" s="50">
        <v>1</v>
      </c>
      <c r="L81" s="14"/>
      <c r="M81" s="14"/>
      <c r="N81" s="14"/>
      <c r="O81" s="14"/>
      <c r="P81" s="14"/>
      <c r="Q81" s="14"/>
      <c r="R81" s="14"/>
      <c r="S81" s="14"/>
      <c r="T81" s="14"/>
    </row>
    <row r="82" spans="1:20" x14ac:dyDescent="0.3">
      <c r="A82" s="13"/>
      <c r="B82" s="45" t="s">
        <v>955</v>
      </c>
      <c r="C82" s="44"/>
      <c r="D82" s="44"/>
      <c r="E82" s="44"/>
      <c r="F82" s="44">
        <f ca="1">IFERROR(INDEX(INDIRECT(F73&amp;"Table"),MATCH(F74,INDIRECT(F73&amp;"Table"&amp;"[Name]"),0),COLUMN(INDIRECT(F73&amp;"Table"&amp;"["&amp;B82&amp;"]"))),0)*IF(C77=0,0,1)</f>
        <v>0</v>
      </c>
      <c r="G82" s="44">
        <f ca="1">IFERROR(INDEX(INDIRECT(G73&amp;"Table"),MATCH(G74,INDIRECT(G73&amp;"Table"&amp;"[Name]"),0),COLUMN(INDIRECT(G73&amp;"Table"&amp;"["&amp;B82&amp;"]"))),0)*IF(C78=0,0,1)</f>
        <v>0</v>
      </c>
      <c r="H82" s="14"/>
      <c r="I82" s="79" t="s">
        <v>954</v>
      </c>
      <c r="J82" s="63"/>
      <c r="K82" s="111">
        <f ca="1">((100+C83*K80)/100)*C77*F79*K79*K81</f>
        <v>0</v>
      </c>
      <c r="L82" s="14"/>
      <c r="M82" s="14"/>
      <c r="N82" s="14"/>
      <c r="O82" s="14"/>
      <c r="P82" s="14"/>
      <c r="Q82" s="14"/>
      <c r="R82" s="14"/>
      <c r="S82" s="14"/>
      <c r="T82" s="14"/>
    </row>
    <row r="83" spans="1:20" x14ac:dyDescent="0.3">
      <c r="A83" s="13"/>
      <c r="B83" s="45" t="s">
        <v>801</v>
      </c>
      <c r="C83" s="44">
        <f ca="1">SUM(C75:G75)</f>
        <v>0</v>
      </c>
      <c r="D83" s="44" t="s">
        <v>956</v>
      </c>
      <c r="E83" s="44">
        <f ca="1">COUNTIF(F82:G82,"&gt;0")</f>
        <v>0</v>
      </c>
      <c r="F83" s="44"/>
      <c r="G83" s="44"/>
      <c r="H83" s="14"/>
      <c r="I83" s="113" t="s">
        <v>1405</v>
      </c>
      <c r="J83" s="63"/>
      <c r="K83" s="111">
        <f ca="1">((100+C83*K80)/100)*C78*G79*K79*K81</f>
        <v>0</v>
      </c>
      <c r="L83" s="14"/>
      <c r="M83" s="14"/>
      <c r="N83" s="14"/>
      <c r="O83" s="14"/>
      <c r="P83" s="14"/>
      <c r="Q83" s="14"/>
      <c r="R83" s="14"/>
      <c r="S83" s="14"/>
      <c r="T83" s="14"/>
    </row>
    <row r="84" spans="1:20" x14ac:dyDescent="0.3">
      <c r="A84" s="13"/>
      <c r="B84" s="45"/>
      <c r="C84" s="44"/>
      <c r="D84" s="44"/>
      <c r="E84" s="44"/>
      <c r="F84" s="44"/>
      <c r="G84" s="44"/>
      <c r="H84" s="14"/>
      <c r="I84" s="44"/>
      <c r="J84" s="44"/>
      <c r="K84" s="44"/>
      <c r="L84" s="14"/>
      <c r="M84" s="14"/>
      <c r="N84" s="14"/>
      <c r="O84" s="14"/>
      <c r="P84" s="14"/>
      <c r="Q84" s="14"/>
      <c r="R84" s="14"/>
      <c r="S84" s="14"/>
      <c r="T84" s="14"/>
    </row>
    <row r="85" spans="1:20" x14ac:dyDescent="0.3">
      <c r="A85" s="13"/>
      <c r="B85" s="14"/>
      <c r="C85" s="14"/>
      <c r="D85" s="14"/>
      <c r="E85" s="14"/>
      <c r="F85" s="14"/>
      <c r="G85" s="14"/>
      <c r="H85" s="14"/>
      <c r="I85" s="14"/>
      <c r="J85" s="14"/>
      <c r="K85" s="14"/>
      <c r="L85" s="14"/>
      <c r="M85" s="14"/>
      <c r="N85" s="14"/>
      <c r="O85" s="14"/>
      <c r="P85" s="14"/>
      <c r="Q85" s="14"/>
      <c r="R85" s="14"/>
      <c r="S85" s="14"/>
      <c r="T85" s="14"/>
    </row>
    <row r="86" spans="1:20" x14ac:dyDescent="0.3">
      <c r="A86" s="13"/>
      <c r="B86" s="14"/>
      <c r="C86" s="14"/>
      <c r="D86" s="14"/>
      <c r="E86" s="14"/>
      <c r="F86" s="14"/>
      <c r="G86" s="14"/>
      <c r="H86" s="14"/>
      <c r="I86" s="14"/>
      <c r="J86" s="14"/>
      <c r="K86" s="14"/>
      <c r="L86" s="14"/>
      <c r="M86" s="14"/>
      <c r="N86" s="14"/>
      <c r="O86" s="14"/>
      <c r="P86" s="14"/>
      <c r="Q86" s="14"/>
      <c r="R86" s="14"/>
      <c r="S86" s="14"/>
      <c r="T86" s="14"/>
    </row>
    <row r="87" spans="1:20" x14ac:dyDescent="0.3">
      <c r="A87" s="13"/>
      <c r="B87" s="14"/>
      <c r="C87" s="14"/>
      <c r="D87" s="14"/>
      <c r="E87" s="14"/>
      <c r="F87" s="14"/>
      <c r="G87" s="14"/>
      <c r="H87" s="14"/>
      <c r="I87" s="14"/>
      <c r="J87" s="14"/>
      <c r="K87" s="14"/>
      <c r="L87" s="14"/>
      <c r="M87" s="14"/>
      <c r="N87" s="14"/>
      <c r="O87" s="14"/>
      <c r="P87" s="14"/>
      <c r="Q87" s="14"/>
      <c r="R87" s="14"/>
      <c r="S87" s="14"/>
      <c r="T87" s="14"/>
    </row>
    <row r="88" spans="1:20" x14ac:dyDescent="0.3">
      <c r="A88" s="13"/>
      <c r="B88" s="14"/>
      <c r="C88" s="14"/>
      <c r="D88" s="14"/>
      <c r="E88" s="14"/>
      <c r="F88" s="14"/>
      <c r="G88" s="14"/>
      <c r="H88" s="14"/>
      <c r="I88" s="14"/>
      <c r="J88" s="14"/>
      <c r="K88" s="14"/>
      <c r="L88" s="14"/>
      <c r="M88" s="14"/>
      <c r="N88" s="14"/>
      <c r="O88" s="14"/>
      <c r="P88" s="14"/>
      <c r="Q88" s="14"/>
      <c r="R88" s="14"/>
      <c r="S88" s="14"/>
      <c r="T88" s="14"/>
    </row>
    <row r="89" spans="1:20" x14ac:dyDescent="0.3">
      <c r="A89" s="13"/>
      <c r="B89" s="14"/>
      <c r="C89" s="14"/>
      <c r="D89" s="14"/>
      <c r="E89" s="14"/>
      <c r="F89" s="14"/>
      <c r="G89" s="14"/>
      <c r="H89" s="14"/>
      <c r="I89" s="14"/>
      <c r="J89" s="14"/>
      <c r="K89" s="14"/>
      <c r="L89" s="14"/>
      <c r="M89" s="14"/>
      <c r="N89" s="14"/>
      <c r="O89" s="14"/>
      <c r="P89" s="14"/>
      <c r="Q89" s="14"/>
      <c r="R89" s="14"/>
      <c r="S89" s="14"/>
      <c r="T89" s="14"/>
    </row>
    <row r="90" spans="1:20" x14ac:dyDescent="0.3">
      <c r="A90" s="13"/>
      <c r="B90" s="14"/>
      <c r="C90" s="14"/>
      <c r="D90" s="14"/>
      <c r="E90" s="14"/>
      <c r="F90" s="14"/>
      <c r="G90" s="14"/>
      <c r="H90" s="14"/>
      <c r="I90" s="14"/>
      <c r="J90" s="14"/>
      <c r="K90" s="14"/>
      <c r="L90" s="14"/>
      <c r="M90" s="14"/>
      <c r="N90" s="14"/>
      <c r="O90" s="14"/>
      <c r="P90" s="14"/>
      <c r="Q90" s="14"/>
      <c r="R90" s="14"/>
      <c r="S90" s="14"/>
      <c r="T90" s="14"/>
    </row>
    <row r="91" spans="1:20" x14ac:dyDescent="0.3">
      <c r="A91" s="13"/>
      <c r="B91" s="14"/>
      <c r="C91" s="14"/>
      <c r="D91" s="14"/>
      <c r="E91" s="14"/>
      <c r="F91" s="14"/>
      <c r="G91" s="14"/>
      <c r="H91" s="14"/>
      <c r="I91" s="14"/>
      <c r="J91" s="14"/>
      <c r="K91" s="14"/>
      <c r="L91" s="14"/>
      <c r="M91" s="14"/>
      <c r="N91" s="14"/>
      <c r="O91" s="14"/>
      <c r="P91" s="14"/>
      <c r="Q91" s="14"/>
      <c r="R91" s="14"/>
      <c r="S91" s="14"/>
      <c r="T91" s="14"/>
    </row>
    <row r="92" spans="1:20" x14ac:dyDescent="0.3">
      <c r="A92" s="13"/>
      <c r="B92" s="14"/>
      <c r="C92" s="14"/>
      <c r="D92" s="14"/>
      <c r="E92" s="14"/>
      <c r="F92" s="14"/>
      <c r="G92" s="14"/>
      <c r="H92" s="14"/>
      <c r="I92" s="14"/>
      <c r="J92" s="14"/>
      <c r="K92" s="14"/>
      <c r="L92" s="14"/>
      <c r="M92" s="14"/>
      <c r="N92" s="14"/>
      <c r="O92" s="14"/>
      <c r="P92" s="14"/>
      <c r="Q92" s="14"/>
      <c r="R92" s="14"/>
      <c r="S92" s="14"/>
      <c r="T92" s="14"/>
    </row>
    <row r="93" spans="1:20" x14ac:dyDescent="0.3">
      <c r="A93" s="13"/>
      <c r="B93" s="14"/>
      <c r="C93" s="14"/>
      <c r="D93" s="14"/>
      <c r="E93" s="14"/>
      <c r="F93" s="14"/>
      <c r="G93" s="14"/>
      <c r="H93" s="14"/>
      <c r="I93" s="14"/>
      <c r="J93" s="14"/>
      <c r="K93" s="14"/>
      <c r="L93" s="14"/>
      <c r="M93" s="14"/>
      <c r="N93" s="14"/>
      <c r="O93" s="14"/>
      <c r="P93" s="14"/>
      <c r="Q93" s="14"/>
      <c r="R93" s="14"/>
      <c r="S93" s="14"/>
      <c r="T93" s="14"/>
    </row>
    <row r="94" spans="1:20" x14ac:dyDescent="0.3">
      <c r="A94" s="13"/>
      <c r="B94" s="14"/>
      <c r="C94" s="14"/>
      <c r="D94" s="14"/>
      <c r="E94" s="14"/>
      <c r="F94" s="14"/>
      <c r="G94" s="14"/>
      <c r="H94" s="14"/>
      <c r="I94" s="14"/>
      <c r="J94" s="14"/>
      <c r="K94" s="14"/>
      <c r="L94" s="14"/>
      <c r="M94" s="14"/>
      <c r="N94" s="14"/>
      <c r="O94" s="14"/>
      <c r="P94" s="14"/>
      <c r="Q94" s="14"/>
      <c r="R94" s="14"/>
      <c r="S94" s="14"/>
      <c r="T94" s="14"/>
    </row>
    <row r="95" spans="1:20" x14ac:dyDescent="0.3">
      <c r="A95" s="13"/>
      <c r="B95" s="14"/>
      <c r="C95" s="14"/>
      <c r="D95" s="14"/>
      <c r="E95" s="14"/>
      <c r="F95" s="14"/>
      <c r="G95" s="14"/>
      <c r="H95" s="14"/>
      <c r="I95" s="14"/>
      <c r="J95" s="14"/>
      <c r="K95" s="14"/>
      <c r="L95" s="14"/>
      <c r="M95" s="14"/>
      <c r="N95" s="14"/>
      <c r="O95" s="14"/>
      <c r="P95" s="14"/>
      <c r="Q95" s="14"/>
      <c r="R95" s="14"/>
      <c r="S95" s="14"/>
      <c r="T95" s="14"/>
    </row>
    <row r="96" spans="1:20" x14ac:dyDescent="0.3">
      <c r="A96" s="13"/>
      <c r="B96" s="14"/>
      <c r="C96" s="14"/>
      <c r="D96" s="14"/>
      <c r="E96" s="14"/>
      <c r="F96" s="14"/>
      <c r="G96" s="14"/>
      <c r="H96" s="14"/>
      <c r="I96" s="14"/>
      <c r="J96" s="14"/>
      <c r="K96" s="14"/>
      <c r="L96" s="14"/>
      <c r="M96" s="14"/>
      <c r="N96" s="14"/>
      <c r="O96" s="14"/>
      <c r="P96" s="14"/>
      <c r="Q96" s="14"/>
      <c r="R96" s="14"/>
      <c r="S96" s="14"/>
      <c r="T96" s="14"/>
    </row>
    <row r="97" spans="1:20" x14ac:dyDescent="0.3">
      <c r="A97" s="13"/>
      <c r="B97" s="14"/>
      <c r="C97" s="14"/>
      <c r="D97" s="14"/>
      <c r="E97" s="14"/>
      <c r="F97" s="14"/>
      <c r="G97" s="14"/>
      <c r="H97" s="14"/>
      <c r="I97" s="14"/>
      <c r="J97" s="14"/>
      <c r="K97" s="14"/>
      <c r="L97" s="14"/>
      <c r="M97" s="14"/>
      <c r="N97" s="14"/>
      <c r="O97" s="14"/>
      <c r="P97" s="14"/>
      <c r="Q97" s="14"/>
      <c r="R97" s="14"/>
      <c r="S97" s="14"/>
      <c r="T97" s="14"/>
    </row>
    <row r="98" spans="1:20" x14ac:dyDescent="0.3">
      <c r="A98" s="13"/>
      <c r="B98" s="14"/>
      <c r="C98" s="14"/>
      <c r="D98" s="14"/>
      <c r="E98" s="14"/>
      <c r="F98" s="14"/>
      <c r="G98" s="14"/>
      <c r="H98" s="14"/>
      <c r="I98" s="14"/>
      <c r="J98" s="14"/>
      <c r="K98" s="14"/>
      <c r="L98" s="14"/>
      <c r="M98" s="14"/>
      <c r="N98" s="14"/>
      <c r="O98" s="14"/>
      <c r="P98" s="14"/>
      <c r="Q98" s="14"/>
      <c r="R98" s="14"/>
      <c r="S98" s="14"/>
      <c r="T98" s="14"/>
    </row>
    <row r="99" spans="1:20" x14ac:dyDescent="0.3">
      <c r="A99" s="13"/>
      <c r="B99" s="14"/>
      <c r="C99" s="14"/>
      <c r="D99" s="14"/>
      <c r="E99" s="14"/>
      <c r="F99" s="14"/>
      <c r="G99" s="14"/>
      <c r="H99" s="14"/>
      <c r="I99" s="14"/>
      <c r="J99" s="14"/>
      <c r="K99" s="14"/>
      <c r="L99" s="14"/>
      <c r="M99" s="14"/>
      <c r="N99" s="14"/>
      <c r="O99" s="14"/>
      <c r="P99" s="14"/>
      <c r="Q99" s="14"/>
      <c r="R99" s="14"/>
      <c r="S99" s="14"/>
      <c r="T99" s="14"/>
    </row>
    <row r="100" spans="1:20" x14ac:dyDescent="0.3">
      <c r="A100" s="13"/>
      <c r="B100" s="14"/>
      <c r="C100" s="14"/>
      <c r="D100" s="14"/>
      <c r="E100" s="14"/>
      <c r="F100" s="14"/>
      <c r="G100" s="14"/>
      <c r="H100" s="14"/>
      <c r="I100" s="14"/>
      <c r="J100" s="14"/>
      <c r="K100" s="14"/>
      <c r="L100" s="14"/>
      <c r="M100" s="14"/>
      <c r="N100" s="14"/>
      <c r="O100" s="14"/>
      <c r="P100" s="14"/>
      <c r="Q100" s="14"/>
      <c r="R100" s="14"/>
      <c r="S100" s="14"/>
      <c r="T100" s="14"/>
    </row>
    <row r="101" spans="1:20" x14ac:dyDescent="0.3">
      <c r="A101" s="13"/>
    </row>
    <row r="102" spans="1:20" x14ac:dyDescent="0.3">
      <c r="A102" s="13"/>
    </row>
    <row r="103" spans="1:20" x14ac:dyDescent="0.3">
      <c r="A103" s="13"/>
    </row>
    <row r="104" spans="1:20" x14ac:dyDescent="0.3">
      <c r="A104" s="13"/>
    </row>
    <row r="105" spans="1:20" x14ac:dyDescent="0.3">
      <c r="A105" s="13"/>
    </row>
    <row r="106" spans="1:20" x14ac:dyDescent="0.3">
      <c r="A106" s="13"/>
    </row>
    <row r="107" spans="1:20" x14ac:dyDescent="0.3">
      <c r="A107" s="13"/>
    </row>
    <row r="108" spans="1:20" x14ac:dyDescent="0.3">
      <c r="A108" s="13"/>
    </row>
    <row r="109" spans="1:20" x14ac:dyDescent="0.3">
      <c r="A109" s="13"/>
    </row>
    <row r="110" spans="1:20" x14ac:dyDescent="0.3">
      <c r="A110" s="13"/>
    </row>
    <row r="111" spans="1:20" x14ac:dyDescent="0.3">
      <c r="A111" s="13"/>
    </row>
    <row r="112" spans="1:20" x14ac:dyDescent="0.3">
      <c r="A112" s="13"/>
    </row>
    <row r="113" spans="1:1" x14ac:dyDescent="0.3">
      <c r="A113" s="13"/>
    </row>
    <row r="114" spans="1:1" x14ac:dyDescent="0.3">
      <c r="A114" s="13"/>
    </row>
    <row r="115" spans="1:1" x14ac:dyDescent="0.3">
      <c r="A115" s="13"/>
    </row>
  </sheetData>
  <mergeCells count="6">
    <mergeCell ref="I72:L72"/>
    <mergeCell ref="I2:L2"/>
    <mergeCell ref="I16:L16"/>
    <mergeCell ref="I30:L30"/>
    <mergeCell ref="I44:L44"/>
    <mergeCell ref="I58:L58"/>
  </mergeCells>
  <dataValidations count="16">
    <dataValidation type="list" allowBlank="1" showInputMessage="1" showErrorMessage="1" sqref="F4:G4 F60:G60 F18:G18 F32:G32 F46:G46 F74:G74" xr:uid="{49CBEF54-6FBA-41BF-B8C2-8BE4D5806571}">
      <formula1>INDIRECT("AATable[Name]")</formula1>
    </dataValidation>
    <dataValidation type="list" allowBlank="1" showInputMessage="1" showErrorMessage="1" sqref="D74" xr:uid="{FE31D0D4-16C2-4A85-BBBE-1B1A2210B62E}">
      <formula1>INDIRECT($D$73&amp;"Table[Name]")</formula1>
    </dataValidation>
    <dataValidation type="list" allowBlank="1" showInputMessage="1" showErrorMessage="1" sqref="E74" xr:uid="{72D5F2E2-A593-4F2E-9F9C-CAF4F88E7EED}">
      <formula1>INDIRECT($E$73&amp;"Table[Name]")</formula1>
    </dataValidation>
    <dataValidation type="list" allowBlank="1" showInputMessage="1" showErrorMessage="1" sqref="C72 C58 C44 C30 C16 C2" xr:uid="{EE2427C6-78A0-446B-8155-C3D455310F25}">
      <formula1>INDIRECT(INDEX(INDIRECT("SType[Type]"), MATCH(B2,INDIRECT("Stype[Ship]"), 0))&amp;"Table[Name]")</formula1>
    </dataValidation>
    <dataValidation type="list" allowBlank="1" showInputMessage="1" showErrorMessage="1" sqref="B72 B58 B44 B30 B16 B2" xr:uid="{2AA5828F-9A8D-4549-954E-EC02BF07B651}">
      <formula1>INDIRECT("Stype[Ship]")</formula1>
    </dataValidation>
    <dataValidation type="list" allowBlank="1" showInputMessage="1" showErrorMessage="1" sqref="D3:E3 D17:E17 D31:E31 D45:E45 D59:E59 D73:E73" xr:uid="{77263538-EF3C-4929-9DFF-71669DFC0995}">
      <formula1>INDIRECT("AuxType[Type]")</formula1>
    </dataValidation>
    <dataValidation type="list" allowBlank="1" showInputMessage="1" showErrorMessage="1" sqref="D4" xr:uid="{F486EDFA-A301-47AF-BA4A-5470E4969304}">
      <formula1>INDIRECT($D$3&amp;"Table[Name]")</formula1>
    </dataValidation>
    <dataValidation type="list" allowBlank="1" showInputMessage="1" showErrorMessage="1" sqref="E4" xr:uid="{2A6B1EAB-FE4E-4F7A-B787-F0BF9678E345}">
      <formula1>INDIRECT($E$3&amp;"Table[Name]")</formula1>
    </dataValidation>
    <dataValidation type="list" allowBlank="1" showInputMessage="1" showErrorMessage="1" sqref="D18" xr:uid="{FB465C24-A097-4F92-A073-59B18BDB3453}">
      <formula1>INDIRECT($D$17&amp;"Table[Name]")</formula1>
    </dataValidation>
    <dataValidation type="list" allowBlank="1" showInputMessage="1" showErrorMessage="1" sqref="E18" xr:uid="{882C8448-F0C4-4CFA-89F9-32DA9C0DE939}">
      <formula1>INDIRECT($E$17&amp;"Table[Name]")</formula1>
    </dataValidation>
    <dataValidation type="list" allowBlank="1" showInputMessage="1" showErrorMessage="1" sqref="D32" xr:uid="{49CD5B8E-AA5D-423B-A01B-16ACE9B51A1C}">
      <formula1>INDIRECT($D$31&amp;"Table[Name]")</formula1>
    </dataValidation>
    <dataValidation type="list" allowBlank="1" showInputMessage="1" showErrorMessage="1" sqref="E32" xr:uid="{C59D969E-6A24-47E7-976A-9E15C0C3DB2D}">
      <formula1>INDIRECT($E$31&amp;"Table[Name]")</formula1>
    </dataValidation>
    <dataValidation type="list" allowBlank="1" showInputMessage="1" showErrorMessage="1" sqref="D46" xr:uid="{337C9425-39EF-48A3-8364-282ADA6D4BE6}">
      <formula1>INDIRECT($D$45&amp;"Table[Name]")</formula1>
    </dataValidation>
    <dataValidation type="list" allowBlank="1" showInputMessage="1" showErrorMessage="1" sqref="E46" xr:uid="{7854972F-6408-4AAC-A928-F82FCFE05B7F}">
      <formula1>INDIRECT($E$45&amp;"Table[Name]")</formula1>
    </dataValidation>
    <dataValidation type="list" allowBlank="1" showInputMessage="1" showErrorMessage="1" sqref="D60" xr:uid="{29BE9D7A-8835-44AC-9C00-658B1BCDCBC3}">
      <formula1>INDIRECT($D$59&amp;"Table[Name]")</formula1>
    </dataValidation>
    <dataValidation type="list" allowBlank="1" showInputMessage="1" showErrorMessage="1" sqref="E60" xr:uid="{CA32A516-9A0E-4B69-BF1F-241311F9EA06}">
      <formula1>INDIRECT($E$59&amp;"Table[Name]")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Documentation (WIP)</vt:lpstr>
      <vt:lpstr>Documentation (Old)</vt:lpstr>
      <vt:lpstr>Non-CV</vt:lpstr>
      <vt:lpstr>Old CV Calculator</vt:lpstr>
      <vt:lpstr>BBV</vt:lpstr>
      <vt:lpstr>CV</vt:lpstr>
      <vt:lpstr>SS</vt:lpstr>
      <vt:lpstr>SSV</vt:lpstr>
      <vt:lpstr>AA</vt:lpstr>
      <vt:lpstr>Ship Stats</vt:lpstr>
      <vt:lpstr>Barrage</vt:lpstr>
      <vt:lpstr>Equipment Stats</vt:lpstr>
      <vt:lpstr>'Old CV Calculator'!AuxType1</vt:lpstr>
      <vt:lpstr>'Old CV Calculator'!BB</vt:lpstr>
      <vt:lpstr>'Old CV Calculator'!CA</vt:lpstr>
      <vt:lpstr>'Old CV Calculator'!CL</vt:lpstr>
      <vt:lpstr>'Old CV Calculator'!DD</vt:lpstr>
      <vt:lpstr>'Old CV Calculator'!Defense</vt:lpstr>
      <vt:lpstr>'Old CV Calculator'!EquipmentType</vt:lpstr>
      <vt:lpstr>'Old CV Calculator'!FIDIB</vt:lpstr>
      <vt:lpstr>'Old CV Calculator'!TB</vt:lpstr>
      <vt:lpstr>'Old CV Calculator'!TName</vt:lpstr>
      <vt:lpstr>'Old CV Calculator'!TORP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George Thomas</cp:lastModifiedBy>
  <dcterms:created xsi:type="dcterms:W3CDTF">2019-02-04T09:05:14Z</dcterms:created>
  <dcterms:modified xsi:type="dcterms:W3CDTF">2019-08-17T18:20:53Z</dcterms:modified>
</cp:coreProperties>
</file>