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queryTables/queryTable1.xml" ContentType="application/vnd.openxmlformats-officedocument.spreadsheetml.queryTable+xml"/>
  <Override PartName="/xl/tables/table3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mc:AlternateContent xmlns:mc="http://schemas.openxmlformats.org/markup-compatibility/2006">
    <mc:Choice Requires="x15">
      <x15ac:absPath xmlns:x15ac="http://schemas.microsoft.com/office/spreadsheetml/2010/11/ac" url="C:\Users\Scien\Pictures\AL\Analysis\"/>
    </mc:Choice>
  </mc:AlternateContent>
  <xr:revisionPtr revIDLastSave="0" documentId="13_ncr:1_{4A5FC0B2-0A37-4C2D-BE8E-A3B4912D0DB6}" xr6:coauthVersionLast="43" xr6:coauthVersionMax="43" xr10:uidLastSave="{00000000-0000-0000-0000-000000000000}"/>
  <bookViews>
    <workbookView xWindow="-108" yWindow="-108" windowWidth="23256" windowHeight="12576" xr2:uid="{00000000-000D-0000-FFFF-FFFF00000000}"/>
  </bookViews>
  <sheets>
    <sheet name="Base Formula - Non-CV Automated" sheetId="11" r:id="rId1"/>
    <sheet name="Old CV Calculator" sheetId="19" state="hidden" r:id="rId2"/>
    <sheet name="Base Formula - CV Automated" sheetId="3" r:id="rId3"/>
    <sheet name="Base Formula - BBV" sheetId="21" r:id="rId4"/>
    <sheet name="Base Formula - SS" sheetId="22" r:id="rId5"/>
    <sheet name="Documentation" sheetId="2" state="hidden" r:id="rId6"/>
    <sheet name="Ship Stats" sheetId="17" state="hidden" r:id="rId7"/>
    <sheet name="Equipment Stats" sheetId="6" state="hidden" r:id="rId8"/>
  </sheets>
  <definedNames>
    <definedName name="_100_150_Jet_Fuel">'Equipment Stats'!$A$129:$A$145</definedName>
    <definedName name="AuxType1" localSheetId="3">AuxType[Type]</definedName>
    <definedName name="AuxType1" localSheetId="0">AuxType[Type]</definedName>
    <definedName name="AuxType1" localSheetId="1">AuxType[Type]</definedName>
    <definedName name="AuxType1">AuxType[Type]</definedName>
    <definedName name="BB" localSheetId="3">BBTable[Name]</definedName>
    <definedName name="BB" localSheetId="0">BBTable[Name]</definedName>
    <definedName name="BB" localSheetId="1">BBTable[Name]</definedName>
    <definedName name="BB">BBTable[Name]</definedName>
    <definedName name="CA" localSheetId="3">CATable[Name]</definedName>
    <definedName name="CA" localSheetId="0">CATable[Name]</definedName>
    <definedName name="CA" localSheetId="1">CATable[Name]</definedName>
    <definedName name="CA">CATable[Name]</definedName>
    <definedName name="CL" localSheetId="3">CLTable[Name]</definedName>
    <definedName name="CL" localSheetId="0">CLTable[Name]</definedName>
    <definedName name="CL" localSheetId="1">CLTable[Name]</definedName>
    <definedName name="CL">CLTable[Name]</definedName>
    <definedName name="DD" localSheetId="3">DDTable[Name]</definedName>
    <definedName name="DD" localSheetId="0">DDTable[Name]</definedName>
    <definedName name="DD" localSheetId="1">DDTable[Name]</definedName>
    <definedName name="DD">DDTable[Name]</definedName>
    <definedName name="Defense" localSheetId="3">DefenseTable[Name]</definedName>
    <definedName name="Defense" localSheetId="0">DefenseTable[Name]</definedName>
    <definedName name="Defense" localSheetId="1">DefenseTable[Name]</definedName>
    <definedName name="Defense">DefenseTable[Name]</definedName>
    <definedName name="Destroyer" localSheetId="3">#REF!</definedName>
    <definedName name="Destroyer" localSheetId="1">#REF!</definedName>
    <definedName name="Destroyer">#REF!</definedName>
    <definedName name="EquipmentType" localSheetId="3">EquipType[Type]</definedName>
    <definedName name="EquipmentType" localSheetId="0">EquipType[Type]</definedName>
    <definedName name="EquipmentType" localSheetId="1">EquipType[Type]</definedName>
    <definedName name="EquipmentType">EquipType[Type]</definedName>
    <definedName name="ExternalData_1" localSheetId="7" hidden="1">'Equipment Stats'!$A$290:$E$297</definedName>
    <definedName name="FIDIB" localSheetId="3">FIDIBTable[Name]</definedName>
    <definedName name="FIDIB" localSheetId="1">FIDIBTable[Name]</definedName>
    <definedName name="FIDIB">FIDIBTable[Name]</definedName>
    <definedName name="Offense">'Equipment Stats'!$A$128:$A$146</definedName>
    <definedName name="SS">SSTable[Name]</definedName>
    <definedName name="TB" localSheetId="3">TBTable[Name]</definedName>
    <definedName name="TB" localSheetId="1">TBTable[Name]</definedName>
    <definedName name="TB">TBTable[Name]</definedName>
    <definedName name="TName" localSheetId="3">TORPTable[[#All],[Name]]</definedName>
    <definedName name="TName" localSheetId="0">TORPTable[[#All],[Name]]</definedName>
    <definedName name="TName" localSheetId="1">TORPTable[[#All],[Name]]</definedName>
    <definedName name="TName">TORPTable[[#All],[Name]]</definedName>
    <definedName name="TORP" localSheetId="3">TORPTable[Name]</definedName>
    <definedName name="TORP" localSheetId="0">TORPTable[Name]</definedName>
    <definedName name="TORP" localSheetId="1">TORPTable[Name]</definedName>
    <definedName name="TORP">TORPTable[Name]</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11" i="22" l="1"/>
  <c r="AB10" i="22"/>
  <c r="Z11" i="22"/>
  <c r="Z10" i="22"/>
  <c r="Z9" i="22"/>
  <c r="R3" i="22"/>
  <c r="T10" i="22"/>
  <c r="T9" i="22"/>
  <c r="T8" i="22"/>
  <c r="G8" i="22"/>
  <c r="F8" i="22"/>
  <c r="D12" i="22"/>
  <c r="P3" i="22" l="1"/>
  <c r="C4" i="22"/>
  <c r="C3" i="22" s="1"/>
  <c r="H12" i="22"/>
  <c r="G14" i="22"/>
  <c r="E5" i="22"/>
  <c r="E17" i="22"/>
  <c r="G12" i="22"/>
  <c r="G9" i="22"/>
  <c r="H14" i="22"/>
  <c r="P9" i="22"/>
  <c r="F14" i="22"/>
  <c r="G16" i="22"/>
  <c r="F12" i="22"/>
  <c r="H8" i="22"/>
  <c r="L4" i="22"/>
  <c r="G5" i="22"/>
  <c r="D15" i="22"/>
  <c r="H5" i="22"/>
  <c r="F19" i="22"/>
  <c r="G7" i="22"/>
  <c r="H18" i="22"/>
  <c r="F16" i="22"/>
  <c r="F11" i="22"/>
  <c r="F5" i="22"/>
  <c r="E8" i="22"/>
  <c r="K4" i="22"/>
  <c r="H16" i="22"/>
  <c r="E9" i="22"/>
  <c r="D9" i="22"/>
  <c r="E16" i="22"/>
  <c r="E19" i="22"/>
  <c r="G10" i="22"/>
  <c r="P10" i="22"/>
  <c r="C13" i="22"/>
  <c r="D11" i="22"/>
  <c r="H15" i="22"/>
  <c r="G15" i="22"/>
  <c r="H19" i="22"/>
  <c r="D6" i="22"/>
  <c r="E14" i="22"/>
  <c r="H17" i="22"/>
  <c r="F7" i="22"/>
  <c r="G19" i="22"/>
  <c r="F10" i="22"/>
  <c r="D18" i="22"/>
  <c r="D8" i="22"/>
  <c r="E6" i="22"/>
  <c r="D14" i="22"/>
  <c r="D10" i="22"/>
  <c r="E12" i="22"/>
  <c r="H10" i="22"/>
  <c r="H7" i="22"/>
  <c r="E11" i="22"/>
  <c r="D5" i="22"/>
  <c r="F18" i="22"/>
  <c r="H6" i="22"/>
  <c r="F15" i="22"/>
  <c r="F6" i="22"/>
  <c r="G17" i="22"/>
  <c r="E15" i="22"/>
  <c r="H9" i="22"/>
  <c r="F9" i="22"/>
  <c r="E10" i="22"/>
  <c r="D16" i="22"/>
  <c r="E7" i="22"/>
  <c r="G6" i="22"/>
  <c r="H11" i="22"/>
  <c r="D7" i="22"/>
  <c r="F17" i="22"/>
  <c r="C5" i="22"/>
  <c r="E18" i="22"/>
  <c r="G18" i="22"/>
  <c r="G11" i="22"/>
  <c r="D17" i="22"/>
  <c r="D19" i="22"/>
  <c r="M4" i="22"/>
  <c r="P4" i="22" l="1"/>
  <c r="G20" i="22"/>
  <c r="P6" i="22" s="1"/>
  <c r="Y10" i="11"/>
  <c r="Y9" i="11"/>
  <c r="AA8" i="11"/>
  <c r="Y8" i="11"/>
  <c r="Q3" i="11"/>
  <c r="M5" i="22"/>
  <c r="L5" i="22"/>
  <c r="C12" i="22"/>
  <c r="L6" i="22"/>
  <c r="C10" i="22"/>
  <c r="C7" i="22"/>
  <c r="K5" i="22"/>
  <c r="C9" i="22"/>
  <c r="C6" i="22"/>
  <c r="C8" i="22"/>
  <c r="K7" i="22"/>
  <c r="C14" i="22"/>
  <c r="L7" i="22"/>
  <c r="C16" i="22"/>
  <c r="M6" i="22"/>
  <c r="C11" i="22"/>
  <c r="M7" i="22"/>
  <c r="K6" i="22"/>
  <c r="C15" i="22"/>
  <c r="L9" i="22" l="1"/>
  <c r="H30" i="22"/>
  <c r="L28" i="22"/>
  <c r="L29" i="22" s="1"/>
  <c r="H28" i="22"/>
  <c r="P7" i="22"/>
  <c r="L10" i="22"/>
  <c r="P15" i="22"/>
  <c r="X11" i="22" s="1"/>
  <c r="C20" i="22"/>
  <c r="V26" i="22" s="1"/>
  <c r="E20" i="22"/>
  <c r="O34" i="22" s="1"/>
  <c r="B275" i="6"/>
  <c r="C275" i="6"/>
  <c r="D275" i="6"/>
  <c r="T11" i="22" l="1"/>
  <c r="O35" i="22"/>
  <c r="X26" i="22"/>
  <c r="S32" i="22"/>
  <c r="S33" i="22" s="1"/>
  <c r="U32" i="22"/>
  <c r="U33" i="22" s="1"/>
  <c r="O32" i="22"/>
  <c r="O33" i="22" s="1"/>
  <c r="Q32" i="22"/>
  <c r="Q33" i="22" s="1"/>
  <c r="V25" i="22"/>
  <c r="V23" i="22"/>
  <c r="V24" i="22"/>
  <c r="U31" i="22"/>
  <c r="U29" i="22"/>
  <c r="U30" i="22"/>
  <c r="S30" i="22"/>
  <c r="S31" i="22"/>
  <c r="Q31" i="22"/>
  <c r="S29" i="22"/>
  <c r="Q29" i="22"/>
  <c r="Q30" i="22"/>
  <c r="O31" i="22"/>
  <c r="O29" i="22"/>
  <c r="O30" i="22"/>
  <c r="H29" i="22"/>
  <c r="H31" i="22"/>
  <c r="X9" i="22"/>
  <c r="X10" i="22"/>
  <c r="K8" i="22"/>
  <c r="R23" i="22" s="1"/>
  <c r="L8" i="22"/>
  <c r="T23" i="22" s="1"/>
  <c r="AA9" i="3"/>
  <c r="AA8" i="3"/>
  <c r="Y10" i="3"/>
  <c r="Y9" i="3"/>
  <c r="Y8" i="3"/>
  <c r="X23" i="22" l="1"/>
  <c r="Z4" i="22"/>
  <c r="Z6" i="22"/>
  <c r="Z5" i="22"/>
  <c r="T25" i="22"/>
  <c r="T24" i="22"/>
  <c r="R25" i="22"/>
  <c r="R24" i="22"/>
  <c r="D274" i="6"/>
  <c r="C274" i="6"/>
  <c r="O4" i="21" s="1"/>
  <c r="B274" i="6"/>
  <c r="O3" i="21" s="1"/>
  <c r="O5" i="21"/>
  <c r="N5" i="21"/>
  <c r="N4" i="21"/>
  <c r="C4" i="21"/>
  <c r="C3" i="21" s="1"/>
  <c r="R3" i="21"/>
  <c r="N3" i="21"/>
  <c r="D11" i="21"/>
  <c r="C13" i="21"/>
  <c r="D9" i="21"/>
  <c r="F11" i="21"/>
  <c r="C10" i="21"/>
  <c r="D14" i="21"/>
  <c r="G6" i="21"/>
  <c r="D7" i="21"/>
  <c r="D12" i="21"/>
  <c r="C14" i="21"/>
  <c r="E8" i="21"/>
  <c r="G17" i="21"/>
  <c r="F17" i="21"/>
  <c r="D8" i="21"/>
  <c r="G13" i="21"/>
  <c r="G12" i="21"/>
  <c r="F14" i="21"/>
  <c r="G8" i="21"/>
  <c r="F13" i="21"/>
  <c r="F10" i="21"/>
  <c r="E12" i="21"/>
  <c r="F15" i="21"/>
  <c r="G14" i="21"/>
  <c r="E14" i="21"/>
  <c r="G16" i="21"/>
  <c r="F15" i="11"/>
  <c r="F7" i="21"/>
  <c r="F16" i="21"/>
  <c r="G9" i="21"/>
  <c r="E13" i="21"/>
  <c r="F12" i="21"/>
  <c r="G11" i="21"/>
  <c r="G15" i="21"/>
  <c r="K4" i="21"/>
  <c r="E7" i="21"/>
  <c r="F8" i="21"/>
  <c r="F10" i="11"/>
  <c r="D13" i="21"/>
  <c r="E11" i="21"/>
  <c r="G7" i="21"/>
  <c r="E9" i="21"/>
  <c r="F9" i="21"/>
  <c r="X25" i="22" l="1"/>
  <c r="T6" i="22" s="1"/>
  <c r="X24" i="22"/>
  <c r="T5" i="22" s="1"/>
  <c r="T4" i="22"/>
  <c r="V4" i="22"/>
  <c r="X4" i="22" s="1"/>
  <c r="V18" i="21"/>
  <c r="O6" i="21"/>
  <c r="K19" i="21"/>
  <c r="C11" i="21"/>
  <c r="H5" i="21"/>
  <c r="F5" i="21"/>
  <c r="C7" i="21"/>
  <c r="K5" i="21"/>
  <c r="G5" i="21"/>
  <c r="F6" i="21"/>
  <c r="C12" i="21"/>
  <c r="C9" i="21"/>
  <c r="G10" i="21"/>
  <c r="K7" i="21"/>
  <c r="K6" i="21"/>
  <c r="C8" i="21"/>
  <c r="V5" i="22" l="1"/>
  <c r="X5" i="22" s="1"/>
  <c r="V6" i="22"/>
  <c r="X6" i="22" s="1"/>
  <c r="N6" i="21"/>
  <c r="D278" i="6"/>
  <c r="D279" i="6"/>
  <c r="D280" i="6"/>
  <c r="D281" i="6"/>
  <c r="D282" i="6"/>
  <c r="D283" i="6"/>
  <c r="D284" i="6"/>
  <c r="D285" i="6"/>
  <c r="D286" i="6"/>
  <c r="D287" i="6"/>
  <c r="D288" i="6"/>
  <c r="C278" i="6"/>
  <c r="C279" i="6"/>
  <c r="C280" i="6"/>
  <c r="C281" i="6"/>
  <c r="C282" i="6"/>
  <c r="C283" i="6"/>
  <c r="C284" i="6"/>
  <c r="C285" i="6"/>
  <c r="C286" i="6"/>
  <c r="C287" i="6"/>
  <c r="C288" i="6"/>
  <c r="B278" i="6"/>
  <c r="B279" i="6"/>
  <c r="B280" i="6"/>
  <c r="B281" i="6"/>
  <c r="B282" i="6"/>
  <c r="B283" i="6"/>
  <c r="B284" i="6"/>
  <c r="B285" i="6"/>
  <c r="B286" i="6"/>
  <c r="B287" i="6"/>
  <c r="B288" i="6"/>
  <c r="D248" i="6"/>
  <c r="D249" i="6"/>
  <c r="D250" i="6"/>
  <c r="D251" i="6"/>
  <c r="N5" i="3" s="1"/>
  <c r="D252" i="6"/>
  <c r="D253" i="6"/>
  <c r="D254" i="6"/>
  <c r="D255" i="6"/>
  <c r="D256" i="6"/>
  <c r="D257" i="6"/>
  <c r="D258" i="6"/>
  <c r="D259" i="6"/>
  <c r="D260" i="6"/>
  <c r="D261" i="6"/>
  <c r="D262" i="6"/>
  <c r="D263" i="6"/>
  <c r="D264" i="6"/>
  <c r="D265" i="6"/>
  <c r="D266" i="6"/>
  <c r="D267" i="6"/>
  <c r="P5" i="21" s="1"/>
  <c r="D268" i="6"/>
  <c r="D269" i="6"/>
  <c r="D270" i="6"/>
  <c r="D271" i="6"/>
  <c r="D272" i="6"/>
  <c r="D273" i="6"/>
  <c r="C248" i="6"/>
  <c r="C249" i="6"/>
  <c r="C250" i="6"/>
  <c r="C251" i="6"/>
  <c r="N4" i="3" s="1"/>
  <c r="C252" i="6"/>
  <c r="C253" i="6"/>
  <c r="C254" i="6"/>
  <c r="C255" i="6"/>
  <c r="C256" i="6"/>
  <c r="C257" i="6"/>
  <c r="C258" i="6"/>
  <c r="C259" i="6"/>
  <c r="C260" i="6"/>
  <c r="C261" i="6"/>
  <c r="C262" i="6"/>
  <c r="C263" i="6"/>
  <c r="C264" i="6"/>
  <c r="C265" i="6"/>
  <c r="C266" i="6"/>
  <c r="C267" i="6"/>
  <c r="P4" i="21" s="1"/>
  <c r="C268" i="6"/>
  <c r="C269" i="6"/>
  <c r="C270" i="6"/>
  <c r="C271" i="6"/>
  <c r="C272" i="6"/>
  <c r="C273" i="6"/>
  <c r="B248" i="6"/>
  <c r="B249" i="6"/>
  <c r="B250" i="6"/>
  <c r="B251" i="6"/>
  <c r="N3" i="3" s="1"/>
  <c r="B252" i="6"/>
  <c r="B253" i="6"/>
  <c r="B254" i="6"/>
  <c r="B255" i="6"/>
  <c r="B256" i="6"/>
  <c r="B257" i="6"/>
  <c r="B258" i="6"/>
  <c r="B259" i="6"/>
  <c r="B260" i="6"/>
  <c r="B261" i="6"/>
  <c r="B262" i="6"/>
  <c r="B263" i="6"/>
  <c r="B264" i="6"/>
  <c r="B265" i="6"/>
  <c r="B266" i="6"/>
  <c r="B267" i="6"/>
  <c r="P3" i="21" s="1"/>
  <c r="B268" i="6"/>
  <c r="B269" i="6"/>
  <c r="B270" i="6"/>
  <c r="B271" i="6"/>
  <c r="B272" i="6"/>
  <c r="B273" i="6"/>
  <c r="C4" i="19"/>
  <c r="C3" i="19" s="1"/>
  <c r="R3" i="19"/>
  <c r="C4" i="3"/>
  <c r="C3" i="3" s="1"/>
  <c r="F13" i="19"/>
  <c r="E18" i="19"/>
  <c r="H10" i="19"/>
  <c r="E7" i="19"/>
  <c r="G7" i="19"/>
  <c r="J20" i="19"/>
  <c r="C13" i="3"/>
  <c r="G12" i="19"/>
  <c r="D11" i="19"/>
  <c r="H9" i="21"/>
  <c r="H6" i="21"/>
  <c r="D8" i="19"/>
  <c r="F12" i="19"/>
  <c r="C12" i="3"/>
  <c r="H14" i="21"/>
  <c r="H11" i="19"/>
  <c r="G11" i="19"/>
  <c r="F8" i="19"/>
  <c r="F14" i="19"/>
  <c r="H13" i="21"/>
  <c r="G14" i="19"/>
  <c r="F19" i="19"/>
  <c r="E20" i="19"/>
  <c r="D12" i="19"/>
  <c r="G20" i="19"/>
  <c r="F18" i="19"/>
  <c r="G19" i="19"/>
  <c r="H17" i="21"/>
  <c r="F11" i="19"/>
  <c r="H11" i="21"/>
  <c r="E8" i="19"/>
  <c r="C19" i="19"/>
  <c r="G8" i="19"/>
  <c r="H8" i="19"/>
  <c r="H16" i="21"/>
  <c r="E12" i="19"/>
  <c r="H7" i="19"/>
  <c r="H12" i="21"/>
  <c r="D10" i="19"/>
  <c r="D7" i="19"/>
  <c r="J19" i="19"/>
  <c r="H15" i="21"/>
  <c r="H10" i="21"/>
  <c r="D13" i="19"/>
  <c r="I19" i="19"/>
  <c r="F20" i="19"/>
  <c r="H12" i="19"/>
  <c r="F7" i="19"/>
  <c r="E13" i="19"/>
  <c r="C20" i="19"/>
  <c r="D20" i="19"/>
  <c r="C18" i="19"/>
  <c r="H14" i="19"/>
  <c r="G18" i="19"/>
  <c r="G10" i="19"/>
  <c r="D18" i="19"/>
  <c r="I20" i="19"/>
  <c r="I18" i="19"/>
  <c r="G13" i="19"/>
  <c r="H7" i="21"/>
  <c r="H8" i="21"/>
  <c r="D19" i="19"/>
  <c r="F10" i="19"/>
  <c r="J18" i="19"/>
  <c r="E10" i="19"/>
  <c r="H13" i="19"/>
  <c r="E19" i="19"/>
  <c r="E11" i="19"/>
  <c r="O3" i="3" l="1"/>
  <c r="O4" i="3"/>
  <c r="O5" i="3"/>
  <c r="P6" i="21"/>
  <c r="L12" i="21"/>
  <c r="T9" i="21" s="1"/>
  <c r="C18" i="21"/>
  <c r="H29" i="21"/>
  <c r="H30" i="21" s="1"/>
  <c r="L16" i="21"/>
  <c r="E18" i="21"/>
  <c r="L27" i="21"/>
  <c r="L28" i="21" s="1"/>
  <c r="H27" i="21"/>
  <c r="L13" i="21"/>
  <c r="W9" i="21" s="1"/>
  <c r="P3" i="3"/>
  <c r="P4" i="3"/>
  <c r="P5" i="3"/>
  <c r="L12" i="19"/>
  <c r="E31" i="19"/>
  <c r="E32" i="19" s="1"/>
  <c r="C4" i="11"/>
  <c r="C3" i="11" s="1"/>
  <c r="H5" i="19"/>
  <c r="H6" i="19"/>
  <c r="F9" i="19"/>
  <c r="C12" i="11"/>
  <c r="F5" i="19"/>
  <c r="G5" i="19"/>
  <c r="H9" i="19"/>
  <c r="F6" i="19"/>
  <c r="C10" i="19"/>
  <c r="C8" i="19"/>
  <c r="C7" i="19"/>
  <c r="C11" i="19"/>
  <c r="G9" i="19"/>
  <c r="G6" i="19"/>
  <c r="H28" i="21" l="1"/>
  <c r="T8" i="21" s="1"/>
  <c r="U24" i="21"/>
  <c r="U30" i="21" s="1"/>
  <c r="S24" i="21"/>
  <c r="S30" i="21" s="1"/>
  <c r="X6" i="21" s="1"/>
  <c r="U23" i="21"/>
  <c r="U29" i="21" s="1"/>
  <c r="S23" i="21"/>
  <c r="S29" i="21" s="1"/>
  <c r="X5" i="21" s="1"/>
  <c r="S22" i="21"/>
  <c r="S28" i="21" s="1"/>
  <c r="X4" i="21" s="1"/>
  <c r="U22" i="21"/>
  <c r="U28" i="21" s="1"/>
  <c r="Q24" i="21"/>
  <c r="Q30" i="21" s="1"/>
  <c r="G18" i="21"/>
  <c r="W8" i="21" s="1"/>
  <c r="W35" i="21"/>
  <c r="W36" i="21"/>
  <c r="U36" i="21"/>
  <c r="W34" i="21"/>
  <c r="U34" i="21"/>
  <c r="U35" i="21"/>
  <c r="S36" i="21"/>
  <c r="S34" i="21"/>
  <c r="S35" i="21"/>
  <c r="Q35" i="21"/>
  <c r="Q36" i="21"/>
  <c r="Q34" i="21"/>
  <c r="Q25" i="21"/>
  <c r="Q31" i="21" s="1"/>
  <c r="Q22" i="21"/>
  <c r="Q28" i="21" s="1"/>
  <c r="Q23" i="21"/>
  <c r="Q29" i="21" s="1"/>
  <c r="Q40" i="21"/>
  <c r="Q44" i="21" s="1"/>
  <c r="W40" i="21"/>
  <c r="W44" i="21" s="1"/>
  <c r="S40" i="21"/>
  <c r="S44" i="21" s="1"/>
  <c r="U40" i="21"/>
  <c r="U44" i="21" s="1"/>
  <c r="Q39" i="21"/>
  <c r="Q43" i="21" s="1"/>
  <c r="S39" i="21"/>
  <c r="S43" i="21" s="1"/>
  <c r="U39" i="21"/>
  <c r="U43" i="21" s="1"/>
  <c r="W39" i="21"/>
  <c r="W43" i="21" s="1"/>
  <c r="L8" i="19"/>
  <c r="T9" i="19" s="1"/>
  <c r="D28" i="19"/>
  <c r="L3" i="19"/>
  <c r="I31" i="19"/>
  <c r="I32" i="19" s="1"/>
  <c r="O3" i="11"/>
  <c r="G7" i="3"/>
  <c r="G14" i="3"/>
  <c r="F9" i="11"/>
  <c r="D8" i="3"/>
  <c r="E8" i="3"/>
  <c r="F14" i="3"/>
  <c r="F11" i="11"/>
  <c r="F13" i="11"/>
  <c r="H12" i="3"/>
  <c r="F12" i="3"/>
  <c r="F12" i="11"/>
  <c r="G13" i="3"/>
  <c r="D10" i="3"/>
  <c r="D12" i="3"/>
  <c r="E13" i="3"/>
  <c r="D7" i="11"/>
  <c r="F13" i="3"/>
  <c r="H10" i="3"/>
  <c r="F10" i="3"/>
  <c r="E11" i="3"/>
  <c r="D7" i="3"/>
  <c r="D8" i="11"/>
  <c r="E7" i="3"/>
  <c r="G8" i="11"/>
  <c r="H8" i="3"/>
  <c r="H14" i="3"/>
  <c r="H7" i="3"/>
  <c r="F16" i="11"/>
  <c r="E8" i="11"/>
  <c r="G10" i="3"/>
  <c r="D11" i="3"/>
  <c r="F11" i="3"/>
  <c r="F6" i="11"/>
  <c r="F8" i="11"/>
  <c r="D14" i="11"/>
  <c r="G8" i="3"/>
  <c r="H13" i="3"/>
  <c r="E12" i="11"/>
  <c r="G12" i="3"/>
  <c r="F8" i="3"/>
  <c r="F7" i="3"/>
  <c r="H11" i="3"/>
  <c r="F17" i="11"/>
  <c r="H8" i="11"/>
  <c r="E12" i="3"/>
  <c r="G11" i="3"/>
  <c r="F7" i="11"/>
  <c r="F14" i="11"/>
  <c r="D13" i="3"/>
  <c r="F5" i="11"/>
  <c r="E10" i="3"/>
  <c r="V4" i="21" l="1"/>
  <c r="V5" i="21"/>
  <c r="V6" i="21"/>
  <c r="H26" i="3"/>
  <c r="H27" i="3" s="1"/>
  <c r="L13" i="3"/>
  <c r="T5" i="21"/>
  <c r="T4" i="21"/>
  <c r="T6" i="21"/>
  <c r="Z6" i="21"/>
  <c r="Z5" i="21"/>
  <c r="Z4" i="21"/>
  <c r="G66" i="19"/>
  <c r="C64" i="19"/>
  <c r="N18" i="19" s="1"/>
  <c r="E60" i="19"/>
  <c r="R33" i="19"/>
  <c r="R37" i="19" s="1"/>
  <c r="T30" i="19"/>
  <c r="C61" i="19"/>
  <c r="E66" i="19"/>
  <c r="P20" i="19" s="1"/>
  <c r="P25" i="19" s="1"/>
  <c r="G62" i="19"/>
  <c r="R20" i="19" s="1"/>
  <c r="R25" i="19" s="1"/>
  <c r="C60" i="19"/>
  <c r="Q33" i="19"/>
  <c r="Q37" i="19" s="1"/>
  <c r="R30" i="19"/>
  <c r="T28" i="19"/>
  <c r="C66" i="19"/>
  <c r="N20" i="19" s="1"/>
  <c r="N25" i="19" s="1"/>
  <c r="E62" i="19"/>
  <c r="P33" i="19"/>
  <c r="P37" i="19" s="1"/>
  <c r="P30" i="19"/>
  <c r="R28" i="19"/>
  <c r="G65" i="19"/>
  <c r="C62" i="19"/>
  <c r="O33" i="19"/>
  <c r="O37" i="19" s="1"/>
  <c r="N30" i="19"/>
  <c r="P28" i="19"/>
  <c r="E65" i="19"/>
  <c r="P19" i="19" s="1"/>
  <c r="P24" i="19" s="1"/>
  <c r="G61" i="19"/>
  <c r="R19" i="19" s="1"/>
  <c r="R24" i="19" s="1"/>
  <c r="T29" i="19"/>
  <c r="N28" i="19"/>
  <c r="G64" i="19"/>
  <c r="P29" i="19"/>
  <c r="C65" i="19"/>
  <c r="N19" i="19" s="1"/>
  <c r="N24" i="19" s="1"/>
  <c r="E61" i="19"/>
  <c r="R29" i="19"/>
  <c r="E64" i="19"/>
  <c r="P18" i="19" s="1"/>
  <c r="G60" i="19"/>
  <c r="R18" i="19" s="1"/>
  <c r="R23" i="19" s="1"/>
  <c r="O34" i="19"/>
  <c r="O38" i="19" s="1"/>
  <c r="N29" i="19"/>
  <c r="D29" i="19"/>
  <c r="T8" i="19" s="1"/>
  <c r="F6" i="3"/>
  <c r="F5" i="3"/>
  <c r="C8" i="3"/>
  <c r="C10" i="3"/>
  <c r="C13" i="11"/>
  <c r="C7" i="3"/>
  <c r="C11" i="3"/>
  <c r="N6" i="3" l="1"/>
  <c r="K3" i="3"/>
  <c r="P35" i="3" s="1"/>
  <c r="N23" i="19"/>
  <c r="P23" i="19"/>
  <c r="T6" i="19"/>
  <c r="T5" i="19"/>
  <c r="V6" i="19"/>
  <c r="V5" i="19"/>
  <c r="L24" i="3"/>
  <c r="L25" i="3" s="1"/>
  <c r="O9" i="11"/>
  <c r="H5" i="11"/>
  <c r="H9" i="3"/>
  <c r="D9" i="11"/>
  <c r="H15" i="11"/>
  <c r="G9" i="3"/>
  <c r="E13" i="11"/>
  <c r="H5" i="3"/>
  <c r="G14" i="11"/>
  <c r="E7" i="11"/>
  <c r="G7" i="11"/>
  <c r="H14" i="11"/>
  <c r="H9" i="11"/>
  <c r="G13" i="11"/>
  <c r="E14" i="11"/>
  <c r="C10" i="11"/>
  <c r="C8" i="11"/>
  <c r="K4" i="11"/>
  <c r="K7" i="11" s="1"/>
  <c r="G15" i="11"/>
  <c r="H6" i="3"/>
  <c r="E10" i="11"/>
  <c r="L4" i="11"/>
  <c r="C14" i="11"/>
  <c r="L9" i="11"/>
  <c r="E17" i="11"/>
  <c r="H17" i="11"/>
  <c r="G10" i="11"/>
  <c r="G5" i="11"/>
  <c r="E16" i="11"/>
  <c r="H11" i="11"/>
  <c r="E6" i="11"/>
  <c r="D11" i="11"/>
  <c r="D10" i="11"/>
  <c r="E15" i="11"/>
  <c r="G16" i="11"/>
  <c r="D16" i="11"/>
  <c r="H12" i="11"/>
  <c r="G6" i="3"/>
  <c r="H7" i="11"/>
  <c r="G12" i="11"/>
  <c r="D5" i="11"/>
  <c r="G5" i="3"/>
  <c r="F9" i="3"/>
  <c r="E9" i="11"/>
  <c r="H13" i="11"/>
  <c r="G11" i="11"/>
  <c r="H10" i="11"/>
  <c r="G17" i="11"/>
  <c r="H6" i="11"/>
  <c r="D15" i="11"/>
  <c r="E5" i="11"/>
  <c r="D17" i="11"/>
  <c r="D6" i="11"/>
  <c r="G9" i="11"/>
  <c r="D12" i="11"/>
  <c r="H16" i="11"/>
  <c r="E11" i="11"/>
  <c r="C11" i="11"/>
  <c r="O10" i="11"/>
  <c r="L8" i="11"/>
  <c r="D13" i="11"/>
  <c r="K5" i="11"/>
  <c r="G6" i="11"/>
  <c r="L19" i="11" l="1"/>
  <c r="L18" i="11"/>
  <c r="V31" i="3"/>
  <c r="P34" i="3"/>
  <c r="V29" i="3"/>
  <c r="V30" i="3"/>
  <c r="T30" i="3"/>
  <c r="T31" i="3"/>
  <c r="R31" i="3"/>
  <c r="T29" i="3"/>
  <c r="R29" i="3"/>
  <c r="R30" i="3"/>
  <c r="P19" i="3"/>
  <c r="V34" i="3"/>
  <c r="O7" i="11"/>
  <c r="P6" i="3"/>
  <c r="O6" i="3"/>
  <c r="L10" i="3"/>
  <c r="P29" i="3" s="1"/>
  <c r="T34" i="3"/>
  <c r="T35" i="3"/>
  <c r="T39" i="3" s="1"/>
  <c r="R34" i="3"/>
  <c r="R35" i="3"/>
  <c r="R39" i="3" s="1"/>
  <c r="P21" i="3"/>
  <c r="P20" i="3"/>
  <c r="T21" i="3"/>
  <c r="T20" i="3"/>
  <c r="T19" i="3"/>
  <c r="R21" i="3"/>
  <c r="R20" i="3"/>
  <c r="R19" i="3"/>
  <c r="V35" i="3"/>
  <c r="V39" i="3" s="1"/>
  <c r="O4" i="11"/>
  <c r="V4" i="19"/>
  <c r="T4" i="19"/>
  <c r="G18" i="11"/>
  <c r="V18" i="11" s="1"/>
  <c r="L17" i="11"/>
  <c r="H29" i="11"/>
  <c r="H30" i="11" s="1"/>
  <c r="L7" i="11"/>
  <c r="K6" i="11"/>
  <c r="L6" i="11"/>
  <c r="L5" i="11"/>
  <c r="P38" i="3" l="1"/>
  <c r="P31" i="3"/>
  <c r="P30" i="3"/>
  <c r="W9" i="11"/>
  <c r="P39" i="3"/>
  <c r="K4" i="3"/>
  <c r="S9" i="3" s="1"/>
  <c r="W9" i="3"/>
  <c r="H24" i="3"/>
  <c r="H25" i="3" s="1"/>
  <c r="S10" i="3"/>
  <c r="W10" i="3"/>
  <c r="R3" i="3"/>
  <c r="P25" i="3" l="1"/>
  <c r="P26" i="3"/>
  <c r="P24" i="3"/>
  <c r="T25" i="3"/>
  <c r="T26" i="3"/>
  <c r="T24" i="3"/>
  <c r="R26" i="3"/>
  <c r="R25" i="3"/>
  <c r="R24" i="3"/>
  <c r="S8" i="3"/>
  <c r="T38" i="3"/>
  <c r="V38" i="3"/>
  <c r="R38" i="3"/>
  <c r="T4" i="3" l="1"/>
  <c r="V6" i="3"/>
  <c r="V5" i="3"/>
  <c r="V4" i="3"/>
  <c r="T6" i="3"/>
  <c r="T5" i="3"/>
  <c r="C9" i="11"/>
  <c r="C5" i="11"/>
  <c r="C7" i="11"/>
  <c r="L27" i="11" l="1"/>
  <c r="L28" i="11" s="1"/>
  <c r="W10" i="11" s="1"/>
  <c r="W14" i="11"/>
  <c r="E18" i="11"/>
  <c r="H27" i="11"/>
  <c r="C6" i="11"/>
  <c r="S24" i="11" l="1"/>
  <c r="S30" i="11" s="1"/>
  <c r="S23" i="11"/>
  <c r="S29" i="11" s="1"/>
  <c r="S22" i="11"/>
  <c r="S28" i="11" s="1"/>
  <c r="S10" i="11"/>
  <c r="S9" i="11"/>
  <c r="P15" i="11"/>
  <c r="C18" i="11"/>
  <c r="X36" i="11" l="1"/>
  <c r="P34" i="11"/>
  <c r="P36" i="11"/>
  <c r="P35" i="11"/>
  <c r="Q25" i="11"/>
  <c r="Q22" i="11"/>
  <c r="Q28" i="11" s="1"/>
  <c r="N37" i="11"/>
  <c r="N38" i="11" s="1"/>
  <c r="Q23" i="11"/>
  <c r="Q29" i="11" s="1"/>
  <c r="Q24" i="11"/>
  <c r="Q30" i="11" s="1"/>
  <c r="X34" i="11"/>
  <c r="T34" i="11"/>
  <c r="Z34" i="11"/>
  <c r="Z36" i="11"/>
  <c r="Z35" i="11"/>
  <c r="X35" i="11"/>
  <c r="R37" i="11"/>
  <c r="R38" i="11" s="1"/>
  <c r="T36" i="11"/>
  <c r="R36" i="11"/>
  <c r="Y34" i="11"/>
  <c r="R35" i="11"/>
  <c r="N35" i="11"/>
  <c r="W34" i="11"/>
  <c r="Y35" i="11"/>
  <c r="T35" i="11"/>
  <c r="W36" i="11"/>
  <c r="R34" i="11"/>
  <c r="T37" i="11"/>
  <c r="T38" i="11" s="1"/>
  <c r="W35" i="11"/>
  <c r="N36" i="11"/>
  <c r="Y36" i="11"/>
  <c r="N34" i="11"/>
  <c r="P37" i="11"/>
  <c r="P38" i="11" s="1"/>
  <c r="H28" i="11"/>
  <c r="S8" i="11" s="1"/>
  <c r="Y6" i="11" l="1"/>
  <c r="Y5" i="11"/>
  <c r="Y4" i="11"/>
  <c r="V24" i="11"/>
  <c r="W6" i="11" s="1"/>
  <c r="V23" i="11"/>
  <c r="W5" i="11" s="1"/>
  <c r="V22" i="11"/>
  <c r="W4" i="11" s="1"/>
  <c r="U6" i="11"/>
  <c r="Q31" i="11"/>
  <c r="S6" i="11" l="1"/>
  <c r="S5" i="11"/>
  <c r="S4" i="11"/>
  <c r="U4" i="11"/>
  <c r="U5"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3D4C2A-ABAC-40AC-8217-4CD0DF90D136}" keepAlive="1" name="Query - [Collapse]" description="Connection to the '[Collapse]' query in the workbook." type="5" refreshedVersion="6" background="1" saveData="1">
    <dbPr connection="Provider=Microsoft.Mashup.OleDb.1;Data Source=$Workbook$;Location=[Collapse];Extended Properties=&quot;&quot;" command="SELECT * FROM [[Collapse]]]"/>
  </connection>
</connections>
</file>

<file path=xl/sharedStrings.xml><?xml version="1.0" encoding="utf-8"?>
<sst xmlns="http://schemas.openxmlformats.org/spreadsheetml/2006/main" count="5510" uniqueCount="1151">
  <si>
    <t>Harutsuki</t>
  </si>
  <si>
    <t>Self</t>
  </si>
  <si>
    <t>Aux 1</t>
  </si>
  <si>
    <t>Aux 2</t>
  </si>
  <si>
    <t>Secondary</t>
  </si>
  <si>
    <t>ENEMY LUCK</t>
  </si>
  <si>
    <t>HIT</t>
  </si>
  <si>
    <t>HP</t>
  </si>
  <si>
    <t>Light</t>
  </si>
  <si>
    <t>FP</t>
  </si>
  <si>
    <t>Medium</t>
  </si>
  <si>
    <t>TP</t>
  </si>
  <si>
    <t>Heavy</t>
  </si>
  <si>
    <t>Crit Modifier</t>
  </si>
  <si>
    <t>RELOAD</t>
  </si>
  <si>
    <t>Burn</t>
  </si>
  <si>
    <t>Barrage Rounds</t>
  </si>
  <si>
    <t>LUCK</t>
  </si>
  <si>
    <t>Abs CD</t>
  </si>
  <si>
    <t>MGM</t>
  </si>
  <si>
    <t>VT</t>
  </si>
  <si>
    <t>DAMAGE</t>
  </si>
  <si>
    <t>ROUNDS</t>
  </si>
  <si>
    <t>Total FP</t>
  </si>
  <si>
    <t>Total TP</t>
  </si>
  <si>
    <t>Total DPS</t>
  </si>
  <si>
    <t>Total eDPS</t>
  </si>
  <si>
    <t>Trigger %</t>
  </si>
  <si>
    <t>*</t>
  </si>
  <si>
    <t>**</t>
  </si>
  <si>
    <t>eHP</t>
  </si>
  <si>
    <t>Own HP</t>
  </si>
  <si>
    <t>Evasion Skill</t>
  </si>
  <si>
    <t>Own eHP</t>
  </si>
  <si>
    <t>Evasion Modifier</t>
  </si>
  <si>
    <t>Barrage DPS</t>
  </si>
  <si>
    <t>Own Accuracy</t>
  </si>
  <si>
    <t>Enemy Accuracy</t>
  </si>
  <si>
    <t>NOTE:</t>
  </si>
  <si>
    <t xml:space="preserve">Base Damage of barrages are affected by their barrage coeff. </t>
  </si>
  <si>
    <t>Important IF it is HE and it causes burn damage. Otherwise SET</t>
  </si>
  <si>
    <t>Base Damage to 0.</t>
  </si>
  <si>
    <t>NOTE 2:</t>
  </si>
  <si>
    <t>YOU WILL NEED TO MODIFY VALUES YOURSELF IF</t>
  </si>
  <si>
    <t>Burn DPS</t>
  </si>
  <si>
    <t>A SHIP'S SKILL CHANGES ANY STATS.</t>
  </si>
  <si>
    <t>NOTE 3:</t>
  </si>
  <si>
    <t>DO NOT CHANGE ANYTHING IF YOU DON'T</t>
  </si>
  <si>
    <t>KNOW WHAT YOU ARE DOING</t>
  </si>
  <si>
    <t>Burn DAM</t>
  </si>
  <si>
    <t>E Corrected Accuracy</t>
  </si>
  <si>
    <t>O Corrected Accuracy</t>
  </si>
  <si>
    <t>Damage</t>
  </si>
  <si>
    <t>EFF</t>
  </si>
  <si>
    <t>Primary</t>
  </si>
  <si>
    <t>Burn %</t>
  </si>
  <si>
    <t>Crit Skill</t>
  </si>
  <si>
    <t>ENEMY HIT</t>
  </si>
  <si>
    <t>ENEMY EVA</t>
  </si>
  <si>
    <t>Trigger (s)</t>
  </si>
  <si>
    <t>Crit Base Damage</t>
  </si>
  <si>
    <t>Total Secondary Damage</t>
  </si>
  <si>
    <t>Total Primary Damage</t>
  </si>
  <si>
    <t>Primary DPS</t>
  </si>
  <si>
    <t>Secondary DPS</t>
  </si>
  <si>
    <t>Reload Skill %</t>
  </si>
  <si>
    <t>Frontline ONLY. Leave 0 or modify the first barrage DPS (L26) if skill-based</t>
  </si>
  <si>
    <t>SKILL Barrages ONLY. Leave or modify their respective barrages!</t>
  </si>
  <si>
    <t>Modifier</t>
  </si>
  <si>
    <t>Slot 1</t>
  </si>
  <si>
    <t>Slot 2</t>
  </si>
  <si>
    <t>Slot 3</t>
  </si>
  <si>
    <t>Total Airpower</t>
  </si>
  <si>
    <t>Bomb Weight</t>
  </si>
  <si>
    <t>100lb</t>
  </si>
  <si>
    <t>500lb</t>
  </si>
  <si>
    <t>1000lb</t>
  </si>
  <si>
    <t>1600lb</t>
  </si>
  <si>
    <t>2000lb</t>
  </si>
  <si>
    <t>Torpedo</t>
  </si>
  <si>
    <t>Tier</t>
  </si>
  <si>
    <t>F2A Buffalo</t>
  </si>
  <si>
    <t>T3</t>
  </si>
  <si>
    <t>F4F Wildcat</t>
  </si>
  <si>
    <t>F4U Corsair</t>
  </si>
  <si>
    <t>T0</t>
  </si>
  <si>
    <t>F6F Hellcat</t>
  </si>
  <si>
    <t>XF5F Skyrocket</t>
  </si>
  <si>
    <t>Sea Gladiator</t>
  </si>
  <si>
    <t>Sea Fury</t>
  </si>
  <si>
    <t>A5M Claude</t>
  </si>
  <si>
    <t>A6M2 Zero</t>
  </si>
  <si>
    <t>A6M5 Zero</t>
  </si>
  <si>
    <t>A7M Reppuu</t>
  </si>
  <si>
    <t>SBD Dauntless</t>
  </si>
  <si>
    <t>BTD-1 Destroyer</t>
  </si>
  <si>
    <t>SB2C Helldiver</t>
  </si>
  <si>
    <t>Blackburn Skua</t>
  </si>
  <si>
    <t>Fairey Fulmar</t>
  </si>
  <si>
    <t>Fairey Firefly</t>
  </si>
  <si>
    <t>Aichi D3A Type 99</t>
  </si>
  <si>
    <t>D4Y Suisei</t>
  </si>
  <si>
    <t>Junkers Ju-87C</t>
  </si>
  <si>
    <t># of Planes</t>
  </si>
  <si>
    <t>Bomb Eff</t>
  </si>
  <si>
    <t>Torpedo Coeff</t>
  </si>
  <si>
    <t>B</t>
  </si>
  <si>
    <t>T</t>
  </si>
  <si>
    <t>B1L</t>
  </si>
  <si>
    <t>B1M</t>
  </si>
  <si>
    <t>B1H</t>
  </si>
  <si>
    <t>B3H</t>
  </si>
  <si>
    <t>B2M</t>
  </si>
  <si>
    <t>B2H</t>
  </si>
  <si>
    <t>B2L</t>
  </si>
  <si>
    <t>B3L</t>
  </si>
  <si>
    <t>B3M</t>
  </si>
  <si>
    <t>Damage Modifier</t>
  </si>
  <si>
    <t>T1L</t>
  </si>
  <si>
    <t>T1M</t>
  </si>
  <si>
    <t>T1H</t>
  </si>
  <si>
    <t>T2L</t>
  </si>
  <si>
    <t>T2M</t>
  </si>
  <si>
    <t>T2H</t>
  </si>
  <si>
    <t>T3L</t>
  </si>
  <si>
    <t>T3M</t>
  </si>
  <si>
    <t>T3H</t>
  </si>
  <si>
    <t>Important Stuff. Don't Change unless you know what you are doing</t>
  </si>
  <si>
    <t>Slot 1 DPS</t>
  </si>
  <si>
    <t>Slot 2 DPS</t>
  </si>
  <si>
    <t>Slot 3 DPS</t>
  </si>
  <si>
    <t>Unicorn</t>
  </si>
  <si>
    <t>Rnd</t>
  </si>
  <si>
    <t>TBD Devastator</t>
  </si>
  <si>
    <t>TBF Avenger</t>
  </si>
  <si>
    <t>Fairey Swordfish</t>
  </si>
  <si>
    <t>Fairey Swordfish (818 Squadron)</t>
  </si>
  <si>
    <t>Fairey Barracuda</t>
  </si>
  <si>
    <t>Blackburn Firebrand</t>
  </si>
  <si>
    <t>Nakajima B5N</t>
  </si>
  <si>
    <t>Nakajima B6N Tenzan</t>
  </si>
  <si>
    <t>Aichi B7A Ryuusei</t>
  </si>
  <si>
    <t>Airpower Modifier</t>
  </si>
  <si>
    <t>Flood Coef</t>
  </si>
  <si>
    <t>Burn Damage</t>
  </si>
  <si>
    <t>Flood</t>
  </si>
  <si>
    <t>Flood Damage</t>
  </si>
  <si>
    <t>Flood DPS</t>
  </si>
  <si>
    <t>CD (s)</t>
  </si>
  <si>
    <t>Name</t>
  </si>
  <si>
    <t>Type</t>
  </si>
  <si>
    <t>Coef</t>
  </si>
  <si>
    <t>Rng</t>
  </si>
  <si>
    <t>Spr</t>
  </si>
  <si>
    <t>Angle</t>
  </si>
  <si>
    <t>Attr</t>
  </si>
  <si>
    <t>Ammo</t>
  </si>
  <si>
    <t>DD</t>
  </si>
  <si>
    <t>14°</t>
  </si>
  <si>
    <t>360°</t>
  </si>
  <si>
    <t>Lock-On</t>
  </si>
  <si>
    <t>Normal</t>
  </si>
  <si>
    <t>7°</t>
  </si>
  <si>
    <t>5°</t>
  </si>
  <si>
    <t>0°</t>
  </si>
  <si>
    <t>Normal+</t>
  </si>
  <si>
    <t>10°</t>
  </si>
  <si>
    <t>AP</t>
  </si>
  <si>
    <t>15°</t>
  </si>
  <si>
    <t>HE</t>
  </si>
  <si>
    <t>20°</t>
  </si>
  <si>
    <t>12°</t>
  </si>
  <si>
    <t>HE+</t>
  </si>
  <si>
    <t>AP+</t>
  </si>
  <si>
    <t>CL</t>
  </si>
  <si>
    <t>28°</t>
  </si>
  <si>
    <t>120°</t>
  </si>
  <si>
    <t>25°</t>
  </si>
  <si>
    <t>40°</t>
  </si>
  <si>
    <t>Scattershot</t>
  </si>
  <si>
    <t>42°</t>
  </si>
  <si>
    <t>24°</t>
  </si>
  <si>
    <t>18°</t>
  </si>
  <si>
    <t>115°</t>
  </si>
  <si>
    <t>CA</t>
  </si>
  <si>
    <t>45°</t>
  </si>
  <si>
    <t>22°</t>
  </si>
  <si>
    <t>38°</t>
  </si>
  <si>
    <t>SS</t>
  </si>
  <si>
    <t>BB</t>
  </si>
  <si>
    <t>Sanshikidan shell</t>
  </si>
  <si>
    <t>Sanshikidan Fragments</t>
  </si>
  <si>
    <t>Nation</t>
  </si>
  <si>
    <t>Spread</t>
  </si>
  <si>
    <t>30°</t>
  </si>
  <si>
    <t>60°</t>
  </si>
  <si>
    <t>Magnetic</t>
  </si>
  <si>
    <t>50°</t>
  </si>
  <si>
    <t>Equip Type</t>
  </si>
  <si>
    <t>Equip Name</t>
  </si>
  <si>
    <t>TORP</t>
  </si>
  <si>
    <t>1x138.6mm Gold</t>
  </si>
  <si>
    <t>1x138.6mm Purple</t>
  </si>
  <si>
    <t>2x100mm</t>
  </si>
  <si>
    <t>2x128mm</t>
  </si>
  <si>
    <t>2x134mm</t>
  </si>
  <si>
    <t>2x120mm</t>
  </si>
  <si>
    <t>3x102mm</t>
  </si>
  <si>
    <t>2x127mm (IJN)</t>
  </si>
  <si>
    <t>1x127mm (Mk 30)</t>
  </si>
  <si>
    <t>1x127mm (SKC)</t>
  </si>
  <si>
    <t>1x102mm</t>
  </si>
  <si>
    <t>1x76mm</t>
  </si>
  <si>
    <t>1x120mm</t>
  </si>
  <si>
    <t>1x130mm</t>
  </si>
  <si>
    <t>3x152 Prototype</t>
  </si>
  <si>
    <t>2x150mm (TBTSCK)</t>
  </si>
  <si>
    <t>1x140mm</t>
  </si>
  <si>
    <t>2x140mm</t>
  </si>
  <si>
    <t>1x150mm</t>
  </si>
  <si>
    <t>3x150mm (SK C/25)</t>
  </si>
  <si>
    <t>1x152mm (NU)</t>
  </si>
  <si>
    <t>1x152mm (HMS)</t>
  </si>
  <si>
    <t>3x152mm (USS)</t>
  </si>
  <si>
    <t>2x152mm (IJN)</t>
  </si>
  <si>
    <t>2x152mm (USS)</t>
  </si>
  <si>
    <t>2x152mm (HMS)</t>
  </si>
  <si>
    <t>3x155mm (IJN)</t>
  </si>
  <si>
    <t>3x152mm (HMS)</t>
  </si>
  <si>
    <t>3x203mm Mle</t>
  </si>
  <si>
    <t>2x203mm No.3</t>
  </si>
  <si>
    <t>3x283mm (SKC)</t>
  </si>
  <si>
    <t>3x203mm AP Proto</t>
  </si>
  <si>
    <t>2x203mm (SKC)</t>
  </si>
  <si>
    <t>2x203mm (HMS)</t>
  </si>
  <si>
    <t>3x203mm (Mk 15)</t>
  </si>
  <si>
    <t>2x203mm (IJN)</t>
  </si>
  <si>
    <t>3x203mm (USS)</t>
  </si>
  <si>
    <t>2x203mm Mle1924</t>
  </si>
  <si>
    <t>2x356mm (IJN)</t>
  </si>
  <si>
    <t>Bracketing</t>
  </si>
  <si>
    <t>Sanshikidan</t>
  </si>
  <si>
    <t>3x356mm (IJN)</t>
  </si>
  <si>
    <t>2x381mm (Mk 2)</t>
  </si>
  <si>
    <t>2x381mm (Mk 1)</t>
  </si>
  <si>
    <t>4x356mm (HMS)</t>
  </si>
  <si>
    <t>3x406mm (Mark 6)</t>
  </si>
  <si>
    <t>2x380mm (SKC)</t>
  </si>
  <si>
    <t>2x305mm</t>
  </si>
  <si>
    <t>4x380mm (Mle 1935)</t>
  </si>
  <si>
    <t>3x381mm Prototype</t>
  </si>
  <si>
    <t>3x410mm Prototype</t>
  </si>
  <si>
    <t>3x406mm (HMS)</t>
  </si>
  <si>
    <t>2x406mm (Mark 5)</t>
  </si>
  <si>
    <t>2x610mm</t>
  </si>
  <si>
    <t>3x610mm</t>
  </si>
  <si>
    <t>4x610mm</t>
  </si>
  <si>
    <t>3x533mm</t>
  </si>
  <si>
    <t>4x533mm</t>
  </si>
  <si>
    <t>4x533mm Homing</t>
  </si>
  <si>
    <t>3x533mm Homing</t>
  </si>
  <si>
    <t>5x533mm</t>
  </si>
  <si>
    <t>5x533mm Homing</t>
  </si>
  <si>
    <t>5x533mm Rainbow</t>
  </si>
  <si>
    <t>3x550mm</t>
  </si>
  <si>
    <t>AA</t>
  </si>
  <si>
    <t>ROF</t>
  </si>
  <si>
    <t>CD</t>
  </si>
  <si>
    <t xml:space="preserve">Primary </t>
  </si>
  <si>
    <t>Autofill Stats:</t>
  </si>
  <si>
    <t>Adjustable:</t>
  </si>
  <si>
    <t>Notes</t>
  </si>
  <si>
    <t>100/150 Jet Fuel</t>
  </si>
  <si>
    <t>Aichi AB-3</t>
  </si>
  <si>
    <t>Air Radar</t>
  </si>
  <si>
    <t>Anti-Torpedo Bulge</t>
  </si>
  <si>
    <t>Autoloader</t>
  </si>
  <si>
    <t>Drop Tank</t>
  </si>
  <si>
    <t>Fire Extinguisher</t>
  </si>
  <si>
    <t>Fuel Filter</t>
  </si>
  <si>
    <t>Gyroscope</t>
  </si>
  <si>
    <t>Healing Cat's Paw</t>
  </si>
  <si>
    <t>Reduces cooldown of first shelling by 15%.</t>
  </si>
  <si>
    <t>Homing Beacon</t>
  </si>
  <si>
    <t>Improved Boiler</t>
  </si>
  <si>
    <t>Naval Camouflage</t>
  </si>
  <si>
    <t>Pearl Tears</t>
  </si>
  <si>
    <t>Rammer</t>
  </si>
  <si>
    <t>Repair Toolkit</t>
  </si>
  <si>
    <t>SG Radar</t>
  </si>
  <si>
    <t>Steam Catapult</t>
  </si>
  <si>
    <t>Super Heavy Shell</t>
  </si>
  <si>
    <t>Z Flag</t>
  </si>
  <si>
    <t>AirP</t>
  </si>
  <si>
    <t>EVA</t>
  </si>
  <si>
    <t>SPD</t>
  </si>
  <si>
    <t>Crit%</t>
  </si>
  <si>
    <t>CritDamage</t>
  </si>
  <si>
    <t>CDReduction</t>
  </si>
  <si>
    <t>HitModifier</t>
  </si>
  <si>
    <t>FPModifier</t>
  </si>
  <si>
    <t>Offense</t>
  </si>
  <si>
    <t>Defense</t>
  </si>
  <si>
    <t>Type 1 APS</t>
  </si>
  <si>
    <t>Type 93 Rainbow</t>
  </si>
  <si>
    <t>High Perf. FCR</t>
  </si>
  <si>
    <t>High Perf. AAR</t>
  </si>
  <si>
    <t>FCR</t>
  </si>
  <si>
    <t>Type 94 AA</t>
  </si>
  <si>
    <t>Steering Gear</t>
  </si>
  <si>
    <t>Prototype Rudder</t>
  </si>
  <si>
    <t>Beaver Squad</t>
  </si>
  <si>
    <t>Crane</t>
  </si>
  <si>
    <t>Crit% Modifier</t>
  </si>
  <si>
    <t>Damage Reduction</t>
  </si>
  <si>
    <t>Crit Add Modifier</t>
  </si>
  <si>
    <t>Z23</t>
  </si>
  <si>
    <t>Laffey</t>
  </si>
  <si>
    <t>Crit Gun Skill %</t>
  </si>
  <si>
    <t>Crit Torp Skill %</t>
  </si>
  <si>
    <t>Z1</t>
  </si>
  <si>
    <t>Z25</t>
  </si>
  <si>
    <t>Z19</t>
  </si>
  <si>
    <t>Z20</t>
  </si>
  <si>
    <t>Z21</t>
  </si>
  <si>
    <t>Z46</t>
  </si>
  <si>
    <t>U-81</t>
  </si>
  <si>
    <t>U-47</t>
  </si>
  <si>
    <t>U-557</t>
  </si>
  <si>
    <t>Z35</t>
  </si>
  <si>
    <t>Z18</t>
  </si>
  <si>
    <t>C001</t>
  </si>
  <si>
    <t>C002</t>
  </si>
  <si>
    <t>C003</t>
  </si>
  <si>
    <t>C004</t>
  </si>
  <si>
    <t>C005</t>
  </si>
  <si>
    <t>C006</t>
  </si>
  <si>
    <t>C007</t>
  </si>
  <si>
    <t>C008</t>
  </si>
  <si>
    <t>C031</t>
  </si>
  <si>
    <t>C032</t>
  </si>
  <si>
    <t>C033</t>
  </si>
  <si>
    <t>C034</t>
  </si>
  <si>
    <t>C035</t>
  </si>
  <si>
    <t>C036</t>
  </si>
  <si>
    <t>P001</t>
  </si>
  <si>
    <t>P002</t>
  </si>
  <si>
    <t>P003</t>
  </si>
  <si>
    <t>P004</t>
  </si>
  <si>
    <t>P005</t>
  </si>
  <si>
    <t>P006</t>
  </si>
  <si>
    <t>ID</t>
  </si>
  <si>
    <t>Rarity</t>
  </si>
  <si>
    <t xml:space="preserve">Armor type </t>
  </si>
  <si>
    <t>Cassin</t>
  </si>
  <si>
    <t>Destroyer</t>
  </si>
  <si>
    <t>Downes</t>
  </si>
  <si>
    <t>Hammann</t>
  </si>
  <si>
    <t>San Diego</t>
  </si>
  <si>
    <t>Portland</t>
  </si>
  <si>
    <t>Nevada</t>
  </si>
  <si>
    <t>Battleship</t>
  </si>
  <si>
    <t>Oklahoma</t>
  </si>
  <si>
    <t>Long Island</t>
  </si>
  <si>
    <t>CVL</t>
  </si>
  <si>
    <t>Bogue</t>
  </si>
  <si>
    <t>Langley</t>
  </si>
  <si>
    <t>Saratoga</t>
  </si>
  <si>
    <t>CV</t>
  </si>
  <si>
    <t>Ranger</t>
  </si>
  <si>
    <t>Acasta</t>
  </si>
  <si>
    <t>Ardent</t>
  </si>
  <si>
    <t>Comet</t>
  </si>
  <si>
    <t>Crescent</t>
  </si>
  <si>
    <t>Cygnet</t>
  </si>
  <si>
    <t>Foxhound</t>
  </si>
  <si>
    <t>Fortune</t>
  </si>
  <si>
    <t>Javelin</t>
  </si>
  <si>
    <t>Leander</t>
  </si>
  <si>
    <t>Achilles</t>
  </si>
  <si>
    <t>Ajax</t>
  </si>
  <si>
    <t>Suffolk</t>
  </si>
  <si>
    <t>York</t>
  </si>
  <si>
    <t>Exeter</t>
  </si>
  <si>
    <t>Warspite</t>
  </si>
  <si>
    <t>Ayanami</t>
  </si>
  <si>
    <t>Kagerou</t>
  </si>
  <si>
    <t>Shiranui</t>
  </si>
  <si>
    <t>Abukuma</t>
  </si>
  <si>
    <t>Mogami</t>
  </si>
  <si>
    <t>Furutaka</t>
  </si>
  <si>
    <t>Kako</t>
  </si>
  <si>
    <t>Fusou</t>
  </si>
  <si>
    <t>Yamashiro</t>
  </si>
  <si>
    <t>Ise</t>
  </si>
  <si>
    <t>Hyuuga</t>
  </si>
  <si>
    <t>Shouhou</t>
  </si>
  <si>
    <t>Souryuu</t>
  </si>
  <si>
    <t>Hiryuu</t>
  </si>
  <si>
    <t>Karlsruhe</t>
  </si>
  <si>
    <t>Ning Hai</t>
  </si>
  <si>
    <t>Ping Hai</t>
  </si>
  <si>
    <t>Bailey</t>
  </si>
  <si>
    <t>Kamikaze</t>
  </si>
  <si>
    <t>Matsukaze</t>
  </si>
  <si>
    <t>Mutsuki</t>
  </si>
  <si>
    <t>Nicholas</t>
  </si>
  <si>
    <t>Sendai</t>
  </si>
  <si>
    <t>Jintsuu</t>
  </si>
  <si>
    <t>Hamakaze</t>
  </si>
  <si>
    <t>Tanikaze</t>
  </si>
  <si>
    <t>Forbin</t>
  </si>
  <si>
    <t>Le Mars</t>
  </si>
  <si>
    <t>Newcastle</t>
  </si>
  <si>
    <t>Universal Bullin</t>
  </si>
  <si>
    <t>Trial Bullin MKII</t>
  </si>
  <si>
    <t>Gridley</t>
  </si>
  <si>
    <t>Craven</t>
  </si>
  <si>
    <t>McCall</t>
  </si>
  <si>
    <t>Maury</t>
  </si>
  <si>
    <t>Fletcher</t>
  </si>
  <si>
    <t>Charles Ausburne</t>
  </si>
  <si>
    <t>Thatcher</t>
  </si>
  <si>
    <t>Aulick</t>
  </si>
  <si>
    <t>Foote</t>
  </si>
  <si>
    <t>Spence</t>
  </si>
  <si>
    <t>Benson</t>
  </si>
  <si>
    <t>Sims</t>
  </si>
  <si>
    <t>Eldridge</t>
  </si>
  <si>
    <t>Amazon</t>
  </si>
  <si>
    <t>Beagle</t>
  </si>
  <si>
    <t>Bulldog</t>
  </si>
  <si>
    <t>Grenville</t>
  </si>
  <si>
    <t>Glowworm</t>
  </si>
  <si>
    <t>Juno</t>
  </si>
  <si>
    <t>Vampire</t>
  </si>
  <si>
    <t>Fubuki</t>
  </si>
  <si>
    <t>Akatsuki</t>
  </si>
  <si>
    <t>Ikazuchi</t>
  </si>
  <si>
    <t>Inazuma</t>
  </si>
  <si>
    <t>Shiratsuyu</t>
  </si>
  <si>
    <t>Yuudachi</t>
  </si>
  <si>
    <t>Shigure</t>
  </si>
  <si>
    <t>Yukikaze</t>
  </si>
  <si>
    <t>Nowaki</t>
  </si>
  <si>
    <t>Hatsuharu</t>
  </si>
  <si>
    <t>Wakaba</t>
  </si>
  <si>
    <t>Hatsushimo</t>
  </si>
  <si>
    <t>Ariake</t>
  </si>
  <si>
    <t>Yuugure</t>
  </si>
  <si>
    <t>Kuroshio</t>
  </si>
  <si>
    <t>Oyashio</t>
  </si>
  <si>
    <t>An Shan</t>
  </si>
  <si>
    <t>Fu Shun</t>
  </si>
  <si>
    <t>Chang Chun</t>
  </si>
  <si>
    <t>Tai Yuan</t>
  </si>
  <si>
    <t>Kisaragi</t>
  </si>
  <si>
    <t>Uzuki</t>
  </si>
  <si>
    <t>Minazuki</t>
  </si>
  <si>
    <t>Fumizuki</t>
  </si>
  <si>
    <t>Nagatsuki</t>
  </si>
  <si>
    <t>Mikazuki</t>
  </si>
  <si>
    <t>Kawakaze</t>
  </si>
  <si>
    <t>Niizuki</t>
  </si>
  <si>
    <t>Yoizuki</t>
  </si>
  <si>
    <t>Radford</t>
  </si>
  <si>
    <t>Jenkins</t>
  </si>
  <si>
    <t>Jupiter</t>
  </si>
  <si>
    <t>Jersey</t>
  </si>
  <si>
    <t>Urakaze</t>
  </si>
  <si>
    <t>Isokaze</t>
  </si>
  <si>
    <t>Matchless</t>
  </si>
  <si>
    <t>Musketeer</t>
  </si>
  <si>
    <t>Asashio</t>
  </si>
  <si>
    <t>Ooshio</t>
  </si>
  <si>
    <t>Michishio</t>
  </si>
  <si>
    <t>Arashio</t>
  </si>
  <si>
    <t>Le Triomphant</t>
  </si>
  <si>
    <t>Bush</t>
  </si>
  <si>
    <t>Le Temeraire</t>
  </si>
  <si>
    <t>Hobby</t>
  </si>
  <si>
    <t>Kalk</t>
  </si>
  <si>
    <t>Hazelwood</t>
  </si>
  <si>
    <t>Hatakaze</t>
  </si>
  <si>
    <t>Makinami</t>
  </si>
  <si>
    <t>Kimberly</t>
  </si>
  <si>
    <t>Mullany</t>
  </si>
  <si>
    <t>Omaha</t>
  </si>
  <si>
    <t>Raleigh</t>
  </si>
  <si>
    <t>Brooklyn</t>
  </si>
  <si>
    <t>Phoenix</t>
  </si>
  <si>
    <t>Helena</t>
  </si>
  <si>
    <t>Atlanta</t>
  </si>
  <si>
    <t>Juneau</t>
  </si>
  <si>
    <t>Cleveland</t>
  </si>
  <si>
    <t>Columbia</t>
  </si>
  <si>
    <t>Sheffield</t>
  </si>
  <si>
    <t>Edinburgh</t>
  </si>
  <si>
    <t>Belfast</t>
  </si>
  <si>
    <t>Arethusa</t>
  </si>
  <si>
    <t>Galatea</t>
  </si>
  <si>
    <t>Aurora</t>
  </si>
  <si>
    <t>Yuubari</t>
  </si>
  <si>
    <t>Nagara</t>
  </si>
  <si>
    <t>Isuzu</t>
  </si>
  <si>
    <t>Mikuma</t>
  </si>
  <si>
    <t>Leipzig</t>
  </si>
  <si>
    <t>Yat Sen</t>
  </si>
  <si>
    <t>Avrora</t>
  </si>
  <si>
    <t>Richmond</t>
  </si>
  <si>
    <t>Honolulu</t>
  </si>
  <si>
    <t>St. Louis</t>
  </si>
  <si>
    <t>Naka</t>
  </si>
  <si>
    <t>Agano</t>
  </si>
  <si>
    <t>Fiji</t>
  </si>
  <si>
    <t>Jamaica</t>
  </si>
  <si>
    <t>Montpelier</t>
  </si>
  <si>
    <t>Denver</t>
  </si>
  <si>
    <t>Belchan</t>
  </si>
  <si>
    <t>Emile Bertin</t>
  </si>
  <si>
    <t>Memphis</t>
  </si>
  <si>
    <t>Concord</t>
  </si>
  <si>
    <t>Sirius</t>
  </si>
  <si>
    <t>Curacoa</t>
  </si>
  <si>
    <t>Curlew</t>
  </si>
  <si>
    <t>Pensacola</t>
  </si>
  <si>
    <t>Salt Lake City</t>
  </si>
  <si>
    <t>Northampton</t>
  </si>
  <si>
    <t>Chicago</t>
  </si>
  <si>
    <t>Houston</t>
  </si>
  <si>
    <t>Indianapolis</t>
  </si>
  <si>
    <t>Astoria</t>
  </si>
  <si>
    <t>Quincy</t>
  </si>
  <si>
    <t>Vincennes</t>
  </si>
  <si>
    <t>Wichita</t>
  </si>
  <si>
    <t>London</t>
  </si>
  <si>
    <t>Shropshire</t>
  </si>
  <si>
    <t>Kent</t>
  </si>
  <si>
    <t>Norfolk</t>
  </si>
  <si>
    <t>Dorsetshire</t>
  </si>
  <si>
    <t>Aoba</t>
  </si>
  <si>
    <t>Kinugasa</t>
  </si>
  <si>
    <t>Myoukou</t>
  </si>
  <si>
    <t>Nachi</t>
  </si>
  <si>
    <t>Ashigara</t>
  </si>
  <si>
    <t>Takao</t>
  </si>
  <si>
    <t>Atago</t>
  </si>
  <si>
    <t>Maya</t>
  </si>
  <si>
    <t>Choukai</t>
  </si>
  <si>
    <t>Admiral Hipper</t>
  </si>
  <si>
    <t>Prinz Eugen</t>
  </si>
  <si>
    <t>Deutschland</t>
  </si>
  <si>
    <t>Admiral Graf Spee</t>
  </si>
  <si>
    <t>Sussex</t>
  </si>
  <si>
    <t>Minneapolis</t>
  </si>
  <si>
    <t>Pennsylvania</t>
  </si>
  <si>
    <t>Arizona</t>
  </si>
  <si>
    <t>Tennessee</t>
  </si>
  <si>
    <t>California</t>
  </si>
  <si>
    <t>Colorado</t>
  </si>
  <si>
    <t>Maryland</t>
  </si>
  <si>
    <t>West Virginia</t>
  </si>
  <si>
    <t>North Carolina</t>
  </si>
  <si>
    <t>Washington</t>
  </si>
  <si>
    <t>South Dakota</t>
  </si>
  <si>
    <t>Queen Elizabeth</t>
  </si>
  <si>
    <t>Nelson</t>
  </si>
  <si>
    <t>Rodney</t>
  </si>
  <si>
    <t>Prince of Wales</t>
  </si>
  <si>
    <t>Duke of York</t>
  </si>
  <si>
    <t>Nagato</t>
  </si>
  <si>
    <t>Mutsu</t>
  </si>
  <si>
    <t>Tirpitz</t>
  </si>
  <si>
    <t>Mikasa</t>
  </si>
  <si>
    <t>Jean Bart</t>
  </si>
  <si>
    <t>Massachusetts</t>
  </si>
  <si>
    <t>Kaga (Battleship)</t>
  </si>
  <si>
    <t>Renown</t>
  </si>
  <si>
    <t>Repulse</t>
  </si>
  <si>
    <t>Hood</t>
  </si>
  <si>
    <t>Kongou</t>
  </si>
  <si>
    <t>Hiei</t>
  </si>
  <si>
    <t>Haruna</t>
  </si>
  <si>
    <t>Kirishima</t>
  </si>
  <si>
    <t>Scharnhorst</t>
  </si>
  <si>
    <t>Gneisenau</t>
  </si>
  <si>
    <t>Dunkerque</t>
  </si>
  <si>
    <t>Amagi</t>
  </si>
  <si>
    <t>Erebus</t>
  </si>
  <si>
    <t>Terror</t>
  </si>
  <si>
    <t>Abercrombie</t>
  </si>
  <si>
    <t>Lexington</t>
  </si>
  <si>
    <t>Yorktown</t>
  </si>
  <si>
    <t>Enterprise</t>
  </si>
  <si>
    <t>Hornet</t>
  </si>
  <si>
    <t>Wasp</t>
  </si>
  <si>
    <t>Ark Royal</t>
  </si>
  <si>
    <t>Illustrious</t>
  </si>
  <si>
    <t>Victorious</t>
  </si>
  <si>
    <t>Glorious</t>
  </si>
  <si>
    <t>Akagi</t>
  </si>
  <si>
    <t>Kaga</t>
  </si>
  <si>
    <t>Shoukaku</t>
  </si>
  <si>
    <t>Zuikaku</t>
  </si>
  <si>
    <t>Taihou</t>
  </si>
  <si>
    <t>Graf Zeppelin</t>
  </si>
  <si>
    <t>Essex</t>
  </si>
  <si>
    <t>Hermes</t>
  </si>
  <si>
    <t>Hiyou</t>
  </si>
  <si>
    <t>Junyou</t>
  </si>
  <si>
    <t>Houshou</t>
  </si>
  <si>
    <t>Ryuujou</t>
  </si>
  <si>
    <t>Centaur</t>
  </si>
  <si>
    <t>Chaser</t>
  </si>
  <si>
    <t>Vestal</t>
  </si>
  <si>
    <t>AR</t>
  </si>
  <si>
    <t>Akashi</t>
  </si>
  <si>
    <t>HDN Neptune</t>
  </si>
  <si>
    <t>Noire</t>
  </si>
  <si>
    <t>Blanc</t>
  </si>
  <si>
    <t>Vert</t>
  </si>
  <si>
    <t>Purple Heart</t>
  </si>
  <si>
    <t>Black Heart</t>
  </si>
  <si>
    <t>White Heart</t>
  </si>
  <si>
    <t>Green Heart</t>
  </si>
  <si>
    <t>Kuon</t>
  </si>
  <si>
    <t>Nekone</t>
  </si>
  <si>
    <t>Rurutie</t>
  </si>
  <si>
    <t>Uruuru</t>
  </si>
  <si>
    <t>Saraana</t>
  </si>
  <si>
    <t>Fumiruiru</t>
  </si>
  <si>
    <t>HMS Neptune</t>
  </si>
  <si>
    <t>Monarch</t>
  </si>
  <si>
    <t>Ibuki</t>
  </si>
  <si>
    <t>Izumo</t>
  </si>
  <si>
    <t>Roon</t>
  </si>
  <si>
    <t>Saint Louis</t>
  </si>
  <si>
    <t>X1</t>
  </si>
  <si>
    <t>X2</t>
  </si>
  <si>
    <t xml:space="preserve">Elite </t>
  </si>
  <si>
    <t xml:space="preserve">Rare </t>
  </si>
  <si>
    <t xml:space="preserve">Normal </t>
  </si>
  <si>
    <t xml:space="preserve">Super Rare </t>
  </si>
  <si>
    <t xml:space="preserve">Priority </t>
  </si>
  <si>
    <t xml:space="preserve">Ultra Rare </t>
  </si>
  <si>
    <t xml:space="preserve">Universal </t>
  </si>
  <si>
    <t xml:space="preserve">USS </t>
  </si>
  <si>
    <t xml:space="preserve">HMS </t>
  </si>
  <si>
    <t xml:space="preserve">IJN </t>
  </si>
  <si>
    <t xml:space="preserve">KMS </t>
  </si>
  <si>
    <t xml:space="preserve">CN </t>
  </si>
  <si>
    <t xml:space="preserve">NU </t>
  </si>
  <si>
    <t xml:space="preserve">FFN </t>
  </si>
  <si>
    <t xml:space="preserve">VFN </t>
  </si>
  <si>
    <t xml:space="preserve">Neptunia </t>
  </si>
  <si>
    <t xml:space="preserve">Uta </t>
  </si>
  <si>
    <t>BILI</t>
  </si>
  <si>
    <t xml:space="preserve">DD </t>
  </si>
  <si>
    <t xml:space="preserve">CL </t>
  </si>
  <si>
    <t xml:space="preserve">CA </t>
  </si>
  <si>
    <t xml:space="preserve">BB </t>
  </si>
  <si>
    <t>Dace</t>
  </si>
  <si>
    <t>I-26</t>
  </si>
  <si>
    <t>I-58</t>
  </si>
  <si>
    <t>Surcouf</t>
  </si>
  <si>
    <t>I-19</t>
  </si>
  <si>
    <t>ASW</t>
  </si>
  <si>
    <t xml:space="preserve">Oil </t>
  </si>
  <si>
    <t>SECEFF</t>
  </si>
  <si>
    <t>Carrier</t>
  </si>
  <si>
    <t>Submarine</t>
  </si>
  <si>
    <t>LightCruiser</t>
  </si>
  <si>
    <t>HeavyCruiser</t>
  </si>
  <si>
    <t>LightCarrier</t>
  </si>
  <si>
    <t>RepairShip</t>
  </si>
  <si>
    <t>Z23 Kai</t>
  </si>
  <si>
    <t>Long Island Kai</t>
  </si>
  <si>
    <t>Bogue Kai</t>
  </si>
  <si>
    <t>Langley Kai</t>
  </si>
  <si>
    <t>Saratoga Kai</t>
  </si>
  <si>
    <t>Ranger Kai</t>
  </si>
  <si>
    <t>Shouhou Kai</t>
  </si>
  <si>
    <t>Souryuu Kai</t>
  </si>
  <si>
    <t>Hiryuu Kai</t>
  </si>
  <si>
    <t>Nevada Kai</t>
  </si>
  <si>
    <t>Oklahoma Kai</t>
  </si>
  <si>
    <t>Warspite Kai</t>
  </si>
  <si>
    <t>Fusou Kai</t>
  </si>
  <si>
    <t>Yamashiro Kai</t>
  </si>
  <si>
    <t>Ise Kai</t>
  </si>
  <si>
    <t>Hyuuga Kai</t>
  </si>
  <si>
    <t>Portland Kai</t>
  </si>
  <si>
    <t>Suffolk Kai</t>
  </si>
  <si>
    <t>York Kai</t>
  </si>
  <si>
    <t>Exeter Kai</t>
  </si>
  <si>
    <t>Furutaka Kai</t>
  </si>
  <si>
    <t>Kako Kai</t>
  </si>
  <si>
    <t>San Diego Kai</t>
  </si>
  <si>
    <t>Leander Kai</t>
  </si>
  <si>
    <t>Achilles Kai</t>
  </si>
  <si>
    <t>Ajax Kai</t>
  </si>
  <si>
    <t>Abukuma Kai</t>
  </si>
  <si>
    <t>Mogami Kai</t>
  </si>
  <si>
    <t>Karlsruhe Kai</t>
  </si>
  <si>
    <t>Ning Hai Kai</t>
  </si>
  <si>
    <t>Ping Hai Kai</t>
  </si>
  <si>
    <t>Sendai Kai</t>
  </si>
  <si>
    <t>Jintsuu Kai</t>
  </si>
  <si>
    <t>Newcastle Kai</t>
  </si>
  <si>
    <t>Cassin Kai</t>
  </si>
  <si>
    <t>Downes Kai</t>
  </si>
  <si>
    <t>Laffey Kai</t>
  </si>
  <si>
    <t>Hammann Kai</t>
  </si>
  <si>
    <t>Acasta Kai</t>
  </si>
  <si>
    <t>Ardent Kai</t>
  </si>
  <si>
    <t>Comet Kai</t>
  </si>
  <si>
    <t>Crescent Kai</t>
  </si>
  <si>
    <t>Cygnet Kai</t>
  </si>
  <si>
    <t>Foxhound Kai</t>
  </si>
  <si>
    <t>Fortune Kai</t>
  </si>
  <si>
    <t>Javelin Kai</t>
  </si>
  <si>
    <t>Ayanami Kai</t>
  </si>
  <si>
    <t>Kagerou Kai</t>
  </si>
  <si>
    <t>Shiranui Kai</t>
  </si>
  <si>
    <t>Bailey Kai</t>
  </si>
  <si>
    <t>Kamikaze Kai</t>
  </si>
  <si>
    <t>Matsukaze Kai</t>
  </si>
  <si>
    <t>Mutsuki Kai</t>
  </si>
  <si>
    <t>Nicholas Kai</t>
  </si>
  <si>
    <t>Hamakaze Kai</t>
  </si>
  <si>
    <t>Tanikaze Kai</t>
  </si>
  <si>
    <t>Forbin Kai</t>
  </si>
  <si>
    <t>Le Mars Kai</t>
  </si>
  <si>
    <t>TRIEFF</t>
  </si>
  <si>
    <t>Konigsberg</t>
  </si>
  <si>
    <t>Koln</t>
  </si>
  <si>
    <t>2x102mm (HMS)</t>
  </si>
  <si>
    <t>2x127mm (Mk 12)</t>
  </si>
  <si>
    <t>Ship</t>
  </si>
  <si>
    <t>Reload (s)</t>
  </si>
  <si>
    <t>FIDIB</t>
  </si>
  <si>
    <t>RoF</t>
  </si>
  <si>
    <t>TB</t>
  </si>
  <si>
    <t>BF-109T</t>
  </si>
  <si>
    <t>Me-155A</t>
  </si>
  <si>
    <t>McClusky</t>
  </si>
  <si>
    <t>VF-17 Squadron</t>
  </si>
  <si>
    <t>Seafire</t>
  </si>
  <si>
    <t>Seafang</t>
  </si>
  <si>
    <t>Plane1</t>
  </si>
  <si>
    <t>Plane2</t>
  </si>
  <si>
    <t>Plane3</t>
  </si>
  <si>
    <t>Type1</t>
  </si>
  <si>
    <t>Type2</t>
  </si>
  <si>
    <t>Type3</t>
  </si>
  <si>
    <t>F</t>
  </si>
  <si>
    <t>N/A</t>
  </si>
  <si>
    <t>Rounds</t>
  </si>
  <si>
    <t>DMG</t>
  </si>
  <si>
    <t>Bomb</t>
  </si>
  <si>
    <t>Adjustable Stats:</t>
  </si>
  <si>
    <t>Luck</t>
  </si>
  <si>
    <t>Hit</t>
  </si>
  <si>
    <t>Universal</t>
  </si>
  <si>
    <t>USS</t>
  </si>
  <si>
    <t>Albacore</t>
  </si>
  <si>
    <t xml:space="preserve"> Fubuki</t>
  </si>
  <si>
    <t xml:space="preserve"> Ayanami</t>
  </si>
  <si>
    <t xml:space="preserve"> Akatsuki</t>
  </si>
  <si>
    <t xml:space="preserve"> Ikazuchi</t>
  </si>
  <si>
    <t xml:space="preserve"> Inazuma</t>
  </si>
  <si>
    <t xml:space="preserve"> Shiratsuyu</t>
  </si>
  <si>
    <t xml:space="preserve"> Yuudachi</t>
  </si>
  <si>
    <t xml:space="preserve"> Shigure</t>
  </si>
  <si>
    <t xml:space="preserve"> Yukikaze</t>
  </si>
  <si>
    <t xml:space="preserve"> Kagerou</t>
  </si>
  <si>
    <t xml:space="preserve"> Shiranui</t>
  </si>
  <si>
    <t xml:space="preserve"> Nowaki</t>
  </si>
  <si>
    <t xml:space="preserve"> Hatsuharu</t>
  </si>
  <si>
    <t xml:space="preserve"> Wakaba</t>
  </si>
  <si>
    <t xml:space="preserve"> Hatsushimo</t>
  </si>
  <si>
    <t xml:space="preserve"> Ariake</t>
  </si>
  <si>
    <t xml:space="preserve"> Yuugure</t>
  </si>
  <si>
    <t xml:space="preserve"> Kuroshio</t>
  </si>
  <si>
    <t xml:space="preserve"> Oyashio</t>
  </si>
  <si>
    <t xml:space="preserve"> Kamikaze</t>
  </si>
  <si>
    <t xml:space="preserve"> Matsukaze</t>
  </si>
  <si>
    <t xml:space="preserve"> Mutsuki</t>
  </si>
  <si>
    <t xml:space="preserve"> Kisaragi</t>
  </si>
  <si>
    <t xml:space="preserve"> Uzuki</t>
  </si>
  <si>
    <t xml:space="preserve"> Minazuki</t>
  </si>
  <si>
    <t xml:space="preserve"> Fumizuki</t>
  </si>
  <si>
    <t xml:space="preserve"> Mikazuki</t>
  </si>
  <si>
    <t xml:space="preserve"> Kawakaze</t>
  </si>
  <si>
    <t xml:space="preserve"> Niizuki</t>
  </si>
  <si>
    <t xml:space="preserve"> Harutsuki</t>
  </si>
  <si>
    <t xml:space="preserve"> Yoizuki</t>
  </si>
  <si>
    <t xml:space="preserve"> Urakaze</t>
  </si>
  <si>
    <t xml:space="preserve"> Isokaze</t>
  </si>
  <si>
    <t xml:space="preserve"> Hamakaze</t>
  </si>
  <si>
    <t xml:space="preserve"> Tanikaze</t>
  </si>
  <si>
    <t xml:space="preserve"> Asashio</t>
  </si>
  <si>
    <t xml:space="preserve"> Ooshio</t>
  </si>
  <si>
    <t xml:space="preserve"> Michishio</t>
  </si>
  <si>
    <t xml:space="preserve"> Yuubari</t>
  </si>
  <si>
    <t xml:space="preserve"> Nagara</t>
  </si>
  <si>
    <t xml:space="preserve"> Isuzu</t>
  </si>
  <si>
    <t xml:space="preserve"> Abukuma</t>
  </si>
  <si>
    <t xml:space="preserve"> Mogami</t>
  </si>
  <si>
    <t xml:space="preserve"> Mikuma</t>
  </si>
  <si>
    <t xml:space="preserve"> Sendai</t>
  </si>
  <si>
    <t xml:space="preserve"> Jintsuu</t>
  </si>
  <si>
    <t xml:space="preserve"> Agano</t>
  </si>
  <si>
    <t xml:space="preserve"> Furutaka</t>
  </si>
  <si>
    <t xml:space="preserve"> Kako</t>
  </si>
  <si>
    <t xml:space="preserve"> Aoba</t>
  </si>
  <si>
    <t xml:space="preserve"> Kinugasa</t>
  </si>
  <si>
    <t xml:space="preserve"> Myoukou</t>
  </si>
  <si>
    <t xml:space="preserve"> Nachi</t>
  </si>
  <si>
    <t xml:space="preserve"> Takao</t>
  </si>
  <si>
    <t xml:space="preserve"> Atago</t>
  </si>
  <si>
    <t xml:space="preserve"> Maya</t>
  </si>
  <si>
    <t xml:space="preserve"> Choukai</t>
  </si>
  <si>
    <t xml:space="preserve"> Kongou</t>
  </si>
  <si>
    <t xml:space="preserve"> Hiei</t>
  </si>
  <si>
    <t xml:space="preserve"> Haruna</t>
  </si>
  <si>
    <t xml:space="preserve"> Kirishima</t>
  </si>
  <si>
    <t xml:space="preserve"> Fusou</t>
  </si>
  <si>
    <t xml:space="preserve"> Yamashiro</t>
  </si>
  <si>
    <t xml:space="preserve"> Ise</t>
  </si>
  <si>
    <t xml:space="preserve"> Hyuuga</t>
  </si>
  <si>
    <t xml:space="preserve"> Nagato</t>
  </si>
  <si>
    <t xml:space="preserve"> Mutsu</t>
  </si>
  <si>
    <t xml:space="preserve"> Mikasa</t>
  </si>
  <si>
    <t xml:space="preserve"> Hiyou</t>
  </si>
  <si>
    <t xml:space="preserve"> Junyou</t>
  </si>
  <si>
    <t xml:space="preserve"> Houshou</t>
  </si>
  <si>
    <t xml:space="preserve"> Shouhou</t>
  </si>
  <si>
    <t xml:space="preserve"> Akagi</t>
  </si>
  <si>
    <t xml:space="preserve"> Kaga</t>
  </si>
  <si>
    <t xml:space="preserve"> Souryuu</t>
  </si>
  <si>
    <t xml:space="preserve"> Hiryuu</t>
  </si>
  <si>
    <t xml:space="preserve"> Shoukaku</t>
  </si>
  <si>
    <t xml:space="preserve"> Zuikaku</t>
  </si>
  <si>
    <t xml:space="preserve"> Taihou</t>
  </si>
  <si>
    <t xml:space="preserve"> I-19</t>
  </si>
  <si>
    <t xml:space="preserve"> I-26</t>
  </si>
  <si>
    <t xml:space="preserve"> I-58</t>
  </si>
  <si>
    <t xml:space="preserve"> Akashi</t>
  </si>
  <si>
    <t xml:space="preserve"> Ibuki</t>
  </si>
  <si>
    <t xml:space="preserve"> Izumo</t>
  </si>
  <si>
    <t xml:space="preserve"> Arashio</t>
  </si>
  <si>
    <t>HMS</t>
  </si>
  <si>
    <t xml:space="preserve"> Amazon</t>
  </si>
  <si>
    <t xml:space="preserve"> Acasta</t>
  </si>
  <si>
    <t xml:space="preserve"> Ardent</t>
  </si>
  <si>
    <t xml:space="preserve"> Beagle</t>
  </si>
  <si>
    <t xml:space="preserve"> Bulldog</t>
  </si>
  <si>
    <t xml:space="preserve"> Comet</t>
  </si>
  <si>
    <t xml:space="preserve"> Crescent</t>
  </si>
  <si>
    <t xml:space="preserve"> Cygnet</t>
  </si>
  <si>
    <t xml:space="preserve"> Foxhound</t>
  </si>
  <si>
    <t xml:space="preserve"> Fortune</t>
  </si>
  <si>
    <t xml:space="preserve"> Glowworm</t>
  </si>
  <si>
    <t xml:space="preserve"> Javelin</t>
  </si>
  <si>
    <t xml:space="preserve"> Juno</t>
  </si>
  <si>
    <t xml:space="preserve"> Vampire</t>
  </si>
  <si>
    <t xml:space="preserve"> Jupiter</t>
  </si>
  <si>
    <t xml:space="preserve"> Matchless</t>
  </si>
  <si>
    <t xml:space="preserve"> Musketeer</t>
  </si>
  <si>
    <t xml:space="preserve"> Leander</t>
  </si>
  <si>
    <t xml:space="preserve"> Achilles</t>
  </si>
  <si>
    <t xml:space="preserve"> Ajax</t>
  </si>
  <si>
    <t xml:space="preserve"> Sheffield</t>
  </si>
  <si>
    <t xml:space="preserve"> Edinburgh</t>
  </si>
  <si>
    <t xml:space="preserve"> Belfast</t>
  </si>
  <si>
    <t xml:space="preserve"> Arethusa</t>
  </si>
  <si>
    <t xml:space="preserve"> Galatea</t>
  </si>
  <si>
    <t xml:space="preserve"> Aurora</t>
  </si>
  <si>
    <t xml:space="preserve"> Fiji</t>
  </si>
  <si>
    <t xml:space="preserve"> Jamaica</t>
  </si>
  <si>
    <t xml:space="preserve"> Belchan</t>
  </si>
  <si>
    <t xml:space="preserve"> Newcastle</t>
  </si>
  <si>
    <t xml:space="preserve"> London</t>
  </si>
  <si>
    <t xml:space="preserve"> Shropshire</t>
  </si>
  <si>
    <t xml:space="preserve"> Kent</t>
  </si>
  <si>
    <t xml:space="preserve"> Suffolk</t>
  </si>
  <si>
    <t xml:space="preserve"> Norfolk</t>
  </si>
  <si>
    <t xml:space="preserve"> Dorsetshire</t>
  </si>
  <si>
    <t xml:space="preserve"> York</t>
  </si>
  <si>
    <t xml:space="preserve"> Exeter</t>
  </si>
  <si>
    <t xml:space="preserve"> Sussex</t>
  </si>
  <si>
    <t xml:space="preserve"> Renown</t>
  </si>
  <si>
    <t xml:space="preserve"> Repulse</t>
  </si>
  <si>
    <t xml:space="preserve"> Hood</t>
  </si>
  <si>
    <t xml:space="preserve"> Queen Elizabeth</t>
  </si>
  <si>
    <t xml:space="preserve"> Warspite</t>
  </si>
  <si>
    <t xml:space="preserve"> Nelson</t>
  </si>
  <si>
    <t xml:space="preserve"> Rodney</t>
  </si>
  <si>
    <t xml:space="preserve"> Prince of Wales</t>
  </si>
  <si>
    <t xml:space="preserve"> Duke of York</t>
  </si>
  <si>
    <t xml:space="preserve"> Hermes</t>
  </si>
  <si>
    <t xml:space="preserve"> Unicorn</t>
  </si>
  <si>
    <t xml:space="preserve"> Centaur</t>
  </si>
  <si>
    <t xml:space="preserve"> Ark Royal</t>
  </si>
  <si>
    <t xml:space="preserve"> Illustrious</t>
  </si>
  <si>
    <t xml:space="preserve"> Victorious</t>
  </si>
  <si>
    <t xml:space="preserve"> Glorious</t>
  </si>
  <si>
    <t xml:space="preserve"> Erebus</t>
  </si>
  <si>
    <t xml:space="preserve"> Terror</t>
  </si>
  <si>
    <t xml:space="preserve"> Abercrombie</t>
  </si>
  <si>
    <t xml:space="preserve"> Neptune</t>
  </si>
  <si>
    <t xml:space="preserve"> Monarch</t>
  </si>
  <si>
    <t xml:space="preserve"> Jersey</t>
  </si>
  <si>
    <t>IJN</t>
  </si>
  <si>
    <t xml:space="preserve"> Z1</t>
  </si>
  <si>
    <t xml:space="preserve"> Z18</t>
  </si>
  <si>
    <t xml:space="preserve"> Z19</t>
  </si>
  <si>
    <t xml:space="preserve"> Z20</t>
  </si>
  <si>
    <t xml:space="preserve"> Z21</t>
  </si>
  <si>
    <t xml:space="preserve"> Z23</t>
  </si>
  <si>
    <t xml:space="preserve"> Z25</t>
  </si>
  <si>
    <t xml:space="preserve"> Z35</t>
  </si>
  <si>
    <t xml:space="preserve"> Z46</t>
  </si>
  <si>
    <t xml:space="preserve"> Konigsberg</t>
  </si>
  <si>
    <t xml:space="preserve"> Karlsruhe</t>
  </si>
  <si>
    <t xml:space="preserve"> Koln</t>
  </si>
  <si>
    <t xml:space="preserve"> Leipzig</t>
  </si>
  <si>
    <t xml:space="preserve"> Admiral Hipper</t>
  </si>
  <si>
    <t xml:space="preserve"> Prinz Eugen</t>
  </si>
  <si>
    <t xml:space="preserve"> Deutschland</t>
  </si>
  <si>
    <t xml:space="preserve"> Admiral Graf.Spee</t>
  </si>
  <si>
    <t xml:space="preserve"> Scharnhorst</t>
  </si>
  <si>
    <t xml:space="preserve"> Gneisenau</t>
  </si>
  <si>
    <t xml:space="preserve"> Tirpitz</t>
  </si>
  <si>
    <t xml:space="preserve"> Graf Zeppelin</t>
  </si>
  <si>
    <t xml:space="preserve"> U-81</t>
  </si>
  <si>
    <t xml:space="preserve"> U-47</t>
  </si>
  <si>
    <t xml:space="preserve"> U-557</t>
  </si>
  <si>
    <t xml:space="preserve"> Roon</t>
  </si>
  <si>
    <t>KMS</t>
  </si>
  <si>
    <t xml:space="preserve"> An shan</t>
  </si>
  <si>
    <t xml:space="preserve"> Fu shun</t>
  </si>
  <si>
    <t xml:space="preserve"> Chang Chun</t>
  </si>
  <si>
    <t xml:space="preserve"> Tai Yuan</t>
  </si>
  <si>
    <t xml:space="preserve"> Yat Sen</t>
  </si>
  <si>
    <t xml:space="preserve"> Ning Hai</t>
  </si>
  <si>
    <t xml:space="preserve"> Ping Hai</t>
  </si>
  <si>
    <t>CN</t>
  </si>
  <si>
    <t>NU</t>
  </si>
  <si>
    <t xml:space="preserve"> Le Triomphant</t>
  </si>
  <si>
    <t xml:space="preserve"> Forbin</t>
  </si>
  <si>
    <t xml:space="preserve"> Le Temeraire</t>
  </si>
  <si>
    <t xml:space="preserve"> Emile Bertin</t>
  </si>
  <si>
    <t xml:space="preserve"> Surcouf</t>
  </si>
  <si>
    <t xml:space="preserve"> Saint Louis</t>
  </si>
  <si>
    <t>FFN</t>
  </si>
  <si>
    <t xml:space="preserve"> Le Mars</t>
  </si>
  <si>
    <t xml:space="preserve"> Dunkerque</t>
  </si>
  <si>
    <t xml:space="preserve"> Jean Bart</t>
  </si>
  <si>
    <t>VFN</t>
  </si>
  <si>
    <t xml:space="preserve"> Noire</t>
  </si>
  <si>
    <t xml:space="preserve"> Blanc</t>
  </si>
  <si>
    <t xml:space="preserve"> Vert</t>
  </si>
  <si>
    <t xml:space="preserve"> Purple Heart</t>
  </si>
  <si>
    <t xml:space="preserve"> Black Heart</t>
  </si>
  <si>
    <t xml:space="preserve"> White Heart</t>
  </si>
  <si>
    <t xml:space="preserve"> Green Heart</t>
  </si>
  <si>
    <t>Neptunia</t>
  </si>
  <si>
    <t>Barrage Time (s)</t>
  </si>
  <si>
    <t>Stat Type</t>
  </si>
  <si>
    <t>2x410mm Purple</t>
  </si>
  <si>
    <t>2x410mm Gold</t>
  </si>
  <si>
    <t>Cooldown (s)</t>
  </si>
  <si>
    <t>Crit %</t>
  </si>
  <si>
    <t>Barrage DAM</t>
  </si>
  <si>
    <t>Eff Primary Damage</t>
  </si>
  <si>
    <t>Independence</t>
  </si>
  <si>
    <t>Shangri-La</t>
  </si>
  <si>
    <t>Shangri-la</t>
  </si>
  <si>
    <t>Kaga Battleship</t>
  </si>
  <si>
    <t>Dmg</t>
  </si>
  <si>
    <t>DPS</t>
  </si>
  <si>
    <t>2x100mm High-angle Cannon</t>
  </si>
  <si>
    <t>2x40mm STAAG</t>
  </si>
  <si>
    <t>12.7mm AA M2</t>
  </si>
  <si>
    <t>20mm AA Oerlikon</t>
  </si>
  <si>
    <t>25mm AA Type 96</t>
  </si>
  <si>
    <t>37mm AA 70K</t>
  </si>
  <si>
    <t>2x40mm Vickers pom-pom</t>
  </si>
  <si>
    <t>4x20mm AA Flak</t>
  </si>
  <si>
    <t>102mm AA QF 4" Mk V</t>
  </si>
  <si>
    <t>127mm AA Type 89</t>
  </si>
  <si>
    <t>76mm AA 3″/50 MK 22</t>
  </si>
  <si>
    <t>3x25mm AA Type 96</t>
  </si>
  <si>
    <t>2x25mm AA Type 96</t>
  </si>
  <si>
    <t>4x28mm AA Chicago Piano</t>
  </si>
  <si>
    <t>4x40mm Vickers Pom Pom</t>
  </si>
  <si>
    <t>2x40mm AA L60 Bofors</t>
  </si>
  <si>
    <t>2x37mm AA SK C/30</t>
  </si>
  <si>
    <t>2x20mm AA Oerlikon</t>
  </si>
  <si>
    <t>BI-type 40mm</t>
  </si>
  <si>
    <t>8x40mm Pom Pom</t>
  </si>
  <si>
    <t>2x105mm SKC</t>
  </si>
  <si>
    <t>2x113mm BD RP10</t>
  </si>
  <si>
    <t>4x40mm Bofors</t>
  </si>
  <si>
    <t>Total AA</t>
  </si>
  <si>
    <t>AA-FP %</t>
  </si>
  <si>
    <t>AA-FP Stat</t>
  </si>
  <si>
    <t>Uta</t>
  </si>
  <si>
    <t>VT-8 Devastator</t>
  </si>
  <si>
    <t>VT-8 Avenger</t>
  </si>
  <si>
    <t>Z2</t>
  </si>
  <si>
    <t>Hunter</t>
  </si>
  <si>
    <t>Hardy</t>
  </si>
  <si>
    <t>x</t>
  </si>
  <si>
    <t>500lbEX</t>
  </si>
  <si>
    <t>Bomb Damage</t>
  </si>
  <si>
    <t>B1</t>
  </si>
  <si>
    <t>B2</t>
  </si>
  <si>
    <t>Lbase</t>
  </si>
  <si>
    <t>Mbase</t>
  </si>
  <si>
    <t>Hbase</t>
  </si>
  <si>
    <t>Barrage DMG</t>
  </si>
  <si>
    <t>Burn DMG</t>
  </si>
  <si>
    <t>Crit Torp DMG %</t>
  </si>
  <si>
    <t>Base DMG</t>
  </si>
  <si>
    <t>Total Barrage DMG</t>
  </si>
  <si>
    <t>Eff Primary DMG</t>
  </si>
  <si>
    <t>DMG 2</t>
  </si>
  <si>
    <t>DMG 3</t>
  </si>
  <si>
    <t>DMG4</t>
  </si>
  <si>
    <t>Barrage</t>
  </si>
  <si>
    <t>DMG 1</t>
  </si>
  <si>
    <t>Total AirP</t>
  </si>
  <si>
    <t>Flood %</t>
  </si>
  <si>
    <t>Flood Coeff</t>
  </si>
  <si>
    <t>DPS 1</t>
  </si>
  <si>
    <t>DPS 2</t>
  </si>
  <si>
    <t>DPS 3</t>
  </si>
  <si>
    <t>DPS 4</t>
  </si>
  <si>
    <t>DMG 4</t>
  </si>
  <si>
    <t>Passive</t>
  </si>
  <si>
    <t>BBV</t>
  </si>
  <si>
    <t>Zuiun</t>
  </si>
  <si>
    <t>Air Strike Cooldown (s)</t>
  </si>
  <si>
    <t>Gun Cooldown (s)</t>
  </si>
  <si>
    <t>Airstrike CD (s)</t>
  </si>
  <si>
    <t>Gun CD (s)</t>
  </si>
  <si>
    <t>Airstrike DPS</t>
  </si>
  <si>
    <t>Gun DPS</t>
  </si>
  <si>
    <t>TableStats</t>
  </si>
  <si>
    <t>818 Squadron</t>
  </si>
  <si>
    <t>RND Mod</t>
  </si>
  <si>
    <t>Hit Mod</t>
  </si>
  <si>
    <t>TP Mod</t>
  </si>
  <si>
    <t>FP Mod</t>
  </si>
  <si>
    <t>Reload Mod</t>
  </si>
  <si>
    <t>Stat Mod</t>
  </si>
  <si>
    <t>RND</t>
  </si>
  <si>
    <t>Evasion Mod</t>
  </si>
  <si>
    <t>Crit Torp Mod</t>
  </si>
  <si>
    <t>Crit Mod</t>
  </si>
  <si>
    <t>DMG Mod</t>
  </si>
  <si>
    <t>AirP Mod</t>
  </si>
  <si>
    <t>Crit Base DMG</t>
  </si>
  <si>
    <t>Evasion Skill %</t>
  </si>
  <si>
    <t>Crit Skill %</t>
  </si>
  <si>
    <t>Abs CD %</t>
  </si>
  <si>
    <t>Enemy Acc:</t>
  </si>
  <si>
    <t>Gun RoF (s)</t>
  </si>
  <si>
    <t>Own Accuracy:</t>
  </si>
  <si>
    <t>Torpedo RoF (s):</t>
  </si>
  <si>
    <t>Enemy Accuracy:</t>
  </si>
  <si>
    <t>Bunker Hill</t>
  </si>
  <si>
    <t>Dewey</t>
  </si>
  <si>
    <t>AB %</t>
  </si>
  <si>
    <t>Burn Coef</t>
  </si>
  <si>
    <t>AB Coef</t>
  </si>
  <si>
    <t>AS</t>
  </si>
  <si>
    <t>AB Mod</t>
  </si>
  <si>
    <t>Asbase</t>
  </si>
  <si>
    <t>Total AS</t>
  </si>
  <si>
    <t>I-13</t>
  </si>
  <si>
    <t>Suzuya</t>
  </si>
  <si>
    <t>Seiran</t>
  </si>
  <si>
    <t>Type 98 Delayed Firing Device</t>
  </si>
  <si>
    <t>Reduces spread by 2</t>
  </si>
  <si>
    <t>Yuubari Kai</t>
  </si>
  <si>
    <t>TORP Mod</t>
  </si>
  <si>
    <t>SSV</t>
  </si>
  <si>
    <t>SubmarineCarrier</t>
  </si>
  <si>
    <t>Tertiary</t>
  </si>
  <si>
    <t>Stars</t>
  </si>
  <si>
    <t>Drop</t>
  </si>
  <si>
    <t/>
  </si>
  <si>
    <t>★★★★</t>
  </si>
  <si>
    <t>80°</t>
  </si>
  <si>
    <t>Iris of the Light and the Dark</t>
  </si>
  <si>
    <t>★★★★★</t>
  </si>
  <si>
    <t>90°</t>
  </si>
  <si>
    <t>Homing</t>
  </si>
  <si>
    <t>550mm 24V Torpedo</t>
  </si>
  <si>
    <t>G7a Torpedo</t>
  </si>
  <si>
    <t>G7e Acoustic Homing Torpedo</t>
  </si>
  <si>
    <t>Mark 14 Torpedo</t>
  </si>
  <si>
    <t>Mark 16 Torpedo</t>
  </si>
  <si>
    <t>Type 92 Battery-powered Torpedo</t>
  </si>
  <si>
    <t>Type 95 Oxygen Torpedo</t>
  </si>
  <si>
    <t>Torpedo Capacity</t>
  </si>
  <si>
    <t>Torp#</t>
  </si>
  <si>
    <t>Surface T</t>
  </si>
  <si>
    <t>Snorkel</t>
  </si>
  <si>
    <t>Oxygen Tank</t>
  </si>
  <si>
    <t>OXY</t>
  </si>
  <si>
    <t>Total OXY</t>
  </si>
  <si>
    <t>Sub T</t>
  </si>
  <si>
    <t>Total T</t>
  </si>
  <si>
    <t>Sum Damage:</t>
  </si>
  <si>
    <t>Primary RoF</t>
  </si>
  <si>
    <t>Secondary RoF</t>
  </si>
  <si>
    <t>Total Damage</t>
  </si>
  <si>
    <t>Tertiary RoF</t>
  </si>
  <si>
    <t>Equivalent DPS</t>
  </si>
  <si>
    <t>Equivalent eDPS</t>
  </si>
  <si>
    <t>Total Time</t>
  </si>
  <si>
    <t>Crit Gun DMG %</t>
  </si>
  <si>
    <t>Barrage Damage</t>
  </si>
  <si>
    <t>Crit RND DMG %</t>
  </si>
  <si>
    <t>Crit Gun Mod</t>
  </si>
  <si>
    <t>Flood DMG</t>
  </si>
  <si>
    <t>Torp Mod</t>
  </si>
  <si>
    <t>HE++</t>
  </si>
  <si>
    <t>457mm Mk A</t>
  </si>
  <si>
    <t>23°</t>
  </si>
  <si>
    <t>406mm (SKC)</t>
  </si>
  <si>
    <t>310mm Azuma</t>
  </si>
  <si>
    <t>26°</t>
  </si>
  <si>
    <t>3x152mm Mark 7</t>
  </si>
  <si>
    <t>16°</t>
  </si>
  <si>
    <t>FDG</t>
  </si>
  <si>
    <t>FdG</t>
  </si>
  <si>
    <t>Georgia</t>
  </si>
  <si>
    <t>Azuma</t>
  </si>
  <si>
    <t>Kitakaze</t>
  </si>
  <si>
    <t>Gascogne</t>
  </si>
  <si>
    <t>Seattle</t>
  </si>
  <si>
    <t>Decisive</t>
  </si>
  <si>
    <t>NA</t>
  </si>
  <si>
    <t>SCA</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</si>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</sst>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quot;lb&quot;"/>
    <numFmt numFmtId="166" formatCode="0.0%"/>
  </numFmts>
  <fonts count="5" x14ac:knownFonts="1">
    <font>
      <sz val="11"/>
      <color theme="1"/>
      <name val="Calibri"/>
      <family val="2"/>
      <scheme val="minor"/>
    </font>
    <font>
      <sz val="1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1"/>
        <bgColor indexed="64"/>
      </patternFill>
    </fill>
    <fill>
      <patternFill patternType="solid">
        <fgColor theme="1" tint="0.499984740745262"/>
        <bgColor indexed="64"/>
      </patternFill>
    </fill>
    <fill>
      <patternFill patternType="solid">
        <fgColor theme="0" tint="-0.14999847407452621"/>
        <bgColor theme="0" tint="-0.14999847407452621"/>
      </patternFill>
    </fill>
    <fill>
      <patternFill patternType="solid">
        <fgColor theme="1"/>
        <bgColor theme="1"/>
      </patternFill>
    </fill>
    <fill>
      <patternFill patternType="solid">
        <fgColor theme="2" tint="-0.499984740745262"/>
        <bgColor indexed="64"/>
      </patternFill>
    </fill>
  </fills>
  <borders count="11">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style="thin">
        <color theme="1"/>
      </left>
      <right/>
      <top style="thin">
        <color theme="1"/>
      </top>
      <bottom style="thin">
        <color theme="1"/>
      </bottom>
      <diagonal/>
    </border>
    <border>
      <left style="thin">
        <color theme="1"/>
      </left>
      <right/>
      <top style="thin">
        <color theme="1"/>
      </top>
      <bottom/>
      <diagonal/>
    </border>
    <border>
      <left/>
      <right/>
      <top/>
      <bottom style="thin">
        <color theme="4" tint="0.39997558519241921"/>
      </bottom>
      <diagonal/>
    </border>
  </borders>
  <cellStyleXfs count="1">
    <xf numFmtId="0" fontId="0" fillId="0" borderId="0"/>
  </cellStyleXfs>
  <cellXfs count="44">
    <xf numFmtId="0" fontId="0" fillId="0" borderId="0" xfId="0"/>
    <xf numFmtId="10" fontId="0" fillId="0" borderId="0" xfId="0" applyNumberFormat="1"/>
    <xf numFmtId="2" fontId="0" fillId="0" borderId="0" xfId="0" applyNumberFormat="1"/>
    <xf numFmtId="164" fontId="0" fillId="0" borderId="0" xfId="0" applyNumberFormat="1"/>
    <xf numFmtId="0" fontId="1" fillId="2" borderId="0" xfId="0" applyFont="1" applyFill="1"/>
    <xf numFmtId="0" fontId="0" fillId="2" borderId="0" xfId="0" applyFill="1"/>
    <xf numFmtId="9" fontId="0" fillId="0" borderId="0" xfId="0" applyNumberFormat="1"/>
    <xf numFmtId="0" fontId="0" fillId="3" borderId="1" xfId="0" applyFill="1" applyBorder="1"/>
    <xf numFmtId="0" fontId="0" fillId="3" borderId="2" xfId="0" applyFill="1" applyBorder="1"/>
    <xf numFmtId="0" fontId="0" fillId="0" borderId="1" xfId="0" applyBorder="1"/>
    <xf numFmtId="0" fontId="0" fillId="0" borderId="2" xfId="0" applyBorder="1"/>
    <xf numFmtId="1" fontId="0" fillId="0" borderId="0" xfId="0" applyNumberFormat="1"/>
    <xf numFmtId="0" fontId="0" fillId="3" borderId="3" xfId="0" applyFill="1" applyBorder="1"/>
    <xf numFmtId="0" fontId="0" fillId="3" borderId="4" xfId="0" applyFill="1" applyBorder="1"/>
    <xf numFmtId="0" fontId="2" fillId="2" borderId="0" xfId="0" applyFont="1" applyFill="1"/>
    <xf numFmtId="0" fontId="1" fillId="0" borderId="0" xfId="0" applyFont="1"/>
    <xf numFmtId="0" fontId="3" fillId="0" borderId="0" xfId="0" applyFont="1"/>
    <xf numFmtId="165" fontId="0" fillId="0" borderId="0" xfId="0" applyNumberFormat="1"/>
    <xf numFmtId="0" fontId="2" fillId="4" borderId="0" xfId="0" applyFont="1" applyFill="1"/>
    <xf numFmtId="0" fontId="0" fillId="4" borderId="0" xfId="0" applyFill="1"/>
    <xf numFmtId="0" fontId="1" fillId="4" borderId="0" xfId="0" applyFont="1" applyFill="1"/>
    <xf numFmtId="10" fontId="2" fillId="4" borderId="0" xfId="0" applyNumberFormat="1" applyFont="1" applyFill="1"/>
    <xf numFmtId="2" fontId="2" fillId="4" borderId="0" xfId="0" applyNumberFormat="1" applyFont="1" applyFill="1"/>
    <xf numFmtId="0" fontId="4" fillId="4" borderId="0" xfId="0" applyFont="1" applyFill="1"/>
    <xf numFmtId="166" fontId="0" fillId="0" borderId="0" xfId="0" applyNumberFormat="1"/>
    <xf numFmtId="0" fontId="2" fillId="5" borderId="0" xfId="0" applyFont="1" applyFill="1"/>
    <xf numFmtId="0" fontId="0" fillId="6" borderId="5" xfId="0" applyFill="1" applyBorder="1"/>
    <xf numFmtId="0" fontId="0" fillId="0" borderId="5" xfId="0" applyBorder="1"/>
    <xf numFmtId="0" fontId="2" fillId="7" borderId="6" xfId="0" applyFont="1" applyFill="1" applyBorder="1"/>
    <xf numFmtId="0" fontId="0" fillId="0" borderId="7" xfId="0" applyBorder="1"/>
    <xf numFmtId="0" fontId="0" fillId="0" borderId="6" xfId="0" applyBorder="1"/>
    <xf numFmtId="0" fontId="0" fillId="6" borderId="6" xfId="0" applyFill="1" applyBorder="1"/>
    <xf numFmtId="0" fontId="2" fillId="8" borderId="0" xfId="0" applyFont="1" applyFill="1"/>
    <xf numFmtId="0" fontId="2" fillId="0" borderId="0" xfId="0" applyFont="1"/>
    <xf numFmtId="0" fontId="0" fillId="0" borderId="0" xfId="0" applyAlignment="1">
      <alignment horizontal="center"/>
    </xf>
    <xf numFmtId="0" fontId="0" fillId="6" borderId="8" xfId="0" applyFill="1" applyBorder="1"/>
    <xf numFmtId="0" fontId="2" fillId="7" borderId="9" xfId="0" applyFont="1" applyFill="1" applyBorder="1"/>
    <xf numFmtId="0" fontId="2" fillId="7" borderId="7" xfId="0" applyFont="1" applyFill="1" applyBorder="1"/>
    <xf numFmtId="0" fontId="2" fillId="7" borderId="0" xfId="0" applyFont="1" applyFill="1"/>
    <xf numFmtId="9" fontId="0" fillId="6" borderId="0" xfId="0" applyNumberFormat="1" applyFill="1"/>
    <xf numFmtId="0" fontId="0" fillId="6" borderId="0" xfId="0" applyFill="1"/>
    <xf numFmtId="0" fontId="0" fillId="3" borderId="10" xfId="0" applyFill="1" applyBorder="1"/>
    <xf numFmtId="0" fontId="0" fillId="0" borderId="0" xfId="0" applyFill="1"/>
    <xf numFmtId="9" fontId="0" fillId="0" borderId="0" xfId="0" applyNumberFormat="1" applyFill="1"/>
  </cellXfs>
  <cellStyles count="1">
    <cellStyle name="Normal" xfId="0" builtinId="0"/>
  </cellStyles>
  <dxfs count="10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right/>
        <top style="thin">
          <color theme="1"/>
        </top>
        <bottom style="thin">
          <color theme="1"/>
        </bottom>
        <vertical/>
        <horizontal/>
      </border>
    </dxf>
    <dxf>
      <numFmt numFmtId="0" formatCode="General"/>
      <border diagonalUp="0" diagonalDown="0">
        <left/>
        <right/>
        <top style="thin">
          <color theme="1"/>
        </top>
        <bottom style="thin">
          <color theme="1"/>
        </bottom>
        <vertical/>
        <horizontal/>
      </border>
    </dxf>
    <dxf>
      <numFmt numFmtId="0" formatCode="General"/>
      <border diagonalUp="0" diagonalDown="0">
        <left/>
        <right/>
        <top style="thin">
          <color theme="1"/>
        </top>
        <bottom style="thin">
          <color theme="1"/>
        </bottom>
        <vertical/>
        <horizontal/>
      </border>
    </dxf>
    <dxf>
      <border diagonalUp="0" diagonalDown="0">
        <left/>
        <right/>
        <top style="thin">
          <color theme="1"/>
        </top>
        <bottom style="thin">
          <color theme="1"/>
        </bottom>
        <vertical/>
        <horizontal/>
      </border>
    </dxf>
    <dxf>
      <border outline="0">
        <top style="thin">
          <color theme="1"/>
        </top>
      </border>
    </dxf>
    <dxf>
      <border outline="0">
        <left style="thin">
          <color theme="1"/>
        </left>
        <top style="thin">
          <color theme="1"/>
        </top>
        <bottom style="thin">
          <color theme="1"/>
        </bottom>
      </border>
    </dxf>
    <dxf>
      <border outline="0">
        <bottom style="thin">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numFmt numFmtId="13" formatCode="0%"/>
    </dxf>
    <dxf>
      <numFmt numFmtId="13" formatCode="0%"/>
    </dxf>
    <dxf>
      <numFmt numFmtId="13" formatCode="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dxf>
    <dxf>
      <numFmt numFmtId="13" formatCode="0%"/>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outline="0">
        <left/>
        <right/>
        <top style="thin">
          <color theme="1"/>
        </top>
        <bottom style="thin">
          <color theme="1"/>
        </bottom>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right/>
        <top style="thin">
          <color theme="1"/>
        </top>
        <bottom style="thin">
          <color theme="1"/>
        </bottom>
        <vertical/>
        <horizontal/>
      </border>
    </dxf>
    <dxf>
      <fill>
        <patternFill patternType="solid">
          <fgColor theme="0" tint="-0.14999847407452621"/>
          <bgColor theme="0" tint="-0.14999847407452621"/>
        </patternFill>
      </fill>
      <border diagonalUp="0" diagonalDown="0">
        <left style="thin">
          <color theme="1"/>
        </left>
        <right/>
        <top style="thin">
          <color theme="1"/>
        </top>
        <bottom style="thin">
          <color theme="1"/>
        </bottom>
        <vertical/>
        <horizontal/>
      </border>
    </dxf>
    <dxf>
      <border outline="0">
        <right style="thin">
          <color theme="1"/>
        </right>
      </border>
    </dxf>
    <dxf>
      <fill>
        <patternFill patternType="solid">
          <fgColor theme="0" tint="-0.14999847407452621"/>
          <bgColor theme="0" tint="-0.14999847407452621"/>
        </patternFill>
      </fill>
    </dxf>
    <dxf>
      <font>
        <b/>
        <i val="0"/>
        <strike val="0"/>
        <condense val="0"/>
        <extend val="0"/>
        <outline val="0"/>
        <shadow val="0"/>
        <u val="none"/>
        <vertAlign val="baseline"/>
        <sz val="11"/>
        <color theme="0"/>
        <name val="Calibri"/>
        <family val="2"/>
        <scheme val="minor"/>
      </font>
      <fill>
        <patternFill patternType="solid">
          <fgColor theme="1"/>
          <bgColor theme="1"/>
        </patternFill>
      </fill>
    </dxf>
    <dxf>
      <border outline="0">
        <top style="thin">
          <color theme="1"/>
        </top>
      </border>
    </dxf>
    <dxf>
      <border outline="0">
        <top style="thin">
          <color theme="1"/>
        </top>
        <bottom style="thin">
          <color theme="1"/>
        </bottom>
      </border>
    </dxf>
    <dxf>
      <numFmt numFmtId="13" formatCode="0%"/>
      <fill>
        <patternFill patternType="none">
          <fgColor indexed="64"/>
          <bgColor indexed="65"/>
        </patternFill>
      </fill>
    </dxf>
    <dxf>
      <numFmt numFmtId="13" formatCode="0%"/>
      <fill>
        <patternFill patternType="none">
          <fgColor indexed="64"/>
          <bgColor indexed="65"/>
        </patternFill>
      </fill>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
      <numFmt numFmtId="13" formatCode="0%"/>
    </dxf>
    <dxf>
      <numFmt numFmtId="13" formatCode="0%"/>
    </dxf>
    <dxf>
      <border outline="0">
        <top style="thin">
          <color theme="1"/>
        </top>
      </border>
    </dxf>
    <dxf>
      <border outline="0">
        <left style="thin">
          <color theme="1"/>
        </left>
        <right style="thin">
          <color theme="1"/>
        </right>
        <top style="thin">
          <color theme="1"/>
        </top>
        <bottom style="thin">
          <color theme="1"/>
        </bottom>
      </border>
    </dxf>
    <dxf>
      <border outline="0">
        <bottom style="thin">
          <color theme="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594360</xdr:colOff>
      <xdr:row>1</xdr:row>
      <xdr:rowOff>15240</xdr:rowOff>
    </xdr:from>
    <xdr:to>
      <xdr:col>10</xdr:col>
      <xdr:colOff>0</xdr:colOff>
      <xdr:row>92</xdr:row>
      <xdr:rowOff>60960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594360" y="198120"/>
          <a:ext cx="5501640" cy="1668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FP - Firepower</a:t>
          </a:r>
        </a:p>
        <a:p>
          <a:endParaRPr lang="en-US" sz="1100"/>
        </a:p>
        <a:p>
          <a:r>
            <a:rPr lang="en-US" sz="1100"/>
            <a:t>TP</a:t>
          </a:r>
          <a:r>
            <a:rPr lang="en-US" sz="1100" baseline="0"/>
            <a:t> - Torpedo</a:t>
          </a:r>
        </a:p>
        <a:p>
          <a:endParaRPr lang="en-US" sz="1100" baseline="0"/>
        </a:p>
        <a:p>
          <a:r>
            <a:rPr lang="en-US" sz="1100" baseline="0"/>
            <a:t>EFF - Primary Gun Efficiency / A equipment's own efficiency</a:t>
          </a:r>
        </a:p>
        <a:p>
          <a:r>
            <a:rPr lang="en-US" sz="1100" baseline="0"/>
            <a:t>* For CV, EFF is her efficiency regarding the particular plane slot. This calculator goes from left to right. So say for Enterprise, her loadout is Fighter/Divebomber/Torpedo Bomber. Then Slot 1 (most left after the auxes) = Fighter, etc.</a:t>
          </a:r>
        </a:p>
        <a:p>
          <a:endParaRPr lang="en-US" sz="1100" baseline="0"/>
        </a:p>
        <a:p>
          <a:r>
            <a:rPr lang="en-US" sz="1100"/>
            <a:t>SECEFF - Torpedo/Secondary</a:t>
          </a:r>
          <a:r>
            <a:rPr lang="en-US" sz="1100" baseline="0"/>
            <a:t> Efficiency</a:t>
          </a:r>
        </a:p>
        <a:p>
          <a:endParaRPr lang="en-US" sz="1100" baseline="0"/>
        </a:p>
        <a:p>
          <a:r>
            <a:rPr lang="en-US" sz="1100" baseline="0"/>
            <a:t>EVA - Evasion</a:t>
          </a:r>
        </a:p>
        <a:p>
          <a:endParaRPr lang="en-US" sz="1100" baseline="0"/>
        </a:p>
        <a:p>
          <a:r>
            <a:rPr lang="en-US" sz="1100" baseline="0"/>
            <a:t>Coef - Coefficient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Mod - Modifier: </a:t>
          </a:r>
          <a:r>
            <a:rPr lang="en-US" sz="1100" baseline="0">
              <a:solidFill>
                <a:schemeClr val="dk1"/>
              </a:solidFill>
              <a:effectLst/>
              <a:latin typeface="+mn-lt"/>
              <a:ea typeface="+mn-ea"/>
              <a:cs typeface="+mn-cs"/>
            </a:rPr>
            <a:t>Always 100% (default) except for Crit%/Crit Add Modifier (which are autofilled) and Crit/Reload Modifier (calculated). </a:t>
          </a:r>
          <a:endParaRPr lang="en-US" sz="1100" baseline="0"/>
        </a:p>
        <a:p>
          <a:endParaRPr lang="en-US" sz="1100" baseline="0"/>
        </a:p>
        <a:p>
          <a:r>
            <a:rPr lang="en-US" sz="1100" baseline="0"/>
            <a:t>DMG - Damage</a:t>
          </a:r>
        </a:p>
        <a:p>
          <a:endParaRPr lang="en-US" sz="1100" baseline="0"/>
        </a:p>
        <a:p>
          <a:r>
            <a:rPr lang="en-US" sz="1100" baseline="0"/>
            <a:t>RND - Round(s)</a:t>
          </a:r>
        </a:p>
        <a:p>
          <a:endParaRPr lang="en-US" sz="1100" baseline="0"/>
        </a:p>
        <a:p>
          <a:r>
            <a:rPr lang="en-US" sz="1100" baseline="0"/>
            <a:t>Burn % - Probability of ignition. Note that there are various Burn %, i.e. for primary, barrage. Secondary is not included due to low DPS.</a:t>
          </a:r>
        </a:p>
        <a:p>
          <a:endParaRPr lang="en-US" sz="1100" baseline="0"/>
        </a:p>
        <a:p>
          <a:r>
            <a:rPr lang="en-US" sz="1100"/>
            <a:t>Burn - Damage</a:t>
          </a:r>
          <a:r>
            <a:rPr lang="en-US" sz="1100" baseline="0"/>
            <a:t> modifier for burn damage.</a:t>
          </a:r>
        </a:p>
        <a:p>
          <a:endParaRPr lang="en-US" sz="1100" baseline="0"/>
        </a:p>
        <a:p>
          <a:r>
            <a:rPr lang="en-US" sz="1100" baseline="0"/>
            <a:t>Abs CD - Absolute cooldown of a gun-type</a:t>
          </a:r>
        </a:p>
        <a:p>
          <a:endParaRPr lang="en-US" sz="1100" baseline="0"/>
        </a:p>
        <a:p>
          <a:r>
            <a:rPr lang="en-US" sz="1100" baseline="0"/>
            <a:t>VT - Volley Time</a:t>
          </a:r>
        </a:p>
        <a:p>
          <a:endParaRPr lang="en-US" sz="1100" baseline="0"/>
        </a:p>
        <a:p>
          <a:r>
            <a:rPr lang="en-US" sz="1100" baseline="0"/>
            <a:t>Reload Skill % - If a skill increases the RELOAD value, enter it here.</a:t>
          </a:r>
        </a:p>
        <a:p>
          <a:endParaRPr lang="en-US" sz="1100" baseline="0"/>
        </a:p>
        <a:p>
          <a:r>
            <a:rPr lang="en-US" sz="1100" baseline="0"/>
            <a:t>Reload Mod- Changes the RELOAD value.</a:t>
          </a:r>
        </a:p>
        <a:p>
          <a:endParaRPr lang="en-US" sz="1100" baseline="0"/>
        </a:p>
        <a:p>
          <a:r>
            <a:rPr lang="en-US" sz="1100" baseline="0"/>
            <a:t>Crit Mod - 1 + Critical Probability * Critical Base Damage. </a:t>
          </a:r>
        </a:p>
        <a:p>
          <a:endParaRPr lang="en-US" sz="1100" baseline="0"/>
        </a:p>
        <a:p>
          <a:r>
            <a:rPr lang="en-US" sz="1100" baseline="0"/>
            <a:t>Crit Base Damage - 1.5. Must be manually changed</a:t>
          </a:r>
        </a:p>
        <a:p>
          <a:endParaRPr lang="en-US" sz="1100" baseline="0"/>
        </a:p>
        <a:p>
          <a:r>
            <a:rPr lang="en-US" sz="1100" baseline="0"/>
            <a:t>Crit Skill - If a skill increases a crit rate directly, i.e. additively. Change the 1.5 value if it is multiplicative.</a:t>
          </a:r>
        </a:p>
        <a:p>
          <a:endParaRPr lang="en-US">
            <a:effectLst/>
          </a:endParaRPr>
        </a:p>
        <a:p>
          <a:r>
            <a:rPr lang="en-US" sz="1100" baseline="0">
              <a:solidFill>
                <a:schemeClr val="dk1"/>
              </a:solidFill>
              <a:effectLst/>
              <a:latin typeface="+mn-lt"/>
              <a:ea typeface="+mn-ea"/>
              <a:cs typeface="+mn-cs"/>
            </a:rPr>
            <a:t>MGM - Main Gun Mount. Default value is 1. If MGM+1, value is 2. MGM+2, value is 3. Etc. It is incredibly important that if the ship has a MGM, the gun equipment </a:t>
          </a:r>
          <a:r>
            <a:rPr lang="en-US" sz="1100" i="1" baseline="0">
              <a:solidFill>
                <a:schemeClr val="dk1"/>
              </a:solidFill>
              <a:effectLst/>
              <a:latin typeface="+mn-lt"/>
              <a:ea typeface="+mn-ea"/>
              <a:cs typeface="+mn-cs"/>
            </a:rPr>
            <a:t>must</a:t>
          </a:r>
          <a:r>
            <a:rPr lang="en-US" sz="1100" i="0" baseline="0">
              <a:solidFill>
                <a:schemeClr val="dk1"/>
              </a:solidFill>
              <a:effectLst/>
              <a:latin typeface="+mn-lt"/>
              <a:ea typeface="+mn-ea"/>
              <a:cs typeface="+mn-cs"/>
            </a:rPr>
            <a:t> go onto the primary slot otherwise it won't calculate properly.</a:t>
          </a:r>
          <a:endParaRPr lang="en-US">
            <a:effectLst/>
          </a:endParaRPr>
        </a:p>
        <a:p>
          <a:endParaRPr lang="en-US" sz="1100" baseline="0"/>
        </a:p>
        <a:p>
          <a:r>
            <a:rPr lang="en-US" sz="1100"/>
            <a:t>Barrage Rounds -</a:t>
          </a:r>
          <a:r>
            <a:rPr lang="en-US" sz="1100" baseline="0"/>
            <a:t> How many times the shipgirl needs to fire her gun in order to trigger a barrage. If a shipgirl has MGM+1, divide value by 2.</a:t>
          </a:r>
        </a:p>
        <a:p>
          <a:endParaRPr lang="en-US" sz="1100" baseline="0"/>
        </a:p>
        <a:p>
          <a:r>
            <a:rPr lang="en-US" sz="1100"/>
            <a:t>Barrage</a:t>
          </a:r>
          <a:r>
            <a:rPr lang="en-US" sz="1100" baseline="0"/>
            <a:t> Damage - Is the total damage of a barrage, i.e. Barrage Rounds x Barrage Hit x Barrage Coefficient.</a:t>
          </a:r>
        </a:p>
        <a:p>
          <a:endParaRPr lang="en-US" sz="1100" baseline="0"/>
        </a:p>
        <a:p>
          <a:r>
            <a:rPr lang="en-US" sz="1100" baseline="0"/>
            <a:t>Stat Mod (Barrage Section) - Determines how much does a stat weigh in.</a:t>
          </a:r>
        </a:p>
        <a:p>
          <a:endParaRPr lang="en-US" sz="1100" baseline="0"/>
        </a:p>
        <a:p>
          <a:r>
            <a:rPr lang="en-US" sz="1100" baseline="0"/>
            <a:t>Trigger % - The probability of a barrage triggering</a:t>
          </a:r>
        </a:p>
        <a:p>
          <a:endParaRPr lang="en-US" sz="1100" baseline="0"/>
        </a:p>
        <a:p>
          <a:r>
            <a:rPr lang="en-US" sz="1100" baseline="0"/>
            <a:t>Trigger (s) - Period of when does the game roll the barrage skill</a:t>
          </a:r>
        </a:p>
        <a:p>
          <a:endParaRPr lang="en-US" sz="1100" baseline="0"/>
        </a:p>
        <a:p>
          <a:r>
            <a:rPr lang="en-US" sz="1100" baseline="0"/>
            <a:t>Base Barrage - Barrage damage of one round times the barrage coefficient</a:t>
          </a:r>
        </a:p>
        <a:p>
          <a:endParaRPr lang="en-US" sz="1100" baseline="0"/>
        </a:p>
        <a:p>
          <a:r>
            <a:rPr lang="en-US" sz="1100" baseline="0"/>
            <a:t>Stat Mod - Some barrages modify a stat for a barrage. This is either FP or TP. 100% means the stat is unchanged.</a:t>
          </a:r>
        </a:p>
        <a:p>
          <a:endParaRPr lang="en-US" sz="1100" baseline="0"/>
        </a:p>
        <a:p>
          <a:r>
            <a:rPr lang="en-US" sz="1100" baseline="0"/>
            <a:t>eHP - Effective HP</a:t>
          </a:r>
        </a:p>
        <a:p>
          <a:endParaRPr lang="en-US" sz="1100" baseline="0"/>
        </a:p>
        <a:p>
          <a:r>
            <a:rPr lang="en-US" sz="1100" baseline="0"/>
            <a:t>Own Accuracy, also symbolized by O - Determines how accurate you are. Modifies eDPS</a:t>
          </a:r>
        </a:p>
        <a:p>
          <a:endParaRPr lang="en-US" sz="1100" baseline="0"/>
        </a:p>
        <a:p>
          <a:r>
            <a:rPr lang="en-US" sz="1100" baseline="0"/>
            <a:t>Enemy Accuracy, also symbolized by E - Determines your eHP</a:t>
          </a:r>
        </a:p>
        <a:p>
          <a:endParaRPr lang="en-US" sz="1100"/>
        </a:p>
        <a:p>
          <a:r>
            <a:rPr lang="en-US" sz="1100"/>
            <a:t>Gun</a:t>
          </a:r>
          <a:r>
            <a:rPr lang="en-US" sz="1100" baseline="0"/>
            <a:t> Burn Damage/Burn DMG - Total fire damage</a:t>
          </a:r>
        </a:p>
        <a:p>
          <a:endParaRPr lang="en-US" sz="1100" baseline="0"/>
        </a:p>
        <a:p>
          <a:r>
            <a:rPr lang="en-US" sz="1100"/>
            <a:t>Corrected Accuracy - Limits the values from 10% to 90%</a:t>
          </a:r>
        </a:p>
        <a:p>
          <a:endParaRPr lang="en-US" sz="1100"/>
        </a:p>
        <a:p>
          <a:r>
            <a:rPr lang="en-US" sz="1100"/>
            <a:t>Flood - Either 0 or</a:t>
          </a:r>
          <a:r>
            <a:rPr lang="en-US" sz="1100" baseline="0"/>
            <a:t> 1. This tells the calculator to calculate flooding or not. 0 for no flooding. 1 for yes.</a:t>
          </a:r>
        </a:p>
        <a:p>
          <a:endParaRPr lang="en-US" sz="1100" baseline="0"/>
        </a:p>
        <a:p>
          <a:r>
            <a:rPr lang="en-US" sz="1100" baseline="0"/>
            <a:t>Damage Reduction - 0% (default). How much incoming damage is reduced.</a:t>
          </a:r>
        </a:p>
        <a:p>
          <a:endParaRPr lang="en-US" sz="1100" baseline="0"/>
        </a:p>
        <a:p>
          <a:r>
            <a:rPr lang="en-US" sz="1100" baseline="0"/>
            <a:t>FIDIB - Contains planes that carry bombs. This includes fighers (FI) and dive bombers (DIB).</a:t>
          </a:r>
        </a:p>
        <a:p>
          <a:endParaRPr lang="en-US" sz="1100" baseline="0"/>
        </a:p>
        <a:p>
          <a:r>
            <a:rPr lang="en-US" sz="1100" baseline="0"/>
            <a:t>TB - Torpedo Bomber</a:t>
          </a:r>
        </a:p>
        <a:p>
          <a:endParaRPr lang="en-US" sz="1100" baseline="0"/>
        </a:p>
        <a:p>
          <a:r>
            <a:rPr lang="en-US" sz="1100" baseline="0"/>
            <a:t>AS - Air Superioty</a:t>
          </a:r>
        </a:p>
        <a:p>
          <a:endParaRPr lang="en-US" sz="1100" baseline="0"/>
        </a:p>
        <a:p>
          <a:r>
            <a:rPr lang="en-US" sz="1100" baseline="0"/>
            <a:t>AB - Armor Break</a:t>
          </a:r>
        </a:p>
        <a:p>
          <a:endParaRPr lang="en-US" sz="1100" baseline="0"/>
        </a:p>
        <a:p>
          <a:r>
            <a:rPr lang="en-US" sz="1100" baseline="0"/>
            <a:t>L/M/H base = Basically the base damage of the plane in question (for that slot). It includes the armor modifiers. Note the calculator sums up all of the damage of the plane, so it'll represent the total damage of a plane that has a 2x500lb, 2000lb loudout for an example.</a:t>
          </a:r>
        </a:p>
        <a:p>
          <a:endParaRPr lang="en-US" sz="1100" baseline="0"/>
        </a:p>
        <a:p>
          <a:r>
            <a:rPr lang="en-US" sz="1100" baseline="0"/>
            <a:t>Barrage Table: If the barrage is Timer based, set Trigger (s) to the stated value. Otherwise set to 0s IF it is barrage-based. If it is a on-gun fire, set Barrage to 1 and Timer to 0s.</a:t>
          </a:r>
          <a:endParaRPr lang="en-US" sz="1100"/>
        </a:p>
      </xdr:txBody>
    </xdr:sp>
    <xdr:clientData/>
  </xdr:twoCellAnchor>
  <xdr:twoCellAnchor>
    <xdr:from>
      <xdr:col>10</xdr:col>
      <xdr:colOff>144780</xdr:colOff>
      <xdr:row>1</xdr:row>
      <xdr:rowOff>0</xdr:rowOff>
    </xdr:from>
    <xdr:to>
      <xdr:col>21</xdr:col>
      <xdr:colOff>129540</xdr:colOff>
      <xdr:row>38</xdr:row>
      <xdr:rowOff>83820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𝑆𝑡𝑎𝑡</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𝐶𝑜𝑜𝑙𝐷𝑜𝑤𝑛</m:t>
                        </m:r>
                      </m:den>
                    </m:f>
                  </m:oMath>
                </m:oMathPara>
              </a14:m>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14:m>
                <m:oMathPara xmlns:m="http://schemas.openxmlformats.org/officeDocument/2006/math">
                  <m:oMathParaPr>
                    <m:jc m:val="centerGroup"/>
                  </m:oMathParaPr>
                  <m:oMath xmlns:m="http://schemas.openxmlformats.org/officeDocument/2006/math">
                    <m:r>
                      <m:rPr>
                        <m:sty m:val="p"/>
                      </m:rPr>
                      <a:rPr lang="en-US" sz="1100" b="0" i="0" baseline="0">
                        <a:solidFill>
                          <a:schemeClr val="dk1"/>
                        </a:solidFill>
                        <a:effectLst/>
                        <a:latin typeface="Cambria Math" panose="02040503050406030204" pitchFamily="18" charset="0"/>
                        <a:ea typeface="+mn-ea"/>
                        <a:cs typeface="+mn-cs"/>
                      </a:rPr>
                      <m:t>Modifier</m:t>
                    </m:r>
                    <m:r>
                      <a:rPr lang="en-US" sz="1100" b="0" i="0" baseline="0">
                        <a:solidFill>
                          <a:schemeClr val="dk1"/>
                        </a:solidFill>
                        <a:effectLst/>
                        <a:latin typeface="Cambria Math" panose="02040503050406030204" pitchFamily="18" charset="0"/>
                        <a:ea typeface="+mn-ea"/>
                        <a:cs typeface="+mn-cs"/>
                      </a:rPr>
                      <m:t>=</m:t>
                    </m:r>
                    <m:sSup>
                      <m:sSupPr>
                        <m:ctrlPr>
                          <a:rPr lang="en-US" sz="1100" b="0" i="1" baseline="0">
                            <a:solidFill>
                              <a:schemeClr val="dk1"/>
                            </a:solidFill>
                            <a:effectLst/>
                            <a:latin typeface="Cambria Math" panose="02040503050406030204" pitchFamily="18" charset="0"/>
                            <a:ea typeface="+mn-ea"/>
                            <a:cs typeface="+mn-cs"/>
                          </a:rPr>
                        </m:ctrlPr>
                      </m:sSupPr>
                      <m:e>
                        <m:d>
                          <m:dPr>
                            <m:ctrlPr>
                              <a:rPr lang="en-US" sz="1100" b="0" i="1" baseline="0">
                                <a:solidFill>
                                  <a:schemeClr val="dk1"/>
                                </a:solidFill>
                                <a:effectLst/>
                                <a:latin typeface="Cambria Math" panose="02040503050406030204" pitchFamily="18" charset="0"/>
                                <a:ea typeface="+mn-ea"/>
                                <a:cs typeface="+mn-cs"/>
                              </a:rPr>
                            </m:ctrlPr>
                          </m:dPr>
                          <m:e>
                            <m:f>
                              <m:fPr>
                                <m:ctrlPr>
                                  <a:rPr lang="en-US" sz="1100" b="0" i="1" baseline="0">
                                    <a:solidFill>
                                      <a:schemeClr val="dk1"/>
                                    </a:solidFill>
                                    <a:effectLst/>
                                    <a:latin typeface="Cambria Math" panose="02040503050406030204" pitchFamily="18" charset="0"/>
                                    <a:ea typeface="+mn-ea"/>
                                    <a:cs typeface="+mn-cs"/>
                                  </a:rPr>
                                </m:ctrlPr>
                              </m:fPr>
                              <m:num>
                                <m:r>
                                  <a:rPr lang="en-US" sz="1100" b="0" i="1" baseline="0">
                                    <a:solidFill>
                                      <a:schemeClr val="dk1"/>
                                    </a:solidFill>
                                    <a:effectLst/>
                                    <a:latin typeface="Cambria Math" panose="02040503050406030204" pitchFamily="18" charset="0"/>
                                    <a:ea typeface="+mn-ea"/>
                                    <a:cs typeface="+mn-cs"/>
                                  </a:rPr>
                                  <m:t>𝑃𝑟𝑜𝑏𝑎𝑏𝑖𝑙𝑖𝑡𝑦</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𝑜𝑓</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𝑃𝑟𝑜𝑐𝑖𝑛𝑔</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𝑅𝑒𝑙𝑜𝑎𝑑</m:t>
                                </m:r>
                                <m:r>
                                  <a:rPr lang="en-US" sz="1100" b="0" i="1" baseline="0">
                                    <a:solidFill>
                                      <a:schemeClr val="dk1"/>
                                    </a:solidFill>
                                    <a:effectLst/>
                                    <a:latin typeface="Cambria Math" panose="02040503050406030204" pitchFamily="18" charset="0"/>
                                    <a:ea typeface="+mn-ea"/>
                                    <a:cs typeface="+mn-cs"/>
                                  </a:rPr>
                                  <m:t> </m:t>
                                </m:r>
                                <m:r>
                                  <a:rPr lang="en-US" sz="1100" b="0" i="1" baseline="0">
                                    <a:solidFill>
                                      <a:schemeClr val="dk1"/>
                                    </a:solidFill>
                                    <a:effectLst/>
                                    <a:latin typeface="Cambria Math" panose="02040503050406030204" pitchFamily="18" charset="0"/>
                                    <a:ea typeface="+mn-ea"/>
                                    <a:cs typeface="+mn-cs"/>
                                  </a:rPr>
                                  <m:t>𝐼𝑛𝑐𝑟𝑒𝑎𝑠𝑒</m:t>
                                </m:r>
                                <m:r>
                                  <a:rPr lang="en-US" sz="1100" b="0" i="1" baseline="0">
                                    <a:solidFill>
                                      <a:schemeClr val="dk1"/>
                                    </a:solidFill>
                                    <a:effectLst/>
                                    <a:latin typeface="Cambria Math" panose="02040503050406030204" pitchFamily="18" charset="0"/>
                                    <a:ea typeface="+mn-ea"/>
                                    <a:cs typeface="+mn-cs"/>
                                  </a:rPr>
                                  <m:t>∗</m:t>
                                </m:r>
                                <m:r>
                                  <a:rPr lang="en-US" sz="1100" b="0" i="1" baseline="0">
                                    <a:solidFill>
                                      <a:schemeClr val="dk1"/>
                                    </a:solidFill>
                                    <a:effectLst/>
                                    <a:latin typeface="Cambria Math" panose="02040503050406030204" pitchFamily="18" charset="0"/>
                                    <a:ea typeface="+mn-ea"/>
                                    <a:cs typeface="+mn-cs"/>
                                  </a:rPr>
                                  <m:t>𝐷𝑢𝑟𝑎𝑡𝑖𝑜𝑛</m:t>
                                </m:r>
                              </m:num>
                              <m:den>
                                <m:r>
                                  <a:rPr lang="en-US" sz="1100" b="0" i="1" baseline="0">
                                    <a:solidFill>
                                      <a:schemeClr val="dk1"/>
                                    </a:solidFill>
                                    <a:effectLst/>
                                    <a:latin typeface="Cambria Math" panose="02040503050406030204" pitchFamily="18" charset="0"/>
                                    <a:ea typeface="+mn-ea"/>
                                    <a:cs typeface="+mn-cs"/>
                                  </a:rPr>
                                  <m:t>𝐶𝑜𝑜𝑙𝑑𝑜𝑤𝑛</m:t>
                                </m:r>
                              </m:den>
                            </m:f>
                          </m:e>
                        </m:d>
                      </m:e>
                      <m:sup>
                        <m:r>
                          <a:rPr lang="en-US" sz="1100" b="0" i="1" baseline="0">
                            <a:solidFill>
                              <a:schemeClr val="dk1"/>
                            </a:solidFill>
                            <a:effectLst/>
                            <a:latin typeface="Cambria Math" panose="02040503050406030204" pitchFamily="18" charset="0"/>
                            <a:ea typeface="+mn-ea"/>
                            <a:cs typeface="+mn-cs"/>
                          </a:rPr>
                          <m:t>2</m:t>
                        </m:r>
                      </m:sup>
                    </m:sSup>
                  </m:oMath>
                </m:oMathPara>
              </a14:m>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Choice>
      <mc:Fallback xmlns="">
        <xdr:sp macro="" textlink="">
          <xdr:nvSpPr>
            <xdr:cNvPr id="3" name="TextBox 2"/>
            <xdr:cNvSpPr txBox="1"/>
          </xdr:nvSpPr>
          <xdr:spPr>
            <a:xfrm>
              <a:off x="6240780" y="182880"/>
              <a:ext cx="6690360" cy="6850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DPS calculator</a:t>
              </a:r>
              <a:r>
                <a:rPr lang="en-US" sz="1100" baseline="0"/>
                <a:t> determines the DPS of a ship. It is customizable and intended to be scalable with barrage types. Any skill that affects any stat must be changed manually. If FP, change the Total FP formula, etc. However, some skill types are covered (such as evasion skill, crit skill, etc.). </a:t>
              </a:r>
            </a:p>
            <a:p>
              <a:endParaRPr lang="en-US" sz="1100" baseline="0"/>
            </a:p>
            <a:p>
              <a:r>
                <a:rPr lang="en-US" sz="1100" baseline="0"/>
                <a:t>This calculator provides a basic eHP calculator in addition to the ship's DPS. It features eDPS as well, which is affected by your shipgirl's stats and the enemy stats (which you set, default are set to Level 120). The standard values for the enemy are </a:t>
              </a:r>
              <a:r>
                <a:rPr lang="en-US" sz="1100" b="1" baseline="0"/>
                <a:t>0/0/0</a:t>
              </a:r>
              <a:r>
                <a:rPr lang="en-US" sz="1100" b="0" i="0" baseline="0"/>
                <a:t> and if you are performing a standard eHP calculation, </a:t>
              </a:r>
              <a:r>
                <a:rPr lang="en-US" sz="1100" b="1" i="0" baseline="0"/>
                <a:t>Enemy Hit = 45 - 100</a:t>
              </a:r>
              <a:r>
                <a:rPr lang="en-US" sz="1100" b="0" i="0" baseline="0"/>
                <a:t>.</a:t>
              </a:r>
            </a:p>
            <a:p>
              <a:endParaRPr lang="en-US" sz="1100" b="0" i="0" baseline="0"/>
            </a:p>
            <a:p>
              <a:r>
                <a:rPr lang="en-US" sz="1100"/>
                <a:t>Note that if a barrage is</a:t>
              </a:r>
              <a:r>
                <a:rPr lang="en-US" sz="1100" baseline="0"/>
                <a:t> triggered by # of primary shots, ignore Trigger (s) and set Trigger % to 100%. If a ship has three distinct barrages within a single barrage (see Triomphant for example), modify the barrage formulas to adjust to the uniqueness. To append a new barrage, insert a new row in the barrage stat section then insert new Barrage DPS right-bound. Modify formulas till it works. Modify Burn DPS as well.</a:t>
              </a:r>
            </a:p>
            <a:p>
              <a:endParaRPr lang="en-US" sz="1100" baseline="0"/>
            </a:p>
            <a:p>
              <a:r>
                <a:rPr lang="en-US" sz="1100" baseline="0"/>
                <a:t>Note if a barrage does not have any burn characteristic, set Burn % to 0. Similarly for Primary. Secondary is not factored in. </a:t>
              </a:r>
            </a:p>
            <a:p>
              <a:endParaRPr lang="en-US" sz="1100" baseline="0"/>
            </a:p>
            <a:p>
              <a:r>
                <a:rPr lang="en-US" sz="1100" baseline="0"/>
                <a:t>If wanting to calculate multiply girls, create a new sheet and store the values of the each shipgirl. Or create a new sheet by copying the Base Formula.</a:t>
              </a:r>
            </a:p>
            <a:p>
              <a:endParaRPr lang="en-US" sz="1100" baseline="0"/>
            </a:p>
            <a:p>
              <a:r>
                <a:rPr lang="en-US" sz="1100" baseline="0"/>
                <a:t>To find the modifier of say a skill that says: 70% chance of increasing FP by 30% for 20s every 30s, follow this formula: </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∗𝑆𝑡𝑎𝑡 𝐼𝑛𝑐𝑟𝑒𝑎𝑠𝑒∗𝐷𝑢𝑟𝑎𝑡𝑖𝑜𝑛)/𝐶𝑜𝑜𝑙𝐷𝑜𝑤𝑛</a:t>
              </a:r>
              <a:endParaRPr lang="en-US" sz="1100" baseline="0"/>
            </a:p>
            <a:p>
              <a:endParaRPr lang="en-US" sz="1100" baseline="0"/>
            </a:p>
            <a:p>
              <a:r>
                <a:rPr lang="en-US" sz="1100"/>
                <a:t>Note Modifier should be a decimal number (not a percentage). So convert if necessary</a:t>
              </a:r>
              <a:r>
                <a:rPr lang="en-US" sz="1100" baseline="0"/>
                <a:t>. This is an approximation of the effective increase in DPS. There are other ways to obtain the modifier value, which may increase or decrease a shipgirl's DPS. This is assuming an infinite amount of battles and assuming we can apply the modifier to the DPS directly without concern to if a skill lasts long enough for say a shipgirl to fire her main guns or how many times could she fire within such duration. Such values can be obtained with math, but can be more of a tedious process than the approximation method. </a:t>
              </a:r>
            </a:p>
            <a:p>
              <a:endParaRPr lang="en-US" sz="1100" baseline="0"/>
            </a:p>
            <a:p>
              <a:r>
                <a:rPr lang="en-US" sz="1100" baseline="0"/>
                <a:t>Due to the nature of Reload modifier, the approximation method may produce a more inaccurate value. Caution here. The formuula is as follows:</a:t>
              </a:r>
            </a:p>
            <a:p>
              <a:pPr/>
              <a:r>
                <a:rPr lang="en-US" sz="1100" b="0" i="0" baseline="0">
                  <a:solidFill>
                    <a:schemeClr val="dk1"/>
                  </a:solidFill>
                  <a:effectLst/>
                  <a:latin typeface="Cambria Math" panose="02040503050406030204" pitchFamily="18" charset="0"/>
                  <a:ea typeface="+mn-ea"/>
                  <a:cs typeface="+mn-cs"/>
                </a:rPr>
                <a:t>Modifier=((𝑃𝑟𝑜𝑏𝑎𝑏𝑖𝑙𝑖𝑡𝑦 𝑜𝑓 𝑃𝑟𝑜𝑐𝑖𝑛𝑔 ∗𝑅𝑒𝑙𝑜𝑎𝑑 𝐼𝑛𝑐𝑟𝑒𝑎𝑠𝑒∗𝐷𝑢𝑟𝑎𝑡𝑖𝑜𝑛)/𝐶𝑜𝑜𝑙𝑑𝑜𝑤𝑛)^2</a:t>
              </a:r>
              <a:endParaRPr lang="en-US" sz="1100" baseline="0"/>
            </a:p>
            <a:p>
              <a:endParaRPr lang="en-US" sz="1100" baseline="0"/>
            </a:p>
            <a:p>
              <a:r>
                <a:rPr lang="en-US" sz="1100" baseline="0"/>
                <a:t>In general, the approximation methods will produce a ± 6% error margin at worst, but will generally be </a:t>
              </a:r>
              <a:r>
                <a:rPr lang="en-US" sz="1100" baseline="0">
                  <a:solidFill>
                    <a:schemeClr val="dk1"/>
                  </a:solidFill>
                  <a:effectLst/>
                  <a:latin typeface="+mn-lt"/>
                  <a:ea typeface="+mn-ea"/>
                  <a:cs typeface="+mn-cs"/>
                </a:rPr>
                <a:t>± 3%.</a:t>
              </a:r>
            </a:p>
          </xdr:txBody>
        </xdr:sp>
      </mc:Fallback>
    </mc:AlternateContent>
    <xdr:clientData/>
  </xdr:twoCellAnchor>
  <xdr:twoCellAnchor>
    <xdr:from>
      <xdr:col>10</xdr:col>
      <xdr:colOff>152400</xdr:colOff>
      <xdr:row>39</xdr:row>
      <xdr:rowOff>30480</xdr:rowOff>
    </xdr:from>
    <xdr:to>
      <xdr:col>21</xdr:col>
      <xdr:colOff>121920</xdr:colOff>
      <xdr:row>61</xdr:row>
      <xdr:rowOff>60960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6248400" y="7162800"/>
          <a:ext cx="6675120" cy="4053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Automated Non-CV Sheet will fill-in equipment stats. This calculator is designed so you may add in new equipment* in their relevant table without adjusting formulas. If you wish to use the non-automated version, this Excel sheet has hidden the non-automated one and you may unhide it to utilize it.</a:t>
          </a:r>
        </a:p>
        <a:p>
          <a:endParaRPr lang="en-US" sz="1100" baseline="0"/>
        </a:p>
        <a:p>
          <a:r>
            <a:rPr lang="en-US" sz="1100" baseline="0"/>
            <a:t>When entering a ship's name on the top left, </a:t>
          </a:r>
          <a:r>
            <a:rPr lang="en-US" sz="1100" b="1" baseline="0"/>
            <a:t>make sure you type the full name and if you want the Kai stats, append Kai at the end</a:t>
          </a:r>
          <a:r>
            <a:rPr lang="en-US" sz="1100" b="0" baseline="0"/>
            <a:t>. In addition, LUCK and HIT are not implemented as autofill. Fill in those manually. Finally, the black-background cells with bolded white text means you need to fill in those you.</a:t>
          </a:r>
        </a:p>
        <a:p>
          <a:endParaRPr lang="en-US" sz="1100" b="0" baseline="0"/>
        </a:p>
        <a:p>
          <a:r>
            <a:rPr lang="en-US" sz="1100" b="0" baseline="0"/>
            <a:t>When making a copy, just say yes to every prompt.</a:t>
          </a:r>
        </a:p>
        <a:p>
          <a:endParaRPr lang="en-US" sz="1100" b="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Do not touch C3 and C4.</a:t>
          </a:r>
          <a:endParaRPr lang="en-US" b="1">
            <a:effectLst/>
          </a:endParaRPr>
        </a:p>
        <a:p>
          <a:endParaRPr lang="en-US">
            <a:effectLst/>
          </a:endParaRPr>
        </a:p>
        <a:p>
          <a:r>
            <a:rPr lang="en-US" sz="1100" baseline="0">
              <a:solidFill>
                <a:schemeClr val="dk1"/>
              </a:solidFill>
              <a:effectLst/>
              <a:latin typeface="+mn-lt"/>
              <a:ea typeface="+mn-ea"/>
              <a:cs typeface="+mn-cs"/>
            </a:rPr>
            <a:t>* The equipment sheet is hidden. In order to unhide, Home &gt; Format &gt; Visibility &gt; Hide &amp; Unhide &gt; Unhide Sheet.</a:t>
          </a:r>
        </a:p>
        <a:p>
          <a:endParaRPr lang="en-US" sz="1100" baseline="0"/>
        </a:p>
        <a:p>
          <a:r>
            <a:rPr lang="en-US" sz="1100" baseline="0"/>
            <a:t>Note: Z-Flag is unsupported atm.</a:t>
          </a:r>
        </a:p>
        <a:p>
          <a:endParaRPr lang="en-US" sz="1100" baseline="0"/>
        </a:p>
        <a:p>
          <a:r>
            <a:rPr lang="en-US" sz="1100" baseline="0"/>
            <a:t>Note 2: Aux tables seem to be bugged with naming. Name Manager has a self-created name list. So update there as otherwise it won't show up in the drop down.</a:t>
          </a:r>
        </a:p>
        <a:p>
          <a:endParaRPr lang="en-US" sz="1100" baseline="0"/>
        </a:p>
        <a:p>
          <a:r>
            <a:rPr lang="en-US" sz="1100" baseline="0"/>
            <a:t>Note 3: Yamashiro and Fusou (non-kai) have partial modernization stats.</a:t>
          </a:r>
        </a:p>
      </xdr:txBody>
    </xdr:sp>
    <xdr:clientData/>
  </xdr:twoCellAnchor>
  <xdr:twoCellAnchor>
    <xdr:from>
      <xdr:col>10</xdr:col>
      <xdr:colOff>152400</xdr:colOff>
      <xdr:row>61</xdr:row>
      <xdr:rowOff>137160</xdr:rowOff>
    </xdr:from>
    <xdr:to>
      <xdr:col>21</xdr:col>
      <xdr:colOff>121920</xdr:colOff>
      <xdr:row>65</xdr:row>
      <xdr:rowOff>30480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6248400" y="11292840"/>
          <a:ext cx="66751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Created by Enbayft#2527 (Discord) for Azur</a:t>
          </a:r>
          <a:r>
            <a:rPr lang="en-US" sz="1100" baseline="0"/>
            <a:t> Lane.</a:t>
          </a:r>
        </a:p>
        <a:p>
          <a:r>
            <a:rPr lang="en-US" sz="1100" baseline="0"/>
            <a:t>Credits: Vantablack#1217 for providing the base framework and data for the sub sheet</a:t>
          </a:r>
        </a:p>
        <a:p>
          <a:r>
            <a:rPr lang="en-US" sz="1100" baseline="0"/>
            <a:t>Version: 0.98.8 (BETA)</a:t>
          </a:r>
          <a:endParaRPr lang="en-US" sz="1100"/>
        </a:p>
      </xdr:txBody>
    </xdr:sp>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060CBF6-1598-4B8A-9B94-E8E8832B7AEA}" autoFormatId="16" applyNumberFormats="0" applyBorderFormats="0" applyFontFormats="0" applyPatternFormats="0" applyAlignmentFormats="0" applyWidthHeightFormats="0">
  <queryTableRefresh nextId="19" unboundColumnsRight="7">
    <queryTableFields count="12">
      <queryTableField id="1" name="Name" tableColumnId="1"/>
      <queryTableField id="3" name="Stars" tableColumnId="3"/>
      <queryTableField id="5" name="Column1" tableColumnId="5"/>
      <queryTableField id="6" name="Dmg" tableColumnId="6"/>
      <queryTableField id="7" name="2" tableColumnId="7"/>
      <queryTableField id="8" dataBound="0" tableColumnId="8"/>
      <queryTableField id="12" dataBound="0" tableColumnId="12"/>
      <queryTableField id="13" dataBound="0" tableColumnId="13"/>
      <queryTableField id="14" dataBound="0" tableColumnId="14"/>
      <queryTableField id="15" dataBound="0" tableColumnId="15"/>
      <queryTableField id="16" dataBound="0" tableColumnId="16"/>
      <queryTableField id="17" dataBound="0" tableColumnId="17"/>
    </queryTableFields>
    <queryTableDeletedFields count="13">
      <deletedField name="Rnd"/>
      <deletedField name="Reload(s)"/>
      <deletedField name="DPS(L)"/>
      <deletedField name="DPS(M)"/>
      <deletedField name="DPS(H)"/>
      <deletedField name="Rng"/>
      <deletedField name="Spread"/>
      <deletedField name="Angle"/>
      <deletedField name="Attr"/>
      <deletedField name="Drop"/>
      <deletedField name="Notes"/>
      <deletedField name="Image"/>
      <deletedField name="Nation"/>
    </queryTableDeletedFields>
  </queryTableRefresh>
</queryTable>
</file>

<file path=xl/tables/_rels/table35.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1BF7F16-0DAD-4C20-8F48-71D854F1E89D}" name="RepairShipTable" displayName="RepairShipTable" ref="A1:R3" totalsRowShown="0" headerRowCellStyle="Normal" dataCellStyle="Normal">
  <autoFilter ref="A1:R3" xr:uid="{C7368C79-6981-474C-9746-563FEE57E406}"/>
  <tableColumns count="18">
    <tableColumn id="1" xr3:uid="{CD49D1E1-CA0F-4B8B-8AB9-5FC2766CD5A6}" name="ID" dataCellStyle="Normal"/>
    <tableColumn id="2" xr3:uid="{C2DAB8A7-A9D8-47B6-A066-5E8015CF00D9}" name="Name" dataCellStyle="Normal"/>
    <tableColumn id="3" xr3:uid="{F628977C-451E-4392-92B7-F4E7538F2A6A}" name="Nation" dataCellStyle="Normal"/>
    <tableColumn id="4" xr3:uid="{F8766CD4-6597-4CF4-BF12-D6281E6D3798}" name="Rarity" dataCellStyle="Normal"/>
    <tableColumn id="5" xr3:uid="{F4D6A933-1EB6-41FA-B3C3-0B2F8C502D91}" name="Type" dataCellStyle="Normal"/>
    <tableColumn id="7" xr3:uid="{29BD80E6-1110-49AE-8441-B5EBF92AF137}" name="HP" dataCellStyle="Normal"/>
    <tableColumn id="8" xr3:uid="{F39B7C8A-F0DA-44A1-AAB8-685E957417AF}" name="Armor type " dataCellStyle="Normal"/>
    <tableColumn id="9" xr3:uid="{C91FD6E3-70E2-4171-B01B-608BF75B2DF1}" name="RELOAD" dataCellStyle="Normal"/>
    <tableColumn id="10" xr3:uid="{65006388-7D91-4782-A9D4-057E53950BCA}" name="FP" dataCellStyle="Normal"/>
    <tableColumn id="11" xr3:uid="{B3DD1378-A0CF-49EB-9D58-BD9674C314D5}" name="TP" dataCellStyle="Normal"/>
    <tableColumn id="12" xr3:uid="{9FB51A9F-DDFB-4A96-92DB-38512F893E95}" name="EVA" dataCellStyle="Normal"/>
    <tableColumn id="13" xr3:uid="{319F5117-EA08-41D1-BFB5-5AB2BA36BD9B}" name="AA" dataCellStyle="Normal"/>
    <tableColumn id="14" xr3:uid="{2D12D1FB-B483-4E24-AA42-C161458213EB}" name="AirP" dataCellStyle="Normal"/>
    <tableColumn id="15" xr3:uid="{D240F5FC-4C4D-4751-A7D4-BD6655C28CF1}" name="Oil " dataCellStyle="Normal"/>
    <tableColumn id="16" xr3:uid="{9D89D227-B2B8-40D3-944A-F71200516F5C}" name="ASW" dataCellStyle="Normal"/>
    <tableColumn id="17" xr3:uid="{A65CB37B-CDE7-4B8C-B3B1-3E0C019F027F}" name="SPD" dataCellStyle="Normal"/>
    <tableColumn id="6" xr3:uid="{F8CB3DBD-D9D5-45AF-AD1A-B61FDCD4B804}" name="Luck" dataCellStyle="Normal"/>
    <tableColumn id="18" xr3:uid="{2AFBF59C-7F92-4BDE-B615-8B1CEA0919EF}" name="Hit" dataCellStyle="Normal"/>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EA2EED1-C0E7-4BA1-8E33-EEE0984353B4}" name="Base" displayName="Base" ref="A408:B783" totalsRowShown="0" tableBorderDxfId="66" totalsRowBorderDxfId="65" headerRowCellStyle="Normal" dataCellStyle="Normal">
  <autoFilter ref="A408:B783" xr:uid="{8F1E9A4F-60BF-40AA-A887-60F5D36F6BA3}"/>
  <tableColumns count="2">
    <tableColumn id="1" xr3:uid="{0BB99491-ABBF-493D-BB14-34C72E579841}" name="Name" dataCellStyle="Normal"/>
    <tableColumn id="4" xr3:uid="{156786AE-32B3-424F-8C3B-DB6F3BA9D064}" name="Type" dataCellStyle="Normal"/>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EFAA5990-3B8E-4CD6-AEED-8BB98C5A9772}" name="HiddenTable" displayName="HiddenTable" ref="D396:G708" totalsRowShown="0" headerRowCellStyle="Normal" dataCellStyle="Normal">
  <autoFilter ref="D396:G708" xr:uid="{E59FAD16-EDB2-4755-BD2E-5330DE1D5548}"/>
  <tableColumns count="4">
    <tableColumn id="1" xr3:uid="{DFD1A8B7-518D-4C8F-9E26-56FB1CE471F3}" name="Name" dataCellStyle="Normal"/>
    <tableColumn id="2" xr3:uid="{57B4249E-ACF1-441A-AF21-4BE6A2A57A2E}" name="LUCK" dataCellStyle="Normal"/>
    <tableColumn id="3" xr3:uid="{479D2EB0-0891-4DA2-823A-E6F08F290219}" name="Hit" dataCellStyle="Normal"/>
    <tableColumn id="4" xr3:uid="{D3301C6B-9755-4A0A-B4CF-2410A5121BF4}" name="Nation" dataCellStyle="Normal"/>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F5680326-885D-4318-B642-78CB99D2019F}" name="Stats" displayName="Stats" ref="A785:A788" totalsRowShown="0">
  <autoFilter ref="A785:A788" xr:uid="{5FBD3608-032A-4891-BA03-4D2362B97EA6}"/>
  <tableColumns count="1">
    <tableColumn id="1" xr3:uid="{C0686CC0-E467-416C-BB25-0FE6B085D4F9}" name="TableStat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BFFF25C-FEB8-4E26-99CF-5DB45E78018B}" name="Table3535" displayName="Table3535" ref="A393:AB394" totalsRowShown="0" headerRowDxfId="64" dataDxfId="63" tableBorderDxfId="62">
  <autoFilter ref="A393:AB394" xr:uid="{CB765A0F-970A-4A1C-BD52-C08E82BB58D8}"/>
  <tableColumns count="28">
    <tableColumn id="1" xr3:uid="{213B9AC3-084F-44EF-BE81-075E50ACF0A7}" name="ID"/>
    <tableColumn id="2" xr3:uid="{CB04A5EB-DC9D-4696-840B-5BDA0B6FEAAC}" name="Name"/>
    <tableColumn id="3" xr3:uid="{7D04828F-BD9B-4E46-ADAA-E94D18CA855A}" name="Nation" dataDxfId="61"/>
    <tableColumn id="4" xr3:uid="{B09BFE68-9D21-4B93-B778-FF8AA44C14F4}" name="Rarity" dataDxfId="60"/>
    <tableColumn id="5" xr3:uid="{19746F48-8F15-4D28-8930-5AADB6E70597}" name="Type" dataDxfId="59"/>
    <tableColumn id="6" xr3:uid="{784F4FFA-7B0C-4CB9-B79D-D95DEAA4CA8C}" name="HP" dataDxfId="58"/>
    <tableColumn id="7" xr3:uid="{10486AFC-8C9C-48D9-89CE-284E27B0D0AA}" name="Armor type " dataDxfId="57"/>
    <tableColumn id="8" xr3:uid="{C354375D-7251-46C5-990A-1AC5649141D6}" name="RELOAD" dataDxfId="56"/>
    <tableColumn id="9" xr3:uid="{A2809447-940F-406F-96ED-B1163821B155}" name="FP" dataDxfId="55"/>
    <tableColumn id="10" xr3:uid="{5F8C850F-370B-4B38-AED5-69C6DB3F1265}" name="TP" dataDxfId="54"/>
    <tableColumn id="11" xr3:uid="{A47A1174-CD9E-40E5-B33B-7FCE7C93CEB2}" name="EVA" dataDxfId="53"/>
    <tableColumn id="12" xr3:uid="{3AF35460-F0EC-4572-BCFC-F1BF78AFC62E}" name="AA" dataDxfId="52"/>
    <tableColumn id="13" xr3:uid="{C5187DA7-B80D-45CD-86EF-2419C38F23A2}" name="AirP" dataDxfId="51"/>
    <tableColumn id="14" xr3:uid="{DC00D081-4199-4141-B61D-70634BBBBDAE}" name="Oil " dataDxfId="50"/>
    <tableColumn id="15" xr3:uid="{AE5B94E4-F81F-4002-8B2B-DBAFCE2B5A7C}" name="ASW" dataDxfId="49"/>
    <tableColumn id="16" xr3:uid="{73A6FD0A-8FFC-420F-94E4-9F13901CC917}" name="SPD" dataDxfId="48"/>
    <tableColumn id="17" xr3:uid="{1F1793AE-EAF0-4CDF-ABCD-61A898BB04F2}" name="Luck" dataDxfId="47"/>
    <tableColumn id="18" xr3:uid="{3DCEF1B8-1621-4002-B3F9-6176074654D9}" name="Hit" dataDxfId="46"/>
    <tableColumn id="19" xr3:uid="{316C1B5D-84C4-47C5-8BC1-7D72959BC759}" name="OXY" dataDxfId="45"/>
    <tableColumn id="20" xr3:uid="{A3921697-7EA2-44FD-B190-91A4452FEC10}" name="EFF" dataDxfId="44"/>
    <tableColumn id="21" xr3:uid="{FD1F1336-8FFE-4167-842F-39573BC4FD21}" name="SECEFF" dataDxfId="43"/>
    <tableColumn id="22" xr3:uid="{2FF9A2C3-AF19-44B0-9684-81D1EF8E367F}" name="TRIEFF" dataDxfId="42"/>
    <tableColumn id="23" xr3:uid="{9F66A3D6-971F-4717-8182-929B1F2FF196}" name="Plane1" dataDxfId="41"/>
    <tableColumn id="24" xr3:uid="{B4DDEA13-9982-4D5A-9049-36E6959B85FB}" name="Plane2" dataDxfId="40"/>
    <tableColumn id="25" xr3:uid="{59CD4A73-7015-4698-BBA8-9C4EE8CD52EC}" name="Plane3" dataDxfId="39"/>
    <tableColumn id="26" xr3:uid="{10FF3CEA-6F8D-494F-9A52-3AC860A3B515}" name="Type1" dataDxfId="38"/>
    <tableColumn id="27" xr3:uid="{D4F42C10-56FC-44A9-A910-850EA2D629D8}" name="Type2" dataDxfId="37"/>
    <tableColumn id="28" xr3:uid="{C92D7B87-E2CF-4BCE-BBFA-D2D8542620D6}" name="Type3" dataDxfId="36"/>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B000000}" name="DDTable" displayName="DDTable" ref="A1:N17" totalsRowShown="0">
  <autoFilter ref="A1:N17" xr:uid="{00000000-0009-0000-0100-000001000000}"/>
  <tableColumns count="14">
    <tableColumn id="1" xr3:uid="{00000000-0010-0000-0B00-000001000000}" name="Name"/>
    <tableColumn id="2" xr3:uid="{00000000-0010-0000-0B00-000002000000}" name="Type"/>
    <tableColumn id="3" xr3:uid="{00000000-0010-0000-0B00-000003000000}" name="FP"/>
    <tableColumn id="4" xr3:uid="{00000000-0010-0000-0B00-000004000000}" name="AA"/>
    <tableColumn id="5" xr3:uid="{00000000-0010-0000-0B00-000005000000}" name="DAMAGE"/>
    <tableColumn id="6" xr3:uid="{00000000-0010-0000-0B00-000006000000}" name="EFF"/>
    <tableColumn id="7" xr3:uid="{00000000-0010-0000-0B00-000007000000}" name="ROUNDS"/>
    <tableColumn id="8" xr3:uid="{00000000-0010-0000-0B00-000008000000}" name="VT"/>
    <tableColumn id="9" xr3:uid="{00000000-0010-0000-0B00-000009000000}" name="ROF"/>
    <tableColumn id="13" xr3:uid="{00000000-0010-0000-0B00-00000D000000}" name="Rng"/>
    <tableColumn id="14" xr3:uid="{00000000-0010-0000-0B00-00000E000000}" name="Spr"/>
    <tableColumn id="15" xr3:uid="{00000000-0010-0000-0B00-00000F000000}" name="Angle"/>
    <tableColumn id="16" xr3:uid="{00000000-0010-0000-0B00-000010000000}" name="Attr"/>
    <tableColumn id="17" xr3:uid="{00000000-0010-0000-0B00-000011000000}" name="Ammo"/>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C000000}" name="CLTable" displayName="CLTable" ref="A19:N34" totalsRowShown="0">
  <autoFilter ref="A19:N34" xr:uid="{00000000-0009-0000-0100-000007000000}"/>
  <tableColumns count="14">
    <tableColumn id="1" xr3:uid="{00000000-0010-0000-0C00-000001000000}" name="Name"/>
    <tableColumn id="2" xr3:uid="{00000000-0010-0000-0C00-000002000000}" name="Type"/>
    <tableColumn id="6" xr3:uid="{00000000-0010-0000-0C00-000006000000}" name="FP"/>
    <tableColumn id="7" xr3:uid="{00000000-0010-0000-0C00-000007000000}" name="AA"/>
    <tableColumn id="8" xr3:uid="{00000000-0010-0000-0C00-000008000000}" name="DAMAGE"/>
    <tableColumn id="9" xr3:uid="{00000000-0010-0000-0C00-000009000000}" name="EFF"/>
    <tableColumn id="10" xr3:uid="{00000000-0010-0000-0C00-00000A000000}" name="ROUNDS"/>
    <tableColumn id="11" xr3:uid="{00000000-0010-0000-0C00-00000B000000}" name="VT"/>
    <tableColumn id="12" xr3:uid="{00000000-0010-0000-0C00-00000C000000}" name="ROF"/>
    <tableColumn id="16" xr3:uid="{00000000-0010-0000-0C00-000010000000}" name="Rng"/>
    <tableColumn id="17" xr3:uid="{00000000-0010-0000-0C00-000011000000}" name="Spr"/>
    <tableColumn id="18" xr3:uid="{00000000-0010-0000-0C00-000012000000}" name="Angle"/>
    <tableColumn id="19" xr3:uid="{00000000-0010-0000-0C00-000013000000}" name="Attr"/>
    <tableColumn id="20" xr3:uid="{00000000-0010-0000-0C00-000014000000}" name="Ammo"/>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D000000}" name="CATable" displayName="CATable" ref="A36:N47" totalsRowShown="0">
  <autoFilter ref="A36:N47" xr:uid="{00000000-0009-0000-0100-000009000000}"/>
  <tableColumns count="14">
    <tableColumn id="1" xr3:uid="{00000000-0010-0000-0D00-000001000000}" name="Name"/>
    <tableColumn id="2" xr3:uid="{00000000-0010-0000-0D00-000002000000}" name="Type"/>
    <tableColumn id="6" xr3:uid="{00000000-0010-0000-0D00-000006000000}" name="FP"/>
    <tableColumn id="7" xr3:uid="{00000000-0010-0000-0D00-000007000000}" name="AA"/>
    <tableColumn id="8" xr3:uid="{00000000-0010-0000-0D00-000008000000}" name="DAMAGE"/>
    <tableColumn id="9" xr3:uid="{00000000-0010-0000-0D00-000009000000}" name="EFF"/>
    <tableColumn id="10" xr3:uid="{00000000-0010-0000-0D00-00000A000000}" name="ROUNDS"/>
    <tableColumn id="11" xr3:uid="{00000000-0010-0000-0D00-00000B000000}" name="VT"/>
    <tableColumn id="12" xr3:uid="{00000000-0010-0000-0D00-00000C000000}" name="ROF"/>
    <tableColumn id="16" xr3:uid="{00000000-0010-0000-0D00-000010000000}" name="Rng"/>
    <tableColumn id="17" xr3:uid="{00000000-0010-0000-0D00-000011000000}" name="Spr"/>
    <tableColumn id="18" xr3:uid="{00000000-0010-0000-0D00-000012000000}" name="Angle"/>
    <tableColumn id="19" xr3:uid="{00000000-0010-0000-0D00-000013000000}" name="Attr"/>
    <tableColumn id="20" xr3:uid="{00000000-0010-0000-0D00-000014000000}" name="Ammo"/>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BBTable" displayName="BBTable" ref="A49:N67" totalsRowShown="0">
  <autoFilter ref="A49:N67" xr:uid="{00000000-0009-0000-0100-00000B000000}"/>
  <tableColumns count="14">
    <tableColumn id="1" xr3:uid="{00000000-0010-0000-0E00-000001000000}" name="Name"/>
    <tableColumn id="2" xr3:uid="{00000000-0010-0000-0E00-000002000000}" name="Type"/>
    <tableColumn id="6" xr3:uid="{00000000-0010-0000-0E00-000006000000}" name="FP"/>
    <tableColumn id="7" xr3:uid="{00000000-0010-0000-0E00-000007000000}" name="AA"/>
    <tableColumn id="8" xr3:uid="{00000000-0010-0000-0E00-000008000000}" name="DAMAGE"/>
    <tableColumn id="9" xr3:uid="{00000000-0010-0000-0E00-000009000000}" name="EFF"/>
    <tableColumn id="10" xr3:uid="{00000000-0010-0000-0E00-00000A000000}" name="ROUNDS"/>
    <tableColumn id="11" xr3:uid="{00000000-0010-0000-0E00-00000B000000}" name="VT"/>
    <tableColumn id="12" xr3:uid="{00000000-0010-0000-0E00-00000C000000}" name="ROF"/>
    <tableColumn id="16" xr3:uid="{00000000-0010-0000-0E00-000010000000}" name="Rng"/>
    <tableColumn id="17" xr3:uid="{00000000-0010-0000-0E00-000011000000}" name="Spr"/>
    <tableColumn id="18" xr3:uid="{00000000-0010-0000-0E00-000012000000}" name="Angle"/>
    <tableColumn id="19" xr3:uid="{00000000-0010-0000-0E00-000013000000}" name="Attr"/>
    <tableColumn id="20" xr3:uid="{00000000-0010-0000-0E00-000014000000}" name="Ammo"/>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F000000}" name="TORPTable" displayName="TORPTable" ref="A69:J80" totalsRowShown="0">
  <autoFilter ref="A69:J80" xr:uid="{00000000-0009-0000-0100-00000D000000}"/>
  <tableColumns count="10">
    <tableColumn id="1" xr3:uid="{00000000-0010-0000-0F00-000001000000}" name="Name"/>
    <tableColumn id="5" xr3:uid="{00000000-0010-0000-0F00-000005000000}" name="TP"/>
    <tableColumn id="6" xr3:uid="{00000000-0010-0000-0F00-000006000000}" name="DAMAGE"/>
    <tableColumn id="19" xr3:uid="{00000000-0010-0000-0F00-000013000000}" name="EFF"/>
    <tableColumn id="7" xr3:uid="{00000000-0010-0000-0F00-000007000000}" name="ROUNDS"/>
    <tableColumn id="8" xr3:uid="{00000000-0010-0000-0F00-000008000000}" name="ROF"/>
    <tableColumn id="15" xr3:uid="{00000000-0010-0000-0F00-00000F000000}" name="Rng"/>
    <tableColumn id="16" xr3:uid="{00000000-0010-0000-0F00-000010000000}" name="Spread"/>
    <tableColumn id="17" xr3:uid="{00000000-0010-0000-0F00-000011000000}" name="Angle"/>
    <tableColumn id="18" xr3:uid="{00000000-0010-0000-0F00-000012000000}" name="Ammo"/>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0000000}" name="EquipType" displayName="EquipType" ref="U1:U9" totalsRowShown="0">
  <autoFilter ref="U1:U9" xr:uid="{00000000-0009-0000-0100-00000F000000}"/>
  <tableColumns count="1">
    <tableColumn id="1" xr3:uid="{00000000-0010-0000-1000-000001000000}" name="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CE07B28-F591-4022-884D-E7522CFE6CA6}" name="DestroyerTable" displayName="DestroyerTable" ref="A5:T147" totalsRowShown="0" headerRowBorderDxfId="104" tableBorderDxfId="103" totalsRowBorderDxfId="102" headerRowCellStyle="Normal" dataCellStyle="Normal">
  <autoFilter ref="A5:T147" xr:uid="{C9586176-1406-436E-8E97-E727BDBB74E6}"/>
  <tableColumns count="20">
    <tableColumn id="1" xr3:uid="{F3103CA2-9C81-4377-905C-38A1BF4435F3}" name="ID" dataCellStyle="Normal"/>
    <tableColumn id="2" xr3:uid="{F080AAF8-5CB2-4BEA-BA89-44E7260B37BA}" name="Name" dataCellStyle="Normal"/>
    <tableColumn id="3" xr3:uid="{1435C384-BA6F-4A2B-8618-52B86E5DDEE7}" name="Nation" dataCellStyle="Normal"/>
    <tableColumn id="4" xr3:uid="{3DCDFA08-4DA9-46A6-B0D8-3DDA00BDE7FF}" name="Rarity" dataCellStyle="Normal"/>
    <tableColumn id="5" xr3:uid="{FBCFA07F-7EE7-42A0-BF25-D83A8FCF7114}" name="Type" dataCellStyle="Normal"/>
    <tableColumn id="6" xr3:uid="{E647604E-E602-4E0B-A3F1-5DFEE7887916}" name="HP" dataCellStyle="Normal"/>
    <tableColumn id="7" xr3:uid="{BA4F0603-B3FE-49E8-B311-20B9128571B1}" name="Armor type " dataCellStyle="Normal"/>
    <tableColumn id="8" xr3:uid="{ABA319F4-1BCF-4633-96A2-D3F759A1D4C5}" name="RELOAD" dataCellStyle="Normal"/>
    <tableColumn id="9" xr3:uid="{B2AD4499-E614-4047-B813-4A49DA041103}" name="FP" dataCellStyle="Normal"/>
    <tableColumn id="10" xr3:uid="{FD8ECF76-EC49-4C3F-BDDE-7E99904C2E79}" name="TP" dataCellStyle="Normal"/>
    <tableColumn id="11" xr3:uid="{773F2D51-D310-4838-AE7B-E85E658DD127}" name="EVA" dataCellStyle="Normal"/>
    <tableColumn id="12" xr3:uid="{7629F4D6-707B-44E9-9137-167FF0B0BE91}" name="AA" dataCellStyle="Normal"/>
    <tableColumn id="13" xr3:uid="{1A71D6D0-C6E2-4586-B90B-92014D6968BD}" name="AirP" dataCellStyle="Normal"/>
    <tableColumn id="14" xr3:uid="{7A1E4ACE-8D3C-463B-B00A-F39AB94AD3B6}" name="Oil " dataCellStyle="Normal"/>
    <tableColumn id="15" xr3:uid="{03417715-9FCD-42C9-9B22-14A683DF0A22}" name="ASW" dataCellStyle="Normal"/>
    <tableColumn id="16" xr3:uid="{A25F4E4C-91DA-4C9C-ACE0-BECB511A50AE}" name="SPD" dataCellStyle="Normal"/>
    <tableColumn id="19" xr3:uid="{91778DE9-2ADE-4286-845E-2FFDBFBB6D84}" name="Luck" dataCellStyle="Normal"/>
    <tableColumn id="20" xr3:uid="{D367095A-5CCD-46BD-87CB-7B924122162D}" name="Hit" dataCellStyle="Normal"/>
    <tableColumn id="17" xr3:uid="{2A67BFE6-15CE-4DDC-ADC5-73786A1E2835}" name="EFF" dataDxfId="101" dataCellStyle="Normal"/>
    <tableColumn id="18" xr3:uid="{3DF7A4AC-7346-4B44-841D-53B0C215B2D7}" name="SECEFF" dataDxfId="100" dataCellStyle="Normal"/>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1000000}" name="DDCoef" displayName="DDCoef" ref="A82:D86" totalsRowShown="0" headerRowCellStyle="Normal" dataCellStyle="Normal">
  <autoFilter ref="A82:D86" xr:uid="{00000000-0009-0000-0100-000002000000}"/>
  <tableColumns count="4">
    <tableColumn id="1" xr3:uid="{00000000-0010-0000-1100-000001000000}" name="Ammo" dataCellStyle="Normal"/>
    <tableColumn id="2" xr3:uid="{00000000-0010-0000-1100-000002000000}" name="Light" dataCellStyle="Normal"/>
    <tableColumn id="3" xr3:uid="{00000000-0010-0000-1100-000003000000}" name="Medium" dataCellStyle="Normal"/>
    <tableColumn id="4" xr3:uid="{00000000-0010-0000-1100-000004000000}" name="Heavy" dataCellStyle="Normal"/>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2000000}" name="CLCoef" displayName="CLCoef" ref="A88:D94" totalsRowShown="0">
  <autoFilter ref="A88:D94" xr:uid="{00000000-0009-0000-0100-000008000000}"/>
  <tableColumns count="4">
    <tableColumn id="1" xr3:uid="{00000000-0010-0000-1200-000001000000}" name="Ammo"/>
    <tableColumn id="2" xr3:uid="{00000000-0010-0000-1200-000002000000}" name="Light"/>
    <tableColumn id="3" xr3:uid="{00000000-0010-0000-1200-000003000000}" name="Medium"/>
    <tableColumn id="4" xr3:uid="{00000000-0010-0000-1200-000004000000}" name="Heavy"/>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13000000}" name="CACoef" displayName="CACoef" ref="A96:D100" totalsRowShown="0">
  <autoFilter ref="A96:D100" xr:uid="{00000000-0009-0000-0100-00000A000000}"/>
  <tableColumns count="4">
    <tableColumn id="1" xr3:uid="{00000000-0010-0000-1300-000001000000}" name="Ammo"/>
    <tableColumn id="2" xr3:uid="{00000000-0010-0000-1300-000002000000}" name="Light"/>
    <tableColumn id="3" xr3:uid="{00000000-0010-0000-1300-000003000000}" name="Medium"/>
    <tableColumn id="4" xr3:uid="{00000000-0010-0000-1300-000004000000}" name="Heavy"/>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14000000}" name="BBCoef" displayName="BBCoef" ref="A102:D108" totalsRowShown="0">
  <autoFilter ref="A102:D108" xr:uid="{00000000-0009-0000-0100-00000C000000}"/>
  <tableColumns count="4">
    <tableColumn id="1" xr3:uid="{00000000-0010-0000-1400-000001000000}" name="Ammo"/>
    <tableColumn id="2" xr3:uid="{00000000-0010-0000-1400-000002000000}" name="Light"/>
    <tableColumn id="3" xr3:uid="{00000000-0010-0000-1400-000003000000}" name="Medium"/>
    <tableColumn id="4" xr3:uid="{00000000-0010-0000-1400-000004000000}" name="Heavy"/>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5000000}" name="TORPCoef" displayName="TORPCoef" ref="A110:D112" totalsRowShown="0">
  <autoFilter ref="A110:D112" xr:uid="{00000000-0009-0000-0100-00000E000000}"/>
  <tableColumns count="4">
    <tableColumn id="1" xr3:uid="{00000000-0010-0000-1500-000001000000}" name="Ammo"/>
    <tableColumn id="2" xr3:uid="{00000000-0010-0000-1500-000002000000}" name="Light"/>
    <tableColumn id="3" xr3:uid="{00000000-0010-0000-1500-000003000000}" name="Medium"/>
    <tableColumn id="4" xr3:uid="{00000000-0010-0000-1500-000004000000}" name="Heavy"/>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6000000}" name="BurnT" displayName="BurnT" ref="A118:C125" totalsRowShown="0">
  <autoFilter ref="A118:C125" xr:uid="{00000000-0009-0000-0100-000010000000}"/>
  <tableColumns count="3">
    <tableColumn id="1" xr3:uid="{00000000-0010-0000-1600-000001000000}" name="Type"/>
    <tableColumn id="2" xr3:uid="{00000000-0010-0000-1600-000002000000}" name="Burn"/>
    <tableColumn id="5" xr3:uid="{00000000-0010-0000-1600-000005000000}" name="CD"/>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7000000}" name="DefenseTable" displayName="DefenseTable" ref="A148:K164" totalsRowShown="0" dataDxfId="35" tableBorderDxfId="34">
  <autoFilter ref="A148:K164" xr:uid="{00000000-0009-0000-0100-000012000000}"/>
  <tableColumns count="11">
    <tableColumn id="1" xr3:uid="{00000000-0010-0000-1700-000001000000}" name="Name" dataDxfId="33"/>
    <tableColumn id="2" xr3:uid="{00000000-0010-0000-1700-000002000000}" name="HP" dataDxfId="32"/>
    <tableColumn id="3" xr3:uid="{00000000-0010-0000-1700-000003000000}" name="FP" dataDxfId="31"/>
    <tableColumn id="4" xr3:uid="{00000000-0010-0000-1700-000004000000}" name="AA" dataDxfId="30"/>
    <tableColumn id="5" xr3:uid="{00000000-0010-0000-1700-000005000000}" name="TP" dataDxfId="29"/>
    <tableColumn id="6" xr3:uid="{00000000-0010-0000-1700-000006000000}" name="AirP" dataDxfId="28"/>
    <tableColumn id="7" xr3:uid="{00000000-0010-0000-1700-000007000000}" name="RELOAD" dataDxfId="27"/>
    <tableColumn id="8" xr3:uid="{00000000-0010-0000-1700-000008000000}" name="EVA" dataDxfId="26"/>
    <tableColumn id="9" xr3:uid="{00000000-0010-0000-1700-000009000000}" name="HIT" dataDxfId="25"/>
    <tableColumn id="10" xr3:uid="{00000000-0010-0000-1700-00000A000000}" name="SPD" dataDxfId="24"/>
    <tableColumn id="11" xr3:uid="{88EB1C0C-5FDF-481A-AF56-27B6E65B3452}" name="OXY" dataDxfId="23"/>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8000000}" name="AuxType" displayName="AuxType" ref="U11:U13" totalsRowShown="0">
  <autoFilter ref="U11:U13" xr:uid="{00000000-0009-0000-0100-000014000000}"/>
  <tableColumns count="1">
    <tableColumn id="1" xr3:uid="{00000000-0010-0000-1800-000001000000}" name="Type"/>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9000000}" name="OffenseTable" displayName="OffenseTable" ref="A127:Q146" totalsRowShown="0">
  <autoFilter ref="A127:Q146" xr:uid="{00000000-0009-0000-0100-00001D000000}"/>
  <tableColumns count="17">
    <tableColumn id="1" xr3:uid="{00000000-0010-0000-1900-000001000000}" name="Name"/>
    <tableColumn id="2" xr3:uid="{00000000-0010-0000-1900-000002000000}" name="HP"/>
    <tableColumn id="3" xr3:uid="{00000000-0010-0000-1900-000003000000}" name="FP"/>
    <tableColumn id="4" xr3:uid="{00000000-0010-0000-1900-000004000000}" name="AA"/>
    <tableColumn id="5" xr3:uid="{00000000-0010-0000-1900-000005000000}" name="TP"/>
    <tableColumn id="6" xr3:uid="{00000000-0010-0000-1900-000006000000}" name="AirP"/>
    <tableColumn id="7" xr3:uid="{00000000-0010-0000-1900-000007000000}" name="RELOAD"/>
    <tableColumn id="8" xr3:uid="{00000000-0010-0000-1900-000008000000}" name="EVA"/>
    <tableColumn id="9" xr3:uid="{00000000-0010-0000-1900-000009000000}" name="HIT"/>
    <tableColumn id="10" xr3:uid="{00000000-0010-0000-1900-00000A000000}" name="SPD"/>
    <tableColumn id="11" xr3:uid="{00000000-0010-0000-1900-00000B000000}" name="CritDamage"/>
    <tableColumn id="12" xr3:uid="{00000000-0010-0000-1900-00000C000000}" name="Crit%"/>
    <tableColumn id="13" xr3:uid="{00000000-0010-0000-1900-00000D000000}" name="CDReduction"/>
    <tableColumn id="14" xr3:uid="{00000000-0010-0000-1900-00000E000000}" name="Notes"/>
    <tableColumn id="15" xr3:uid="{00000000-0010-0000-1900-00000F000000}" name="LUCK"/>
    <tableColumn id="16" xr3:uid="{00000000-0010-0000-1900-000010000000}" name="FPModifier"/>
    <tableColumn id="17" xr3:uid="{00000000-0010-0000-1900-000011000000}" name="HitModifier"/>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A000000}" name="FIDIBTable" displayName="FIDIBTable" ref="A166:J194" totalsRowShown="0">
  <autoFilter ref="A166:J194" xr:uid="{00000000-0009-0000-0100-000004000000}"/>
  <tableColumns count="10">
    <tableColumn id="1" xr3:uid="{00000000-0010-0000-1A00-000001000000}" name="Name"/>
    <tableColumn id="3" xr3:uid="{00000000-0010-0000-1A00-000003000000}" name="AirP"/>
    <tableColumn id="4" xr3:uid="{00000000-0010-0000-1A00-000004000000}" name="Tier"/>
    <tableColumn id="5" xr3:uid="{00000000-0010-0000-1A00-000005000000}" name="100lb"/>
    <tableColumn id="6" xr3:uid="{00000000-0010-0000-1A00-000006000000}" name="500lb"/>
    <tableColumn id="11" xr3:uid="{F61430CF-DE5A-4123-B638-C3727462427F}" name="500lbEX"/>
    <tableColumn id="7" xr3:uid="{00000000-0010-0000-1A00-000007000000}" name="1000lb"/>
    <tableColumn id="8" xr3:uid="{00000000-0010-0000-1A00-000008000000}" name="1600lb"/>
    <tableColumn id="9" xr3:uid="{00000000-0010-0000-1A00-000009000000}" name="2000lb"/>
    <tableColumn id="10" xr3:uid="{00000000-0010-0000-1A00-00000A000000}" name="RoF"/>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867D867-49C4-4BD5-9409-F555039A502D}" name="LightCruiserTable" displayName="LightCruiserTable" ref="A149:T218" totalsRowShown="0" headerRowBorderDxfId="99" tableBorderDxfId="98" totalsRowBorderDxfId="97" headerRowCellStyle="Normal" dataCellStyle="Normal">
  <autoFilter ref="A149:T218" xr:uid="{DCF42953-2A4B-40C4-A913-F9DEA117FD4C}"/>
  <tableColumns count="20">
    <tableColumn id="1" xr3:uid="{887D05B8-9834-40CD-A040-7366889390B4}" name="ID" dataCellStyle="Normal"/>
    <tableColumn id="2" xr3:uid="{B1C9FCAF-314A-49AF-B990-4D07BB78CF37}" name="Name" dataCellStyle="Normal"/>
    <tableColumn id="3" xr3:uid="{60FE63B5-0AE7-4618-8FDB-911C4229DDB4}" name="Nation" dataCellStyle="Normal"/>
    <tableColumn id="4" xr3:uid="{EB38F22A-E87D-4B7D-86BF-D629208CD75B}" name="Rarity" dataCellStyle="Normal"/>
    <tableColumn id="5" xr3:uid="{2F95D281-A5DE-48EC-A978-2F71980E0921}" name="Type" dataCellStyle="Normal"/>
    <tableColumn id="6" xr3:uid="{C50538EE-9A01-4C80-A3F7-56C0CC8B8FDC}" name="HP" dataCellStyle="Normal"/>
    <tableColumn id="7" xr3:uid="{333FE2F8-1435-447D-990C-E8B155560565}" name="Armor type " dataCellStyle="Normal"/>
    <tableColumn id="8" xr3:uid="{7FA1865A-7F8B-430D-A091-A85F8672E4E8}" name="RELOAD" dataCellStyle="Normal"/>
    <tableColumn id="9" xr3:uid="{E57C1438-5D5C-4E12-A622-5C16F6B3474F}" name="FP" dataCellStyle="Normal"/>
    <tableColumn id="10" xr3:uid="{7553B134-24AA-4B24-9218-32D5109829D9}" name="TP" dataCellStyle="Normal"/>
    <tableColumn id="11" xr3:uid="{B6FAECBA-8631-49D5-A305-38BE02203595}" name="EVA" dataCellStyle="Normal"/>
    <tableColumn id="12" xr3:uid="{FC8A7401-0095-45C4-9D87-44BBA2E63A24}" name="AA" dataCellStyle="Normal"/>
    <tableColumn id="13" xr3:uid="{56A39100-9FE6-4E57-879A-6651B35AC809}" name="AirP" dataCellStyle="Normal"/>
    <tableColumn id="14" xr3:uid="{F379BBB8-0D6A-4780-85B5-2EF1E3C04326}" name="Oil " dataCellStyle="Normal"/>
    <tableColumn id="15" xr3:uid="{267FCD69-F743-4A75-A73B-5EBDD11580C5}" name="ASW" dataCellStyle="Normal"/>
    <tableColumn id="16" xr3:uid="{9847FAC6-1A86-47CC-87CE-9CAAFD142420}" name="SPD" dataCellStyle="Normal"/>
    <tableColumn id="20" xr3:uid="{176ED82F-D03B-4E54-B941-8578F1F1C08B}" name="Luck" dataCellStyle="Normal"/>
    <tableColumn id="19" xr3:uid="{D2CC460E-07B4-4819-901A-9B001AD6D7E1}" name="Hit" dataCellStyle="Normal"/>
    <tableColumn id="17" xr3:uid="{C32BD0CE-CF58-4C4C-8426-DB8BA0FD073F}" name="EFF" dataDxfId="96" dataCellStyle="Normal"/>
    <tableColumn id="18" xr3:uid="{DFE17054-EDA1-43BC-B21D-FB5FF7317D3A}" name="SECEFF" dataDxfId="95" dataCellStyle="Normal"/>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B000000}" name="TBTable" displayName="TBTable" ref="A196:G207" totalsRowShown="0">
  <autoFilter ref="A196:G207" xr:uid="{00000000-0009-0000-0100-000006000000}"/>
  <tableColumns count="7">
    <tableColumn id="1" xr3:uid="{00000000-0010-0000-1B00-000001000000}" name="Name"/>
    <tableColumn id="2" xr3:uid="{00000000-0010-0000-1B00-000002000000}" name="AirP"/>
    <tableColumn id="3" xr3:uid="{00000000-0010-0000-1B00-000003000000}" name="Tier"/>
    <tableColumn id="4" xr3:uid="{00000000-0010-0000-1B00-000004000000}" name="Torpedo"/>
    <tableColumn id="5" xr3:uid="{00000000-0010-0000-1B00-000005000000}" name="Damage"/>
    <tableColumn id="6" xr3:uid="{00000000-0010-0000-1B00-000006000000}" name="Rnd"/>
    <tableColumn id="7" xr3:uid="{00000000-0010-0000-1B00-000007000000}" name="RoF"/>
  </tableColumns>
  <tableStyleInfo name="TableStyleLight2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C000000}" name="BombCoeff" displayName="BombCoeff" ref="A209:E215" totalsRowShown="0">
  <autoFilter ref="A209:E215" xr:uid="{00000000-0009-0000-0100-000011000000}"/>
  <tableColumns count="5">
    <tableColumn id="1" xr3:uid="{00000000-0010-0000-1C00-000001000000}" name="Bomb Weight"/>
    <tableColumn id="2" xr3:uid="{00000000-0010-0000-1C00-000002000000}" name="DMG"/>
    <tableColumn id="4" xr3:uid="{00000000-0010-0000-1C00-000004000000}" name="Light" dataDxfId="22"/>
    <tableColumn id="5" xr3:uid="{00000000-0010-0000-1C00-000005000000}" name="Medium" dataDxfId="21"/>
    <tableColumn id="6" xr3:uid="{00000000-0010-0000-1C00-000006000000}" name="Heavy" dataDxfId="20"/>
  </tableColumns>
  <tableStyleInfo name="TableStyleMedium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D000000}" name="AATable" displayName="AATable" ref="A222:H245" totalsRowShown="0">
  <autoFilter ref="A222:H245" xr:uid="{00000000-0009-0000-0100-000003000000}"/>
  <tableColumns count="8">
    <tableColumn id="1" xr3:uid="{00000000-0010-0000-1D00-000001000000}" name="Name"/>
    <tableColumn id="5" xr3:uid="{00000000-0010-0000-1D00-000005000000}" name="AA"/>
    <tableColumn id="6" xr3:uid="{00000000-0010-0000-1D00-000006000000}" name="Dmg"/>
    <tableColumn id="9" xr3:uid="{00000000-0010-0000-1D00-000009000000}" name="RoF"/>
    <tableColumn id="10" xr3:uid="{00000000-0010-0000-1D00-00000A000000}" name="DPS"/>
    <tableColumn id="11" xr3:uid="{00000000-0010-0000-1D00-00000B000000}" name="Rng"/>
    <tableColumn id="4" xr3:uid="{00000000-0010-0000-1D00-000004000000}" name="Nation"/>
    <tableColumn id="2" xr3:uid="{00000000-0010-0000-1D00-000002000000}" name="Hit"/>
  </tableColumns>
  <tableStyleInfo name="TableStyleMedium13"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82A8C8-960D-4E74-AC29-C96505371234}" name="BombDamage" displayName="BombDamage" ref="A247:D275" totalsRowShown="0" headerRowDxfId="19" headerRowBorderDxfId="18" tableBorderDxfId="17" totalsRowBorderDxfId="16">
  <autoFilter ref="A247:D275" xr:uid="{F081374E-B15D-4FDA-99C9-66F147E7DB36}"/>
  <tableColumns count="4">
    <tableColumn id="1" xr3:uid="{26C91B2C-49E7-4BC1-8694-976E0067DA21}" name="Name" dataDxfId="15"/>
    <tableColumn id="2" xr3:uid="{CC85AC17-AEC4-4DE7-ADCB-1D923EFEB8B7}" name="Light" dataDxfId="14">
      <calculatedColumnFormula>(D167*$B$210*$C$210)+(E167*$B$211*$C$211)+(F167*$B$212*$C$212)+(G167*$B$213*$C$213)+(H167*$B$214*$C$214)+(I167*$B$215*$C$215)</calculatedColumnFormula>
    </tableColumn>
    <tableColumn id="3" xr3:uid="{670BE9D0-CE0A-45F4-AB51-28354B92A5DA}" name="Medium" dataDxfId="13">
      <calculatedColumnFormula>(D167*$B$210*$D$210)+(E167*$B$211*$D$211)+(F167*$B$212*$D$212)+(G167*$B$213*$D$213)+(H167*$B$214*$D$214)+(I167*$B$215*$D$215)</calculatedColumnFormula>
    </tableColumn>
    <tableColumn id="4" xr3:uid="{0E50F530-D283-4D7E-9846-ACD2C37C159F}" name="Heavy" dataDxfId="12">
      <calculatedColumnFormula>(D167*$B$210*$E$210)+(E167*$B$211*$E$211)+(F167*$B$212*$E$212)+(G167*$B$213*$E$213)+(H167*$B$214*$E$214)+(I167*$B$215*$E$215)</calculatedColumnFormula>
    </tableColumn>
  </tableColumns>
  <tableStyleInfo name="TableStyleMedium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C9CD1FCC-E6BF-488F-A6C6-13E430BF4ED3}" name="TorpedoDamage" displayName="TorpedoDamage" ref="A277:D288" totalsRowShown="0">
  <autoFilter ref="A277:D288" xr:uid="{31412484-C91A-4942-8F4C-6D7407FFF785}"/>
  <tableColumns count="4">
    <tableColumn id="1" xr3:uid="{3874E900-AC3F-4C67-83CC-B1A78806284B}" name="Name"/>
    <tableColumn id="2" xr3:uid="{06FAF47D-8BB8-4AB8-BB3B-94CFAE35210A}" name="Light" dataDxfId="11">
      <calculatedColumnFormula>E197*F197*$B$218</calculatedColumnFormula>
    </tableColumn>
    <tableColumn id="3" xr3:uid="{6A342676-1B67-48B3-A5C4-523E3676000C}" name="Medium" dataDxfId="10">
      <calculatedColumnFormula>E197*F197*$B$219</calculatedColumnFormula>
    </tableColumn>
    <tableColumn id="4" xr3:uid="{A24D79ED-B539-4C59-B5C5-61B6C83C453A}" name="Heavy" dataDxfId="9">
      <calculatedColumnFormula>E197*F197*$B$220</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FC9D749-A60D-4C4A-BA9F-C6B8144E53F1}" name="SSTable" displayName="SSTable" ref="A290:L297" tableType="queryTable" totalsRowShown="0">
  <autoFilter ref="A290:L297" xr:uid="{FB1FF9FE-01E2-4DC4-B05E-D5A6A05CD5F3}"/>
  <tableColumns count="12">
    <tableColumn id="1" xr3:uid="{7C5BC4FE-AFFF-4753-B274-F52B1C9ADED0}" uniqueName="1" name="Name" queryTableFieldId="1" dataDxfId="8"/>
    <tableColumn id="3" xr3:uid="{B21A0ED1-DAAC-4624-A601-E66518902A9F}" uniqueName="3" name="Stars" queryTableFieldId="3" dataDxfId="7"/>
    <tableColumn id="5" xr3:uid="{CC6E3184-7D1D-409A-B5B2-62D2C32FBB97}" uniqueName="5" name="TP" queryTableFieldId="5"/>
    <tableColumn id="6" xr3:uid="{68A77EC7-1E6F-4A69-8818-7CE216032696}" uniqueName="6" name="Damage" queryTableFieldId="6"/>
    <tableColumn id="7" xr3:uid="{994DB36F-FD0A-44A3-9D63-54499067DD4D}" uniqueName="7" name="Rounds" queryTableFieldId="7" dataDxfId="6"/>
    <tableColumn id="8" xr3:uid="{CB52F863-4564-4DBA-B6ED-28C7F1DAFA23}" uniqueName="8" name="RoF" queryTableFieldId="8"/>
    <tableColumn id="12" xr3:uid="{F861F8DA-E385-45BD-A931-79D6AAB333A5}" uniqueName="12" name="Rng" queryTableFieldId="12" dataDxfId="5"/>
    <tableColumn id="13" xr3:uid="{E65910E8-B43E-4F29-A1C6-00B10072A8A3}" uniqueName="13" name="Spread" queryTableFieldId="13" dataDxfId="4"/>
    <tableColumn id="14" xr3:uid="{611E7882-810C-4931-A46A-9FF90612447F}" uniqueName="14" name="Angle" queryTableFieldId="14" dataDxfId="3"/>
    <tableColumn id="15" xr3:uid="{98D627AF-EEE0-4ECC-98A8-8315A6949E42}" uniqueName="15" name="Ammo" queryTableFieldId="15" dataDxfId="2"/>
    <tableColumn id="16" xr3:uid="{69BC2747-0D02-47DE-AEC4-ACEFB03102F8}" uniqueName="16" name="Drop" queryTableFieldId="16" dataDxfId="1"/>
    <tableColumn id="17" xr3:uid="{7E1E28C0-167A-4E54-A949-B70FC1C4C8DB}" uniqueName="17" name="Notes" queryTableFieldId="17" dataDxfId="0"/>
  </tableColumns>
  <tableStyleInfo name="TableStyleMedium7"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2265B39-154A-4F29-8F33-1E6FD57B2AF6}" name="SSCoef" displayName="SSCoef" ref="A114:D116" totalsRowShown="0">
  <autoFilter ref="A114:D116" xr:uid="{48AB8A56-582C-4F41-80FB-A6DEF49EBE38}"/>
  <tableColumns count="4">
    <tableColumn id="1" xr3:uid="{E335169B-BBF8-4A73-8009-AED6EAE30B4A}" name="Ammo"/>
    <tableColumn id="2" xr3:uid="{2C0BE3F9-01DA-4EE9-AA0F-7C35798AB95B}" name="Light"/>
    <tableColumn id="3" xr3:uid="{C2CAE8E5-A322-4DCB-B96A-0820155CBEA2}" name="Medium"/>
    <tableColumn id="4" xr3:uid="{FFF16F09-EC1A-47A7-9D32-88B6C9511C45}" name="Heav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D951834B-4779-4783-B8E5-245C08F30DE5}" name="HeavyCruiserTable" displayName="HeavyCruiserTable" ref="A220:T271" totalsRowShown="0" headerRowBorderDxfId="94" tableBorderDxfId="93" totalsRowBorderDxfId="92" headerRowCellStyle="Normal" dataCellStyle="Normal">
  <autoFilter ref="A220:T271" xr:uid="{1D3D806C-5CF1-4F01-BCDA-B599E330CA60}"/>
  <tableColumns count="20">
    <tableColumn id="1" xr3:uid="{BABDB598-3248-46EE-9F8E-E83F7E7130D7}" name="ID" dataCellStyle="Normal"/>
    <tableColumn id="2" xr3:uid="{73E3B867-E323-40E7-B077-832F43FDDEB6}" name="Name" dataCellStyle="Normal"/>
    <tableColumn id="3" xr3:uid="{FAD78DC8-9319-41D6-A332-340989020BFA}" name="Nation" dataCellStyle="Normal"/>
    <tableColumn id="4" xr3:uid="{F86B43DE-7CD9-4D3C-B0F6-DD98B56D1788}" name="Rarity" dataCellStyle="Normal"/>
    <tableColumn id="5" xr3:uid="{3A173CFA-FEA0-4C37-90D9-4BB4DD90070E}" name="Type" dataCellStyle="Normal"/>
    <tableColumn id="6" xr3:uid="{EE745CD6-EBC2-4A38-AAA3-DC9899CE597A}" name="HP" dataCellStyle="Normal"/>
    <tableColumn id="7" xr3:uid="{77C1E35A-2D25-4BA8-B82A-C141AC6CBE83}" name="Armor type " dataCellStyle="Normal"/>
    <tableColumn id="8" xr3:uid="{8050588B-28D7-4967-8B4D-354D01053A6D}" name="RELOAD" dataCellStyle="Normal"/>
    <tableColumn id="9" xr3:uid="{F355D0F1-B102-4A36-81D4-333BDDC7A136}" name="FP" dataCellStyle="Normal"/>
    <tableColumn id="10" xr3:uid="{769B3852-7F15-4B1E-85C6-0F36AFA86E6F}" name="TP" dataCellStyle="Normal"/>
    <tableColumn id="11" xr3:uid="{12BE918E-7F76-40C7-B9B8-E58ECE524230}" name="EVA" dataCellStyle="Normal"/>
    <tableColumn id="12" xr3:uid="{34CFAA25-CBE7-49C1-8A4E-6B5F1CABF443}" name="AA" dataCellStyle="Normal"/>
    <tableColumn id="13" xr3:uid="{5EB5DBA5-2C2C-4FC0-AC2B-8F201FC354CC}" name="AirP" dataCellStyle="Normal"/>
    <tableColumn id="14" xr3:uid="{42369DF9-2B82-4781-A0A5-91868DA8BFCA}" name="Oil " dataCellStyle="Normal"/>
    <tableColumn id="15" xr3:uid="{6CB5E4E1-F117-4047-9AFE-6EE4FA39EA31}" name="ASW" dataCellStyle="Normal"/>
    <tableColumn id="16" xr3:uid="{CF297E78-321B-4B9D-9036-744896FED83E}" name="SPD" dataCellStyle="Normal"/>
    <tableColumn id="20" xr3:uid="{8F5C0F4E-5ADF-46F8-B332-D87A473E4DD9}" name="Luck" dataCellStyle="Normal"/>
    <tableColumn id="19" xr3:uid="{98688D09-1FA3-4BCF-A4C7-1BFA73B08AA8}" name="Hit" dataCellStyle="Normal"/>
    <tableColumn id="17" xr3:uid="{F838EF3D-8F8B-4F47-A1C1-F9D1B264499B}" name="EFF" dataDxfId="91" dataCellStyle="Normal"/>
    <tableColumn id="18" xr3:uid="{D5A51EE0-FFD7-414D-BBA2-88F057738A4F}" name="SECEFF" dataDxfId="90" dataCellStyle="Normal"/>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9B7B70-A03D-4187-85F5-AAADFF510D5D}" name="BattleshipTable" displayName="BattleshipTable" ref="A273:X328" totalsRowShown="0" headerRowBorderDxfId="89" tableBorderDxfId="88" totalsRowBorderDxfId="87" headerRowCellStyle="Normal" dataCellStyle="Normal">
  <autoFilter ref="A273:X328" xr:uid="{62318076-3773-4D07-B1C0-45BC305F5561}"/>
  <tableColumns count="24">
    <tableColumn id="1" xr3:uid="{ADF92AAC-5384-45E4-A075-047B62B1DD41}" name="ID" dataCellStyle="Normal"/>
    <tableColumn id="2" xr3:uid="{90571C54-1D9A-40B8-B7EB-AF564A832BFA}" name="Name" dataCellStyle="Normal"/>
    <tableColumn id="3" xr3:uid="{00E4C8A8-FC44-4BE8-B8BC-E86C693913A8}" name="Nation" dataCellStyle="Normal"/>
    <tableColumn id="4" xr3:uid="{85AF5865-5118-4B6B-BA23-4067D723A11D}" name="Rarity" dataCellStyle="Normal"/>
    <tableColumn id="5" xr3:uid="{DED4D892-EF4C-48C3-8DE8-66169413FD6D}" name="Type" dataCellStyle="Normal"/>
    <tableColumn id="6" xr3:uid="{089C5CB9-FFB0-421C-90F1-BEE87D756049}" name="HP" dataCellStyle="Normal"/>
    <tableColumn id="7" xr3:uid="{1A76D8DE-B92C-443F-9BBF-099288483FDB}" name="Armor type " dataCellStyle="Normal"/>
    <tableColumn id="8" xr3:uid="{48205363-8C91-4720-9B4D-24DC62F469FE}" name="RELOAD" dataCellStyle="Normal"/>
    <tableColumn id="9" xr3:uid="{C6E5A554-E56E-47FB-B81F-0F696EA90586}" name="FP" dataCellStyle="Normal"/>
    <tableColumn id="10" xr3:uid="{A740162F-A156-4AC4-9731-864B87015559}" name="TP" dataCellStyle="Normal"/>
    <tableColumn id="11" xr3:uid="{D238B9A6-7E81-46C9-9017-E4CB5FD609DE}" name="EVA" dataCellStyle="Normal"/>
    <tableColumn id="12" xr3:uid="{F2328898-EDCA-43FF-8B41-511669869648}" name="AA" dataCellStyle="Normal"/>
    <tableColumn id="13" xr3:uid="{5A30718F-3E79-4C5C-B06F-8B296E5BF26B}" name="AirP" dataCellStyle="Normal"/>
    <tableColumn id="14" xr3:uid="{F9EF75B1-2523-404C-9FDC-150F5CB66D47}" name="Oil " dataCellStyle="Normal"/>
    <tableColumn id="15" xr3:uid="{66805199-1D0F-4875-AF62-1D7B48EB15BD}" name="ASW" dataCellStyle="Normal"/>
    <tableColumn id="16" xr3:uid="{CEAC6933-7873-4CBE-8EB8-230798D69954}" name="SPD" dataCellStyle="Normal"/>
    <tableColumn id="20" xr3:uid="{B53E6EFE-A48A-422D-B613-B82BC579D1ED}" name="Luck" dataCellStyle="Normal"/>
    <tableColumn id="19" xr3:uid="{DEB01433-E01F-414B-B0A7-851070F11D03}" name="Hit" dataCellStyle="Normal"/>
    <tableColumn id="17" xr3:uid="{179D0D1B-3BFC-42E7-96E1-5FD3F8110C51}" name="EFF" dataDxfId="86" dataCellStyle="Normal"/>
    <tableColumn id="18" xr3:uid="{A0D3CDB4-E7A3-467C-A47A-732619306830}" name="SECEFF" dataDxfId="85" dataCellStyle="Normal"/>
    <tableColumn id="22" xr3:uid="{06268B7F-6F16-4701-9554-5EA3C169323C}" name="Type1" dataDxfId="84"/>
    <tableColumn id="21" xr3:uid="{89790C80-22AA-4E23-9C73-15D2BC120B05}" name="Type2" dataCellStyle="Normal"/>
    <tableColumn id="23" xr3:uid="{84BEF3B1-A1DD-476C-BAFA-E80CEC221FF5}" name="Type3" dataCellStyle="Normal"/>
    <tableColumn id="24" xr3:uid="{3AE14575-9E45-4CBA-961E-123398057E7A}" name="Plane2" dataCellStyle="Normal"/>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6EEC4AE-9A61-4733-907E-0CED0E0179F9}" name="CarrierTable" displayName="CarrierTable" ref="A330:AA357" totalsRowShown="0" headerRowBorderDxfId="83" tableBorderDxfId="82" totalsRowBorderDxfId="81" headerRowCellStyle="Normal" dataCellStyle="Normal">
  <autoFilter ref="A330:AA357" xr:uid="{3DC77F6F-3FF6-4E10-8EEA-D58244897F3F}"/>
  <tableColumns count="27">
    <tableColumn id="1" xr3:uid="{42DE88A3-E304-4FA0-B4F2-5F753ADF86CB}" name="ID" dataCellStyle="Normal"/>
    <tableColumn id="2" xr3:uid="{BF7F7D0B-4993-45B3-A71F-BC5E0445CBA8}" name="Name" dataCellStyle="Normal"/>
    <tableColumn id="3" xr3:uid="{0987E558-2751-41E2-B6FC-63A8DEA69EB3}" name="Nation" dataCellStyle="Normal"/>
    <tableColumn id="4" xr3:uid="{98B8977A-7AFD-4FBE-AC1B-A292E5653E80}" name="Rarity" dataCellStyle="Normal"/>
    <tableColumn id="5" xr3:uid="{11A2964F-4BAB-4FD0-B6CA-B81115115E83}" name="Type" dataCellStyle="Normal"/>
    <tableColumn id="6" xr3:uid="{517E83C0-A275-4666-B077-55736BFDBCF6}" name="HP" dataCellStyle="Normal"/>
    <tableColumn id="7" xr3:uid="{DDA9C332-61CF-4B6F-9375-7E998B2C615E}" name="Armor type " dataCellStyle="Normal"/>
    <tableColumn id="8" xr3:uid="{E3B462AC-A484-4DC5-BC7C-00A3582FE2D2}" name="RELOAD" dataCellStyle="Normal"/>
    <tableColumn id="9" xr3:uid="{9250EB2F-0EA9-4274-A16E-CE2294B99590}" name="FP" dataCellStyle="Normal"/>
    <tableColumn id="10" xr3:uid="{F3EEA524-F53D-47CE-880F-E378B91674D4}" name="TP" dataCellStyle="Normal"/>
    <tableColumn id="11" xr3:uid="{750C2F3A-E74A-48F1-9A06-6AE8125F1F4F}" name="EVA" dataCellStyle="Normal"/>
    <tableColumn id="12" xr3:uid="{B3732AEA-E61B-4710-84A2-D65687931C1F}" name="AA" dataCellStyle="Normal"/>
    <tableColumn id="13" xr3:uid="{A34107F2-8718-4F83-B70A-85F769A25CF2}" name="AirP" dataCellStyle="Normal"/>
    <tableColumn id="14" xr3:uid="{88CCDCAB-082E-4F39-9002-B2FEFAAA3ACE}" name="Oil " dataCellStyle="Normal"/>
    <tableColumn id="15" xr3:uid="{3982D8FE-2E1C-49F9-BF65-E6DAAD7B9AA7}" name="ASW" dataCellStyle="Normal"/>
    <tableColumn id="16" xr3:uid="{4388325E-F173-44C1-BAEC-EBF891929C1A}" name="SPD" dataCellStyle="Normal"/>
    <tableColumn id="27" xr3:uid="{D6031001-6220-4C4D-95C6-09C9A141C044}" name="Luck" dataCellStyle="Normal"/>
    <tableColumn id="26" xr3:uid="{502A499B-E0B6-4C94-B1B9-BD03C9EC89FC}" name="Hit" dataCellStyle="Normal"/>
    <tableColumn id="17" xr3:uid="{9BB99CCA-1295-4CDB-8DD6-3230EF5F6059}" name="EFF" dataDxfId="80" dataCellStyle="Normal"/>
    <tableColumn id="18" xr3:uid="{F37A64E1-A889-458F-888F-5D98E7E28242}" name="SECEFF" dataDxfId="79" dataCellStyle="Normal"/>
    <tableColumn id="19" xr3:uid="{FDE1A6DC-2099-42D1-A9FB-D179920BA63C}" name="TRIEFF" dataDxfId="78" dataCellStyle="Normal"/>
    <tableColumn id="20" xr3:uid="{71AAE983-CC20-4111-8F7A-8F17FD16CD29}" name="Plane1" dataCellStyle="Normal"/>
    <tableColumn id="21" xr3:uid="{1758EDC0-A567-4FDB-8671-3E1D74652518}" name="Plane2" dataCellStyle="Normal"/>
    <tableColumn id="22" xr3:uid="{77D2DDDC-22F0-4E5D-B249-62E7F07F3E19}" name="Plane3" dataCellStyle="Normal"/>
    <tableColumn id="23" xr3:uid="{6453C049-4082-4282-BF48-BEFE0A6238E6}" name="Type1" dataCellStyle="Normal"/>
    <tableColumn id="24" xr3:uid="{B4B8C3F9-EA54-451D-B8A0-AF087BE40AA7}" name="Type2" dataCellStyle="Normal"/>
    <tableColumn id="25" xr3:uid="{C4EDF662-B6F3-4830-9E26-F52AE8E780E0}" name="Type3" dataCellStyle="Normal"/>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70F4F10-9EF6-487C-9DFD-EF8C61189644}" name="LightCarrierTable" displayName="LightCarrierTable" ref="A359:AA380" totalsRowShown="0" headerRowBorderDxfId="77" tableBorderDxfId="76" totalsRowBorderDxfId="75" headerRowCellStyle="Normal" dataCellStyle="Normal">
  <autoFilter ref="A359:AA380" xr:uid="{9F20258C-1349-4B1F-A599-7CB7B6226315}"/>
  <tableColumns count="27">
    <tableColumn id="1" xr3:uid="{B6ACA0FE-D055-4510-A976-CC35C9B9ED9E}" name="ID" dataCellStyle="Normal"/>
    <tableColumn id="2" xr3:uid="{3B49CEB2-7EE2-43B4-AE27-173460C1C094}" name="Name" dataCellStyle="Normal"/>
    <tableColumn id="3" xr3:uid="{41DC4A4C-B62E-439B-ADF4-07CA066CF45E}" name="Nation" dataCellStyle="Normal"/>
    <tableColumn id="4" xr3:uid="{F2F42E7B-3045-4130-AE7A-F2494E7E9DE0}" name="Rarity" dataCellStyle="Normal"/>
    <tableColumn id="5" xr3:uid="{7F4D65EF-EB12-406B-B009-07CB950657D2}" name="Type" dataCellStyle="Normal"/>
    <tableColumn id="6" xr3:uid="{CBE25A6D-30B9-4444-BC02-59692DC36122}" name="HP" dataCellStyle="Normal"/>
    <tableColumn id="7" xr3:uid="{2EA203CE-362E-4075-AC90-6E2CD7A0FC7B}" name="Armor type " dataCellStyle="Normal"/>
    <tableColumn id="8" xr3:uid="{3B11D7DC-2117-4CDF-9BBA-96DCA1107CC3}" name="RELOAD" dataCellStyle="Normal"/>
    <tableColumn id="9" xr3:uid="{E7B6A2FF-6D39-4578-ACA6-D1F9C4A4EE37}" name="FP" dataCellStyle="Normal"/>
    <tableColumn id="10" xr3:uid="{1EC9E70A-48E7-40CD-A4E8-1E7B069C72FC}" name="TP" dataCellStyle="Normal"/>
    <tableColumn id="11" xr3:uid="{6067C9CF-86E5-4216-9123-AEDDF86B6BBD}" name="EVA" dataCellStyle="Normal"/>
    <tableColumn id="12" xr3:uid="{05B5C6CD-A572-4488-83F2-65E4545BFD61}" name="AA" dataCellStyle="Normal"/>
    <tableColumn id="13" xr3:uid="{13304CEF-1112-4363-B865-539C25F121C4}" name="AirP" dataCellStyle="Normal"/>
    <tableColumn id="14" xr3:uid="{6E4E8966-C4B1-4691-9CE0-330E56B245C6}" name="Oil " dataCellStyle="Normal"/>
    <tableColumn id="15" xr3:uid="{C71FAE34-999C-4C23-A46A-B49F7D457FD2}" name="ASW" dataCellStyle="Normal"/>
    <tableColumn id="16" xr3:uid="{2691642C-B60B-4A16-A3F3-CBF0AA1058A9}" name="SPD" dataCellStyle="Normal"/>
    <tableColumn id="27" xr3:uid="{97C3FD63-E466-4AEE-B95C-4995C5434877}" name="Luck" dataCellStyle="Normal"/>
    <tableColumn id="26" xr3:uid="{4075B109-EA37-4223-BF22-EE779280D8DF}" name="Hit" dataCellStyle="Normal"/>
    <tableColumn id="17" xr3:uid="{012CB17C-941D-44CA-96C6-4A400562A92A}" name="EFF" dataDxfId="74" dataCellStyle="Normal"/>
    <tableColumn id="18" xr3:uid="{EEDD6984-552A-4AEF-BE6E-0CA5A660ED85}" name="SECEFF" dataDxfId="73" dataCellStyle="Normal"/>
    <tableColumn id="19" xr3:uid="{F82CA285-2553-45E3-93E9-A8042E1BCD36}" name="TRIEFF" dataDxfId="72" dataCellStyle="Normal"/>
    <tableColumn id="20" xr3:uid="{7883AC77-280D-4051-A4C4-198DE3F4F2B7}" name="Plane1" dataCellStyle="Normal"/>
    <tableColumn id="21" xr3:uid="{1F5116F5-9B3A-4057-9034-84EB517FE2E0}" name="Plane2" dataCellStyle="Normal"/>
    <tableColumn id="22" xr3:uid="{BC617E2A-1F29-4151-B4DE-5AF164A86B39}" name="Plane3" dataCellStyle="Normal"/>
    <tableColumn id="23" xr3:uid="{FE1A7262-8509-494D-BCD2-C8E0C2D8807F}" name="Type1" dataCellStyle="Normal"/>
    <tableColumn id="24" xr3:uid="{284171B6-8A52-4049-98E3-25B656DFDF29}" name="Type2" dataCellStyle="Normal"/>
    <tableColumn id="25" xr3:uid="{D6B8CA2D-BB3E-4301-803F-34E6E10EF64F}" name="Type3" dataCellStyle="Normal"/>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BBE532F-8DE4-4935-B880-4357050F8B2C}" name="SubmarineTable" displayName="SubmarineTable" ref="A382:V391" totalsRowShown="0" headerRowBorderDxfId="71" tableBorderDxfId="70" totalsRowBorderDxfId="69" headerRowCellStyle="Normal" dataCellStyle="Normal">
  <autoFilter ref="A382:V391" xr:uid="{85E6C68C-C23B-4587-B2AE-F11AD4C707A7}"/>
  <tableColumns count="22">
    <tableColumn id="1" xr3:uid="{3EB75A99-55C9-41BE-B6DF-D6241A303702}" name="ID" dataCellStyle="Normal"/>
    <tableColumn id="2" xr3:uid="{46A11026-6524-40E7-97E9-84F67A72F476}" name="Name" dataCellStyle="Normal"/>
    <tableColumn id="3" xr3:uid="{F2208EB1-D54D-448E-939B-42EE82BC0460}" name="Nation" dataCellStyle="Normal"/>
    <tableColumn id="4" xr3:uid="{866D7D51-9E7A-4965-BA89-AB2DF497168D}" name="Rarity" dataCellStyle="Normal"/>
    <tableColumn id="5" xr3:uid="{820A6A1B-060A-41B2-BA9C-1B9CCEDEA055}" name="Type" dataCellStyle="Normal"/>
    <tableColumn id="6" xr3:uid="{4DE4918E-DC4D-4C80-8CA6-3CE956878C10}" name="HP" dataCellStyle="Normal"/>
    <tableColumn id="7" xr3:uid="{62BC2CEA-F23B-49AE-BFEF-7E3FD0E8AEFE}" name="Armor type " dataCellStyle="Normal"/>
    <tableColumn id="8" xr3:uid="{B499DCA2-18D6-4563-A70E-C2830F3933A0}" name="RELOAD" dataCellStyle="Normal"/>
    <tableColumn id="9" xr3:uid="{4F507D3A-A15D-4D55-857A-0C7415AE9BE8}" name="FP" dataCellStyle="Normal"/>
    <tableColumn id="10" xr3:uid="{63556277-9B58-44AC-ACF4-97F7B8B391B3}" name="TP" dataCellStyle="Normal"/>
    <tableColumn id="11" xr3:uid="{F383D9C4-9885-4F4D-A3F9-C242322C64F6}" name="EVA" dataCellStyle="Normal"/>
    <tableColumn id="12" xr3:uid="{8EDA95AD-394B-465E-B930-301E4E1810D5}" name="AA" dataCellStyle="Normal"/>
    <tableColumn id="13" xr3:uid="{F133B19E-74B0-4E69-B473-7D30D1070D55}" name="AirP" dataCellStyle="Normal"/>
    <tableColumn id="14" xr3:uid="{5E938E46-8DF0-4977-877B-85367C5FC531}" name="Oil " dataCellStyle="Normal"/>
    <tableColumn id="15" xr3:uid="{3744152D-C138-4D8C-A8B4-E00AA836E7B3}" name="ASW" dataCellStyle="Normal"/>
    <tableColumn id="16" xr3:uid="{111A8CDB-84C9-41C1-81C6-D0097716984F}" name="SPD" dataCellStyle="Normal"/>
    <tableColumn id="17" xr3:uid="{519A32F5-0F92-4D92-8350-C0377826F7F4}" name="Luck" dataCellStyle="Normal"/>
    <tableColumn id="18" xr3:uid="{40983D96-BF74-4532-94F1-B52AE6A00127}" name="Hit" dataCellStyle="Normal"/>
    <tableColumn id="19" xr3:uid="{6027B4CC-87AA-4A76-A680-0ED22CD5E5BB}" name="OXY" dataCellStyle="Normal"/>
    <tableColumn id="20" xr3:uid="{C8BB91FF-DC77-4E46-B3A4-4D7F3CD5217F}" name="EFF" dataDxfId="68" dataCellStyle="Normal"/>
    <tableColumn id="21" xr3:uid="{0DB4987E-BF51-41E9-B5B8-C4731C668CB0}" name="SECEFF" dataDxfId="67" dataCellStyle="Normal"/>
    <tableColumn id="22" xr3:uid="{96B4BA74-B32D-4920-998F-E98EAD75DBCA}" name="TRIEFF" dataCellStyle="Normal"/>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22A9EE-6868-47A1-850F-6757A046ACAA}" name="SType" displayName="SType" ref="A396:B406" totalsRowShown="0" headerRowCellStyle="Normal" dataCellStyle="Normal">
  <autoFilter ref="A396:B406" xr:uid="{A1A168C8-0702-4EEE-A8BB-85DBDD818714}"/>
  <tableColumns count="2">
    <tableColumn id="2" xr3:uid="{0E209D98-9BD3-4771-B0CB-0C7EEFE25A5A}" name="Ship" dataCellStyle="Normal"/>
    <tableColumn id="1" xr3:uid="{6C20070B-1927-4C2E-814A-9B7AC88F8786}" name="Type" dataCellStyle="Normal"/>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21.xml"/><Relationship Id="rId13" Type="http://schemas.openxmlformats.org/officeDocument/2006/relationships/table" Target="../tables/table26.xml"/><Relationship Id="rId18" Type="http://schemas.openxmlformats.org/officeDocument/2006/relationships/table" Target="../tables/table31.xml"/><Relationship Id="rId3" Type="http://schemas.openxmlformats.org/officeDocument/2006/relationships/table" Target="../tables/table16.xml"/><Relationship Id="rId21" Type="http://schemas.openxmlformats.org/officeDocument/2006/relationships/table" Target="../tables/table34.xml"/><Relationship Id="rId7" Type="http://schemas.openxmlformats.org/officeDocument/2006/relationships/table" Target="../tables/table20.xml"/><Relationship Id="rId12" Type="http://schemas.openxmlformats.org/officeDocument/2006/relationships/table" Target="../tables/table25.xml"/><Relationship Id="rId17" Type="http://schemas.openxmlformats.org/officeDocument/2006/relationships/table" Target="../tables/table30.xml"/><Relationship Id="rId2" Type="http://schemas.openxmlformats.org/officeDocument/2006/relationships/table" Target="../tables/table15.xml"/><Relationship Id="rId16" Type="http://schemas.openxmlformats.org/officeDocument/2006/relationships/table" Target="../tables/table29.xml"/><Relationship Id="rId20" Type="http://schemas.openxmlformats.org/officeDocument/2006/relationships/table" Target="../tables/table33.xml"/><Relationship Id="rId1" Type="http://schemas.openxmlformats.org/officeDocument/2006/relationships/table" Target="../tables/table14.xml"/><Relationship Id="rId6" Type="http://schemas.openxmlformats.org/officeDocument/2006/relationships/table" Target="../tables/table19.xml"/><Relationship Id="rId11" Type="http://schemas.openxmlformats.org/officeDocument/2006/relationships/table" Target="../tables/table24.xml"/><Relationship Id="rId5" Type="http://schemas.openxmlformats.org/officeDocument/2006/relationships/table" Target="../tables/table18.xml"/><Relationship Id="rId15" Type="http://schemas.openxmlformats.org/officeDocument/2006/relationships/table" Target="../tables/table28.xml"/><Relationship Id="rId23" Type="http://schemas.openxmlformats.org/officeDocument/2006/relationships/table" Target="../tables/table36.xml"/><Relationship Id="rId10" Type="http://schemas.openxmlformats.org/officeDocument/2006/relationships/table" Target="../tables/table23.xml"/><Relationship Id="rId19" Type="http://schemas.openxmlformats.org/officeDocument/2006/relationships/table" Target="../tables/table32.xml"/><Relationship Id="rId4" Type="http://schemas.openxmlformats.org/officeDocument/2006/relationships/table" Target="../tables/table17.xml"/><Relationship Id="rId9" Type="http://schemas.openxmlformats.org/officeDocument/2006/relationships/table" Target="../tables/table22.xml"/><Relationship Id="rId14" Type="http://schemas.openxmlformats.org/officeDocument/2006/relationships/table" Target="../tables/table27.xml"/><Relationship Id="rId22" Type="http://schemas.openxmlformats.org/officeDocument/2006/relationships/table" Target="../tables/table3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74"/>
  <sheetViews>
    <sheetView tabSelected="1" topLeftCell="G16" workbookViewId="0">
      <selection activeCell="T27" sqref="T27"/>
    </sheetView>
  </sheetViews>
  <sheetFormatPr defaultRowHeight="14.4" x14ac:dyDescent="0.3"/>
  <cols>
    <col min="1" max="1" width="5.77734375" customWidth="1"/>
    <col min="2" max="2" width="11.77734375" customWidth="1"/>
    <col min="3" max="3" width="8.88671875" customWidth="1"/>
    <col min="4" max="5" width="12.77734375" customWidth="1"/>
    <col min="6" max="7" width="13.77734375" customWidth="1"/>
    <col min="8" max="8" width="10.77734375" customWidth="1"/>
    <col min="9" max="11" width="8.88671875" customWidth="1"/>
    <col min="12" max="12" width="10.77734375" customWidth="1"/>
    <col min="13" max="13" width="8.88671875" customWidth="1"/>
    <col min="15" max="15" width="8.88671875" customWidth="1"/>
    <col min="18" max="18" width="9" customWidth="1"/>
    <col min="23" max="23" width="8.88671875" customWidth="1"/>
  </cols>
  <sheetData>
    <row r="1" spans="1:28" x14ac:dyDescent="0.3">
      <c r="A1" s="19"/>
      <c r="B1" s="23"/>
      <c r="C1" s="23"/>
      <c r="D1" s="23"/>
      <c r="E1" s="23"/>
      <c r="F1" s="23"/>
      <c r="G1" s="23"/>
      <c r="H1" s="23"/>
      <c r="I1" s="23"/>
      <c r="J1" s="23"/>
      <c r="K1" s="23"/>
      <c r="L1" s="23"/>
      <c r="M1" s="23"/>
      <c r="N1" s="23"/>
      <c r="O1" s="23"/>
      <c r="P1" s="23"/>
      <c r="Q1" s="23"/>
      <c r="R1" s="23"/>
      <c r="S1" s="23"/>
      <c r="T1" s="23"/>
      <c r="U1" s="23"/>
      <c r="V1" s="23"/>
      <c r="W1" s="23"/>
      <c r="X1" s="23"/>
      <c r="Y1" s="23"/>
      <c r="Z1" s="23"/>
      <c r="AA1" s="23"/>
      <c r="AB1" s="23"/>
    </row>
    <row r="2" spans="1:28" x14ac:dyDescent="0.3">
      <c r="A2" s="19"/>
      <c r="B2" s="14" t="s">
        <v>1143</v>
      </c>
      <c r="C2" t="s">
        <v>1</v>
      </c>
      <c r="D2" t="s">
        <v>2</v>
      </c>
      <c r="E2" t="s">
        <v>3</v>
      </c>
      <c r="F2" t="s">
        <v>265</v>
      </c>
      <c r="G2" t="s">
        <v>54</v>
      </c>
      <c r="H2" t="s">
        <v>4</v>
      </c>
      <c r="J2" t="s">
        <v>269</v>
      </c>
      <c r="Q2" s="4"/>
      <c r="R2" s="4"/>
      <c r="S2" s="4"/>
      <c r="T2" s="4"/>
      <c r="U2" s="4"/>
      <c r="V2" s="4"/>
      <c r="W2" s="4"/>
      <c r="X2" s="4"/>
      <c r="Y2" s="4"/>
      <c r="Z2" s="4"/>
      <c r="AA2" s="4"/>
      <c r="AB2" s="4"/>
    </row>
    <row r="3" spans="1:28" x14ac:dyDescent="0.3">
      <c r="A3" s="19"/>
      <c r="B3" t="s">
        <v>198</v>
      </c>
      <c r="C3" s="16" t="str">
        <f>IFERROR(INDEX(SType[],MATCH(C4,SType[Ship],0),COLUMN(SType[Type])),0)</f>
        <v>HeavyCruiser</v>
      </c>
      <c r="D3" t="s">
        <v>302</v>
      </c>
      <c r="E3" t="s">
        <v>301</v>
      </c>
      <c r="F3" t="s">
        <v>265</v>
      </c>
      <c r="G3" t="s">
        <v>157</v>
      </c>
      <c r="H3" t="s">
        <v>200</v>
      </c>
      <c r="J3" t="s">
        <v>151</v>
      </c>
      <c r="K3" t="s">
        <v>268</v>
      </c>
      <c r="L3" t="s">
        <v>4</v>
      </c>
      <c r="N3" t="s">
        <v>1077</v>
      </c>
      <c r="O3" s="1">
        <f>IF(G4="2x410mm Gold", 1.2, 0.6)</f>
        <v>0.6</v>
      </c>
      <c r="Q3" t="str">
        <f>B2</f>
        <v>Azuma</v>
      </c>
      <c r="S3" t="s">
        <v>25</v>
      </c>
      <c r="U3" t="s">
        <v>26</v>
      </c>
      <c r="W3" t="s">
        <v>1028</v>
      </c>
      <c r="Y3" t="s">
        <v>1027</v>
      </c>
    </row>
    <row r="4" spans="1:28" x14ac:dyDescent="0.3">
      <c r="A4" s="19"/>
      <c r="B4" t="s">
        <v>199</v>
      </c>
      <c r="C4" s="16" t="str">
        <f>IFERROR(INDEX(Base[],MATCH(B2,Base[Name],0),COLUMN(Base[Type])),0)</f>
        <v>SCA</v>
      </c>
      <c r="D4" t="s">
        <v>288</v>
      </c>
      <c r="E4" t="s">
        <v>304</v>
      </c>
      <c r="F4" t="s">
        <v>984</v>
      </c>
      <c r="G4" t="s">
        <v>209</v>
      </c>
      <c r="H4" t="s">
        <v>261</v>
      </c>
      <c r="J4" t="s">
        <v>150</v>
      </c>
      <c r="K4" t="str">
        <f ca="1">IFERROR(INDEX(INDIRECT(G3&amp;"Table"),MATCH(G4,INDIRECT(G3&amp;"Table"&amp;"[Name]"),0),COLUMN(INDIRECT(G3&amp;"Table"&amp;"[Ammo]"))),0)</f>
        <v>HE</v>
      </c>
      <c r="L4" t="str">
        <f ca="1">IFERROR(INDEX(INDIRECT(H3&amp;"Table"),MATCH(H4,INDIRECT(H3&amp;"Table"&amp;"[Name]"),0),COLUMN(INDIRECT(H3&amp;"Table"&amp;"[Ammo]"))),0)</f>
        <v>Normal</v>
      </c>
      <c r="N4" t="s">
        <v>55</v>
      </c>
      <c r="O4" s="1">
        <f ca="1">IF(OR(K4="Normal", K4="Magnetic",K4="AP"), 0,IFERROR(INDEX(BurnT[],MATCH(G3,BurnT[Type],0),COLUMN(BurnT[Burn])),0))</f>
        <v>0.01</v>
      </c>
      <c r="R4" t="s">
        <v>8</v>
      </c>
      <c r="S4">
        <f ca="1">Q28+N34+S28+P34+SUM(N38:T38)+R34+T34</f>
        <v>419.99614245676952</v>
      </c>
      <c r="U4">
        <f ca="1">((Q28+N34+S28+P34+R34+T34)*H30+SUM(N38:T38))</f>
        <v>377.9965282110926</v>
      </c>
      <c r="W4">
        <f ca="1">V22</f>
        <v>332.56830018987341</v>
      </c>
      <c r="Y4">
        <f ca="1">SUM(W34:Z34)*$H$30</f>
        <v>1231.7344451476793</v>
      </c>
    </row>
    <row r="5" spans="1:28" x14ac:dyDescent="0.3">
      <c r="A5" s="19"/>
      <c r="B5" t="s">
        <v>7</v>
      </c>
      <c r="C5">
        <f ca="1">IFERROR(INDEX(INDIRECT(C3&amp;"Table"),MATCH(B2,INDIRECT(C3&amp;"Table"&amp;"[Name]"),0),COLUMN(INDIRECT(C3&amp;"Table"&amp;"["&amp;B5&amp;"]"))),0)</f>
        <v>7541</v>
      </c>
      <c r="D5">
        <f ca="1">IFERROR(INDEX(INDIRECT(D3&amp;"Table"),MATCH(D4,INDIRECT(D3&amp;"Table"&amp;"[Name]"),0),COLUMN(INDIRECT(D3&amp;"Table"&amp;"["&amp;B5&amp;"]"))),0)</f>
        <v>500</v>
      </c>
      <c r="E5">
        <f ca="1">IFERROR(INDEX(INDIRECT(E3&amp;"Table"),MATCH(E4,INDIRECT(E3&amp;"Table"&amp;"[Name]"),0),COLUMN(INDIRECT(E3&amp;"Table"&amp;"["&amp;B5&amp;"]"))),0)</f>
        <v>0</v>
      </c>
      <c r="F5">
        <f ca="1">IFERROR(INDEX(INDIRECT(F3&amp;"Table"),MATCH(F4,INDIRECT(F3&amp;"Table"&amp;"[Name]"),0),COLUMN(INDIRECT(F3&amp;"Table"&amp;"["&amp;B5&amp;"]"))),0)</f>
        <v>0</v>
      </c>
      <c r="G5">
        <f ca="1">IFERROR(INDEX(INDIRECT(G3&amp;"Table"),MATCH(G4,INDIRECT(G3&amp;"Table"&amp;"[Name]"),0),COLUMN(INDIRECT(G3&amp;"Table"&amp;"["&amp;B5&amp;"]"))),0)</f>
        <v>0</v>
      </c>
      <c r="H5">
        <f ca="1">IFERROR(INDEX(INDIRECT(G3&amp;"Table"),MATCH(G4,INDIRECT(G3&amp;"Table"&amp;"[Name]"),0),COLUMN(INDIRECT(G3&amp;"Table"&amp;"["&amp;B5&amp;"]"))),0)</f>
        <v>0</v>
      </c>
      <c r="J5" t="s">
        <v>8</v>
      </c>
      <c r="K5">
        <f ca="1">IF(B2="Massachusetts",0.6,IFERROR(INDEX(INDIRECT(G3&amp;"Coef"),MATCH(K4,INDIRECT(G3&amp;"Coef"&amp;"[Ammo]"),0),COLUMN(INDIRECT(G3&amp;"Coef"&amp;"["&amp;J5&amp;"]"))),0))</f>
        <v>1.2</v>
      </c>
      <c r="L5">
        <f ca="1">IF(B2="Kawakaze",1.15,IFERROR(INDEX(INDIRECT(H3&amp;"Coef"),MATCH(L4,INDIRECT(H3&amp;"Coef"&amp;"[Ammo]"),0),COLUMN(INDIRECT(H3&amp;"Coef"&amp;"["&amp;J5&amp;"]"))),0))</f>
        <v>0.8</v>
      </c>
      <c r="N5" t="s">
        <v>1078</v>
      </c>
      <c r="O5" s="1">
        <v>0.08</v>
      </c>
      <c r="R5" t="s">
        <v>10</v>
      </c>
      <c r="S5">
        <f ca="1">Q29+N35+S29+P35+SUM(N38:T38)+R35+T35</f>
        <v>274.91982905121648</v>
      </c>
      <c r="U5">
        <f ca="1">((Q29+N35+S29+P35+R35+T35)*H30+SUM(N38:T38))</f>
        <v>247.42784614609485</v>
      </c>
      <c r="W5">
        <f ca="1">V23</f>
        <v>166.28415009493671</v>
      </c>
      <c r="Y5">
        <f ca="1">SUM(W35:Z35)*$H$30</f>
        <v>923.80083386075944</v>
      </c>
    </row>
    <row r="6" spans="1:28" x14ac:dyDescent="0.3">
      <c r="A6" s="19"/>
      <c r="B6" t="s">
        <v>9</v>
      </c>
      <c r="C6">
        <f ca="1">IFERROR(INDEX(INDIRECT(C3&amp;"Table"),MATCH(B2,INDIRECT(C3&amp;"Table"&amp;"[Name]"),0),COLUMN(INDIRECT(C3&amp;"Table"&amp;"["&amp;B6&amp;"]"))),0)</f>
        <v>307</v>
      </c>
      <c r="D6">
        <f ca="1">IFERROR(INDEX(INDIRECT(D3&amp;"Table"),MATCH(D4,INDIRECT(D3&amp;"Table"&amp;"[Name]"),0),COLUMN(INDIRECT(D3&amp;"Table"&amp;"["&amp;B6&amp;"]"))),0)</f>
        <v>0</v>
      </c>
      <c r="E6">
        <f ca="1">IFERROR(INDEX(INDIRECT(E3&amp;"Table"),MATCH(E4,INDIRECT(E3&amp;"Table"&amp;"[Name]"),0),COLUMN(INDIRECT(E3&amp;"Table"&amp;"["&amp;B6&amp;"]"))),0)</f>
        <v>0</v>
      </c>
      <c r="F6">
        <f ca="1">IFERROR(INDEX(INDIRECT(F3&amp;"Table"),MATCH(F4,INDIRECT(F3&amp;"Table"&amp;"[Name]"),0),COLUMN(INDIRECT(F3&amp;"Table"&amp;"["&amp;B6&amp;"]"))),0)</f>
        <v>0</v>
      </c>
      <c r="G6" s="11">
        <f ca="1">IFERROR(INDEX(INDIRECT(G3&amp;"Table"),MATCH(G4,INDIRECT(G3&amp;"Table"&amp;"[Name]"),0),COLUMN(INDIRECT(G3&amp;"Table"&amp;"["&amp;B6&amp;"]"))),0)</f>
        <v>25</v>
      </c>
      <c r="H6">
        <f ca="1">IFERROR(INDEX(INDIRECT(H3&amp;"Table"),MATCH(H4,INDIRECT(H3&amp;"Table"&amp;"[Name]"),0),COLUMN(INDIRECT(H3&amp;"Table"&amp;"["&amp;B6&amp;"]"))),0)</f>
        <v>0</v>
      </c>
      <c r="J6" t="s">
        <v>10</v>
      </c>
      <c r="K6">
        <f ca="1">IF(B2="Massachusetts",1.35,IFERROR(INDEX(INDIRECT(G3&amp;"Coef"),MATCH(K4,INDIRECT(G3&amp;"Coef"&amp;"[Ammo]"),0),COLUMN(INDIRECT(G3&amp;"Coef"&amp;"["&amp;J6&amp;"]"))),0))</f>
        <v>0.6</v>
      </c>
      <c r="L6">
        <f ca="1">IF(B2="Kawakaze",1.15,IFERROR(INDEX(INDIRECT(H3&amp;"Coef"),MATCH(L4,INDIRECT(H3&amp;"Coef"&amp;"[Ammo]"),0),COLUMN(INDIRECT(H3&amp;"Coef"&amp;"["&amp;J6&amp;"]"))),0))</f>
        <v>1</v>
      </c>
      <c r="N6" t="s">
        <v>1076</v>
      </c>
      <c r="O6" s="1">
        <v>0.2</v>
      </c>
      <c r="R6" t="s">
        <v>12</v>
      </c>
      <c r="S6">
        <f ca="1">Q30+N36+S30+P36+SUM(N38:T38)+R36+T36</f>
        <v>251.34967457377434</v>
      </c>
      <c r="U6">
        <f ca="1">((Q30+N36+S30+P36+R36+T36)*H30+SUM(N38:T38))</f>
        <v>226.21470711639691</v>
      </c>
      <c r="W6">
        <f ca="1">V24</f>
        <v>166.28415009493671</v>
      </c>
      <c r="Y6">
        <f ca="1">SUM(W36:Z36)*$H$30</f>
        <v>492.69377805907175</v>
      </c>
    </row>
    <row r="7" spans="1:28" x14ac:dyDescent="0.3">
      <c r="A7" s="19"/>
      <c r="B7" t="s">
        <v>11</v>
      </c>
      <c r="C7">
        <f ca="1">IFERROR(INDEX(INDIRECT(C3&amp;"Table"),MATCH(B2,INDIRECT(C3&amp;"Table"&amp;"[Name]"),0),COLUMN(INDIRECT(C3&amp;"Table"&amp;"["&amp;B7&amp;"]"))),0)</f>
        <v>0</v>
      </c>
      <c r="D7">
        <f ca="1">IFERROR(INDEX(INDIRECT(D3&amp;"Table"),MATCH(D4,INDIRECT(D3&amp;"Table"&amp;"[Name]"),0),COLUMN(INDIRECT(D3&amp;"Table"&amp;"["&amp;B7&amp;"]"))),0)</f>
        <v>0</v>
      </c>
      <c r="E7">
        <f ca="1">IFERROR(INDEX(INDIRECT(E3&amp;"Table"),MATCH(E4,INDIRECT(E3&amp;"Table"&amp;"[Name]"),0),COLUMN(INDIRECT(E3&amp;"Table"&amp;"["&amp;B7&amp;"]"))),0)</f>
        <v>100</v>
      </c>
      <c r="F7">
        <f ca="1">IFERROR(INDEX(INDIRECT(F3&amp;"Table"),MATCH(F4,INDIRECT(F3&amp;"Table"&amp;"[Name]"),0),COLUMN(INDIRECT(F3&amp;"Table"&amp;"["&amp;B7&amp;"]"))),0)</f>
        <v>0</v>
      </c>
      <c r="G7">
        <f ca="1">IFERROR(INDEX(INDIRECT(G3&amp;"Table"),MATCH(G4,INDIRECT(G3&amp;"Table"&amp;"[Name]"),0),COLUMN(INDIRECT(G3&amp;"Table"&amp;"["&amp;B7&amp;"]"))),0)</f>
        <v>0</v>
      </c>
      <c r="H7">
        <f ca="1">IFERROR(INDEX(INDIRECT(H3&amp;"Table"),MATCH(H4,INDIRECT(H3&amp;"Table"&amp;"[Name]"),0),COLUMN(INDIRECT(H3&amp;"Table"&amp;"["&amp;B7&amp;"]"))),0)</f>
        <v>45</v>
      </c>
      <c r="J7" t="s">
        <v>12</v>
      </c>
      <c r="K7">
        <f ca="1">IF(B2="Massachusetts",1.15,IFERROR(INDEX(INDIRECT(G3&amp;"Coef"),MATCH(K4,INDIRECT(G3&amp;"Coef"&amp;"[Ammo]"),0),COLUMN(INDIRECT(G3&amp;"Coef"&amp;"["&amp;J7&amp;"]"))),0))</f>
        <v>0.6</v>
      </c>
      <c r="L7">
        <f ca="1">IF(B2="Kawakaze",1.15,IFERROR(INDEX(INDIRECT(H3&amp;"Coef"),MATCH(L4,INDIRECT(H3&amp;"Coef"&amp;"[Ammo]"),0),COLUMN(INDIRECT(H3&amp;"Coef"&amp;"["&amp;J7&amp;"]"))),0))</f>
        <v>1.3</v>
      </c>
      <c r="N7" t="s">
        <v>1080</v>
      </c>
      <c r="O7">
        <f ca="1">IF(AND(G3="BB",K4="AP"),(1-(1-O6)^(G16*P13))*(O5),0)+1</f>
        <v>1</v>
      </c>
    </row>
    <row r="8" spans="1:28" x14ac:dyDescent="0.3">
      <c r="A8" s="19"/>
      <c r="B8" t="s">
        <v>265</v>
      </c>
      <c r="C8">
        <f ca="1">IFERROR(INDEX(INDIRECT(C3&amp;"Table"),MATCH(B2,INDIRECT(C3&amp;"Table"&amp;"[Name]"),0),COLUMN(INDIRECT(C3&amp;"Table"&amp;"["&amp;B8&amp;"]"))),0)</f>
        <v>226</v>
      </c>
      <c r="D8">
        <f ca="1">IFERROR(INDEX(INDIRECT(D3&amp;"Table"),MATCH(D4,INDIRECT(D3&amp;"Table"&amp;"[Name]"),0),COLUMN(INDIRECT(D3&amp;"Table"&amp;"["&amp;B8&amp;"]"))),0)</f>
        <v>0</v>
      </c>
      <c r="E8">
        <f ca="1">IFERROR(INDEX(INDIRECT(E3&amp;"Table"),MATCH(E4,INDIRECT(E3&amp;"Table"&amp;"[Name]"),0),COLUMN(INDIRECT(E3&amp;"Table"&amp;"["&amp;B8&amp;"]"))),0)</f>
        <v>0</v>
      </c>
      <c r="F8">
        <f ca="1">IFERROR(INDEX(INDIRECT(F3&amp;"Table"),MATCH(F4,INDIRECT(F3&amp;"Table"&amp;"[Name]"),0),COLUMN(INDIRECT(F3&amp;"Table"&amp;"["&amp;B8&amp;"]"))),0)</f>
        <v>45</v>
      </c>
      <c r="G8">
        <f ca="1">IFERROR(INDEX(INDIRECT(G3&amp;"Table"),MATCH(G4,INDIRECT(G3&amp;"Table"&amp;"[Name]"),0),COLUMN(INDIRECT(G3&amp;"Table"&amp;"["&amp;B8&amp;"]"))),0)</f>
        <v>0</v>
      </c>
      <c r="H8">
        <f ca="1">IFERROR(INDEX(INDIRECT(H3&amp;"Table"),MATCH(H4,INDIRECT(H3&amp;"Table"&amp;"[Name]"),0),COLUMN(INDIRECT(H3&amp;"Table"&amp;"["&amp;B8&amp;"]"))),0)</f>
        <v>0</v>
      </c>
      <c r="J8" t="s">
        <v>315</v>
      </c>
      <c r="L8">
        <f ca="1">IFERROR(INDEX(INDIRECT(D3&amp;"Table"),MATCH(D4,INDIRECT(D3&amp;"Table"&amp;"[Name]"),0),COLUMN(INDIRECT(D3&amp;"Table"&amp;"[CritDamage]"))),0)+IFERROR(INDEX(INDIRECT(E3&amp;"Table"),MATCH(E4,INDIRECT(E3&amp;"Table"&amp;"[Name]"),0),COLUMN(INDIRECT(E3&amp;"Table"&amp;"[CritDamage]"))),0)</f>
        <v>0</v>
      </c>
      <c r="Q8" t="s">
        <v>30</v>
      </c>
      <c r="S8" s="11">
        <f ca="1">H28</f>
        <v>80410</v>
      </c>
      <c r="Y8" t="str">
        <f>G4</f>
        <v>1x127mm (Mk 30)</v>
      </c>
      <c r="AA8" t="str">
        <f>E4</f>
        <v>Type 93 Rainbow</v>
      </c>
    </row>
    <row r="9" spans="1:28" x14ac:dyDescent="0.3">
      <c r="A9" s="19"/>
      <c r="B9" t="s">
        <v>14</v>
      </c>
      <c r="C9">
        <f ca="1">IFERROR(INDEX(INDIRECT(C3&amp;"Table"),MATCH(B2,INDIRECT(C3&amp;"Table"&amp;"[Name]"),0),COLUMN(INDIRECT(C3&amp;"Table"&amp;"["&amp;B9&amp;"]"))),0)</f>
        <v>170</v>
      </c>
      <c r="D9">
        <f ca="1">IFERROR(INDEX(INDIRECT(D3&amp;"Table"),MATCH(D4,INDIRECT(D3&amp;"Table"&amp;"[Name]"),0),COLUMN(INDIRECT(D3&amp;"Table"&amp;"["&amp;B9&amp;"]"))),0)</f>
        <v>0</v>
      </c>
      <c r="E9">
        <f ca="1">IFERROR(INDEX(INDIRECT(E3&amp;"Table"),MATCH(E4,INDIRECT(E3&amp;"Table"&amp;"[Name]"),0),COLUMN(INDIRECT(E3&amp;"Table"&amp;"["&amp;B9&amp;"]"))),0)</f>
        <v>10</v>
      </c>
      <c r="F9">
        <f ca="1">IFERROR(INDEX(INDIRECT(F3&amp;"Table"),MATCH(F4,INDIRECT(F3&amp;"Table"&amp;"[Name]"),0),COLUMN(INDIRECT(F3&amp;"Table"&amp;"["&amp;B9&amp;"]"))),0)</f>
        <v>0</v>
      </c>
      <c r="G9">
        <f ca="1">IFERROR(INDEX(INDIRECT(G3&amp;"Table"),MATCH(G4,INDIRECT(G3&amp;"Table"&amp;"[Name]"),0),COLUMN(INDIRECT(G3&amp;"Table"&amp;"["&amp;B9&amp;"]"))),0)</f>
        <v>0</v>
      </c>
      <c r="H9">
        <f ca="1">IFERROR(INDEX(INDIRECT(H3&amp;"Table"),MATCH(H4,INDIRECT(H3&amp;"Table"&amp;"[Name]"),0),COLUMN(INDIRECT(H3&amp;"Table"&amp;"["&amp;B9&amp;"]"))),0)</f>
        <v>0</v>
      </c>
      <c r="J9" t="s">
        <v>313</v>
      </c>
      <c r="L9" s="1">
        <f ca="1">IFERROR(INDEX(INDIRECT(D3&amp;"Table"),MATCH(D4,INDIRECT(D3&amp;"Table"&amp;"[Name]"),0),COLUMN(INDIRECT(D3&amp;"Table"&amp;"[Crit%]"))),0)+IFERROR(INDEX(INDIRECT(E3&amp;"Table"),MATCH(E4,INDIRECT(E3&amp;"Table"&amp;"[Name]"),0),COLUMN(INDIRECT(E3&amp;"Table"&amp;"[Crit%]"))),0)</f>
        <v>0</v>
      </c>
      <c r="N9" t="s">
        <v>18</v>
      </c>
      <c r="O9">
        <f>IFERROR(INDEX(BurnT[],MATCH(G3,BurnT[Type],0),COLUMN(BurnT[CD])),0)</f>
        <v>0.26</v>
      </c>
      <c r="Q9" t="s">
        <v>1070</v>
      </c>
      <c r="S9">
        <f ca="1">W14*G17</f>
        <v>0.89027235121826509</v>
      </c>
      <c r="U9" t="s">
        <v>1071</v>
      </c>
      <c r="W9" s="1">
        <f ca="1">H30</f>
        <v>0.9</v>
      </c>
      <c r="Y9" t="str">
        <f>H4</f>
        <v>5x533mm</v>
      </c>
    </row>
    <row r="10" spans="1:28" x14ac:dyDescent="0.3">
      <c r="A10" s="19"/>
      <c r="B10" t="s">
        <v>53</v>
      </c>
      <c r="C10">
        <f ca="1">IFERROR(INDEX(INDIRECT(C3&amp;"Table"),MATCH(B2,INDIRECT(C3&amp;"Table"&amp;"[Name]"),0),COLUMN(INDIRECT(C3&amp;"Table"&amp;"["&amp;B10&amp;"]"))),0)</f>
        <v>1</v>
      </c>
      <c r="D10">
        <f ca="1">IFERROR(INDEX(INDIRECT(D3&amp;"Table"),MATCH(D4,INDIRECT(D3&amp;"Table"&amp;"[Name]"),0),COLUMN(INDIRECT(D3&amp;"Table"&amp;"["&amp;B10&amp;"]"))),0)</f>
        <v>0</v>
      </c>
      <c r="E10">
        <f ca="1">IFERROR(INDEX(INDIRECT(E3&amp;"Table"),MATCH(E4,INDIRECT(E3&amp;"Table"&amp;"[Name]"),0),COLUMN(INDIRECT(E3&amp;"Table"&amp;"["&amp;B10&amp;"]"))),0)</f>
        <v>0</v>
      </c>
      <c r="F10">
        <f ca="1">IFERROR(INDEX(INDIRECT(F3&amp;"Table"),MATCH(F4,INDIRECT(F3&amp;"Table"&amp;"[Name]"),0),COLUMN(INDIRECT(F3&amp;"Table"&amp;"["&amp;B10&amp;"]"))),0)</f>
        <v>0</v>
      </c>
      <c r="G10">
        <f ca="1">IFERROR(INDEX(INDIRECT(G3&amp;"Table"),MATCH(G4,INDIRECT(G3&amp;"Table"&amp;"[Name]"),0),COLUMN(INDIRECT(G3&amp;"Table"&amp;"["&amp;B10&amp;"]"))),0)</f>
        <v>1.25</v>
      </c>
      <c r="H10">
        <f ca="1">IFERROR(INDEX(INDIRECT(H3&amp;"Table"),MATCH(H4,INDIRECT(H3&amp;"Table"&amp;"[Name]"),0),COLUMN(INDIRECT(H3&amp;"Table"&amp;"["&amp;B10&amp;"]"))),0)</f>
        <v>1</v>
      </c>
      <c r="N10" t="s">
        <v>20</v>
      </c>
      <c r="O10">
        <f ca="1">IFERROR(INDEX(INDIRECT(G3&amp;"Table"),MATCH(G4,INDIRECT(G3&amp;"Table"&amp;"[Name]"),0),COLUMN(INDIRECT(G3&amp;"Table"&amp;"["&amp;N10&amp;"]"))),0)</f>
        <v>0.3</v>
      </c>
      <c r="Q10" t="s">
        <v>1072</v>
      </c>
      <c r="S10">
        <f ca="1">W14*H17</f>
        <v>22.206416005859367</v>
      </c>
      <c r="U10" t="s">
        <v>1073</v>
      </c>
      <c r="W10" s="1">
        <f ca="1">L28</f>
        <v>0.1</v>
      </c>
      <c r="Y10" t="str">
        <f>D4</f>
        <v>Repair Toolkit</v>
      </c>
    </row>
    <row r="11" spans="1:28" x14ac:dyDescent="0.3">
      <c r="A11" s="19"/>
      <c r="B11" t="s">
        <v>668</v>
      </c>
      <c r="C11">
        <f ca="1">IFERROR(INDEX(INDIRECT(C3&amp;"Table"),MATCH(B2,INDIRECT(C3&amp;"Table"&amp;"[Name]"),0),COLUMN(INDIRECT(C3&amp;"Table"&amp;"["&amp;B11&amp;"]"))),0)</f>
        <v>0.6</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f>
        <v>0</v>
      </c>
      <c r="J11" t="s">
        <v>270</v>
      </c>
      <c r="Q11" s="5"/>
      <c r="R11" s="5"/>
      <c r="S11" s="5"/>
      <c r="T11" s="5"/>
      <c r="U11" s="5"/>
      <c r="V11" s="5"/>
      <c r="W11" s="5"/>
      <c r="X11" s="5"/>
      <c r="Y11" s="5"/>
      <c r="Z11" s="5"/>
      <c r="AA11" s="5"/>
      <c r="AB11" s="5"/>
    </row>
    <row r="12" spans="1:28" x14ac:dyDescent="0.3">
      <c r="A12" s="19"/>
      <c r="B12" t="s">
        <v>294</v>
      </c>
      <c r="C12">
        <f ca="1">IFERROR(INDEX(INDIRECT(C3&amp;"Table"),MATCH(B2,INDIRECT(C3&amp;"Table"&amp;"[Name]"),0),COLUMN(INDIRECT(C3&amp;"Table"&amp;"["&amp;B12&amp;"]"))),0)</f>
        <v>50</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f>
        <v>0</v>
      </c>
      <c r="J12" s="18" t="s">
        <v>318</v>
      </c>
      <c r="K12" s="19"/>
      <c r="L12" s="1">
        <v>0</v>
      </c>
    </row>
    <row r="13" spans="1:28" x14ac:dyDescent="0.3">
      <c r="A13" s="19"/>
      <c r="B13" s="25" t="s">
        <v>17</v>
      </c>
      <c r="C13">
        <f ca="1">IFERROR(INDEX(INDIRECT(C3&amp;"Table"),MATCH(B2,INDIRECT(C3&amp;"Table"&amp;"[Name]"),0),COLUMN(INDIRECT(C3&amp;"Table"&amp;"["&amp;B13&amp;"]"))),0)</f>
        <v>0</v>
      </c>
      <c r="D13">
        <f ca="1">IFERROR(INDEX(INDIRECT(D3&amp;"Table"),MATCH(D4,INDIRECT(D3&amp;"Table"&amp;"[Name]"),0),COLUMN(INDIRECT(D3&amp;"Table"&amp;"["&amp;B13&amp;"]"))),0)</f>
        <v>0</v>
      </c>
      <c r="E13">
        <f ca="1">IFERROR(INDEX(INDIRECT(E3&amp;"Table"),MATCH(E4,INDIRECT(E3&amp;"Table"&amp;"[Name]"),0),COLUMN(INDIRECT(E3&amp;"Table"&amp;"["&amp;B13&amp;"]"))),0)</f>
        <v>0</v>
      </c>
      <c r="F13">
        <f ca="1">IFERROR(INDEX(INDIRECT(F3&amp;"Table"),MATCH(F4,INDIRECT(F3&amp;"Table"&amp;"[Name]"),0),COLUMN(INDIRECT(F3&amp;"Table"&amp;"["&amp;B13&amp;"]"))),0)</f>
        <v>0</v>
      </c>
      <c r="G13">
        <f ca="1">IFERROR(INDEX(INDIRECT(G3&amp;"Table"),MATCH(G4,INDIRECT(G3&amp;"Table"&amp;"[Name]"),0),COLUMN(INDIRECT(G3&amp;"Table"&amp;"["&amp;B13&amp;"]"))),0)</f>
        <v>0</v>
      </c>
      <c r="H13">
        <f ca="1">IFERROR(INDEX(INDIRECT(H3&amp;"Table"),MATCH(H4,INDIRECT(H3&amp;"Table"&amp;"[Name]"),0),COLUMN(INDIRECT(H3&amp;"Table"&amp;"["&amp;B13&amp;"]"))),0)</f>
        <v>0</v>
      </c>
      <c r="J13" s="18" t="s">
        <v>319</v>
      </c>
      <c r="K13" s="19"/>
      <c r="L13" s="1">
        <v>0</v>
      </c>
      <c r="N13" s="18" t="s">
        <v>19</v>
      </c>
      <c r="O13" s="19"/>
      <c r="P13">
        <v>1</v>
      </c>
      <c r="R13" s="18" t="s">
        <v>1056</v>
      </c>
      <c r="S13" s="1">
        <v>1.26</v>
      </c>
      <c r="U13" s="18" t="s">
        <v>1057</v>
      </c>
      <c r="V13" s="20"/>
      <c r="W13" s="1">
        <v>1.0196000000000001</v>
      </c>
    </row>
    <row r="14" spans="1:28" x14ac:dyDescent="0.3">
      <c r="A14" s="19"/>
      <c r="B14" s="25" t="s">
        <v>6</v>
      </c>
      <c r="C14">
        <f ca="1">IFERROR(INDEX(INDIRECT(C3&amp;"Table"),MATCH(B2,INDIRECT(C3&amp;"Table"&amp;"[Name]"),0),COLUMN(INDIRECT(C3&amp;"Table"&amp;"["&amp;B14&amp;"]"))),0)</f>
        <v>123</v>
      </c>
      <c r="D14">
        <f ca="1">IFERROR(INDEX(INDIRECT(D3&amp;"Table"),MATCH(D4,INDIRECT(D3&amp;"Table"&amp;"[Name]"),0),COLUMN(INDIRECT(D3&amp;"Table"&amp;"["&amp;B14&amp;"]"))),0)</f>
        <v>0</v>
      </c>
      <c r="E14">
        <f ca="1">IFERROR(INDEX(INDIRECT(E3&amp;"Table"),MATCH(E4,INDIRECT(E3&amp;"Table"&amp;"[Name]"),0),COLUMN(INDIRECT(E3&amp;"Table"&amp;"["&amp;B14&amp;"]"))),0)</f>
        <v>0</v>
      </c>
      <c r="F14">
        <f ca="1">IFERROR(INDEX(INDIRECT(F3&amp;"Table"),MATCH(F4,INDIRECT(F3&amp;"Table"&amp;"[Name]"),0),COLUMN(INDIRECT(F3&amp;"Table"&amp;"["&amp;B14&amp;"]"))),0)</f>
        <v>10</v>
      </c>
      <c r="G14">
        <f ca="1">IFERROR(INDEX(INDIRECT(G3&amp;"Table"),MATCH(G4,INDIRECT(G3&amp;"Table"&amp;"[Name]"),0),COLUMN(INDIRECT(G3&amp;"Table"&amp;"["&amp;B14&amp;"]"))),0)</f>
        <v>0</v>
      </c>
      <c r="H14">
        <f ca="1">IFERROR(INDEX(INDIRECT(H3&amp;"Table"),MATCH(H4,INDIRECT(H3&amp;"Table"&amp;"[Name]"),0),COLUMN(INDIRECT(H3&amp;"Table"&amp;"["&amp;B14&amp;"]"))),0)</f>
        <v>0</v>
      </c>
      <c r="J14" s="18" t="s">
        <v>60</v>
      </c>
      <c r="K14" s="19"/>
      <c r="L14" s="1">
        <v>0.5</v>
      </c>
      <c r="N14" s="18" t="s">
        <v>16</v>
      </c>
      <c r="O14" s="19"/>
      <c r="P14">
        <v>8</v>
      </c>
      <c r="R14" s="18" t="s">
        <v>1055</v>
      </c>
      <c r="S14" s="1">
        <v>1.1399999999999999</v>
      </c>
      <c r="U14" s="15" t="s">
        <v>739</v>
      </c>
      <c r="V14" s="15"/>
      <c r="W14">
        <f ca="1">SQRT(200/(100+SUM(C9:H9)*(W13)))</f>
        <v>0.83987957662100476</v>
      </c>
    </row>
    <row r="15" spans="1:28" x14ac:dyDescent="0.3">
      <c r="A15" s="19"/>
      <c r="B15" t="s">
        <v>21</v>
      </c>
      <c r="C15">
        <v>0</v>
      </c>
      <c r="D15">
        <f ca="1">IFERROR(INDEX(INDIRECT(D3&amp;"Table"),MATCH(D4,INDIRECT(D3&amp;"Table"&amp;"[Name]"),0),COLUMN(INDIRECT(D3&amp;"Table"&amp;"["&amp;B15&amp;"]"))),0)</f>
        <v>0</v>
      </c>
      <c r="E15">
        <f ca="1">IFERROR(INDEX(INDIRECT(E3&amp;"Table"),MATCH(E4,INDIRECT(E3&amp;"Table"&amp;"[Name]"),0),COLUMN(INDIRECT(E3&amp;"Table"&amp;"["&amp;B15&amp;"]"))),0)</f>
        <v>0</v>
      </c>
      <c r="F15">
        <f ca="1">IFERROR(INDEX(INDIRECT(F3&amp;"Table"),MATCH(F4,INDIRECT(F3&amp;"Table"&amp;"[Name]"),0),COLUMN(INDIRECT(F3&amp;"Table"&amp;"["&amp;B15&amp;"]"))),0)</f>
        <v>0</v>
      </c>
      <c r="G15">
        <f ca="1">IFERROR(INDEX(INDIRECT(G3&amp;"Table"),MATCH(G4,INDIRECT(G3&amp;"Table"&amp;"[Name]"),0),COLUMN(INDIRECT(G3&amp;"Table"&amp;"["&amp;B15&amp;"]"))),0)</f>
        <v>15</v>
      </c>
      <c r="H15">
        <f ca="1">IFERROR(INDEX(INDIRECT(H3&amp;"Table"),MATCH(H4,INDIRECT(H3&amp;"Table"&amp;"[Name]"),0),COLUMN(INDIRECT(H3&amp;"Table"&amp;"["&amp;B15&amp;"]"))),0)</f>
        <v>156</v>
      </c>
      <c r="J15" s="18" t="s">
        <v>1128</v>
      </c>
      <c r="K15" s="19"/>
      <c r="L15" s="1">
        <v>0</v>
      </c>
      <c r="N15" t="s">
        <v>969</v>
      </c>
      <c r="P15">
        <f ca="1">(G17*W14+O10+O9)*P14</f>
        <v>11.602178809746121</v>
      </c>
      <c r="R15" s="18" t="s">
        <v>1054</v>
      </c>
      <c r="S15" s="1">
        <v>1</v>
      </c>
    </row>
    <row r="16" spans="1:28" x14ac:dyDescent="0.3">
      <c r="A16" s="19"/>
      <c r="B16" t="s">
        <v>22</v>
      </c>
      <c r="C16">
        <v>0</v>
      </c>
      <c r="D16">
        <f ca="1">IFERROR(INDEX(INDIRECT(D3&amp;"Table"),MATCH(D4,INDIRECT(D3&amp;"Table"&amp;"[Name]"),0),COLUMN(INDIRECT(D3&amp;"Table"&amp;"["&amp;B16&amp;"]"))),0)</f>
        <v>0</v>
      </c>
      <c r="E16">
        <f ca="1">IFERROR(INDEX(INDIRECT(E3&amp;"Table"),MATCH(E4,INDIRECT(E3&amp;"Table"&amp;"[Name]"),0),COLUMN(INDIRECT(E3&amp;"Table"&amp;"["&amp;B16&amp;"]"))),0)</f>
        <v>0</v>
      </c>
      <c r="F16">
        <f ca="1">IFERROR(INDEX(INDIRECT(F3&amp;"Table"),MATCH(F4,INDIRECT(F3&amp;"Table"&amp;"[Name]"),0),COLUMN(INDIRECT(F3&amp;"Table"&amp;"["&amp;B16&amp;"]"))),0)</f>
        <v>0</v>
      </c>
      <c r="G16">
        <f ca="1">IFERROR(INDEX(INDIRECT(G3&amp;"Table"),MATCH(G4,INDIRECT(G3&amp;"Table"&amp;"[Name]"),0),COLUMN(INDIRECT(G3&amp;"Table"&amp;"["&amp;B16&amp;"]"))),0)</f>
        <v>3</v>
      </c>
      <c r="H16">
        <f ca="1">IFERROR(INDEX(INDIRECT(H3&amp;"Table"),MATCH(H4,INDIRECT(H3&amp;"Table"&amp;"[Name]"),0),COLUMN(INDIRECT(H3&amp;"Table"&amp;"["&amp;B16&amp;"]"))),0)</f>
        <v>5</v>
      </c>
      <c r="J16" s="18" t="s">
        <v>1025</v>
      </c>
      <c r="K16" s="23"/>
      <c r="L16" s="1">
        <v>0</v>
      </c>
      <c r="R16" s="18" t="s">
        <v>1053</v>
      </c>
      <c r="S16" s="1">
        <v>1</v>
      </c>
    </row>
    <row r="17" spans="1:23" x14ac:dyDescent="0.3">
      <c r="A17" s="19"/>
      <c r="B17" t="s">
        <v>266</v>
      </c>
      <c r="C17">
        <v>0</v>
      </c>
      <c r="D17">
        <f ca="1">IFERROR(INDEX(INDIRECT(D3&amp;"Table"),MATCH(D4,INDIRECT(D3&amp;"Table"&amp;"[Name]"),0),COLUMN(INDIRECT(D3&amp;"Table"&amp;"["&amp;B17&amp;"]"))),0)</f>
        <v>0</v>
      </c>
      <c r="E17">
        <f ca="1">IFERROR(INDEX(INDIRECT(E3&amp;"Table"),MATCH(E4,INDIRECT(E3&amp;"Table"&amp;"[Name]"),0),COLUMN(INDIRECT(E3&amp;"Table"&amp;"["&amp;B17&amp;"]"))),0)</f>
        <v>0</v>
      </c>
      <c r="F17">
        <f ca="1">IFERROR(INDEX(INDIRECT(F3&amp;"Table"),MATCH(F4,INDIRECT(F3&amp;"Table"&amp;"[Name]"),0),COLUMN(INDIRECT(F3&amp;"Table"&amp;"["&amp;B17&amp;"]"))),0)</f>
        <v>0.8</v>
      </c>
      <c r="G17">
        <f ca="1">IFERROR(INDEX(INDIRECT(G3&amp;"Table"),MATCH(G4,INDIRECT(G3&amp;"Table"&amp;"[Name]"),0),COLUMN(INDIRECT(G3&amp;"Table"&amp;"["&amp;B17&amp;"]"))),0)</f>
        <v>1.06</v>
      </c>
      <c r="H17">
        <f ca="1">IFERROR(INDEX(INDIRECT(H3&amp;"Table"),MATCH(H4,INDIRECT(H3&amp;"Table"&amp;"[Name]"),0),COLUMN(INDIRECT(H3&amp;"Table"&amp;"["&amp;B17&amp;"]"))),0)</f>
        <v>26.44</v>
      </c>
      <c r="J17" s="15" t="s">
        <v>1062</v>
      </c>
      <c r="K17" s="15"/>
      <c r="L17" s="1">
        <f ca="1">1+(0.05+((SUM(C14:H14)*S15)/(SUM(C14:H14)*S15+2000+P19))+((SUM(C13:H13)-P17)/5000)+L9)*(L14+L8)</f>
        <v>1.0561767463666198</v>
      </c>
      <c r="N17" s="18" t="s">
        <v>5</v>
      </c>
      <c r="O17" s="19"/>
      <c r="P17">
        <v>0</v>
      </c>
      <c r="R17" s="18" t="s">
        <v>1131</v>
      </c>
      <c r="S17" s="6">
        <v>1</v>
      </c>
      <c r="U17" s="18" t="s">
        <v>1007</v>
      </c>
      <c r="V17" s="1">
        <v>0</v>
      </c>
    </row>
    <row r="18" spans="1:23" x14ac:dyDescent="0.3">
      <c r="A18" s="19"/>
      <c r="B18" t="s">
        <v>23</v>
      </c>
      <c r="C18">
        <f ca="1">SUM(C6:H6)</f>
        <v>332</v>
      </c>
      <c r="D18" t="s">
        <v>24</v>
      </c>
      <c r="E18">
        <f ca="1">SUM(C7:H7)</f>
        <v>145</v>
      </c>
      <c r="F18" s="15" t="s">
        <v>1006</v>
      </c>
      <c r="G18">
        <f ca="1">SUM(C8:H8)</f>
        <v>271</v>
      </c>
      <c r="J18" t="s">
        <v>1061</v>
      </c>
      <c r="L18" s="1">
        <f ca="1">1+(L13+0.05+((SUM(C14:H14)*S15)/(SUM(C14:H14)*S15+2000+P19))+((SUM(C13:H13)-P17)/5000)+L9)*(L14+L8+L16)</f>
        <v>1.0561767463666198</v>
      </c>
      <c r="N18" s="18" t="s">
        <v>57</v>
      </c>
      <c r="O18" s="19"/>
      <c r="P18">
        <v>0</v>
      </c>
      <c r="U18" s="15" t="s">
        <v>1008</v>
      </c>
      <c r="V18">
        <f ca="1">G18*V17</f>
        <v>0</v>
      </c>
    </row>
    <row r="19" spans="1:23" x14ac:dyDescent="0.3">
      <c r="A19" s="19"/>
      <c r="F19" s="15"/>
      <c r="J19" t="s">
        <v>1129</v>
      </c>
      <c r="L19" s="1">
        <f ca="1">1+(L12+0.05+((SUM(C14:H14)*S15)/(SUM(C14:H14)*S15+2000+P19))+((SUM(C13:H13)-P17)/5000)+L9)*(L14+L8+L15)</f>
        <v>1.0561767463666198</v>
      </c>
      <c r="N19" s="18" t="s">
        <v>58</v>
      </c>
      <c r="O19" s="19"/>
      <c r="P19">
        <v>0</v>
      </c>
    </row>
    <row r="20" spans="1:23" x14ac:dyDescent="0.3">
      <c r="A20" s="19"/>
    </row>
    <row r="21" spans="1:23" x14ac:dyDescent="0.3">
      <c r="A21" s="19"/>
      <c r="B21" s="18" t="s">
        <v>1023</v>
      </c>
      <c r="C21" s="22" t="s">
        <v>1026</v>
      </c>
      <c r="D21" s="22" t="s">
        <v>1059</v>
      </c>
      <c r="E21" s="18" t="s">
        <v>8</v>
      </c>
      <c r="F21" s="18" t="s">
        <v>10</v>
      </c>
      <c r="G21" s="18" t="s">
        <v>12</v>
      </c>
      <c r="H21" s="18" t="s">
        <v>55</v>
      </c>
      <c r="I21" s="21" t="s">
        <v>27</v>
      </c>
      <c r="J21" s="18" t="s">
        <v>59</v>
      </c>
      <c r="K21" s="18" t="s">
        <v>970</v>
      </c>
      <c r="L21" s="18" t="s">
        <v>1058</v>
      </c>
      <c r="M21" s="18" t="s">
        <v>974</v>
      </c>
      <c r="N21" s="18" t="s">
        <v>1053</v>
      </c>
      <c r="P21" t="s">
        <v>62</v>
      </c>
      <c r="S21" t="s">
        <v>61</v>
      </c>
      <c r="V21" s="34" t="s">
        <v>976</v>
      </c>
      <c r="W21" s="34"/>
    </row>
    <row r="22" spans="1:23" x14ac:dyDescent="0.3">
      <c r="A22" s="19"/>
      <c r="B22">
        <v>250</v>
      </c>
      <c r="C22" s="2">
        <v>12</v>
      </c>
      <c r="D22" s="2">
        <v>12</v>
      </c>
      <c r="E22" s="6">
        <v>1</v>
      </c>
      <c r="F22" s="6">
        <v>0.75</v>
      </c>
      <c r="G22" s="6">
        <v>0.4</v>
      </c>
      <c r="H22" s="1">
        <v>0</v>
      </c>
      <c r="I22" s="1">
        <v>1</v>
      </c>
      <c r="J22">
        <v>0</v>
      </c>
      <c r="K22" s="15" t="s">
        <v>9</v>
      </c>
      <c r="L22" s="1">
        <v>1</v>
      </c>
      <c r="M22" s="6">
        <v>0</v>
      </c>
      <c r="N22" s="6">
        <v>1</v>
      </c>
      <c r="P22" t="s">
        <v>8</v>
      </c>
      <c r="Q22">
        <f ca="1">((100+V18+C18*S13)/100)*C10*G10*G15*G16*K5*(IF(L15=0,L17,L19)+L14*L12)*P13*S16</f>
        <v>369.52033354430375</v>
      </c>
      <c r="S22">
        <f ca="1">((100+IF(H3="TORP",0,V18)+IF(H3="TORP",E18*S14,C18*S13))/100)*C11*H10*H15*H16*L5*IF(H3="TORP",L18,L19)*IF(C4="BB",0,1)*S17</f>
        <v>1049.0826183966242</v>
      </c>
      <c r="V22">
        <f ca="1">Q22*H30</f>
        <v>332.56830018987341</v>
      </c>
    </row>
    <row r="23" spans="1:23" x14ac:dyDescent="0.3">
      <c r="A23" s="19"/>
      <c r="B23">
        <v>0</v>
      </c>
      <c r="C23" s="2">
        <v>0</v>
      </c>
      <c r="D23" s="2">
        <v>0</v>
      </c>
      <c r="E23" s="6">
        <v>1.1000000000000001</v>
      </c>
      <c r="F23" s="6">
        <v>0.9</v>
      </c>
      <c r="G23" s="6">
        <v>0.6</v>
      </c>
      <c r="H23" s="1">
        <v>0</v>
      </c>
      <c r="I23" s="1">
        <v>1</v>
      </c>
      <c r="J23">
        <v>0</v>
      </c>
      <c r="K23" s="15" t="s">
        <v>9</v>
      </c>
      <c r="L23" s="1">
        <v>1</v>
      </c>
      <c r="M23" s="6">
        <v>0</v>
      </c>
      <c r="N23" s="6">
        <v>1</v>
      </c>
      <c r="P23" t="s">
        <v>10</v>
      </c>
      <c r="Q23">
        <f ca="1">((100+V18+C18*S13)/100)*C10*G10*G15*G16*K6*(IF(L15=0,L17,L19)+L14*L12)*P13*S16</f>
        <v>184.76016677215188</v>
      </c>
      <c r="S23">
        <f ca="1">((100+IF(H3="TORP",0,V18)+IF(H3="TORP",E18*S14,C18*S13))/100)*C11*H10*H15*H16*L6*IF(H3="TORP",L18,L19)*IF(C4="BB",0,1)*S17</f>
        <v>1311.3532729957801</v>
      </c>
      <c r="V23">
        <f ca="1">Q23*H30</f>
        <v>166.28415009493671</v>
      </c>
    </row>
    <row r="24" spans="1:23" x14ac:dyDescent="0.3">
      <c r="A24" s="19"/>
      <c r="B24">
        <v>0</v>
      </c>
      <c r="C24" s="2">
        <v>0</v>
      </c>
      <c r="D24" s="2">
        <v>0</v>
      </c>
      <c r="E24" s="6">
        <v>0.8</v>
      </c>
      <c r="F24" s="6">
        <v>1</v>
      </c>
      <c r="G24" s="6">
        <v>1.3</v>
      </c>
      <c r="H24" s="1">
        <v>0</v>
      </c>
      <c r="I24" s="1">
        <v>1</v>
      </c>
      <c r="J24">
        <v>0</v>
      </c>
      <c r="K24" s="15" t="s">
        <v>9</v>
      </c>
      <c r="L24" s="1">
        <v>1</v>
      </c>
      <c r="M24" s="6">
        <v>0</v>
      </c>
      <c r="N24" s="6">
        <v>1</v>
      </c>
      <c r="P24" t="s">
        <v>12</v>
      </c>
      <c r="Q24">
        <f ca="1">((100+V18+C18*S13)/100)*C10*G10*G15*G16*K7*(IF(L15=0,L17,L19)+L14*L12)*P13*S16*O7</f>
        <v>184.76016677215188</v>
      </c>
      <c r="S24">
        <f ca="1">((100+IF(H3="TORP",0,V18)+IF(H3="TORP",E18*S14,C18*S13))/100)*C11*H10*H15*H16*L7*IF(H3="TORP",L18,L19)*IF(C4="BB",0,1)*S17</f>
        <v>1704.7592548945145</v>
      </c>
      <c r="V24">
        <f ca="1">Q24*H30</f>
        <v>166.28415009493671</v>
      </c>
    </row>
    <row r="25" spans="1:23" x14ac:dyDescent="0.3">
      <c r="A25" s="19"/>
      <c r="B25">
        <v>0</v>
      </c>
      <c r="C25" s="2">
        <v>0</v>
      </c>
      <c r="D25" s="2">
        <v>0</v>
      </c>
      <c r="E25" s="6">
        <v>0.8</v>
      </c>
      <c r="F25" s="6">
        <v>1</v>
      </c>
      <c r="G25" s="6">
        <v>1.3</v>
      </c>
      <c r="H25" s="1">
        <v>0</v>
      </c>
      <c r="I25" s="1">
        <v>1</v>
      </c>
      <c r="J25">
        <v>0</v>
      </c>
      <c r="K25" s="15" t="s">
        <v>9</v>
      </c>
      <c r="L25" s="1">
        <v>1</v>
      </c>
      <c r="M25" s="6">
        <v>0</v>
      </c>
      <c r="N25" s="6">
        <v>1</v>
      </c>
      <c r="P25" t="s">
        <v>1024</v>
      </c>
      <c r="Q25">
        <f ca="1">(((100+V18+C18)/100)*C10*G10*G15*O3+5)*5*(1-(1-O4)^(G16*P13))</f>
        <v>7.9598680000000233</v>
      </c>
      <c r="S25" t="s">
        <v>756</v>
      </c>
    </row>
    <row r="26" spans="1:23" x14ac:dyDescent="0.3">
      <c r="A26" s="19"/>
    </row>
    <row r="27" spans="1:23" x14ac:dyDescent="0.3">
      <c r="A27" s="19"/>
      <c r="B27" s="18" t="s">
        <v>1066</v>
      </c>
      <c r="C27" s="18"/>
      <c r="D27" s="1">
        <v>0</v>
      </c>
      <c r="F27" t="s">
        <v>31</v>
      </c>
      <c r="H27">
        <f ca="1">SUM(C5:H5)</f>
        <v>8041</v>
      </c>
      <c r="J27" t="s">
        <v>37</v>
      </c>
      <c r="K27" s="33"/>
      <c r="L27" s="24">
        <f ca="1">0.1+(P18/(P18+2+D28*SUM(C12:H12)))+((P17-SUM(C13:H13))/1000)-D27</f>
        <v>0.1</v>
      </c>
      <c r="Q27" t="s">
        <v>63</v>
      </c>
      <c r="S27" t="s">
        <v>64</v>
      </c>
    </row>
    <row r="28" spans="1:23" x14ac:dyDescent="0.3">
      <c r="A28" s="19"/>
      <c r="B28" s="18" t="s">
        <v>1060</v>
      </c>
      <c r="C28" s="18"/>
      <c r="D28" s="1">
        <v>1</v>
      </c>
      <c r="F28" t="s">
        <v>33</v>
      </c>
      <c r="H28" s="11">
        <f ca="1">H27/(L28*(1-D29))</f>
        <v>80410</v>
      </c>
      <c r="J28" t="s">
        <v>50</v>
      </c>
      <c r="L28" s="1">
        <f ca="1">IF(L27&lt;=0.1, 0.1, IF(L27&gt;=0.9, 0.9, L27))</f>
        <v>0.1</v>
      </c>
      <c r="P28" t="s">
        <v>8</v>
      </c>
      <c r="Q28">
        <f ca="1">Q22/(O9+(O10)+(W14*G17))</f>
        <v>254.7937518314387</v>
      </c>
      <c r="S28">
        <f ca="1">IFERROR(S22/(W14*H17),0)</f>
        <v>47.242320332998091</v>
      </c>
    </row>
    <row r="29" spans="1:23" x14ac:dyDescent="0.3">
      <c r="A29" s="19"/>
      <c r="B29" s="18" t="s">
        <v>314</v>
      </c>
      <c r="C29" s="18"/>
      <c r="D29" s="1">
        <v>0</v>
      </c>
      <c r="F29" t="s">
        <v>36</v>
      </c>
      <c r="H29" s="1">
        <f ca="1">0.1+((SUM(C14:H14)*S15)/((SUM(C14:H14)*S15)+2+P19))+((SUM(C13:H13)-P17)/1000)</f>
        <v>1.0851851851851853</v>
      </c>
      <c r="P29" t="s">
        <v>10</v>
      </c>
      <c r="Q29">
        <f ca="1">Q23/(O9+(O10)+(W14*G17))</f>
        <v>127.39687591571935</v>
      </c>
      <c r="S29">
        <f ca="1">IFERROR(S23/(W14*H17),0)</f>
        <v>59.052900416247603</v>
      </c>
    </row>
    <row r="30" spans="1:23" x14ac:dyDescent="0.3">
      <c r="A30" s="19"/>
      <c r="F30" t="s">
        <v>51</v>
      </c>
      <c r="H30" s="1">
        <f ca="1">IF(H29&lt;=0.1, 0.1, IF(H29&gt;=0.9, 0.9, H29))</f>
        <v>0.9</v>
      </c>
      <c r="P30" t="s">
        <v>12</v>
      </c>
      <c r="Q30">
        <f ca="1">Q24/(O9+(O10)+(W14*G17))</f>
        <v>127.39687591571935</v>
      </c>
      <c r="S30">
        <f ca="1">IFERROR(S24/(W14*H17),0)</f>
        <v>76.768770541121896</v>
      </c>
    </row>
    <row r="31" spans="1:23" x14ac:dyDescent="0.3">
      <c r="A31" s="19"/>
      <c r="P31" t="s">
        <v>44</v>
      </c>
      <c r="Q31">
        <f ca="1">Q25/15*(MIN((15/(W14*G17+O9+O10)),1))</f>
        <v>0.53065786666666825</v>
      </c>
      <c r="S31" t="s">
        <v>756</v>
      </c>
    </row>
    <row r="32" spans="1:23" x14ac:dyDescent="0.3">
      <c r="A32" s="19"/>
      <c r="B32" t="s">
        <v>38</v>
      </c>
      <c r="C32" t="s">
        <v>39</v>
      </c>
    </row>
    <row r="33" spans="1:26" x14ac:dyDescent="0.3">
      <c r="A33" s="19"/>
      <c r="C33" t="s">
        <v>40</v>
      </c>
      <c r="M33" t="s">
        <v>35</v>
      </c>
      <c r="P33" t="s">
        <v>35</v>
      </c>
      <c r="R33" t="s">
        <v>35</v>
      </c>
      <c r="T33" t="s">
        <v>35</v>
      </c>
      <c r="V33" t="s">
        <v>1032</v>
      </c>
      <c r="W33" t="s">
        <v>1033</v>
      </c>
      <c r="X33" t="s">
        <v>1029</v>
      </c>
      <c r="Y33" t="s">
        <v>1030</v>
      </c>
      <c r="Z33" t="s">
        <v>1031</v>
      </c>
    </row>
    <row r="34" spans="1:26" x14ac:dyDescent="0.3">
      <c r="A34" s="19"/>
      <c r="C34" t="s">
        <v>41</v>
      </c>
      <c r="M34" t="s">
        <v>8</v>
      </c>
      <c r="N34">
        <f ca="1">IFERROR((B22*E22*((100+IF(K22="FP",V18,0)+IF(K22="FP",C18*S13,E18*S14)*L22)/100))/(IF(J22=0,P15,J22))*IF(M22=0,IF(K22="TP",L18,L17),M22*IF(K22="FP",L14+L15+1,L16+L14+1)),0)*N22*I22</f>
        <v>117.96007029233273</v>
      </c>
      <c r="P34">
        <f ca="1">IFERROR((B23*E23*((100+IF(K23="FP",C18*S13,E18*S14)*L23)/100))/(IF(J23=0,P15,J23))*IF(M23=0,IF(K23="TP",L18,L17),M23*IF(K23="FP",L14+L15+1,L16+L14+1))*I23,0)*N23</f>
        <v>0</v>
      </c>
      <c r="R34">
        <f ca="1">IFERROR((B24*E24*((100+IF(K24="FP",V18,0)+IF(K24="FP",C18*S13,E18*S14)*L24)/100))/(IF(J24=0,P15,J24))*IF(M24=0,IF(K24="TP",L18,L17),M24*IF(K24="FP",L14+L15+1,L16+L14+1)),0)*N24*I24</f>
        <v>0</v>
      </c>
      <c r="T34">
        <f ca="1">IFERROR((B25*E25*((100+IF(K25="FP",C18*S13,E18*S14)*L25))/100)/(IF(J25=0,P15,J25))*IF(M25=0,IF(K25="TP",L18,L17),M25*IF(K25="FP",L14+L15+1,L16+L14+1)),0)*N25*I25</f>
        <v>0</v>
      </c>
      <c r="V34" t="s">
        <v>8</v>
      </c>
      <c r="W34">
        <f ca="1">IFERROR((B22*E22*((100+IF(K22="FP",V18,0)+IF(K22="FP",C18*S13,E18*S14)*L22)/100))*IF(M22=0,IF(K22="TP",L18,L17),M22*IF(K22="FP",L14+L15+1,L16+L14+1)),0)*N22*I22</f>
        <v>1368.5938279418658</v>
      </c>
      <c r="X34">
        <f ca="1">IFERROR((B23*E23*((100+IF(K23="FP",C18*S13,E18*S14)*L23)/100))*IF(M23=0,IF(K23="TP",L18,L17),M23*IF(K23="FP",L14+L15+1,L16+L14+1))*I23,0)*N23</f>
        <v>0</v>
      </c>
      <c r="Y34">
        <f ca="1">IFERROR((B24*E24*((100+IF(K24="FP",V18,0)+IF(K24="FP",C18*S13,E18*S14)*L24)/100))*IF(M24=0,IF(K24="TP",L18,L17),M24*IF(K24="FP",L14+L15+1,L16+L14+1)),0)*N24*I24</f>
        <v>0</v>
      </c>
      <c r="Z34">
        <f ca="1">IFERROR((B25*E25*((100+IF(K25="FP",C18*S13,E18*S14)*L25))/100)*IF(M25=0,IF(K25="TP",L18,L17),M25*IF(K25="FP",L14+L15+1,L16+L14+1)),0)*N25*I25</f>
        <v>0</v>
      </c>
    </row>
    <row r="35" spans="1:26" x14ac:dyDescent="0.3">
      <c r="A35" s="19"/>
      <c r="M35" t="s">
        <v>10</v>
      </c>
      <c r="N35">
        <f ca="1">IFERROR((B22*F22*((100+IF(K22="FP",V18,0)+IF(K22="FP",C18*S13,E18*S14)*L22)/100))/(IF(J22=0,P15,J22))*IF(M22=0,IF(K22="TP",L18,L17),M22*IF(K22="FP",L14+L15+1,L16+L14+1)),0)*N22*I22</f>
        <v>88.470052719249551</v>
      </c>
      <c r="P35">
        <f ca="1">IFERROR((B23*F23*((100+IF(K23="FP",V18,0)+IF(K23="FP",C18*S13,E18*S14)*L23)/100))/(IF(J23=0,P15,J23))*IF(M23=0,IF(K23="TP",L18,L17),M23*IF(K23="FP",L14+L15+1,L16+L14+1))*I23,0)*N23</f>
        <v>0</v>
      </c>
      <c r="R35">
        <f ca="1">IFERROR((B24*F24*((100+IF(K24="FP",V18,0)+IF(K24="FP",C18*S13,E18*S14)*L24)/100))/(IF(J24=0,P15,J24))*IF(M24=0,IF(K24="TP",L18,L17),M24*IF(K24="FP",L14+L15+1,L16+L14+1)),0)*N24*I24</f>
        <v>0</v>
      </c>
      <c r="T35">
        <f ca="1">IFERROR((B25*F25*((100+IF(K25="FP",V18,0)+IF(K25="FP",C18*S13,E18*S14)*L25)/100))/(IF(J25=0,P15,J25*L14+1))*IF(M25=0,IF(K25="TP",L18,L17),M25*IF(K25="FP",L14+L15+1,L16+L14+1)),0)*N25*I25</f>
        <v>0</v>
      </c>
      <c r="V35" t="s">
        <v>10</v>
      </c>
      <c r="W35">
        <f ca="1">IFERROR((B22*F22*((100+IF(K22="FP",V18,0)+IF(K22="FP",C18*S13,E18*S14)*L22)/100))*IF(M22=0,IF(K22="TP",L18,L17),M22*IF(K22="FP",L14+L15+1,L16+L14+1)),0)*N22*I22</f>
        <v>1026.4453709563993</v>
      </c>
      <c r="X35">
        <f ca="1">IFERROR((B23*F23*((100+IF(K23="FP",V18,0)+IF(K23="FP",C18*S13,E18*S14)*L23)/100))*IF(M23=0,IF(K23="TP",L18,L17),M23*IF(K23="FP",L14+L15+1,L16+L14+1))*I23,0)*N23</f>
        <v>0</v>
      </c>
      <c r="Y35">
        <f ca="1">IFERROR((B24*F24*((100+IF(K24="FP",V18,0)+IF(K24="FP",C18*S13,E18*S14)*L24)/100))*IF(M24=0,IF(K24="TP",L18,L17),M24*IF(K24="FP",L14+L15+1,L16+L14+1)),0)*N24*I24</f>
        <v>0</v>
      </c>
      <c r="Z35">
        <f ca="1">IFERROR((B25*F25*((100+IF(K25="FP",C18*S13,E18*S14)*L25))/100)*IF(M25=0,IF(K25="TP",L18,L17),M25*IF(K25="FP",L14+L15+1,L16+L14+1)),0)*N25*I25</f>
        <v>0</v>
      </c>
    </row>
    <row r="36" spans="1:26" x14ac:dyDescent="0.3">
      <c r="A36" s="19"/>
      <c r="B36" t="s">
        <v>42</v>
      </c>
      <c r="C36" t="s">
        <v>43</v>
      </c>
      <c r="M36" t="s">
        <v>12</v>
      </c>
      <c r="N36">
        <f ca="1">IFERROR((B22*G22*((100+IF(K22="FP",V18,0)+IF(K22="FP",C18*S13,E18*S14)*L22)/100))/(IF(J22=0,P15,J22))*IF(M22=0,IF(K22="TP",L18,L17),M22*IF(K22="FP",L14+L15+1,L16+L14+1)),0)*N22*I22</f>
        <v>47.184028116933099</v>
      </c>
      <c r="P36">
        <f ca="1">IFERROR((B23*G23*((100+IF(K23="FP",V18,0)+IF(K23="FP",C18*S13,E18*S14))/100))/(IF(J23=0,P15,J23))*IF(M23=0,IF(K23="TP",L18,L17),M23*IF(K23="FP",L14+L15+1,L16+L14+1))*I23,0)*N23*L23</f>
        <v>0</v>
      </c>
      <c r="R36">
        <f ca="1">IFERROR((B24*G24*((100+IF(K24="FP",V18,0)+IF(K24="FP",C18*S13,E18*S14)*L24)/100))/(IF(J24=0,P15,J24))*IF(M24=0,IF(K24="TP",L18,L17),M24*IF(K24="FP",L14+L15+1,L16+L14+1)),0)*N24*I24</f>
        <v>0</v>
      </c>
      <c r="T36">
        <f ca="1">IFERROR((B25*G25*((100+IF(K25="FP",V18,0)+IF(K25="FP",C18*S13,E18*S14)*L25)/100))/(IF(J25=0,P15,J25*L14+1))*IF(M25=0,IF(K25="TP",L18,L17),M25*IF(K25="FP",L14+L15+1,L16+L14+1)),0)*N25*I25</f>
        <v>0</v>
      </c>
      <c r="V36" t="s">
        <v>12</v>
      </c>
      <c r="W36">
        <f ca="1">IFERROR((B22*G22*((100+IF(K22="FP",V18,0)+IF(K22="FP",C18*S13,E18*S14)*L22)/100))*IF(M22=0,IF(K22="TP",L18,L17),M22*IF(K22="FP",L14+L15+1,L16+L14+1)),0)*N22*I22</f>
        <v>547.43753117674635</v>
      </c>
      <c r="X36">
        <f ca="1">IFERROR((B23*G23*((100+IF(K23="FP",V18,0)+IF(K23="FP",C18*S13,E18*S14)*L23)/100))*IF(M23=0,IF(K23="TP",L18,L17),M23*IF(K23="FP",L14+L15+1,L16+L14+1))*I23,0)*N23</f>
        <v>0</v>
      </c>
      <c r="Y36">
        <f ca="1">IFERROR((B24*G24*((100+IF(K24="FP",V18,0)+IF(K24="FP",C18*S13,E18*S14)*L24)/100))*IF(M24=0,IF(K24="TP",L18,L17),M24*IF(K24="FP",L14+L15+1,L16+L14+1)),0)*N24*I24</f>
        <v>0</v>
      </c>
      <c r="Z36">
        <f ca="1">IFERROR((B25*G25*((100+IF(K25="FP",C18*S13,E18*S14)*L25))/100)*IF(M25=0,IF(K25="TP",L18,L17),M25*IF(K25="FP",L14+L15+1,L16+L14+1)),0)*N25*I25</f>
        <v>0</v>
      </c>
    </row>
    <row r="37" spans="1:26" x14ac:dyDescent="0.3">
      <c r="A37" s="19"/>
      <c r="C37" t="s">
        <v>45</v>
      </c>
      <c r="M37" t="s">
        <v>1024</v>
      </c>
      <c r="N37">
        <f ca="1">(((100+V18+C18*S13*L22)/100)*C10*1*C22*O3+5)*(1-(1-H22)^(D22))*5</f>
        <v>0</v>
      </c>
      <c r="P37">
        <f ca="1">(((100+V18+C18*S13*L23)/100)*C10*1*C23*O3+5)*(1-(1-H23)^(D23))*5</f>
        <v>0</v>
      </c>
      <c r="R37">
        <f ca="1">(((100+V18+C18*S13*L24)/100)*C10*1*C24*O3+5)*(1-(1-H24)^(D24))*5</f>
        <v>0</v>
      </c>
      <c r="T37">
        <f ca="1">(((100+V18+C18*S13*L25)/100)*C10*1*C25*O3+5)*(1-(1-H25)^(D25))*5</f>
        <v>0</v>
      </c>
    </row>
    <row r="38" spans="1:26" x14ac:dyDescent="0.3">
      <c r="A38" s="19"/>
      <c r="M38" t="s">
        <v>44</v>
      </c>
      <c r="N38">
        <f ca="1">N37/15*(MIN((15/IF(P14=1,IF(J22=0,G17*W14+O9+O10,J22),P15)),1))</f>
        <v>0</v>
      </c>
      <c r="P38">
        <f ca="1">P37/15*(MIN((15/IF(P14=1,IF(J23=0,G17*W14+O9+O10,J23),P15)),1))</f>
        <v>0</v>
      </c>
      <c r="R38">
        <f ca="1">R37/15*(MIN((15/IF(P14=1,IF(J24=0,G17*W14+O9+O10,J24),P15)),1))</f>
        <v>0</v>
      </c>
      <c r="T38">
        <f ca="1">T37/15*(MIN((15/IF(P14=1,IF(J25=0,G17*W14+O9+O10,J25),P15)),1))</f>
        <v>0</v>
      </c>
    </row>
    <row r="39" spans="1:26" x14ac:dyDescent="0.3">
      <c r="A39" s="19"/>
      <c r="B39" t="s">
        <v>46</v>
      </c>
      <c r="C39" t="s">
        <v>47</v>
      </c>
    </row>
    <row r="40" spans="1:26" x14ac:dyDescent="0.3">
      <c r="A40" s="19"/>
      <c r="C40" t="s">
        <v>48</v>
      </c>
    </row>
    <row r="41" spans="1:26" x14ac:dyDescent="0.3">
      <c r="A41" s="19"/>
    </row>
    <row r="46" spans="1:26" x14ac:dyDescent="0.3">
      <c r="P46" s="15"/>
      <c r="Q46" s="15"/>
      <c r="R46" s="15"/>
      <c r="S46" s="15"/>
      <c r="T46" s="15"/>
    </row>
    <row r="50" spans="6:19" x14ac:dyDescent="0.3">
      <c r="F50" s="11"/>
    </row>
    <row r="56" spans="6:19" x14ac:dyDescent="0.3">
      <c r="K56" s="1"/>
      <c r="S56" s="1"/>
    </row>
    <row r="57" spans="6:19" x14ac:dyDescent="0.3">
      <c r="K57" s="1"/>
      <c r="S57" s="1"/>
    </row>
    <row r="58" spans="6:19" x14ac:dyDescent="0.3">
      <c r="K58" s="1"/>
      <c r="S58" s="1"/>
    </row>
    <row r="59" spans="6:19" x14ac:dyDescent="0.3">
      <c r="S59" s="6"/>
    </row>
    <row r="60" spans="6:19" x14ac:dyDescent="0.3">
      <c r="K60" s="1"/>
    </row>
    <row r="64" spans="6:19" x14ac:dyDescent="0.3">
      <c r="H64" s="1"/>
      <c r="I64" s="2"/>
    </row>
    <row r="65" spans="4:11" x14ac:dyDescent="0.3">
      <c r="G65" s="1"/>
      <c r="H65" s="1"/>
      <c r="I65" s="2"/>
      <c r="K65" s="1"/>
    </row>
    <row r="66" spans="4:11" x14ac:dyDescent="0.3">
      <c r="G66" s="1"/>
      <c r="H66" s="1"/>
      <c r="I66" s="2"/>
      <c r="K66" s="1"/>
    </row>
    <row r="67" spans="4:11" x14ac:dyDescent="0.3">
      <c r="G67" s="1"/>
      <c r="H67" s="1"/>
      <c r="I67" s="2"/>
      <c r="K67" s="1"/>
    </row>
    <row r="68" spans="4:11" x14ac:dyDescent="0.3">
      <c r="G68" s="1"/>
      <c r="H68" s="1"/>
      <c r="I68" s="2"/>
      <c r="K68" s="1"/>
    </row>
    <row r="70" spans="4:11" x14ac:dyDescent="0.3">
      <c r="G70" s="1"/>
      <c r="J70" s="1"/>
    </row>
    <row r="71" spans="4:11" x14ac:dyDescent="0.3">
      <c r="D71" s="11"/>
      <c r="G71" s="1"/>
      <c r="I71" s="1"/>
    </row>
    <row r="73" spans="4:11" x14ac:dyDescent="0.3">
      <c r="E73" s="1"/>
      <c r="I73" s="3"/>
    </row>
    <row r="74" spans="4:11" x14ac:dyDescent="0.3">
      <c r="E74" s="1"/>
      <c r="I74" s="1"/>
    </row>
  </sheetData>
  <dataValidations count="7">
    <dataValidation type="list" allowBlank="1" showInputMessage="1" showErrorMessage="1" sqref="E4 E48" xr:uid="{00000000-0002-0000-0000-000000000000}">
      <formula1>INDIRECT($E$3)</formula1>
    </dataValidation>
    <dataValidation type="list" allowBlank="1" showInputMessage="1" showErrorMessage="1" sqref="D4 D48" xr:uid="{00000000-0002-0000-0000-000001000000}">
      <formula1>INDIRECT($D$3)</formula1>
    </dataValidation>
    <dataValidation type="list" allowBlank="1" showInputMessage="1" showErrorMessage="1" sqref="D3:E3 D46:E47 J46:K46" xr:uid="{00000000-0002-0000-0000-000002000000}">
      <formula1>AuxType1</formula1>
    </dataValidation>
    <dataValidation type="list" allowBlank="1" showInputMessage="1" showErrorMessage="1" sqref="H4 G48" xr:uid="{00000000-0002-0000-0000-000003000000}">
      <formula1>INDIRECT($H$3)</formula1>
    </dataValidation>
    <dataValidation type="list" allowBlank="1" showInputMessage="1" showErrorMessage="1" sqref="G4 F48" xr:uid="{00000000-0002-0000-0000-000004000000}">
      <formula1>INDIRECT($G$3)</formula1>
    </dataValidation>
    <dataValidation type="list" allowBlank="1" showInputMessage="1" showErrorMessage="1" sqref="L46 F47:G47 F46 G3:H3" xr:uid="{00000000-0002-0000-0000-000005000000}">
      <formula1>EquipmentType</formula1>
    </dataValidation>
    <dataValidation type="list" allowBlank="1" showInputMessage="1" showErrorMessage="1" sqref="F4" xr:uid="{00000000-0002-0000-0000-000006000000}">
      <formula1>INDIRECT("AATable[Name]")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7371A9CF-E87C-4064-AAE4-9037D7287832}">
          <x14:formula1>
            <xm:f>'Ship Stats'!$A$786:$A$788</xm:f>
          </x14:formula1>
          <xm:sqref>K22:K25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9EA53-CFBB-4D40-9D93-C0F2FFF9B89B}">
  <dimension ref="A1:V66"/>
  <sheetViews>
    <sheetView workbookViewId="0">
      <selection activeCell="G23" sqref="G23"/>
    </sheetView>
  </sheetViews>
  <sheetFormatPr defaultRowHeight="14.4" x14ac:dyDescent="0.3"/>
  <cols>
    <col min="1" max="1" width="5.77734375" customWidth="1"/>
    <col min="2" max="2" width="11.77734375" customWidth="1"/>
    <col min="4" max="8" width="12.77734375" customWidth="1"/>
    <col min="11" max="11" width="10" bestFit="1" customWidth="1"/>
    <col min="12" max="13" width="8.88671875" customWidth="1"/>
    <col min="15" max="15" width="8.88671875" customWidth="1"/>
  </cols>
  <sheetData>
    <row r="1" spans="1:22" x14ac:dyDescent="0.3">
      <c r="A1" s="19"/>
      <c r="B1" s="19"/>
      <c r="C1" s="19"/>
      <c r="D1" s="19"/>
      <c r="E1" s="19"/>
      <c r="F1" s="19"/>
      <c r="G1" s="19"/>
      <c r="H1" s="19"/>
      <c r="I1" s="19"/>
      <c r="J1" s="19"/>
      <c r="K1" s="19"/>
      <c r="L1" s="19"/>
      <c r="M1" s="19"/>
      <c r="N1" s="19"/>
      <c r="O1" s="19"/>
      <c r="P1" s="19"/>
      <c r="Q1" s="19"/>
      <c r="R1" s="19"/>
      <c r="S1" s="19"/>
      <c r="T1" s="19"/>
      <c r="U1" s="19"/>
      <c r="V1" s="19"/>
    </row>
    <row r="2" spans="1:22" x14ac:dyDescent="0.3">
      <c r="A2" s="19"/>
      <c r="B2" s="14" t="s">
        <v>596</v>
      </c>
      <c r="C2" t="s">
        <v>1</v>
      </c>
      <c r="D2" t="s">
        <v>2</v>
      </c>
      <c r="E2" t="s">
        <v>3</v>
      </c>
      <c r="F2" t="s">
        <v>69</v>
      </c>
      <c r="G2" t="s">
        <v>70</v>
      </c>
      <c r="H2" t="s">
        <v>71</v>
      </c>
      <c r="J2" t="s">
        <v>269</v>
      </c>
      <c r="M2" t="s">
        <v>1018</v>
      </c>
      <c r="O2" t="s">
        <v>1019</v>
      </c>
      <c r="R2" s="4"/>
      <c r="S2" s="4"/>
      <c r="T2" s="4"/>
      <c r="U2" s="4"/>
      <c r="V2" s="4"/>
    </row>
    <row r="3" spans="1:22" x14ac:dyDescent="0.3">
      <c r="A3" s="19"/>
      <c r="B3" t="s">
        <v>198</v>
      </c>
      <c r="C3" s="16" t="str">
        <f>IFERROR(INDEX(SType[],MATCH(C4,SType[Ship],0),COLUMN(SType[Type])),0)</f>
        <v>Carrier</v>
      </c>
      <c r="D3" t="s">
        <v>302</v>
      </c>
      <c r="E3" t="s">
        <v>301</v>
      </c>
      <c r="F3" t="s">
        <v>742</v>
      </c>
      <c r="G3" t="s">
        <v>742</v>
      </c>
      <c r="H3" t="s">
        <v>740</v>
      </c>
      <c r="J3" t="s">
        <v>72</v>
      </c>
      <c r="L3">
        <f ca="1">SUM(C8:H8)*P10</f>
        <v>715</v>
      </c>
      <c r="R3" t="str">
        <f>B2</f>
        <v>Ark Royal</v>
      </c>
      <c r="T3" t="s">
        <v>25</v>
      </c>
      <c r="V3" t="s">
        <v>26</v>
      </c>
    </row>
    <row r="4" spans="1:22" x14ac:dyDescent="0.3">
      <c r="A4" s="19"/>
      <c r="B4" t="s">
        <v>199</v>
      </c>
      <c r="C4" s="16" t="str">
        <f>IFERROR(INDEX(Base[],MATCH(B2,Base[Name],0),COLUMN(Base[Type])),0)</f>
        <v>CV</v>
      </c>
      <c r="D4" t="s">
        <v>290</v>
      </c>
      <c r="E4" t="s">
        <v>290</v>
      </c>
      <c r="F4" t="s">
        <v>141</v>
      </c>
      <c r="G4" t="s">
        <v>141</v>
      </c>
      <c r="H4" t="s">
        <v>96</v>
      </c>
      <c r="S4" t="s">
        <v>8</v>
      </c>
      <c r="T4">
        <f ca="1">SUM(N23:R23)+SUM(N28:T28)+SUM(O37:R37)+O38</f>
        <v>2479.1772895431104</v>
      </c>
      <c r="V4">
        <f ca="1">(SUM(N23:R23)+SUM(N28:T28))*E32+SUM(O37:R37)+O38</f>
        <v>2231.2595605887996</v>
      </c>
    </row>
    <row r="5" spans="1:22" x14ac:dyDescent="0.3">
      <c r="A5" s="19"/>
      <c r="B5" t="s">
        <v>150</v>
      </c>
      <c r="F5" t="str">
        <f ca="1">IFERROR(INDEX(INDIRECT(C3&amp;"Table"),MATCH(B2,INDIRECT(C3&amp;"Table"&amp;"[Name]"),0),COLUMN(INDIRECT(C3&amp;"Table"&amp;"["&amp;B5&amp;"1"&amp;"]"))),0)</f>
        <v>T</v>
      </c>
      <c r="G5" t="str">
        <f ca="1">IFERROR(INDEX(INDIRECT(C3&amp;"Table"),MATCH(B2,INDIRECT(C3&amp;"Table"&amp;"[Name]"),0),COLUMN(INDIRECT(C3&amp;"Table"&amp;"["&amp;B5&amp;"2"&amp;"]"))),0)</f>
        <v>T</v>
      </c>
      <c r="H5" t="str">
        <f ca="1">IFERROR(INDEX(INDIRECT(C3&amp;"Table"),MATCH(B2,INDIRECT(C3&amp;"Table"&amp;"[Name]"),0),COLUMN(INDIRECT(C3&amp;"Table"&amp;"["&amp;B5&amp;"3"&amp;"]"))),0)</f>
        <v>B</v>
      </c>
      <c r="J5" t="s">
        <v>760</v>
      </c>
      <c r="S5" t="s">
        <v>10</v>
      </c>
      <c r="T5">
        <f ca="1">SUM(N24:R24)+SUM(N29:T29)+SUM(O37:R37)+O38</f>
        <v>3357.1509349907524</v>
      </c>
      <c r="V5">
        <f ca="1">(SUM(N24:R24)+SUM(N29:T29))*E32+SUM(O37:R37)+O38</f>
        <v>3021.4358414916774</v>
      </c>
    </row>
    <row r="6" spans="1:22" x14ac:dyDescent="0.3">
      <c r="A6" s="19"/>
      <c r="B6" t="s">
        <v>103</v>
      </c>
      <c r="C6">
        <v>0</v>
      </c>
      <c r="D6">
        <v>0</v>
      </c>
      <c r="E6">
        <v>0</v>
      </c>
      <c r="F6">
        <f ca="1">IFERROR(INDEX(INDIRECT(C3&amp;"Table"),MATCH(B2,INDIRECT(C3&amp;"Table"&amp;"[Name]"),0),COLUMN(INDIRECT(C3&amp;"Table"&amp;"["&amp;"Plane1"&amp;"]"))),0)</f>
        <v>3</v>
      </c>
      <c r="G6">
        <f ca="1">IFERROR(INDEX(INDIRECT(C3&amp;"Table"),MATCH(B2,INDIRECT(C3&amp;"Table"&amp;"[Name]"),0),COLUMN(INDIRECT(C3&amp;"Table"&amp;"["&amp;"Plane2"&amp;"]"))),0)</f>
        <v>3</v>
      </c>
      <c r="H6">
        <f ca="1">IFERROR(INDEX(INDIRECT(C3&amp;"Table"),MATCH(B2,INDIRECT(C3&amp;"Table"&amp;"[Name]"),0),COLUMN(INDIRECT(C3&amp;"Table"&amp;"["&amp;"Plane3"&amp;"]"))),0)</f>
        <v>2</v>
      </c>
      <c r="J6" s="18" t="s">
        <v>18</v>
      </c>
      <c r="K6">
        <v>0.3</v>
      </c>
      <c r="N6" s="18" t="s">
        <v>5</v>
      </c>
      <c r="O6" s="18"/>
      <c r="P6">
        <v>0</v>
      </c>
      <c r="S6" t="s">
        <v>12</v>
      </c>
      <c r="T6">
        <f ca="1">SUM(N25:R25)+SUM(N30:T30)+SUM(O37:R37)+O38</f>
        <v>3982.6088823015407</v>
      </c>
      <c r="V6">
        <f ca="1">(SUM(N25:R25)+SUM(N30:T30))*E32+SUM(O37:R37)+O38</f>
        <v>3584.3479940713869</v>
      </c>
    </row>
    <row r="7" spans="1:22" x14ac:dyDescent="0.3">
      <c r="A7" s="19"/>
      <c r="B7" t="s">
        <v>7</v>
      </c>
      <c r="C7">
        <f ca="1">IFERROR(INDEX(INDIRECT(C3&amp;"Table"),MATCH(B2,INDIRECT(C3&amp;"Table"&amp;"[Name]"),0),COLUMN(INDIRECT(C3&amp;"Table"&amp;"["&amp;B7&amp;"]"))),0)</f>
        <v>6107</v>
      </c>
      <c r="D7">
        <f ca="1">IFERROR(INDEX(INDIRECT(D3&amp;"Table"),MATCH(D4,INDIRECT(D3&amp;"Table"&amp;"[Name]"),0),COLUMN(INDIRECT(D3&amp;"Table"&amp;"["&amp;B7&amp;"]"))),0)</f>
        <v>75</v>
      </c>
      <c r="E7">
        <f ca="1">IFERROR(INDEX(INDIRECT(E3&amp;"Table"),MATCH(E4,INDIRECT(E3&amp;"Table"&amp;"[Name]"),0),COLUMN(INDIRECT(E3&amp;"Table"&amp;"["&amp;B7&amp;"]"))),0)</f>
        <v>75</v>
      </c>
      <c r="F7">
        <f ca="1">IFERROR(INDEX(INDIRECT(F3&amp;"Table"),MATCH(F4,INDIRECT(F3&amp;"Table"&amp;"[Name]"),0),COLUMN(INDIRECT(F3&amp;"Table"&amp;"["&amp;B7&amp;"]"))),0)</f>
        <v>0</v>
      </c>
      <c r="G7">
        <f ca="1">IFERROR(INDEX(INDIRECT(G3&amp;"Table"),MATCH(G4,INDIRECT(G3&amp;"Table"&amp;"[Name]"),0),COLUMN(INDIRECT(G3&amp;"Table"&amp;"["&amp;B7&amp;"]"))),0)</f>
        <v>0</v>
      </c>
      <c r="H7">
        <f ca="1">IFERROR(INDEX(INDIRECT(H3&amp;"Table"),MATCH(H4,INDIRECT(H3&amp;"Table"&amp;"[Name]"),0),COLUMN(INDIRECT(H3&amp;"Table"&amp;"["&amp;B7&amp;"]"))),0)</f>
        <v>0</v>
      </c>
      <c r="J7" s="18" t="s">
        <v>65</v>
      </c>
      <c r="K7" s="23"/>
      <c r="L7" s="1">
        <v>0</v>
      </c>
      <c r="N7" s="18" t="s">
        <v>57</v>
      </c>
      <c r="O7" s="18"/>
      <c r="P7">
        <v>0</v>
      </c>
    </row>
    <row r="8" spans="1:22" x14ac:dyDescent="0.3">
      <c r="A8" s="19"/>
      <c r="B8" t="s">
        <v>293</v>
      </c>
      <c r="C8">
        <f ca="1">IFERROR(INDEX(INDIRECT(C3&amp;"Table"),MATCH(B2,INDIRECT(C3&amp;"Table"&amp;"[Name]"),0),COLUMN(INDIRECT(C3&amp;"Table"&amp;"["&amp;B8&amp;"]"))),0)</f>
        <v>400</v>
      </c>
      <c r="D8">
        <f ca="1">IFERROR(INDEX(INDIRECT(D3&amp;"Table"),MATCH(D4,INDIRECT(D3&amp;"Table"&amp;"[Name]"),0),COLUMN(INDIRECT(D3&amp;"Table"&amp;"["&amp;B8&amp;"]"))),0)</f>
        <v>100</v>
      </c>
      <c r="E8">
        <f ca="1">IFERROR(INDEX(INDIRECT(E3&amp;"Table"),MATCH(E4,INDIRECT(E3&amp;"Table"&amp;"[Name]"),0),COLUMN(INDIRECT(E3&amp;"Table"&amp;"["&amp;B8&amp;"]"))),0)</f>
        <v>100</v>
      </c>
      <c r="F8">
        <f ca="1">IFERROR(INDEX(INDIRECT(F3&amp;"Table"),MATCH(F4,INDIRECT(F3&amp;"Table"&amp;"[Name]"),0),COLUMN(INDIRECT(F3&amp;"Table"&amp;"["&amp;B8&amp;"]"))),0)</f>
        <v>45</v>
      </c>
      <c r="G8">
        <f ca="1">IFERROR(INDEX(INDIRECT(G3&amp;"Table"),MATCH(G4,INDIRECT(G3&amp;"Table"&amp;"[Name]"),0),COLUMN(INDIRECT(G3&amp;"Table"&amp;"["&amp;B8&amp;"]"))),0)</f>
        <v>45</v>
      </c>
      <c r="H8">
        <f ca="1">IFERROR(INDEX(INDIRECT(H3&amp;"Table"),MATCH(H4,INDIRECT(H3&amp;"Table"&amp;"[Name]"),0),COLUMN(INDIRECT(H3&amp;"Table"&amp;"["&amp;B8&amp;"]"))),0)</f>
        <v>25</v>
      </c>
      <c r="J8" t="s">
        <v>973</v>
      </c>
      <c r="L8">
        <f ca="1">SQRT(200/(100+SUM(C10:H10)*(1+L7)))*2.18*(((F6*F14)+(G6*G14)+(H6*H14))/(SUM(C6:H6)))+K6</f>
        <v>24.362738019937154</v>
      </c>
      <c r="N8" s="18" t="s">
        <v>58</v>
      </c>
      <c r="O8" s="18"/>
      <c r="P8">
        <v>0</v>
      </c>
      <c r="S8" t="s">
        <v>30</v>
      </c>
      <c r="T8">
        <f ca="1">D29</f>
        <v>62570</v>
      </c>
    </row>
    <row r="9" spans="1:22" x14ac:dyDescent="0.3">
      <c r="A9" s="19"/>
      <c r="B9" t="s">
        <v>53</v>
      </c>
      <c r="C9">
        <v>1</v>
      </c>
      <c r="D9">
        <v>0</v>
      </c>
      <c r="E9">
        <v>0</v>
      </c>
      <c r="F9">
        <f ca="1">IFERROR(INDEX(INDIRECT(C3&amp;"Table"),MATCH(B2,INDIRECT(C3&amp;"Table"&amp;"[Name]"),0),COLUMN(INDIRECT(C3&amp;"Table"&amp;"["&amp;"EFF"&amp;"]"))),0)</f>
        <v>1.4</v>
      </c>
      <c r="G9">
        <f ca="1">IFERROR(INDEX(INDIRECT(C3&amp;"Table"),MATCH(B2,INDIRECT(C3&amp;"Table"&amp;"[Name]"),0),COLUMN(INDIRECT(C3&amp;"Table"&amp;"["&amp;"SECEFF"&amp;"]"))),0)</f>
        <v>1.4</v>
      </c>
      <c r="H9">
        <f ca="1">IFERROR(INDEX(INDIRECT(C3&amp;"Table"),MATCH(B2,INDIRECT(C3&amp;"Table"&amp;"[Name]"),0),COLUMN(INDIRECT(C3&amp;"Table"&amp;"["&amp;"TRIEFF"&amp;"]"))),0)</f>
        <v>0.8</v>
      </c>
      <c r="S9" t="s">
        <v>148</v>
      </c>
      <c r="T9">
        <f ca="1">L8</f>
        <v>24.362738019937154</v>
      </c>
    </row>
    <row r="10" spans="1:22" x14ac:dyDescent="0.3">
      <c r="A10" s="19"/>
      <c r="B10" t="s">
        <v>14</v>
      </c>
      <c r="C10">
        <f ca="1">IFERROR(INDEX(INDIRECT(C3&amp;"Table"),MATCH(B2,INDIRECT(C3&amp;"Table"&amp;"[Name]"),0),COLUMN(INDIRECT(C3&amp;"Table"&amp;"["&amp;B10&amp;"]"))),0)</f>
        <v>117</v>
      </c>
      <c r="D10">
        <f ca="1">IFERROR(INDEX(INDIRECT(D3&amp;"Table"),MATCH(D4,INDIRECT(D3&amp;"Table"&amp;"[Name]"),0),COLUMN(INDIRECT(D3&amp;"Table"&amp;"["&amp;B10&amp;"]"))),0)</f>
        <v>0</v>
      </c>
      <c r="E10">
        <f ca="1">IFERROR(INDEX(INDIRECT(E3&amp;"Table"),MATCH(E4,INDIRECT(E3&amp;"Table"&amp;"[Name]"),0),COLUMN(INDIRECT(E3&amp;"Table"&amp;"["&amp;B10&amp;"]"))),0)</f>
        <v>0</v>
      </c>
      <c r="F10">
        <f ca="1">IFERROR(INDEX(INDIRECT(F3&amp;"Table"),MATCH(F4,INDIRECT(F3&amp;"Table"&amp;"[Name]"),0),COLUMN(INDIRECT(F3&amp;"Table"&amp;"["&amp;B10&amp;"]"))),0)</f>
        <v>0</v>
      </c>
      <c r="G10">
        <f ca="1">IFERROR(INDEX(INDIRECT(G3&amp;"Table"),MATCH(G4,INDIRECT(G3&amp;"Table"&amp;"[Name]"),0),COLUMN(INDIRECT(G3&amp;"Table"&amp;"["&amp;B10&amp;"]"))),0)</f>
        <v>0</v>
      </c>
      <c r="H10">
        <f ca="1">IFERROR(INDEX(INDIRECT(H3&amp;"Table"),MATCH(H4,INDIRECT(H3&amp;"Table"&amp;"[Name]"),0),COLUMN(INDIRECT(H3&amp;"Table"&amp;"["&amp;B10&amp;"]"))),0)</f>
        <v>0</v>
      </c>
      <c r="J10" s="18" t="s">
        <v>56</v>
      </c>
      <c r="K10" s="18"/>
      <c r="L10" s="1">
        <v>0</v>
      </c>
      <c r="N10" s="18" t="s">
        <v>142</v>
      </c>
      <c r="O10" s="18"/>
      <c r="P10" s="6">
        <v>1</v>
      </c>
      <c r="R10" s="5"/>
      <c r="S10" s="5"/>
      <c r="T10" s="5"/>
      <c r="U10" s="5"/>
      <c r="V10" s="5"/>
    </row>
    <row r="11" spans="1:22" x14ac:dyDescent="0.3">
      <c r="A11" s="19"/>
      <c r="B11" t="s">
        <v>294</v>
      </c>
      <c r="C11">
        <f ca="1">IFERROR(INDEX(INDIRECT(C3&amp;"Table"),MATCH(B2,INDIRECT(C3&amp;"Table"&amp;"[Name]"),0),COLUMN(INDIRECT(C3&amp;"Table"&amp;"["&amp;B11&amp;"]"))),0)</f>
        <v>53</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f>
        <v>0</v>
      </c>
      <c r="J11" s="18" t="s">
        <v>60</v>
      </c>
      <c r="K11" s="19"/>
      <c r="L11" s="1">
        <v>1.5</v>
      </c>
      <c r="N11" s="18" t="s">
        <v>117</v>
      </c>
      <c r="O11" s="18"/>
      <c r="P11" s="6">
        <v>1</v>
      </c>
    </row>
    <row r="12" spans="1:22" x14ac:dyDescent="0.3">
      <c r="A12" s="19"/>
      <c r="B12" s="18" t="s">
        <v>17</v>
      </c>
      <c r="C12">
        <v>78</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f>
        <v>0</v>
      </c>
      <c r="J12" t="s">
        <v>13</v>
      </c>
      <c r="L12" s="1">
        <f ca="1">1+(0.05+(SUM(C13:H13)/(SUM(C13:H13)+2000))+(SUM(C12:H12)/5000)+L10)*L11</f>
        <v>1.1602408437200384</v>
      </c>
    </row>
    <row r="13" spans="1:22" x14ac:dyDescent="0.3">
      <c r="A13" s="19"/>
      <c r="B13" s="18" t="s">
        <v>6</v>
      </c>
      <c r="C13">
        <v>86</v>
      </c>
      <c r="D13">
        <f ca="1">IFERROR(INDEX(INDIRECT(D3&amp;"Table"),MATCH(D4,INDIRECT(D3&amp;"Table"&amp;"[Name]"),0),COLUMN(INDIRECT(D3&amp;"Table"&amp;"["&amp;B13&amp;"]"))),0)</f>
        <v>0</v>
      </c>
      <c r="E13">
        <f ca="1">IFERROR(INDEX(INDIRECT(E3&amp;"Table"),MATCH(E4,INDIRECT(E3&amp;"Table"&amp;"[Name]"),0),COLUMN(INDIRECT(E3&amp;"Table"&amp;"["&amp;B13&amp;"]"))),0)</f>
        <v>0</v>
      </c>
      <c r="F13">
        <f ca="1">IFERROR(INDEX(INDIRECT(F3&amp;"Table"),MATCH(F4,INDIRECT(F3&amp;"Table"&amp;"[Name]"),0),COLUMN(INDIRECT(F3&amp;"Table"&amp;"["&amp;B13&amp;"]"))),0)</f>
        <v>0</v>
      </c>
      <c r="G13">
        <f ca="1">IFERROR(INDEX(INDIRECT(G3&amp;"Table"),MATCH(G4,INDIRECT(G3&amp;"Table"&amp;"[Name]"),0),COLUMN(INDIRECT(G3&amp;"Table"&amp;"["&amp;B13&amp;"]"))),0)</f>
        <v>0</v>
      </c>
      <c r="H13">
        <f ca="1">IFERROR(INDEX(INDIRECT(H3&amp;"Table"),MATCH(H4,INDIRECT(H3&amp;"Table"&amp;"[Name]"),0),COLUMN(INDIRECT(H3&amp;"Table"&amp;"["&amp;B13&amp;"]"))),0)</f>
        <v>0</v>
      </c>
    </row>
    <row r="14" spans="1:22" x14ac:dyDescent="0.3">
      <c r="A14" s="19"/>
      <c r="B14" t="s">
        <v>266</v>
      </c>
      <c r="C14">
        <v>0</v>
      </c>
      <c r="D14">
        <v>0</v>
      </c>
      <c r="E14">
        <v>0</v>
      </c>
      <c r="F14">
        <f ca="1">IFERROR(INDEX(INDIRECT(F3&amp;"Table"),MATCH(F4,INDIRECT(F3&amp;"Table"&amp;"[Name]"),0),COLUMN(INDIRECT(F3&amp;"Table"&amp;"["&amp;B14&amp;"]"))),0)</f>
        <v>11.37</v>
      </c>
      <c r="G14">
        <f ca="1">IFERROR(INDEX(INDIRECT(G3&amp;"Table"),MATCH(G4,INDIRECT(G3&amp;"Table"&amp;"[Name]"),0),COLUMN(INDIRECT(G3&amp;"Table"&amp;"["&amp;B14&amp;"]"))),0)</f>
        <v>11.37</v>
      </c>
      <c r="H14">
        <f ca="1">IFERROR(INDEX(INDIRECT(H3&amp;"Table"),MATCH(H4,INDIRECT(H3&amp;"Table"&amp;"[Name]"),0),COLUMN(INDIRECT(H3&amp;"Table"&amp;"["&amp;B14&amp;"]"))),0)</f>
        <v>11.88</v>
      </c>
      <c r="J14" s="18" t="s">
        <v>15</v>
      </c>
      <c r="K14">
        <v>0.6</v>
      </c>
      <c r="N14" s="18" t="s">
        <v>143</v>
      </c>
      <c r="O14" s="19"/>
      <c r="P14">
        <v>0</v>
      </c>
    </row>
    <row r="15" spans="1:22" x14ac:dyDescent="0.3">
      <c r="A15" s="19"/>
      <c r="J15" s="18" t="s">
        <v>55</v>
      </c>
      <c r="K15">
        <v>0</v>
      </c>
      <c r="N15" s="18" t="s">
        <v>145</v>
      </c>
      <c r="P15">
        <v>0</v>
      </c>
    </row>
    <row r="16" spans="1:22" x14ac:dyDescent="0.3">
      <c r="A16" s="19"/>
      <c r="B16" t="s">
        <v>757</v>
      </c>
    </row>
    <row r="17" spans="1:20" x14ac:dyDescent="0.3">
      <c r="A17" s="19"/>
      <c r="B17" t="s">
        <v>759</v>
      </c>
      <c r="C17" s="17">
        <v>100</v>
      </c>
      <c r="D17" s="17">
        <v>500</v>
      </c>
      <c r="E17" s="17">
        <v>1000</v>
      </c>
      <c r="F17" s="17">
        <v>1600</v>
      </c>
      <c r="G17" s="17">
        <v>2000</v>
      </c>
      <c r="I17" t="s">
        <v>79</v>
      </c>
      <c r="J17" t="s">
        <v>52</v>
      </c>
      <c r="N17" t="s">
        <v>69</v>
      </c>
      <c r="P17" t="s">
        <v>70</v>
      </c>
      <c r="R17" t="s">
        <v>71</v>
      </c>
      <c r="T17" t="s">
        <v>1017</v>
      </c>
    </row>
    <row r="18" spans="1:20" x14ac:dyDescent="0.3">
      <c r="A18" s="19"/>
      <c r="B18" t="s">
        <v>69</v>
      </c>
      <c r="C18">
        <f ca="1">IFERROR(INDEX(INDIRECT(F3&amp;"Table"),MATCH(F4,INDIRECT(F3&amp;"Table"&amp;"[Name]"),0),COLUMN(INDIRECT(F3&amp;"Table"&amp;"["&amp;C17&amp;"lb"&amp;"]"))),0)</f>
        <v>0</v>
      </c>
      <c r="D18">
        <f ca="1">IFERROR(INDEX(INDIRECT(F3&amp;"Table"),MATCH(F4,INDIRECT(F3&amp;"Table"&amp;"[Name]"),0),COLUMN(INDIRECT(F3&amp;"Table"&amp;"["&amp;D17&amp;"lb"&amp;"]"))),0)</f>
        <v>0</v>
      </c>
      <c r="E18">
        <f ca="1">IFERROR(INDEX(INDIRECT(F3&amp;"Table"),MATCH(F4,INDIRECT(F3&amp;"Table"&amp;"[Name]"),0),COLUMN(INDIRECT(F3&amp;"Table"&amp;"["&amp;E17&amp;"lb"&amp;"]"))),0)</f>
        <v>0</v>
      </c>
      <c r="F18">
        <f ca="1">IFERROR(INDEX(INDIRECT(F3&amp;"Table"),MATCH(F4,INDIRECT(F3&amp;"Table"&amp;"[Name]"),0),COLUMN(INDIRECT(F3&amp;"Table"&amp;"["&amp;F17&amp;"lb"&amp;"]"))),0)</f>
        <v>0</v>
      </c>
      <c r="G18">
        <f ca="1">IFERROR(INDEX(INDIRECT(F3&amp;"Table"),MATCH(F4,INDIRECT(F3&amp;"Table"&amp;"[Name]"),0),COLUMN(INDIRECT(F3&amp;"Table"&amp;"["&amp;G17&amp;"lb"&amp;"]"))),0)</f>
        <v>0</v>
      </c>
      <c r="I18">
        <f ca="1">IFERROR(INDEX(INDIRECT(F3&amp;"Table"),MATCH(F4,INDIRECT(F3&amp;"Table"&amp;"[Name]"),0),COLUMN(INDIRECT(F3&amp;"Table"&amp;"["&amp;I17&amp;"]"))),0)</f>
        <v>3</v>
      </c>
      <c r="J18">
        <f ca="1">IFERROR(INDEX(INDIRECT(F3&amp;"Table"),MATCH(F4,INDIRECT(F3&amp;"Table"&amp;"[Name]"),0),COLUMN(INDIRECT(F3&amp;"Table"&amp;"["&amp;J17&amp;"]"))),0)</f>
        <v>260</v>
      </c>
      <c r="M18" t="s">
        <v>8</v>
      </c>
      <c r="N18">
        <f ca="1">IF(OR(F5="B",F5="F"),C60,C64)*P11*L12</f>
        <v>24782.187506255039</v>
      </c>
      <c r="P18">
        <f ca="1">IF(OR(G5="B",G5="F"),E60,E64)*P11*L12</f>
        <v>24782.187506255039</v>
      </c>
      <c r="R18">
        <f ca="1">IF(OR(H5="B",H5="F"),G60,G64)*P11*L12</f>
        <v>13543.964747008247</v>
      </c>
    </row>
    <row r="19" spans="1:20" x14ac:dyDescent="0.3">
      <c r="A19" s="19"/>
      <c r="B19" t="s">
        <v>70</v>
      </c>
      <c r="C19">
        <f ca="1">IFERROR(INDEX(INDIRECT(G3&amp;"Table"),MATCH(G4,INDIRECT(G3&amp;"Table"&amp;"[Name]"),0),COLUMN(INDIRECT(G3&amp;"Table"&amp;"["&amp;C17&amp;"lb"&amp;"]"))),0)</f>
        <v>0</v>
      </c>
      <c r="D19">
        <f ca="1">IFERROR(INDEX(INDIRECT(G3&amp;"Table"),MATCH(G4,INDIRECT(G3&amp;"Table"&amp;"[Name]"),0),COLUMN(INDIRECT(G3&amp;"Table"&amp;"["&amp;D17&amp;"lb"&amp;"]"))),0)</f>
        <v>0</v>
      </c>
      <c r="E19">
        <f ca="1">IFERROR(INDEX(INDIRECT(G3&amp;"Table"),MATCH(G4,INDIRECT(G3&amp;"Table"&amp;"[Name]"),0),COLUMN(INDIRECT(G3&amp;"Table"&amp;"["&amp;E17&amp;"lb"&amp;"]"))),0)</f>
        <v>0</v>
      </c>
      <c r="F19">
        <f ca="1">IFERROR(INDEX(INDIRECT(G3&amp;"Table"),MATCH(G4,INDIRECT(G3&amp;"Table"&amp;"[Name]"),0),COLUMN(INDIRECT(G3&amp;"Table"&amp;"["&amp;F17&amp;"lb"&amp;"]"))),0)</f>
        <v>0</v>
      </c>
      <c r="G19">
        <f ca="1">IFERROR(INDEX(INDIRECT(G3&amp;"Table"),MATCH(G4,INDIRECT(G3&amp;"Table"&amp;"[Name]"),0),COLUMN(INDIRECT(G3&amp;"Table"&amp;"["&amp;G17&amp;"lb"&amp;"]"))),0)</f>
        <v>0</v>
      </c>
      <c r="I19">
        <f ca="1">IFERROR(INDEX(INDIRECT(G3&amp;"Table"),MATCH(G4,INDIRECT(G3&amp;"Table"&amp;"[Name]"),0),COLUMN(INDIRECT(G3&amp;"Table"&amp;"["&amp;I17&amp;"]"))),0)</f>
        <v>3</v>
      </c>
      <c r="J19">
        <f ca="1">IFERROR(INDEX(INDIRECT(G3&amp;"Table"),MATCH(G4,INDIRECT(G3&amp;"Table"&amp;"[Name]"),0),COLUMN(INDIRECT(G3&amp;"Table"&amp;"["&amp;J17&amp;"]"))),0)</f>
        <v>260</v>
      </c>
      <c r="M19" t="s">
        <v>10</v>
      </c>
      <c r="N19">
        <f ca="1">IF(OR(F5="B",F5="F"),C61,C65)*P11*L12</f>
        <v>34075.507821100677</v>
      </c>
      <c r="P19">
        <f ca="1">IF(OR(G5="B",G5="F"),E61,E65)*P11*L12</f>
        <v>34075.507821100677</v>
      </c>
      <c r="R19">
        <f ca="1">IF(OR(H5="B",H5="F"),G61,G65)*P11*L12</f>
        <v>17047.966350456762</v>
      </c>
    </row>
    <row r="20" spans="1:20" x14ac:dyDescent="0.3">
      <c r="A20" s="19"/>
      <c r="B20" t="s">
        <v>71</v>
      </c>
      <c r="C20">
        <f ca="1">IFERROR(INDEX(INDIRECT(H3&amp;"Table"),MATCH(H4,INDIRECT(H3&amp;"Table"&amp;"[Name]"),0),COLUMN(INDIRECT(H4&amp;"Table"&amp;"["&amp;C17&amp;"]"))),0)</f>
        <v>0</v>
      </c>
      <c r="D20">
        <f ca="1">IFERROR(INDEX(INDIRECT(H3&amp;"Table"),MATCH(H4,INDIRECT(H3&amp;"Table"&amp;"[Name]"),0),COLUMN(INDIRECT(H3&amp;"Table"&amp;"["&amp;D17&amp;"lb"&amp;"]"))),0)</f>
        <v>2</v>
      </c>
      <c r="E20">
        <f ca="1">IFERROR(INDEX(INDIRECT(H3&amp;"Table"),MATCH(H4,INDIRECT(H3&amp;"Table"&amp;"[Name]"),0),COLUMN(INDIRECT(H3&amp;"Table"&amp;"["&amp;E17&amp;"lb"&amp;"]"))),0)</f>
        <v>0</v>
      </c>
      <c r="F20">
        <f ca="1">IFERROR(INDEX(INDIRECT(H3&amp;"Table"),MATCH(H4,INDIRECT(H3&amp;"Table"&amp;"[Name]"),0),COLUMN(INDIRECT(H3&amp;"Table"&amp;"["&amp;F17&amp;"lb"&amp;"]"))),0)</f>
        <v>0</v>
      </c>
      <c r="G20">
        <f ca="1">IFERROR(INDEX(INDIRECT(H3&amp;"Table"),MATCH(H4,INDIRECT(H3&amp;"Table"&amp;"[Name]"),0),COLUMN(INDIRECT(H3&amp;"Table"&amp;"["&amp;G17&amp;"lb"&amp;"]"))),0)</f>
        <v>1</v>
      </c>
      <c r="I20">
        <f ca="1">IFERROR(INDEX(INDIRECT(H3&amp;"Table"),MATCH(H4,INDIRECT(H3&amp;"Table"&amp;"[Name]"),0),COLUMN(INDIRECT(H3&amp;"Table"&amp;"["&amp;I17&amp;"]"))),0)</f>
        <v>0</v>
      </c>
      <c r="J20">
        <f ca="1">IFERROR(INDEX(INDIRECT(H3&amp;"Table"),MATCH(H4,INDIRECT(H3&amp;"Table"&amp;"[Name]"),0),COLUMN(INDIRECT(H3&amp;"Table"&amp;"["&amp;J17&amp;"]"))),0)</f>
        <v>0</v>
      </c>
      <c r="M20" t="s">
        <v>12</v>
      </c>
      <c r="N20">
        <f ca="1">IF(OR(F5="B",F5="F"),C62,C66)*P11*L12</f>
        <v>40271.054697664433</v>
      </c>
      <c r="P20">
        <f ca="1">IF(OR(F5="F",F5="B"),E62,E66)*P11*L12</f>
        <v>40271.054697664433</v>
      </c>
      <c r="R20">
        <f ca="1">IF(OR(H5="B",H5="F"),G62,G66)*L12</f>
        <v>20606.43430007287</v>
      </c>
    </row>
    <row r="21" spans="1:20" x14ac:dyDescent="0.3">
      <c r="A21" s="19"/>
    </row>
    <row r="22" spans="1:20" x14ac:dyDescent="0.3">
      <c r="A22" s="19"/>
      <c r="B22" t="s">
        <v>975</v>
      </c>
      <c r="C22" s="2" t="s">
        <v>52</v>
      </c>
      <c r="D22" t="s">
        <v>757</v>
      </c>
      <c r="E22" t="s">
        <v>8</v>
      </c>
      <c r="F22" t="s">
        <v>10</v>
      </c>
      <c r="G22" t="s">
        <v>12</v>
      </c>
      <c r="H22" t="s">
        <v>55</v>
      </c>
      <c r="I22" s="1" t="s">
        <v>27</v>
      </c>
      <c r="J22" t="s">
        <v>59</v>
      </c>
      <c r="K22" t="s">
        <v>68</v>
      </c>
      <c r="N22" t="s">
        <v>128</v>
      </c>
      <c r="P22" t="s">
        <v>129</v>
      </c>
      <c r="R22" t="s">
        <v>130</v>
      </c>
    </row>
    <row r="23" spans="1:20" x14ac:dyDescent="0.3">
      <c r="A23" s="19"/>
      <c r="B23">
        <v>0</v>
      </c>
      <c r="C23" s="2">
        <v>0</v>
      </c>
      <c r="D23">
        <v>0</v>
      </c>
      <c r="E23">
        <v>1.4</v>
      </c>
      <c r="F23">
        <v>0.9</v>
      </c>
      <c r="G23">
        <v>0.7</v>
      </c>
      <c r="H23" s="1">
        <v>0</v>
      </c>
      <c r="I23" s="1">
        <v>1</v>
      </c>
      <c r="J23">
        <v>0</v>
      </c>
      <c r="K23" s="1">
        <v>1</v>
      </c>
      <c r="M23" t="s">
        <v>8</v>
      </c>
      <c r="N23">
        <f ca="1">N18*(IF(OR(F5="F",F5="B"),0.8,1))/L8</f>
        <v>1017.2168450842688</v>
      </c>
      <c r="P23">
        <f ca="1">P18*(IF(OR(G5="F",G5="B"),0.8,1))/L8</f>
        <v>1017.2168450842688</v>
      </c>
      <c r="R23">
        <f ca="1">R18*(IF(OR(H5="F",H5="B"),0.8,1))/L8</f>
        <v>444.74359937457268</v>
      </c>
    </row>
    <row r="24" spans="1:20" x14ac:dyDescent="0.3">
      <c r="A24" s="19"/>
      <c r="B24">
        <v>0</v>
      </c>
      <c r="C24" s="2">
        <v>0</v>
      </c>
      <c r="D24">
        <v>0</v>
      </c>
      <c r="E24">
        <v>1.1000000000000001</v>
      </c>
      <c r="F24">
        <v>0.9</v>
      </c>
      <c r="G24">
        <v>0.6</v>
      </c>
      <c r="H24" s="1">
        <v>0</v>
      </c>
      <c r="I24" s="1">
        <v>1</v>
      </c>
      <c r="J24">
        <v>20</v>
      </c>
      <c r="K24" s="1">
        <v>1</v>
      </c>
      <c r="M24" t="s">
        <v>10</v>
      </c>
      <c r="N24">
        <f ca="1">N19*(IF(OR(F5="F",F5="B"),0.8,1))/L8</f>
        <v>1398.6731619908696</v>
      </c>
      <c r="P24">
        <f ca="1">P19*(IF(OR(G5="F",G5="B"),0.8,1))/L8</f>
        <v>1398.6731619908696</v>
      </c>
      <c r="R24">
        <f ca="1">R19*(IF(OR(H5="F",H5="B"),0.8,1))/L8</f>
        <v>559.804611009013</v>
      </c>
    </row>
    <row r="25" spans="1:20" x14ac:dyDescent="0.3">
      <c r="A25" s="19"/>
      <c r="B25">
        <v>0</v>
      </c>
      <c r="C25" s="2">
        <v>0</v>
      </c>
      <c r="D25">
        <v>0</v>
      </c>
      <c r="E25">
        <v>0.8</v>
      </c>
      <c r="F25">
        <v>1</v>
      </c>
      <c r="G25">
        <v>1.3</v>
      </c>
      <c r="H25" s="1">
        <v>0</v>
      </c>
      <c r="I25" s="1">
        <v>1</v>
      </c>
      <c r="J25">
        <v>20</v>
      </c>
      <c r="K25" s="1">
        <v>1</v>
      </c>
      <c r="M25" t="s">
        <v>12</v>
      </c>
      <c r="N25">
        <f ca="1">N20*(IF(OR(F5="F",F5="B"),0.8,1))/L8</f>
        <v>1652.9773732619367</v>
      </c>
      <c r="P25">
        <f ca="1">P20*(IF(OR(G5="F",G5="B"),0.8,1))/L8</f>
        <v>1652.9773732619367</v>
      </c>
      <c r="R25">
        <f ca="1">R20*(IF(OR(H5="F",H5="B"),0.8,1))/L8</f>
        <v>676.65413577766742</v>
      </c>
    </row>
    <row r="26" spans="1:20" x14ac:dyDescent="0.3">
      <c r="A26" s="19"/>
      <c r="B26">
        <v>0</v>
      </c>
      <c r="C26" s="2">
        <v>0</v>
      </c>
      <c r="D26">
        <v>0</v>
      </c>
      <c r="E26">
        <v>0.8</v>
      </c>
      <c r="F26">
        <v>1</v>
      </c>
      <c r="G26">
        <v>1.3</v>
      </c>
      <c r="H26" s="1">
        <v>0</v>
      </c>
      <c r="I26" s="1">
        <v>1</v>
      </c>
      <c r="J26">
        <v>20</v>
      </c>
      <c r="K26" s="1">
        <v>1</v>
      </c>
    </row>
    <row r="27" spans="1:20" x14ac:dyDescent="0.3">
      <c r="A27" s="19"/>
      <c r="N27" t="s">
        <v>35</v>
      </c>
      <c r="P27" t="s">
        <v>35</v>
      </c>
      <c r="R27" t="s">
        <v>35</v>
      </c>
      <c r="T27" t="s">
        <v>35</v>
      </c>
    </row>
    <row r="28" spans="1:20" x14ac:dyDescent="0.3">
      <c r="A28" s="19"/>
      <c r="B28" t="s">
        <v>31</v>
      </c>
      <c r="D28">
        <f ca="1">SUM(C7:H7)</f>
        <v>6257</v>
      </c>
      <c r="E28" t="s">
        <v>32</v>
      </c>
      <c r="G28" s="1">
        <v>0</v>
      </c>
      <c r="I28" s="1"/>
      <c r="M28" t="s">
        <v>8</v>
      </c>
      <c r="N28">
        <f ca="1">(B23*E23*((100+L3*K23)/100)/IF(J23=0,L8,J23)*L12*I23)</f>
        <v>0</v>
      </c>
      <c r="P28">
        <f ca="1">(B24*E24*((100+L3*K24)/100)/IF(J24=0,L8,J24)*L12*I24)</f>
        <v>0</v>
      </c>
      <c r="R28">
        <f ca="1">(B25*E25*((100+L3*K25)/100)/IF(J25=0,L8,J25)*L12*I25)</f>
        <v>0</v>
      </c>
      <c r="T28">
        <f ca="1">(B26*E26*((100+L3*K26)/100)/IF(J26=0,L8,J26)*L12*I26)</f>
        <v>0</v>
      </c>
    </row>
    <row r="29" spans="1:20" x14ac:dyDescent="0.3">
      <c r="A29" s="19"/>
      <c r="B29" t="s">
        <v>33</v>
      </c>
      <c r="D29">
        <f ca="1">D28/I32</f>
        <v>62570</v>
      </c>
      <c r="E29" t="s">
        <v>34</v>
      </c>
      <c r="G29" s="1">
        <v>1</v>
      </c>
      <c r="I29" s="1"/>
      <c r="M29" t="s">
        <v>10</v>
      </c>
      <c r="N29">
        <f ca="1">(B23*F23*((100+L3*K23)/100)/IF(J23=0,L8,J23)*L12*I23)</f>
        <v>0</v>
      </c>
      <c r="P29">
        <f ca="1">(B24*F24*((100+L3*K24)/100)/IF(J24=0,L8,J24)*L12*I24)</f>
        <v>0</v>
      </c>
      <c r="R29">
        <f ca="1">(B25*F25*((100+L3*K25)/100)/IF(J25=0,L8,J25)*L12*I25)</f>
        <v>0</v>
      </c>
      <c r="T29">
        <f ca="1">(B26*F26*((100+L3*K26)/100)/IF(J26=0,L8,J26)*L12*I26)</f>
        <v>0</v>
      </c>
    </row>
    <row r="30" spans="1:20" x14ac:dyDescent="0.3">
      <c r="A30" s="19"/>
      <c r="M30" t="s">
        <v>12</v>
      </c>
      <c r="N30">
        <f ca="1">(B23*G23*((100+L3*K23)/100)/IF(J23=0,L8,J23)*L12*I23)</f>
        <v>0</v>
      </c>
      <c r="P30">
        <f ca="1">(B24*G24*((100+L3)/100)/IF(J24=0,L8,J24)*L12*I24)</f>
        <v>0</v>
      </c>
      <c r="R30">
        <f ca="1">(B25*G25*((100+L3*K25)/100)/IF(J25=0,L8,J25)*L12*I25)</f>
        <v>0</v>
      </c>
      <c r="T30">
        <f ca="1">(B26*G26*((100+L3*K26)/100)/IF(J26=0,L8,J26)*L12*I26)</f>
        <v>0</v>
      </c>
    </row>
    <row r="31" spans="1:20" x14ac:dyDescent="0.3">
      <c r="A31" s="19"/>
      <c r="B31" t="s">
        <v>36</v>
      </c>
      <c r="E31" s="1">
        <f ca="1">0.1+(SUM(C13:H13)/(SUM(C13:H13)+2+P8))-((SUM(C12:H12)-P6)/1000)</f>
        <v>0.99927272727272742</v>
      </c>
      <c r="F31" t="s">
        <v>37</v>
      </c>
      <c r="I31" s="3">
        <f ca="1">0.1+(P7/(P7+2+G29*SUM(C11:H11)))+((P6-SUM(C12:H12))/1000)-G28</f>
        <v>2.2000000000000006E-2</v>
      </c>
    </row>
    <row r="32" spans="1:20" x14ac:dyDescent="0.3">
      <c r="A32" s="19"/>
      <c r="B32" t="s">
        <v>51</v>
      </c>
      <c r="E32" s="1">
        <f ca="1">IF(E31&lt;=0.1, 0.1, IF(E31&gt;=0.9, 0.9, E31))</f>
        <v>0.9</v>
      </c>
      <c r="F32" t="s">
        <v>50</v>
      </c>
      <c r="I32" s="1">
        <f ca="1">IF(I31&lt;=0.1, 0.1, IF(I31&gt;=0.9, 0.9, I31))</f>
        <v>0.1</v>
      </c>
      <c r="M32" t="s">
        <v>144</v>
      </c>
      <c r="O32" t="s">
        <v>49</v>
      </c>
      <c r="P32" t="s">
        <v>49</v>
      </c>
      <c r="Q32" t="s">
        <v>49</v>
      </c>
      <c r="R32" t="s">
        <v>49</v>
      </c>
    </row>
    <row r="33" spans="1:18" x14ac:dyDescent="0.3">
      <c r="A33" s="19"/>
      <c r="O33">
        <f ca="1">(C23*I23*((100+K23*L3)/100)*K14+5)*(1-(1-H23)^(D23))*5</f>
        <v>0</v>
      </c>
      <c r="P33">
        <f ca="1">(C24*I24*((100+K24*L3)/100)*K14+5)*(1-(1-H24)^(D24))*5</f>
        <v>0</v>
      </c>
      <c r="Q33">
        <f ca="1">(C25*I25*((100+K25*L3)/100)*K14+5)*(1-(1-H25)^(D25))*5</f>
        <v>0</v>
      </c>
      <c r="R33">
        <f ca="1">(C26*I26*((100+K26*L3)/100)*K14+5)*(1-(1-H23)^(D23))*5</f>
        <v>0</v>
      </c>
    </row>
    <row r="34" spans="1:18" x14ac:dyDescent="0.3">
      <c r="A34" s="19"/>
      <c r="B34" t="s">
        <v>28</v>
      </c>
      <c r="C34" t="s">
        <v>66</v>
      </c>
      <c r="M34" t="s">
        <v>146</v>
      </c>
      <c r="O34">
        <f ca="1">IF(P15=0,0,P15)*(C23*((100+L3*K23)/100)*P14+10)*8</f>
        <v>0</v>
      </c>
    </row>
    <row r="35" spans="1:18" x14ac:dyDescent="0.3">
      <c r="A35" s="19"/>
      <c r="B35" t="s">
        <v>29</v>
      </c>
      <c r="C35" t="s">
        <v>67</v>
      </c>
    </row>
    <row r="36" spans="1:18" x14ac:dyDescent="0.3">
      <c r="A36" s="19"/>
      <c r="O36" t="s">
        <v>44</v>
      </c>
      <c r="P36" t="s">
        <v>44</v>
      </c>
      <c r="Q36" t="s">
        <v>44</v>
      </c>
      <c r="R36" t="s">
        <v>44</v>
      </c>
    </row>
    <row r="37" spans="1:18" x14ac:dyDescent="0.3">
      <c r="A37" s="19"/>
      <c r="B37" t="s">
        <v>38</v>
      </c>
      <c r="C37" t="s">
        <v>39</v>
      </c>
      <c r="M37" t="s">
        <v>44</v>
      </c>
      <c r="O37">
        <f ca="1">O33/15*(MIN((15/IF(J23=0,L8,J23)),1))</f>
        <v>0</v>
      </c>
      <c r="P37">
        <f ca="1">P33/15*(MIN((15/IF(J24=0,L8,J24)),1))</f>
        <v>0</v>
      </c>
      <c r="Q37">
        <f ca="1">Q33/15*(MIN((15/IF(J25=0,L8,J25)),1))</f>
        <v>0</v>
      </c>
      <c r="R37">
        <f ca="1">R33/15*(MIN((15/IF(J26=0,L8,J26)),1))</f>
        <v>0</v>
      </c>
    </row>
    <row r="38" spans="1:18" x14ac:dyDescent="0.3">
      <c r="A38" s="19"/>
      <c r="C38" t="s">
        <v>40</v>
      </c>
      <c r="M38" t="s">
        <v>147</v>
      </c>
      <c r="O38">
        <f ca="1">O34/15*(MIN((15/IF(J23=0,L8,J23)),1))</f>
        <v>0</v>
      </c>
    </row>
    <row r="39" spans="1:18" x14ac:dyDescent="0.3">
      <c r="A39" s="19"/>
      <c r="C39" t="s">
        <v>41</v>
      </c>
    </row>
    <row r="40" spans="1:18" x14ac:dyDescent="0.3">
      <c r="A40" s="19"/>
    </row>
    <row r="41" spans="1:18" x14ac:dyDescent="0.3">
      <c r="A41" s="19"/>
      <c r="B41" t="s">
        <v>42</v>
      </c>
      <c r="C41" t="s">
        <v>43</v>
      </c>
    </row>
    <row r="42" spans="1:18" x14ac:dyDescent="0.3">
      <c r="A42" s="19"/>
      <c r="C42" t="s">
        <v>45</v>
      </c>
    </row>
    <row r="43" spans="1:18" x14ac:dyDescent="0.3">
      <c r="A43" s="19"/>
    </row>
    <row r="44" spans="1:18" x14ac:dyDescent="0.3">
      <c r="A44" s="19"/>
      <c r="B44" t="s">
        <v>46</v>
      </c>
      <c r="C44" t="s">
        <v>47</v>
      </c>
    </row>
    <row r="45" spans="1:18" x14ac:dyDescent="0.3">
      <c r="A45" s="19"/>
      <c r="C45" t="s">
        <v>48</v>
      </c>
    </row>
    <row r="46" spans="1:18" x14ac:dyDescent="0.3">
      <c r="A46" s="19"/>
    </row>
    <row r="47" spans="1:18" x14ac:dyDescent="0.3">
      <c r="A47" s="19"/>
      <c r="B47" t="s">
        <v>127</v>
      </c>
    </row>
    <row r="48" spans="1:18" x14ac:dyDescent="0.3">
      <c r="A48" s="19"/>
      <c r="B48" t="s">
        <v>104</v>
      </c>
      <c r="C48">
        <v>100</v>
      </c>
      <c r="D48">
        <v>500</v>
      </c>
      <c r="E48">
        <v>1000</v>
      </c>
      <c r="F48">
        <v>1600</v>
      </c>
      <c r="G48">
        <v>2000</v>
      </c>
      <c r="I48" t="s">
        <v>105</v>
      </c>
    </row>
    <row r="49" spans="1:11" x14ac:dyDescent="0.3">
      <c r="A49" s="19"/>
      <c r="B49" t="s">
        <v>8</v>
      </c>
      <c r="C49" s="6">
        <v>0.8</v>
      </c>
      <c r="D49" s="6">
        <v>0.8</v>
      </c>
      <c r="E49" s="6">
        <v>0.8</v>
      </c>
      <c r="F49" s="6">
        <v>0.75</v>
      </c>
      <c r="G49" s="6">
        <v>0.7</v>
      </c>
      <c r="I49" t="s">
        <v>8</v>
      </c>
      <c r="K49" s="1">
        <v>0.8</v>
      </c>
    </row>
    <row r="50" spans="1:11" x14ac:dyDescent="0.3">
      <c r="A50" s="19"/>
      <c r="B50" t="s">
        <v>10</v>
      </c>
      <c r="C50" s="6">
        <v>0.85</v>
      </c>
      <c r="D50" s="6">
        <v>0.9</v>
      </c>
      <c r="E50" s="6">
        <v>0.95</v>
      </c>
      <c r="F50" s="6">
        <v>1</v>
      </c>
      <c r="G50" s="6">
        <v>1.05</v>
      </c>
      <c r="I50" t="s">
        <v>10</v>
      </c>
      <c r="K50" s="1">
        <v>1.1000000000000001</v>
      </c>
    </row>
    <row r="51" spans="1:11" x14ac:dyDescent="0.3">
      <c r="A51" s="19"/>
      <c r="B51" t="s">
        <v>12</v>
      </c>
      <c r="C51" s="6">
        <v>1</v>
      </c>
      <c r="D51" s="6">
        <v>1.1000000000000001</v>
      </c>
      <c r="E51" s="6">
        <v>1.1499999999999999</v>
      </c>
      <c r="F51" s="6">
        <v>1.2</v>
      </c>
      <c r="G51" s="6">
        <v>1.25</v>
      </c>
      <c r="I51" t="s">
        <v>12</v>
      </c>
      <c r="K51" s="1">
        <v>1.3</v>
      </c>
    </row>
    <row r="52" spans="1:11" x14ac:dyDescent="0.3">
      <c r="A52" s="19"/>
    </row>
    <row r="53" spans="1:11" x14ac:dyDescent="0.3">
      <c r="A53" s="19"/>
      <c r="B53" t="s">
        <v>73</v>
      </c>
      <c r="C53" t="s">
        <v>52</v>
      </c>
    </row>
    <row r="54" spans="1:11" x14ac:dyDescent="0.3">
      <c r="A54" s="19"/>
      <c r="B54" t="s">
        <v>74</v>
      </c>
      <c r="C54">
        <v>173</v>
      </c>
    </row>
    <row r="55" spans="1:11" x14ac:dyDescent="0.3">
      <c r="A55" s="19"/>
      <c r="B55" t="s">
        <v>75</v>
      </c>
      <c r="C55">
        <v>360</v>
      </c>
    </row>
    <row r="56" spans="1:11" x14ac:dyDescent="0.3">
      <c r="A56" s="19"/>
      <c r="B56" t="s">
        <v>76</v>
      </c>
      <c r="C56">
        <v>402</v>
      </c>
    </row>
    <row r="57" spans="1:11" x14ac:dyDescent="0.3">
      <c r="A57" s="19"/>
      <c r="B57" t="s">
        <v>77</v>
      </c>
      <c r="C57">
        <v>429</v>
      </c>
    </row>
    <row r="58" spans="1:11" x14ac:dyDescent="0.3">
      <c r="A58" s="19"/>
      <c r="B58" t="s">
        <v>78</v>
      </c>
      <c r="C58">
        <v>456</v>
      </c>
    </row>
    <row r="59" spans="1:11" x14ac:dyDescent="0.3">
      <c r="A59" s="19"/>
    </row>
    <row r="60" spans="1:11" x14ac:dyDescent="0.3">
      <c r="A60" s="19"/>
      <c r="B60" t="s">
        <v>108</v>
      </c>
      <c r="C60">
        <f ca="1">((100+L3)/100)*F6*F9*(C18*C54*C49+D18*C55*D49+E18*C56*E49+F18*C57*F49+G18*C58*G49)</f>
        <v>0</v>
      </c>
      <c r="D60" t="s">
        <v>114</v>
      </c>
      <c r="E60">
        <f ca="1">((100+L3)/100)*G6*G9*(C19*C54*C49+D19*C55*D49+E19*C56*E49+F19*C57*F49+G19*C58*G49)</f>
        <v>0</v>
      </c>
      <c r="F60" t="s">
        <v>115</v>
      </c>
      <c r="G60">
        <f ca="1">((100+L3)/100)*H6*H9*(C20*C54*C49+D20*C55*D49+E20*C56*E49+F20*C57*F49+G20*C58*G49)</f>
        <v>11673.408000000001</v>
      </c>
    </row>
    <row r="61" spans="1:11" x14ac:dyDescent="0.3">
      <c r="A61" s="19"/>
      <c r="B61" t="s">
        <v>109</v>
      </c>
      <c r="C61">
        <f ca="1">((100+L3)/100)*F6*F9*(C18*C54*C50+D18*C55*D50+E18*C56*E50+F18*C57*F50+G18*C58*G50)</f>
        <v>0</v>
      </c>
      <c r="D61" t="s">
        <v>112</v>
      </c>
      <c r="E61">
        <f ca="1">((100+L3)/100)*G6*G9*(C19*C54*C50+D19*C55*D50+E19*C56*E50+F19*C57*F50+G19*C58*G50)</f>
        <v>0</v>
      </c>
      <c r="F61" t="s">
        <v>116</v>
      </c>
      <c r="G61">
        <f ca="1">((100+L3)/100)*H6*H9*(C20*C54*C50+D20*C55*D50+E20*C56*E50+F20*C57*F50+G20*C58*G50)</f>
        <v>14693.472</v>
      </c>
    </row>
    <row r="62" spans="1:11" x14ac:dyDescent="0.3">
      <c r="A62" s="19"/>
      <c r="B62" t="s">
        <v>110</v>
      </c>
      <c r="C62">
        <f ca="1">((100+L3)/100)*F6*F9*(C18*C54*C51+D18*C55*D51+E18*C56*E51+F18*C57*F51+G18*C58*G51)</f>
        <v>0</v>
      </c>
      <c r="D62" t="s">
        <v>113</v>
      </c>
      <c r="E62">
        <f ca="1">((100+L3)/100)*G6*G9*(C19*C54*C50+D19*C55*D50+E19*C56*E50+F19*C57*F50+G19*C58*G50)</f>
        <v>0</v>
      </c>
      <c r="F62" t="s">
        <v>111</v>
      </c>
      <c r="G62">
        <f ca="1">((100+L3)/100)*H6*H9*(C20*C54*C51+D20*C55*D51+E20*C56*E51+F20*C57*F51+G20*C58*G51)</f>
        <v>17760.48</v>
      </c>
    </row>
    <row r="63" spans="1:11" x14ac:dyDescent="0.3">
      <c r="A63" s="19"/>
    </row>
    <row r="64" spans="1:11" x14ac:dyDescent="0.3">
      <c r="A64" s="19"/>
      <c r="B64" t="s">
        <v>118</v>
      </c>
      <c r="C64">
        <f ca="1">((100+L3)/100)*F6*F9*I18*J18*K49</f>
        <v>21359.520000000004</v>
      </c>
      <c r="D64" t="s">
        <v>121</v>
      </c>
      <c r="E64">
        <f ca="1">((100+L3)/100)*G6*G9*I19*J19*K49</f>
        <v>21359.520000000004</v>
      </c>
      <c r="F64" t="s">
        <v>124</v>
      </c>
      <c r="G64">
        <f ca="1">((100+L3)/100)*H6*H9*I20*J20*K49</f>
        <v>0</v>
      </c>
    </row>
    <row r="65" spans="1:7" x14ac:dyDescent="0.3">
      <c r="A65" s="19"/>
      <c r="B65" t="s">
        <v>119</v>
      </c>
      <c r="C65">
        <f ca="1">((100+L3)/100)*F6*F9*I18*J18*K50</f>
        <v>29369.340000000004</v>
      </c>
      <c r="D65" t="s">
        <v>122</v>
      </c>
      <c r="E65">
        <f ca="1">((100+L3)/100)*G6*G9*I19*J19*K50</f>
        <v>29369.340000000004</v>
      </c>
      <c r="F65" t="s">
        <v>125</v>
      </c>
      <c r="G65">
        <f ca="1">((100+L3)/100)*H6*H9*I20*J20*K50</f>
        <v>0</v>
      </c>
    </row>
    <row r="66" spans="1:7" x14ac:dyDescent="0.3">
      <c r="A66" s="19"/>
      <c r="B66" t="s">
        <v>120</v>
      </c>
      <c r="C66">
        <f ca="1">((100+L3)/100)*F6*F9*I18*J18*K51</f>
        <v>34709.22</v>
      </c>
      <c r="D66" t="s">
        <v>123</v>
      </c>
      <c r="E66">
        <f ca="1">((100+L3)/100)*G6*G9*I19*J19*K51</f>
        <v>34709.22</v>
      </c>
      <c r="F66" t="s">
        <v>126</v>
      </c>
      <c r="G66">
        <f ca="1">((100+L3)/100)*H6*H9*I20*J20*K51</f>
        <v>0</v>
      </c>
    </row>
  </sheetData>
  <dataValidations count="6">
    <dataValidation type="list" allowBlank="1" showInputMessage="1" showErrorMessage="1" sqref="E4" xr:uid="{13021CC8-1DCA-4EBE-8AC5-B6649377E2F2}">
      <formula1>INDIRECT($E$3)</formula1>
    </dataValidation>
    <dataValidation type="list" allowBlank="1" showInputMessage="1" showErrorMessage="1" sqref="D4" xr:uid="{FE336992-7234-4A44-9C56-C4C889092EA9}">
      <formula1>INDIRECT($D$3)</formula1>
    </dataValidation>
    <dataValidation type="list" allowBlank="1" showInputMessage="1" showErrorMessage="1" sqref="D3:E3" xr:uid="{D200D8D0-A5A2-40BB-AA20-FDF58883362A}">
      <formula1>AuxType1</formula1>
    </dataValidation>
    <dataValidation type="list" allowBlank="1" showInputMessage="1" showErrorMessage="1" sqref="G4:H4" xr:uid="{1F9B1196-626B-4C34-B922-BB374023F212}">
      <formula1>INDIRECT($G$3)</formula1>
    </dataValidation>
    <dataValidation type="list" allowBlank="1" showInputMessage="1" showErrorMessage="1" sqref="F4" xr:uid="{4358D5DC-9DB1-47C2-8FC7-C2981019441A}">
      <formula1>INDIRECT($F$3)</formula1>
    </dataValidation>
    <dataValidation type="list" allowBlank="1" showInputMessage="1" showErrorMessage="1" sqref="F3:H3" xr:uid="{F6F4DC69-FE2C-4534-95B2-EDBF5996E21B}">
      <formula1>EquipmentType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B67"/>
  <sheetViews>
    <sheetView workbookViewId="0">
      <selection activeCell="V21" sqref="V21"/>
    </sheetView>
  </sheetViews>
  <sheetFormatPr defaultRowHeight="14.4" x14ac:dyDescent="0.3"/>
  <cols>
    <col min="1" max="1" width="5.77734375" customWidth="1"/>
    <col min="2" max="2" width="11.77734375" customWidth="1"/>
    <col min="4" max="8" width="12.77734375" customWidth="1"/>
    <col min="10" max="10" width="10.77734375" customWidth="1"/>
    <col min="11" max="11" width="10" bestFit="1" customWidth="1"/>
    <col min="12" max="13" width="8.88671875" customWidth="1"/>
    <col min="15" max="15" width="8.88671875" customWidth="1"/>
  </cols>
  <sheetData>
    <row r="1" spans="1:28" x14ac:dyDescent="0.3">
      <c r="A1" s="19"/>
      <c r="B1" s="19"/>
      <c r="C1" s="19"/>
      <c r="D1" s="19"/>
      <c r="E1" s="19"/>
      <c r="F1" s="19"/>
      <c r="G1" s="19"/>
      <c r="H1" s="19"/>
      <c r="I1" s="19"/>
      <c r="J1" s="19"/>
      <c r="K1" s="19"/>
      <c r="L1" s="19"/>
      <c r="M1" s="19"/>
      <c r="N1" s="19"/>
      <c r="O1" s="19"/>
      <c r="P1" s="19"/>
      <c r="Q1" s="19"/>
      <c r="R1" s="19"/>
      <c r="S1" s="19"/>
      <c r="T1" s="19"/>
      <c r="U1" s="19"/>
      <c r="V1" s="19"/>
      <c r="W1" s="19"/>
      <c r="X1" s="19"/>
      <c r="Y1" s="19"/>
      <c r="Z1" s="5"/>
      <c r="AA1" s="5"/>
      <c r="AB1" s="5"/>
    </row>
    <row r="2" spans="1:28" x14ac:dyDescent="0.3">
      <c r="A2" s="19"/>
      <c r="B2" s="14" t="s">
        <v>593</v>
      </c>
      <c r="C2" t="s">
        <v>1</v>
      </c>
      <c r="D2" t="s">
        <v>2</v>
      </c>
      <c r="E2" t="s">
        <v>3</v>
      </c>
      <c r="F2" t="s">
        <v>69</v>
      </c>
      <c r="G2" t="s">
        <v>70</v>
      </c>
      <c r="H2" t="s">
        <v>71</v>
      </c>
      <c r="J2" t="s">
        <v>269</v>
      </c>
      <c r="N2" t="s">
        <v>69</v>
      </c>
      <c r="O2" t="s">
        <v>70</v>
      </c>
      <c r="P2" t="s">
        <v>70</v>
      </c>
      <c r="R2" s="4"/>
      <c r="S2" s="4"/>
      <c r="T2" s="4"/>
      <c r="U2" s="4"/>
      <c r="V2" s="4"/>
      <c r="W2" s="4"/>
      <c r="X2" s="4"/>
      <c r="Y2" s="4"/>
      <c r="Z2" s="5"/>
      <c r="AA2" s="5"/>
      <c r="AB2" s="5"/>
    </row>
    <row r="3" spans="1:28" x14ac:dyDescent="0.3">
      <c r="A3" s="19"/>
      <c r="B3" t="s">
        <v>198</v>
      </c>
      <c r="C3" s="16" t="str">
        <f>IFERROR(INDEX(SType[],MATCH(C4,SType[Ship],0),COLUMN(SType[Type])),0)</f>
        <v>Carrier</v>
      </c>
      <c r="D3" t="s">
        <v>302</v>
      </c>
      <c r="E3" t="s">
        <v>301</v>
      </c>
      <c r="F3" t="s">
        <v>740</v>
      </c>
      <c r="G3" t="s">
        <v>740</v>
      </c>
      <c r="H3" t="s">
        <v>742</v>
      </c>
      <c r="J3" t="s">
        <v>1034</v>
      </c>
      <c r="K3">
        <f ca="1">SUM(C8:H8)</f>
        <v>744</v>
      </c>
      <c r="M3" t="s">
        <v>1020</v>
      </c>
      <c r="N3">
        <f>IFERROR(INDEX(IF(F3="TB",TorpedoDamage[],BombDamage[]),MATCH(F4,IF(F3="TB",TorpedoDamage[Name],BombDamage[Name]),0),COLUMN(IF(F3="TB",TorpedoDamage[Light],BombDamage[Light]))),0)</f>
        <v>608</v>
      </c>
      <c r="O3">
        <f>IFERROR(INDEX(IF(G3="TB",TorpedoDamage[],BombDamage[]),MATCH(G4,IF(G3="TB",TorpedoDamage[Name],BombDamage[Name]),0),COLUMN(IF(G3="TB",TorpedoDamage[Light],BombDamage[Light]))),0)</f>
        <v>895.2</v>
      </c>
      <c r="P3">
        <f>IFERROR(INDEX(IF(H3="TB",TorpedoDamage[],BombDamage[]),MATCH(H4,IF(H3="TB",TorpedoDamage[Name],BombDamage[Name]),0),COLUMN(IF(H3="TB",TorpedoDamage[Light],BombDamage[Light]))),0)</f>
        <v>691.2</v>
      </c>
      <c r="R3" t="str">
        <f>B2</f>
        <v>Enterprise</v>
      </c>
      <c r="T3" t="s">
        <v>25</v>
      </c>
      <c r="V3" t="s">
        <v>26</v>
      </c>
    </row>
    <row r="4" spans="1:28" x14ac:dyDescent="0.3">
      <c r="A4" s="19"/>
      <c r="B4" t="s">
        <v>199</v>
      </c>
      <c r="C4" s="16" t="str">
        <f>IFERROR(INDEX(Base[],MATCH(B2,Base[Name],0),COLUMN(Base[Type])),0)</f>
        <v>CV</v>
      </c>
      <c r="D4" t="s">
        <v>290</v>
      </c>
      <c r="E4" t="s">
        <v>290</v>
      </c>
      <c r="F4" t="s">
        <v>746</v>
      </c>
      <c r="G4" t="s">
        <v>96</v>
      </c>
      <c r="H4" t="s">
        <v>137</v>
      </c>
      <c r="J4" t="s">
        <v>1079</v>
      </c>
      <c r="K4">
        <f ca="1">FLOOR(2*K3*SUM(N6:P6)/100,1)</f>
        <v>863</v>
      </c>
      <c r="M4" t="s">
        <v>1021</v>
      </c>
      <c r="N4">
        <f>IFERROR(INDEX(IF(F3="TB",TorpedoDamage[],BombDamage[]),MATCH(F4,IF(F3="TB",TorpedoDamage[Name],BombDamage[Name]),0),COLUMN(IF(F3="TB",TorpedoDamage[Medium],BombDamage[Medium]))),0)</f>
        <v>684</v>
      </c>
      <c r="O4">
        <f>IFERROR(INDEX(IF(G3="TB",TorpedoDamage[],BombDamage[]),MATCH(G4,IF(G3="TB",TorpedoDamage[Name],BombDamage[Name]),0),COLUMN(IF(G3="TB",TorpedoDamage[Medium],BombDamage[Medium]))),0)</f>
        <v>1126.8</v>
      </c>
      <c r="P4">
        <f>IFERROR(INDEX(IF(H3="TB",TorpedoDamage[],BombDamage[]),MATCH(H4,IF(H3="TB",TorpedoDamage[Name],BombDamage[Name]),0),COLUMN(IF(H3="TB",TorpedoDamage[Medium],BombDamage[Medium]))),0)</f>
        <v>950.40000000000009</v>
      </c>
      <c r="S4" t="s">
        <v>8</v>
      </c>
      <c r="T4">
        <f ca="1">SUM(P24:T24)+SUM(P29:V29)+SUM(P38:V38)+SUM(P39:V39)</f>
        <v>4351.0063612542835</v>
      </c>
      <c r="V4">
        <f ca="1">(SUM(P24:T24)+SUM(P29:V29))*H27+SUM(P38:V38)+SUM(P39:V39)</f>
        <v>3915.9057251288555</v>
      </c>
    </row>
    <row r="5" spans="1:28" x14ac:dyDescent="0.3">
      <c r="A5" s="19"/>
      <c r="B5" t="s">
        <v>150</v>
      </c>
      <c r="F5" t="str">
        <f ca="1">IFERROR(INDEX(INDIRECT(C3&amp;"Table"),MATCH(B2,INDIRECT(C3&amp;"Table"&amp;"[Name]"),0),COLUMN(INDIRECT(C3&amp;"Table"&amp;"["&amp;B5&amp;"1"&amp;"]"))),0)</f>
        <v>F</v>
      </c>
      <c r="G5" t="str">
        <f ca="1">IFERROR(INDEX(INDIRECT(C3&amp;"Table"),MATCH(B2,INDIRECT(C3&amp;"Table"&amp;"[Name]"),0),COLUMN(INDIRECT(C3&amp;"Table"&amp;"["&amp;B5&amp;"2"&amp;"]"))),0)</f>
        <v>B</v>
      </c>
      <c r="H5" t="str">
        <f ca="1">IFERROR(INDEX(INDIRECT(C3&amp;"Table"),MATCH(B2,INDIRECT(C3&amp;"Table"&amp;"[Name]"),0),COLUMN(INDIRECT(C3&amp;"Table"&amp;"["&amp;B5&amp;"3"&amp;"]"))),0)</f>
        <v>T</v>
      </c>
      <c r="M5" t="s">
        <v>1022</v>
      </c>
      <c r="N5">
        <f>IFERROR(INDEX(IF(F3="TB",TorpedoDamage[],BombDamage[]),MATCH(F4,IF(F3="TB",TorpedoDamage[Name],BombDamage[Name]),0),COLUMN(IF(F3="TB",TorpedoDamage[Heavy],BombDamage[Heavy]))),0)</f>
        <v>836.00000000000011</v>
      </c>
      <c r="O5">
        <f>IFERROR(INDEX(IF(G3="TB",TorpedoDamage[],BombDamage[]),MATCH(G4,IF(G3="TB",TorpedoDamage[Name],BombDamage[Name]),0),COLUMN(IF(G3="TB",TorpedoDamage[Heavy],BombDamage[Heavy]))),0)</f>
        <v>1362</v>
      </c>
      <c r="P5">
        <f>IFERROR(INDEX(IF(H3="TB",TorpedoDamage[],BombDamage[]),MATCH(H4,IF(H3="TB",TorpedoDamage[Name],BombDamage[Name]),0),COLUMN(IF(H3="TB",TorpedoDamage[Heavy],BombDamage[Heavy]))),0)</f>
        <v>1123.2</v>
      </c>
      <c r="S5" t="s">
        <v>10</v>
      </c>
      <c r="T5">
        <f ca="1">SUM(P25:T25)+SUM(P30:V30)+SUM(P38:V38)+SUM(P39:V39)</f>
        <v>5442.4044542026513</v>
      </c>
      <c r="V5">
        <f ca="1">(SUM(P25:T25)+SUM(P30:V30))*H27+SUM(P38:V38)+SUM(P39:V39)</f>
        <v>4898.1640087823862</v>
      </c>
    </row>
    <row r="6" spans="1:28" x14ac:dyDescent="0.3">
      <c r="A6" s="19"/>
      <c r="B6" t="s">
        <v>103</v>
      </c>
      <c r="C6">
        <v>0</v>
      </c>
      <c r="D6">
        <v>0</v>
      </c>
      <c r="E6">
        <v>0</v>
      </c>
      <c r="F6">
        <f ca="1">IFERROR(INDEX(INDIRECT(C3&amp;"Table"),MATCH(B2,INDIRECT(C3&amp;"Table"&amp;"[Name]"),0),COLUMN(INDIRECT(C3&amp;"Table"&amp;"["&amp;"Plane1"&amp;"]"))),0)</f>
        <v>3</v>
      </c>
      <c r="G6">
        <f ca="1">IFERROR(INDEX(INDIRECT(C3&amp;"Table"),MATCH(B2,INDIRECT(C3&amp;"Table"&amp;"[Name]"),0),COLUMN(INDIRECT(C3&amp;"Table"&amp;"["&amp;"Plane2"&amp;"]"))),0)</f>
        <v>3</v>
      </c>
      <c r="H6">
        <f ca="1">IFERROR(INDEX(INDIRECT(C3&amp;"Table"),MATCH(B2,INDIRECT(C3&amp;"Table"&amp;"[Name]"),0),COLUMN(INDIRECT(C3&amp;"Table"&amp;"["&amp;"Plane3"&amp;"]"))),0)</f>
        <v>2</v>
      </c>
      <c r="M6" t="s">
        <v>1081</v>
      </c>
      <c r="N6">
        <f ca="1">(IF(F5="F",10*F6,IF(F5="B",6*F6,IF(F5="T",5*F6,0))))</f>
        <v>30</v>
      </c>
      <c r="O6">
        <f ca="1">(IF(G5="F",10*G6,IF(G5="B",6*G6,IF(G5="T",5*G6,0))))</f>
        <v>18</v>
      </c>
      <c r="P6">
        <f ca="1">(IF(H5="F",10*H6,IF(H5="B",6*H6,IF(H5="T",5*H6,0))))</f>
        <v>10</v>
      </c>
      <c r="S6" t="s">
        <v>12</v>
      </c>
      <c r="T6">
        <f ca="1">SUM(P26:T26)+SUM(P31:V31)+SUM(P38:V38)+SUM(P39:V39)</f>
        <v>6554.2037365691331</v>
      </c>
      <c r="V6">
        <f ca="1">(SUM(P26:T26)+SUM(P31:V31))*H27+SUM(P38:V38)+SUM(P39:V39)</f>
        <v>5898.7833629122197</v>
      </c>
    </row>
    <row r="7" spans="1:28" x14ac:dyDescent="0.3">
      <c r="A7" s="19"/>
      <c r="B7" t="s">
        <v>7</v>
      </c>
      <c r="C7">
        <f ca="1">IFERROR(INDEX(INDIRECT(C3&amp;"Table"),MATCH(B2,INDIRECT(C3&amp;"Table"&amp;"[Name]"),0),COLUMN(INDIRECT(C3&amp;"Table"&amp;"["&amp;B7&amp;"]"))),0)</f>
        <v>6193</v>
      </c>
      <c r="D7">
        <f ca="1">IFERROR(INDEX(INDIRECT(D3&amp;"Table"),MATCH(D4,INDIRECT(D3&amp;"Table"&amp;"[Name]"),0),COLUMN(INDIRECT(D3&amp;"Table"&amp;"["&amp;B7&amp;"]"))),0)</f>
        <v>75</v>
      </c>
      <c r="E7">
        <f ca="1">IFERROR(INDEX(INDIRECT(E3&amp;"Table"),MATCH(E4,INDIRECT(E3&amp;"Table"&amp;"[Name]"),0),COLUMN(INDIRECT(E3&amp;"Table"&amp;"["&amp;B7&amp;"]"))),0)</f>
        <v>75</v>
      </c>
      <c r="F7">
        <f ca="1">IFERROR(INDEX(INDIRECT(F3&amp;"Table"),MATCH(F4,INDIRECT(F3&amp;"Table"&amp;"[Name]"),0),COLUMN(INDIRECT(F3&amp;"Table"&amp;"["&amp;B7&amp;"]"))),0)</f>
        <v>0</v>
      </c>
      <c r="G7">
        <f ca="1">IFERROR(INDEX(INDIRECT(G3&amp;"Table"),MATCH(G4,INDIRECT(G3&amp;"Table"&amp;"[Name]"),0),COLUMN(INDIRECT(G3&amp;"Table"&amp;"["&amp;B7&amp;"]"))),0)</f>
        <v>0</v>
      </c>
      <c r="H7">
        <f ca="1">IFERROR(INDEX(INDIRECT(H3&amp;"Table"),MATCH(H4,INDIRECT(H3&amp;"Table"&amp;"[Name]"),0),COLUMN(INDIRECT(H3&amp;"Table"&amp;"["&amp;B7&amp;"]"))),0)</f>
        <v>0</v>
      </c>
      <c r="J7" t="s">
        <v>760</v>
      </c>
    </row>
    <row r="8" spans="1:28" x14ac:dyDescent="0.3">
      <c r="A8" s="19"/>
      <c r="B8" t="s">
        <v>293</v>
      </c>
      <c r="C8">
        <f ca="1">IFERROR(INDEX(INDIRECT(C3&amp;"Table"),MATCH(B2,INDIRECT(C3&amp;"Table"&amp;"[Name]"),0),COLUMN(INDIRECT(C3&amp;"Table"&amp;"["&amp;B8&amp;"]"))),0)</f>
        <v>429</v>
      </c>
      <c r="D8">
        <f ca="1">IFERROR(INDEX(INDIRECT(D3&amp;"Table"),MATCH(D4,INDIRECT(D3&amp;"Table"&amp;"[Name]"),0),COLUMN(INDIRECT(D3&amp;"Table"&amp;"["&amp;B8&amp;"]"))),0)</f>
        <v>100</v>
      </c>
      <c r="E8">
        <f ca="1">IFERROR(INDEX(INDIRECT(E3&amp;"Table"),MATCH(E4,INDIRECT(E3&amp;"Table"&amp;"[Name]"),0),COLUMN(INDIRECT(E3&amp;"Table"&amp;"["&amp;B8&amp;"]"))),0)</f>
        <v>100</v>
      </c>
      <c r="F8">
        <f ca="1">IFERROR(INDEX(INDIRECT(F3&amp;"Table"),MATCH(F4,INDIRECT(F3&amp;"Table"&amp;"[Name]"),0),COLUMN(INDIRECT(F3&amp;"Table"&amp;"["&amp;B8&amp;"]"))),0)</f>
        <v>45</v>
      </c>
      <c r="G8">
        <f ca="1">IFERROR(INDEX(INDIRECT(G3&amp;"Table"),MATCH(G4,INDIRECT(G3&amp;"Table"&amp;"[Name]"),0),COLUMN(INDIRECT(G3&amp;"Table"&amp;"["&amp;B8&amp;"]"))),0)</f>
        <v>25</v>
      </c>
      <c r="H8">
        <f ca="1">IFERROR(INDEX(INDIRECT(H3&amp;"Table"),MATCH(H4,INDIRECT(H3&amp;"Table"&amp;"[Name]"),0),COLUMN(INDIRECT(H3&amp;"Table"&amp;"["&amp;B8&amp;"]"))),0)</f>
        <v>45</v>
      </c>
      <c r="J8" s="18" t="s">
        <v>18</v>
      </c>
      <c r="K8">
        <v>0.1</v>
      </c>
      <c r="N8" s="18" t="s">
        <v>5</v>
      </c>
      <c r="O8" s="18"/>
      <c r="P8">
        <v>0</v>
      </c>
      <c r="R8" t="s">
        <v>30</v>
      </c>
      <c r="S8">
        <f ca="1">H25</f>
        <v>63430</v>
      </c>
      <c r="Y8" t="str">
        <f>F4</f>
        <v>VF-17 Squadron</v>
      </c>
      <c r="AA8" t="str">
        <f>D4</f>
        <v>Steam Catapult</v>
      </c>
    </row>
    <row r="9" spans="1:28" x14ac:dyDescent="0.3">
      <c r="A9" s="19"/>
      <c r="B9" t="s">
        <v>53</v>
      </c>
      <c r="C9">
        <v>1</v>
      </c>
      <c r="D9">
        <v>0</v>
      </c>
      <c r="E9">
        <v>0</v>
      </c>
      <c r="F9">
        <f ca="1">IFERROR(INDEX(INDIRECT(C3&amp;"Table"),MATCH(B2,INDIRECT(C3&amp;"Table"&amp;"[Name]"),0),COLUMN(INDIRECT(C3&amp;"Table"&amp;"["&amp;"EFF"&amp;"]"))),0)</f>
        <v>1.25</v>
      </c>
      <c r="G9">
        <f ca="1">IFERROR(INDEX(INDIRECT(C3&amp;"Table"),MATCH(B2,INDIRECT(C3&amp;"Table"&amp;"[Name]"),0),COLUMN(INDIRECT(C3&amp;"Table"&amp;"["&amp;"SECEFF"&amp;"]"))),0)</f>
        <v>1.25</v>
      </c>
      <c r="H9">
        <f ca="1">IFERROR(INDEX(INDIRECT(C3&amp;"Table"),MATCH(B2,INDIRECT(C3&amp;"Table"&amp;"[Name]"),0),COLUMN(INDIRECT(C3&amp;"Table"&amp;"["&amp;"TRIEFF"&amp;"]"))),0)</f>
        <v>1.25</v>
      </c>
      <c r="J9" s="18" t="s">
        <v>65</v>
      </c>
      <c r="K9" s="23"/>
      <c r="L9" s="1">
        <v>0</v>
      </c>
      <c r="N9" s="18" t="s">
        <v>57</v>
      </c>
      <c r="O9" s="18"/>
      <c r="P9">
        <v>0</v>
      </c>
      <c r="R9" t="s">
        <v>1079</v>
      </c>
      <c r="S9">
        <f ca="1">K4</f>
        <v>863</v>
      </c>
      <c r="U9" t="s">
        <v>1069</v>
      </c>
      <c r="W9" s="1">
        <f ca="1">L25</f>
        <v>0.1</v>
      </c>
      <c r="Y9" t="str">
        <f>G4</f>
        <v>SB2C Helldiver</v>
      </c>
      <c r="AA9" t="str">
        <f>E4</f>
        <v>Steam Catapult</v>
      </c>
    </row>
    <row r="10" spans="1:28" x14ac:dyDescent="0.3">
      <c r="A10" s="19"/>
      <c r="B10" t="s">
        <v>14</v>
      </c>
      <c r="C10">
        <f ca="1">IFERROR(INDEX(INDIRECT(C3&amp;"Table"),MATCH(B2,INDIRECT(C3&amp;"Table"&amp;"[Name]"),0),COLUMN(INDIRECT(C3&amp;"Table"&amp;"["&amp;B10&amp;"]"))),0)</f>
        <v>132</v>
      </c>
      <c r="D10">
        <f ca="1">IFERROR(INDEX(INDIRECT(D3&amp;"Table"),MATCH(D4,INDIRECT(D3&amp;"Table"&amp;"[Name]"),0),COLUMN(INDIRECT(D3&amp;"Table"&amp;"["&amp;B10&amp;"]"))),0)</f>
        <v>0</v>
      </c>
      <c r="E10">
        <f ca="1">IFERROR(INDEX(INDIRECT(E3&amp;"Table"),MATCH(E4,INDIRECT(E3&amp;"Table"&amp;"[Name]"),0),COLUMN(INDIRECT(E3&amp;"Table"&amp;"["&amp;B10&amp;"]"))),0)</f>
        <v>0</v>
      </c>
      <c r="F10">
        <f ca="1">IFERROR(INDEX(INDIRECT(F3&amp;"Table"),MATCH(F4,INDIRECT(F3&amp;"Table"&amp;"[Name]"),0),COLUMN(INDIRECT(F3&amp;"Table"&amp;"["&amp;B10&amp;"]"))),0)</f>
        <v>0</v>
      </c>
      <c r="G10">
        <f ca="1">IFERROR(INDEX(INDIRECT(G3&amp;"Table"),MATCH(G4,INDIRECT(G3&amp;"Table"&amp;"[Name]"),0),COLUMN(INDIRECT(G3&amp;"Table"&amp;"["&amp;B10&amp;"]"))),0)</f>
        <v>0</v>
      </c>
      <c r="H10">
        <f ca="1">IFERROR(INDEX(INDIRECT(H3&amp;"Table"),MATCH(H4,INDIRECT(H3&amp;"Table"&amp;"[Name]"),0),COLUMN(INDIRECT(H3&amp;"Table"&amp;"["&amp;B10&amp;"]"))),0)</f>
        <v>0</v>
      </c>
      <c r="J10" t="s">
        <v>973</v>
      </c>
      <c r="L10">
        <f ca="1">SQRT(200/(100+SUM(C10:H10)*(1+L9)))*2.2*(((F6*F14)+(G6*G14)+(H6*H14))/(SUM(C6:H6)))+K8</f>
        <v>22.278058476830751</v>
      </c>
      <c r="N10" s="18" t="s">
        <v>58</v>
      </c>
      <c r="O10" s="18"/>
      <c r="P10">
        <v>0</v>
      </c>
      <c r="R10" t="s">
        <v>148</v>
      </c>
      <c r="S10">
        <f ca="1">L10</f>
        <v>22.278058476830751</v>
      </c>
      <c r="U10" t="s">
        <v>1071</v>
      </c>
      <c r="W10" s="1">
        <f ca="1">H27</f>
        <v>0.9</v>
      </c>
      <c r="Y10" t="str">
        <f>H4</f>
        <v>Fairey Barracuda</v>
      </c>
    </row>
    <row r="11" spans="1:28" x14ac:dyDescent="0.3">
      <c r="A11" s="19"/>
      <c r="B11" t="s">
        <v>294</v>
      </c>
      <c r="C11">
        <f ca="1">IFERROR(INDEX(INDIRECT(C3&amp;"Table"),MATCH(B2,INDIRECT(C3&amp;"Table"&amp;"[Name]"),0),COLUMN(INDIRECT(C3&amp;"Table"&amp;"["&amp;B11&amp;"]"))),0)</f>
        <v>62</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f>
        <v>0</v>
      </c>
      <c r="J11" s="18" t="s">
        <v>1067</v>
      </c>
      <c r="K11" s="18"/>
      <c r="L11" s="1">
        <v>0</v>
      </c>
      <c r="R11" s="5"/>
      <c r="S11" s="5"/>
      <c r="T11" s="5"/>
      <c r="U11" s="5"/>
      <c r="V11" s="5"/>
      <c r="W11" s="5"/>
      <c r="X11" s="5"/>
      <c r="Y11" s="5"/>
      <c r="Z11" s="5"/>
      <c r="AA11" s="5"/>
      <c r="AB11" s="5"/>
    </row>
    <row r="12" spans="1:28" x14ac:dyDescent="0.3">
      <c r="A12" s="19"/>
      <c r="B12" s="32" t="s">
        <v>17</v>
      </c>
      <c r="C12">
        <f ca="1">IFERROR(INDEX(INDIRECT(C3&amp;"Table"),MATCH(B2,INDIRECT(C3&amp;"Table"&amp;"[Name]"),0),COLUMN(INDIRECT(C3&amp;"Table"&amp;"["&amp;B12&amp;"]"))),0)</f>
        <v>93</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f>
        <v>0</v>
      </c>
      <c r="J12" s="18" t="s">
        <v>1065</v>
      </c>
      <c r="K12" s="19"/>
      <c r="L12" s="1">
        <v>0.5</v>
      </c>
      <c r="N12" s="18" t="s">
        <v>1064</v>
      </c>
      <c r="O12" s="18"/>
      <c r="P12" s="6">
        <v>1</v>
      </c>
    </row>
    <row r="13" spans="1:28" x14ac:dyDescent="0.3">
      <c r="A13" s="19"/>
      <c r="B13" s="32" t="s">
        <v>6</v>
      </c>
      <c r="C13">
        <f ca="1">IFERROR(INDEX(INDIRECT(C3&amp;"Table"),MATCH(B2,INDIRECT(C3&amp;"Table"&amp;"[Name]"),0),COLUMN(INDIRECT(C3&amp;"Table"&amp;"["&amp;B13&amp;"]"))),0)</f>
        <v>110</v>
      </c>
      <c r="D13">
        <f ca="1">IFERROR(INDEX(INDIRECT(D3&amp;"Table"),MATCH(D4,INDIRECT(D3&amp;"Table"&amp;"[Name]"),0),COLUMN(INDIRECT(D3&amp;"Table"&amp;"["&amp;B13&amp;"]"))),0)</f>
        <v>0</v>
      </c>
      <c r="E13">
        <f ca="1">IFERROR(INDEX(INDIRECT(E3&amp;"Table"),MATCH(E4,INDIRECT(E3&amp;"Table"&amp;"[Name]"),0),COLUMN(INDIRECT(E3&amp;"Table"&amp;"["&amp;B13&amp;"]"))),0)</f>
        <v>0</v>
      </c>
      <c r="F13">
        <f ca="1">IFERROR(INDEX(INDIRECT(F3&amp;"Table"),MATCH(F4,INDIRECT(F3&amp;"Table"&amp;"[Name]"),0),COLUMN(INDIRECT(F3&amp;"Table"&amp;"["&amp;B13&amp;"]"))),0)</f>
        <v>0</v>
      </c>
      <c r="G13">
        <f ca="1">IFERROR(INDEX(INDIRECT(G3&amp;"Table"),MATCH(G4,INDIRECT(G3&amp;"Table"&amp;"[Name]"),0),COLUMN(INDIRECT(G3&amp;"Table"&amp;"["&amp;B13&amp;"]"))),0)</f>
        <v>0</v>
      </c>
      <c r="H13">
        <f ca="1">IFERROR(INDEX(INDIRECT(H3&amp;"Table"),MATCH(H4,INDIRECT(H3&amp;"Table"&amp;"[Name]"),0),COLUMN(INDIRECT(H3&amp;"Table"&amp;"["&amp;B13&amp;"]"))),0)</f>
        <v>0</v>
      </c>
      <c r="J13" t="s">
        <v>1062</v>
      </c>
      <c r="L13" s="1">
        <f ca="1">1+(0.05+(SUM(C13:H13)/(SUM(C13:H13)*P14+2000))+(SUM(C12:H12)/5000)+L11)*L12</f>
        <v>1.0603663507109005</v>
      </c>
      <c r="N13" s="18" t="s">
        <v>1063</v>
      </c>
      <c r="O13" s="18"/>
      <c r="P13" s="6">
        <v>1.7</v>
      </c>
    </row>
    <row r="14" spans="1:28" x14ac:dyDescent="0.3">
      <c r="A14" s="19"/>
      <c r="B14" t="s">
        <v>266</v>
      </c>
      <c r="C14">
        <v>0</v>
      </c>
      <c r="D14">
        <v>0</v>
      </c>
      <c r="E14">
        <v>0</v>
      </c>
      <c r="F14">
        <f ca="1">IFERROR(INDEX(INDIRECT(F3&amp;"Table"),MATCH(F4,INDIRECT(F3&amp;"Table"&amp;"[Name]"),0),COLUMN(INDIRECT(F3&amp;"Table"&amp;"["&amp;B14&amp;"]"))),0)</f>
        <v>10.199999999999999</v>
      </c>
      <c r="G14">
        <f ca="1">IFERROR(INDEX(INDIRECT(G3&amp;"Table"),MATCH(G4,INDIRECT(G3&amp;"Table"&amp;"[Name]"),0),COLUMN(INDIRECT(G3&amp;"Table"&amp;"["&amp;B14&amp;"]"))),0)</f>
        <v>11.88</v>
      </c>
      <c r="H14">
        <f ca="1">IFERROR(INDEX(INDIRECT(H3&amp;"Table"),MATCH(H4,INDIRECT(H3&amp;"Table"&amp;"[Name]"),0),COLUMN(INDIRECT(H3&amp;"Table"&amp;"["&amp;B14&amp;"]"))),0)</f>
        <v>10.31</v>
      </c>
      <c r="N14" s="18" t="s">
        <v>1054</v>
      </c>
      <c r="O14" s="18"/>
      <c r="P14" s="6">
        <v>1</v>
      </c>
    </row>
    <row r="15" spans="1:28" x14ac:dyDescent="0.3">
      <c r="A15" s="19"/>
      <c r="J15" s="18" t="s">
        <v>15</v>
      </c>
      <c r="K15">
        <v>0.6</v>
      </c>
      <c r="N15" s="18" t="s">
        <v>143</v>
      </c>
      <c r="O15" s="19"/>
      <c r="P15">
        <v>0</v>
      </c>
    </row>
    <row r="16" spans="1:28" x14ac:dyDescent="0.3">
      <c r="A16" s="19"/>
      <c r="J16" s="18" t="s">
        <v>55</v>
      </c>
      <c r="K16">
        <v>0</v>
      </c>
      <c r="N16" t="s">
        <v>1035</v>
      </c>
      <c r="P16">
        <v>0</v>
      </c>
    </row>
    <row r="17" spans="1:22" x14ac:dyDescent="0.3">
      <c r="A17" s="19"/>
    </row>
    <row r="18" spans="1:22" x14ac:dyDescent="0.3">
      <c r="A18" s="19"/>
      <c r="B18" s="18" t="s">
        <v>1023</v>
      </c>
      <c r="C18" s="22" t="s">
        <v>52</v>
      </c>
      <c r="D18" s="18" t="s">
        <v>1059</v>
      </c>
      <c r="E18" s="18" t="s">
        <v>8</v>
      </c>
      <c r="F18" s="18" t="s">
        <v>10</v>
      </c>
      <c r="G18" s="18" t="s">
        <v>12</v>
      </c>
      <c r="H18" s="18" t="s">
        <v>55</v>
      </c>
      <c r="I18" s="18" t="s">
        <v>1035</v>
      </c>
      <c r="J18" s="18" t="s">
        <v>1036</v>
      </c>
      <c r="K18" s="21" t="s">
        <v>27</v>
      </c>
      <c r="L18" s="18" t="s">
        <v>59</v>
      </c>
      <c r="M18" s="18" t="s">
        <v>1058</v>
      </c>
      <c r="P18" t="s">
        <v>69</v>
      </c>
      <c r="R18" t="s">
        <v>70</v>
      </c>
      <c r="T18" t="s">
        <v>71</v>
      </c>
    </row>
    <row r="19" spans="1:22" x14ac:dyDescent="0.3">
      <c r="A19" s="19"/>
      <c r="B19">
        <v>0</v>
      </c>
      <c r="C19" s="2">
        <v>0</v>
      </c>
      <c r="D19">
        <v>0</v>
      </c>
      <c r="E19">
        <v>1.4</v>
      </c>
      <c r="F19">
        <v>0.9</v>
      </c>
      <c r="G19">
        <v>0.7</v>
      </c>
      <c r="H19" s="1">
        <v>0</v>
      </c>
      <c r="I19" s="1">
        <v>0</v>
      </c>
      <c r="J19" s="1">
        <v>0</v>
      </c>
      <c r="K19" s="1">
        <v>1</v>
      </c>
      <c r="L19">
        <v>0</v>
      </c>
      <c r="M19" s="1">
        <v>1</v>
      </c>
      <c r="O19" t="s">
        <v>8</v>
      </c>
      <c r="P19">
        <f ca="1">((100+K3*IF(F5="T",P12,0.8*P12))/100)*N3*L13*P13*F6*F9</f>
        <v>28572.580788671094</v>
      </c>
      <c r="R19">
        <f ca="1">((100+K3*IF(G5="T",P12,0.8*P12))/100)*O3*$L$13*$P$13*$G$6*$G$9</f>
        <v>42069.365661214411</v>
      </c>
      <c r="T19">
        <f ca="1">((100+K3*IF(H5="T",P12,0.8*P12))/100)*P3*$L$13*$P$13*$H$6*$H$9</f>
        <v>26290.0276992</v>
      </c>
    </row>
    <row r="20" spans="1:22" x14ac:dyDescent="0.3">
      <c r="A20" s="19"/>
      <c r="B20">
        <v>0</v>
      </c>
      <c r="C20" s="2">
        <v>0</v>
      </c>
      <c r="D20">
        <v>0</v>
      </c>
      <c r="E20">
        <v>1.1000000000000001</v>
      </c>
      <c r="F20">
        <v>0.9</v>
      </c>
      <c r="G20">
        <v>0.6</v>
      </c>
      <c r="H20" s="1">
        <v>0</v>
      </c>
      <c r="I20" s="1">
        <v>0</v>
      </c>
      <c r="J20" s="1">
        <v>0</v>
      </c>
      <c r="K20" s="1">
        <v>1</v>
      </c>
      <c r="L20">
        <v>20</v>
      </c>
      <c r="M20" s="1">
        <v>1</v>
      </c>
      <c r="O20" t="s">
        <v>10</v>
      </c>
      <c r="P20">
        <f ca="1">((100+K3*IF(F5="T",P12,0.8*P12))/100)*N4*L13*P13*F6*F9</f>
        <v>32144.153387254984</v>
      </c>
      <c r="R20">
        <f ca="1">((100+K3*IF(G5="T",P12,0.8*P12))/100)*O4*$L$13*$P$13*$G$6*$G$9</f>
        <v>52953.263211635829</v>
      </c>
      <c r="T20">
        <f ca="1">((100+K3*IF(H5="T",P12,0.8*P12))/100)*P4*$L$13*$P$13*$H$6*$H$9</f>
        <v>36148.788086399996</v>
      </c>
    </row>
    <row r="21" spans="1:22" x14ac:dyDescent="0.3">
      <c r="A21" s="19"/>
      <c r="B21">
        <v>0</v>
      </c>
      <c r="C21" s="2">
        <v>0</v>
      </c>
      <c r="D21">
        <v>0</v>
      </c>
      <c r="E21">
        <v>0.8</v>
      </c>
      <c r="F21">
        <v>1</v>
      </c>
      <c r="G21">
        <v>1.3</v>
      </c>
      <c r="H21" s="1">
        <v>0</v>
      </c>
      <c r="I21" s="1">
        <v>0</v>
      </c>
      <c r="J21" s="1">
        <v>0</v>
      </c>
      <c r="K21" s="1">
        <v>1</v>
      </c>
      <c r="L21">
        <v>20</v>
      </c>
      <c r="M21" s="1">
        <v>1</v>
      </c>
      <c r="O21" t="s">
        <v>12</v>
      </c>
      <c r="P21">
        <f ca="1">((100+K3*IF(F5="T",P12,0.8*P12))/100)*N5*L13*P13*F6*F9</f>
        <v>39287.298584422759</v>
      </c>
      <c r="R21">
        <f ca="1">((100+K3*IF(G5="T",P12,0.8*P12))/100)*O5*$L$13*$P$13*$G$6*$G$9</f>
        <v>64006.34051672701</v>
      </c>
      <c r="T21">
        <f ca="1">((100+K3*IF(H5="T",P12,0.8*P12))/100)*P5*$L$13*$P$13*$H$6*$H$9</f>
        <v>42721.295011199989</v>
      </c>
    </row>
    <row r="22" spans="1:22" x14ac:dyDescent="0.3">
      <c r="A22" s="19"/>
      <c r="B22">
        <v>0</v>
      </c>
      <c r="C22" s="2">
        <v>0</v>
      </c>
      <c r="D22">
        <v>0</v>
      </c>
      <c r="E22">
        <v>0.8</v>
      </c>
      <c r="F22">
        <v>1</v>
      </c>
      <c r="G22">
        <v>1.3</v>
      </c>
      <c r="H22" s="1">
        <v>0</v>
      </c>
      <c r="I22" s="1">
        <v>0</v>
      </c>
      <c r="J22" s="1">
        <v>0</v>
      </c>
      <c r="K22" s="1">
        <v>1</v>
      </c>
      <c r="L22">
        <v>20</v>
      </c>
      <c r="M22" s="1">
        <v>1</v>
      </c>
    </row>
    <row r="23" spans="1:22" x14ac:dyDescent="0.3">
      <c r="A23" s="19"/>
      <c r="P23" t="s">
        <v>128</v>
      </c>
      <c r="R23" t="s">
        <v>129</v>
      </c>
      <c r="T23" t="s">
        <v>130</v>
      </c>
    </row>
    <row r="24" spans="1:22" x14ac:dyDescent="0.3">
      <c r="A24" s="19"/>
      <c r="B24" s="18" t="s">
        <v>1066</v>
      </c>
      <c r="C24" s="18"/>
      <c r="D24" s="1">
        <v>0</v>
      </c>
      <c r="F24" t="s">
        <v>31</v>
      </c>
      <c r="H24">
        <f ca="1">SUM(C7:H7)</f>
        <v>6343</v>
      </c>
      <c r="I24" s="1"/>
      <c r="J24" t="s">
        <v>37</v>
      </c>
      <c r="L24" s="3">
        <f ca="1">0.1+(P9/(P9+2+D25*SUM(C11:H11)))+((P8-SUM(C12:H12))/1000)-D24</f>
        <v>7.0000000000000062E-3</v>
      </c>
      <c r="O24" t="s">
        <v>8</v>
      </c>
      <c r="P24">
        <f ca="1">P19/$L$10</f>
        <v>1282.543576155286</v>
      </c>
      <c r="R24">
        <f ca="1">R19/$L$10</f>
        <v>1888.3766601549539</v>
      </c>
      <c r="T24">
        <f ca="1">T19/$L$10</f>
        <v>1180.0861249440434</v>
      </c>
    </row>
    <row r="25" spans="1:22" x14ac:dyDescent="0.3">
      <c r="A25" s="19"/>
      <c r="B25" s="18" t="s">
        <v>1060</v>
      </c>
      <c r="C25" s="18"/>
      <c r="D25" s="1">
        <v>1</v>
      </c>
      <c r="F25" t="s">
        <v>33</v>
      </c>
      <c r="H25">
        <f ca="1">H24/(L25*(1-D26))</f>
        <v>63430</v>
      </c>
      <c r="I25" s="1"/>
      <c r="J25" t="s">
        <v>50</v>
      </c>
      <c r="L25" s="1">
        <f ca="1">IF(L24&lt;=0.1, 0.1, IF(L24&gt;=0.9, 0.9, L24))</f>
        <v>0.1</v>
      </c>
      <c r="O25" t="s">
        <v>10</v>
      </c>
      <c r="P25">
        <f ca="1">P20/$L$10</f>
        <v>1442.8615231746969</v>
      </c>
      <c r="R25">
        <f ca="1">R20/$L$10</f>
        <v>2376.9245092298947</v>
      </c>
      <c r="T25">
        <f ca="1">T20/$L$10</f>
        <v>1622.6184217980597</v>
      </c>
    </row>
    <row r="26" spans="1:22" x14ac:dyDescent="0.3">
      <c r="A26" s="19"/>
      <c r="B26" s="18" t="s">
        <v>314</v>
      </c>
      <c r="C26" s="18"/>
      <c r="D26" s="1">
        <v>0</v>
      </c>
      <c r="F26" t="s">
        <v>36</v>
      </c>
      <c r="H26" s="1">
        <f ca="1">0.1+(SUM(C13:H13)/(SUM(C13:H13)*P14+2+P10))+((SUM(C12:H12)-P8)/1000)</f>
        <v>1.175142857142857</v>
      </c>
      <c r="O26" t="s">
        <v>12</v>
      </c>
      <c r="P26">
        <f ca="1">P21/$L$10</f>
        <v>1763.4974172135185</v>
      </c>
      <c r="R26">
        <f ca="1">R21/$L$10</f>
        <v>2873.0663663215446</v>
      </c>
      <c r="T26">
        <f ca="1">T21/$L$10</f>
        <v>1917.6399530340702</v>
      </c>
    </row>
    <row r="27" spans="1:22" x14ac:dyDescent="0.3">
      <c r="A27" s="19"/>
      <c r="F27" t="s">
        <v>51</v>
      </c>
      <c r="H27" s="1">
        <f ca="1">IF(H26&lt;=0.1, 0.1, IF(H26&gt;=0.9, 0.9, H26))</f>
        <v>0.9</v>
      </c>
    </row>
    <row r="28" spans="1:22" x14ac:dyDescent="0.3">
      <c r="A28" s="19"/>
      <c r="O28" t="s">
        <v>1032</v>
      </c>
      <c r="P28" t="s">
        <v>1037</v>
      </c>
      <c r="R28" t="s">
        <v>1038</v>
      </c>
      <c r="T28" t="s">
        <v>1039</v>
      </c>
      <c r="V28" t="s">
        <v>1040</v>
      </c>
    </row>
    <row r="29" spans="1:22" x14ac:dyDescent="0.3">
      <c r="A29" s="19"/>
      <c r="O29" t="s">
        <v>8</v>
      </c>
      <c r="P29">
        <f ca="1">((100+K3*M19*P12)/100)/IF(L19=0,L10,L19)*L13*K19*B19*E19*P13</f>
        <v>0</v>
      </c>
      <c r="R29">
        <f ca="1">((100+K3*M20*P12)/100)/IF(L20=0,L10,L20)*L13*K20*B20*E20*P13</f>
        <v>0</v>
      </c>
      <c r="T29">
        <f ca="1">((100+K3*M21*P12)/100)/IF(L21=0,L10,L21)*L13*K21*B21*E21*P13</f>
        <v>0</v>
      </c>
      <c r="V29">
        <f ca="1">((100+K3*M22*(P12))/100)/IF(L22=0,L10,L22)*L13*K22*B22*E22*P13</f>
        <v>0</v>
      </c>
    </row>
    <row r="30" spans="1:22" x14ac:dyDescent="0.3">
      <c r="A30" s="19"/>
      <c r="B30" t="s">
        <v>28</v>
      </c>
      <c r="C30" t="s">
        <v>66</v>
      </c>
      <c r="O30" t="s">
        <v>10</v>
      </c>
      <c r="P30">
        <f ca="1">((100+K3*M19*P12)/100)/IF(L19=0,L10,L19)*L13*K19*B19*F19*P13</f>
        <v>0</v>
      </c>
      <c r="R30">
        <f ca="1">((100+K3*M20*P12)/100)/IF(L20=0,L10,L20)*L13*K20*B20*F20*P13</f>
        <v>0</v>
      </c>
      <c r="T30">
        <f ca="1">((100+K3*M21*P12)/100)/IF(L21=0,L10,L21)*L13*K21*B21*F21*P13</f>
        <v>0</v>
      </c>
      <c r="V30">
        <f ca="1">((100+K3*M22*(P12))/100)/IF(L22=0,L10,L22)*L13*K22*B22*F22*P13</f>
        <v>0</v>
      </c>
    </row>
    <row r="31" spans="1:22" x14ac:dyDescent="0.3">
      <c r="A31" s="19"/>
      <c r="B31" t="s">
        <v>29</v>
      </c>
      <c r="C31" t="s">
        <v>67</v>
      </c>
      <c r="O31" t="s">
        <v>12</v>
      </c>
      <c r="P31">
        <f ca="1">((100+K3*M19*P12)/100)/IF(L19=0,L10,L19)*L13*K19*B19*G19*P13</f>
        <v>0</v>
      </c>
      <c r="R31">
        <f ca="1">((100+K3*M20*P12)/100)/IF(L20=0,L10,L20)*L13*K20*B20*G20*P13</f>
        <v>0</v>
      </c>
      <c r="T31">
        <f ca="1">((100+K3*M21*P12)/100)/IF(L21=0,L10,L21)*L13*K21*B21*G21*P13</f>
        <v>0</v>
      </c>
      <c r="V31">
        <f ca="1">((100+K3*M22*(P12))/100)/IF(L22=0,L10,L22)*L13*K22*B22*G22*P13</f>
        <v>0</v>
      </c>
    </row>
    <row r="32" spans="1:22" x14ac:dyDescent="0.3">
      <c r="A32" s="19"/>
    </row>
    <row r="33" spans="1:22" x14ac:dyDescent="0.3">
      <c r="A33" s="19"/>
      <c r="B33" t="s">
        <v>38</v>
      </c>
      <c r="C33" t="s">
        <v>39</v>
      </c>
      <c r="O33" t="s">
        <v>1042</v>
      </c>
      <c r="P33" t="s">
        <v>1033</v>
      </c>
      <c r="R33" t="s">
        <v>1029</v>
      </c>
      <c r="T33" t="s">
        <v>1030</v>
      </c>
      <c r="V33" t="s">
        <v>1041</v>
      </c>
    </row>
    <row r="34" spans="1:22" x14ac:dyDescent="0.3">
      <c r="A34" s="19"/>
      <c r="C34" t="s">
        <v>40</v>
      </c>
      <c r="O34" t="s">
        <v>15</v>
      </c>
      <c r="P34">
        <f ca="1">(C19*K19*((100+M19*K3*P12)/100)*K15+5)*(1-(1-H19)^(D19))*5</f>
        <v>0</v>
      </c>
      <c r="R34">
        <f ca="1">(C20*K20*((100+M20*K3*P12)/100)*K15+5)*(1-(1-H20)^(D20))*5</f>
        <v>0</v>
      </c>
      <c r="T34">
        <f ca="1">(C21*K21*((100+M21*K3*P12)/100)*K15+5)*(1-(1-H21)^(D21))*5</f>
        <v>0</v>
      </c>
      <c r="V34">
        <f ca="1">(C22*K22*((100+M22*K3*(1+P12))/100)*K15+5)*(1-(1-H22)^(D22))*5</f>
        <v>0</v>
      </c>
    </row>
    <row r="35" spans="1:22" x14ac:dyDescent="0.3">
      <c r="A35" s="19"/>
      <c r="C35" t="s">
        <v>41</v>
      </c>
      <c r="O35" t="s">
        <v>145</v>
      </c>
      <c r="P35">
        <f ca="1">I19*(C19*((100+K3*M19*P12)/100)*J19+10)*8</f>
        <v>0</v>
      </c>
      <c r="R35">
        <f ca="1">I20*(C20*((100+K3*M20*P12)/100)*J20+10)*8</f>
        <v>0</v>
      </c>
      <c r="T35">
        <f ca="1">I21*(C21*((100+K3*M21*P12)/100)*J21+10)*8</f>
        <v>0</v>
      </c>
      <c r="V35">
        <f ca="1">I22*(C22*((100+K3*M22*(1+P12))/100)*J22+10)*8</f>
        <v>0</v>
      </c>
    </row>
    <row r="36" spans="1:22" x14ac:dyDescent="0.3">
      <c r="A36" s="19"/>
    </row>
    <row r="37" spans="1:22" x14ac:dyDescent="0.3">
      <c r="A37" s="19"/>
      <c r="B37" t="s">
        <v>42</v>
      </c>
      <c r="C37" t="s">
        <v>43</v>
      </c>
      <c r="O37" t="s">
        <v>1042</v>
      </c>
      <c r="P37" t="s">
        <v>1037</v>
      </c>
      <c r="R37" t="s">
        <v>1038</v>
      </c>
      <c r="T37" t="s">
        <v>1039</v>
      </c>
      <c r="V37" t="s">
        <v>1040</v>
      </c>
    </row>
    <row r="38" spans="1:22" x14ac:dyDescent="0.3">
      <c r="A38" s="19"/>
      <c r="C38" t="s">
        <v>45</v>
      </c>
      <c r="O38" t="s">
        <v>44</v>
      </c>
      <c r="P38">
        <f ca="1">P34/15*(MIN((15/IF(L19=0,L10,L19)),1))</f>
        <v>0</v>
      </c>
      <c r="R38">
        <f ca="1">R34/15*(MIN((15/IF(L20=0,L10,L20)),1))</f>
        <v>0</v>
      </c>
      <c r="T38">
        <f ca="1">T34/15*(MIN((15/IF(L21=0,L10,L21)),1))</f>
        <v>0</v>
      </c>
      <c r="V38">
        <f ca="1">V34/15*(MIN((15/IF(L22=0,L10,L22)),1))</f>
        <v>0</v>
      </c>
    </row>
    <row r="39" spans="1:22" x14ac:dyDescent="0.3">
      <c r="A39" s="19"/>
      <c r="O39" t="s">
        <v>147</v>
      </c>
      <c r="P39">
        <f ca="1">P35/24*(MIN((24/IF(L19=0,L10,L19)),1))</f>
        <v>0</v>
      </c>
      <c r="R39">
        <f ca="1">R35/15*(MIN((24/IF(L20=0,L10,L20)),1))</f>
        <v>0</v>
      </c>
      <c r="T39">
        <f ca="1">T35/24*(MIN((24/IF(L21=0,L10,L21)),1))</f>
        <v>0</v>
      </c>
      <c r="V39">
        <f ca="1">V35/24*(MIN((24/IF(L22=0,L10,L22)),1))</f>
        <v>0</v>
      </c>
    </row>
    <row r="40" spans="1:22" x14ac:dyDescent="0.3">
      <c r="A40" s="19"/>
      <c r="B40" t="s">
        <v>46</v>
      </c>
      <c r="C40" t="s">
        <v>47</v>
      </c>
    </row>
    <row r="41" spans="1:22" x14ac:dyDescent="0.3">
      <c r="A41" s="19"/>
      <c r="C41" t="s">
        <v>48</v>
      </c>
    </row>
    <row r="42" spans="1:22" x14ac:dyDescent="0.3">
      <c r="A42" s="19"/>
    </row>
    <row r="43" spans="1:22" x14ac:dyDescent="0.3">
      <c r="A43" s="19"/>
    </row>
    <row r="44" spans="1:22" x14ac:dyDescent="0.3">
      <c r="A44" s="19"/>
    </row>
    <row r="45" spans="1:22" x14ac:dyDescent="0.3">
      <c r="A45" s="19"/>
    </row>
    <row r="46" spans="1:22" x14ac:dyDescent="0.3">
      <c r="A46" s="19"/>
    </row>
    <row r="47" spans="1:22" x14ac:dyDescent="0.3">
      <c r="A47" s="19"/>
    </row>
    <row r="48" spans="1:22" x14ac:dyDescent="0.3">
      <c r="A48" s="19"/>
    </row>
    <row r="49" spans="1:11" x14ac:dyDescent="0.3">
      <c r="A49" s="19"/>
    </row>
    <row r="50" spans="1:11" x14ac:dyDescent="0.3">
      <c r="A50" s="19"/>
      <c r="C50" s="6"/>
      <c r="D50" s="6"/>
      <c r="E50" s="6"/>
      <c r="F50" s="6"/>
      <c r="G50" s="6"/>
      <c r="K50" s="1"/>
    </row>
    <row r="51" spans="1:11" x14ac:dyDescent="0.3">
      <c r="A51" s="19"/>
      <c r="C51" s="6"/>
      <c r="D51" s="6"/>
      <c r="E51" s="6"/>
      <c r="F51" s="6"/>
      <c r="G51" s="6"/>
      <c r="K51" s="1"/>
    </row>
    <row r="52" spans="1:11" x14ac:dyDescent="0.3">
      <c r="A52" s="19"/>
      <c r="C52" s="6"/>
      <c r="D52" s="6"/>
      <c r="E52" s="6"/>
      <c r="F52" s="6"/>
      <c r="G52" s="6"/>
      <c r="K52" s="1"/>
    </row>
    <row r="53" spans="1:11" x14ac:dyDescent="0.3">
      <c r="A53" s="19"/>
    </row>
    <row r="54" spans="1:11" x14ac:dyDescent="0.3">
      <c r="A54" s="19"/>
    </row>
    <row r="55" spans="1:11" x14ac:dyDescent="0.3">
      <c r="A55" s="19"/>
    </row>
    <row r="56" spans="1:11" x14ac:dyDescent="0.3">
      <c r="A56" s="19"/>
    </row>
    <row r="57" spans="1:11" x14ac:dyDescent="0.3">
      <c r="A57" s="19"/>
    </row>
    <row r="58" spans="1:11" x14ac:dyDescent="0.3">
      <c r="A58" s="19"/>
    </row>
    <row r="59" spans="1:11" x14ac:dyDescent="0.3">
      <c r="A59" s="19"/>
    </row>
    <row r="60" spans="1:11" x14ac:dyDescent="0.3">
      <c r="A60" s="19"/>
    </row>
    <row r="61" spans="1:11" x14ac:dyDescent="0.3">
      <c r="A61" s="19"/>
    </row>
    <row r="62" spans="1:11" x14ac:dyDescent="0.3">
      <c r="A62" s="19"/>
    </row>
    <row r="63" spans="1:11" x14ac:dyDescent="0.3">
      <c r="A63" s="19"/>
    </row>
    <row r="64" spans="1:11" x14ac:dyDescent="0.3">
      <c r="A64" s="19"/>
    </row>
    <row r="65" spans="1:1" x14ac:dyDescent="0.3">
      <c r="A65" s="19"/>
    </row>
    <row r="66" spans="1:1" x14ac:dyDescent="0.3">
      <c r="A66" s="19"/>
    </row>
    <row r="67" spans="1:1" x14ac:dyDescent="0.3">
      <c r="A67" s="19"/>
    </row>
  </sheetData>
  <dataValidations count="7">
    <dataValidation type="list" allowBlank="1" showInputMessage="1" showErrorMessage="1" sqref="F3:H3" xr:uid="{00000000-0002-0000-0100-000000000000}">
      <formula1>EquipmentType</formula1>
    </dataValidation>
    <dataValidation type="list" allowBlank="1" showInputMessage="1" showErrorMessage="1" sqref="F4" xr:uid="{00000000-0002-0000-0100-000001000000}">
      <formula1>INDIRECT($F$3)</formula1>
    </dataValidation>
    <dataValidation type="list" allowBlank="1" showInputMessage="1" showErrorMessage="1" sqref="G4" xr:uid="{00000000-0002-0000-0100-000002000000}">
      <formula1>INDIRECT($G$3)</formula1>
    </dataValidation>
    <dataValidation type="list" allowBlank="1" showInputMessage="1" showErrorMessage="1" sqref="D3:E3" xr:uid="{00000000-0002-0000-0100-000003000000}">
      <formula1>AuxType1</formula1>
    </dataValidation>
    <dataValidation type="list" allowBlank="1" showInputMessage="1" showErrorMessage="1" sqref="D4" xr:uid="{00000000-0002-0000-0100-000004000000}">
      <formula1>INDIRECT($D$3)</formula1>
    </dataValidation>
    <dataValidation type="list" allowBlank="1" showInputMessage="1" showErrorMessage="1" sqref="E4" xr:uid="{00000000-0002-0000-0100-000005000000}">
      <formula1>INDIRECT($E$3)</formula1>
    </dataValidation>
    <dataValidation type="list" allowBlank="1" showInputMessage="1" showErrorMessage="1" sqref="H4" xr:uid="{32A48C3C-3109-48A6-A71F-905250704725}">
      <formula1>INDIRECT($H$3)</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99CB6-E9C8-4F87-B561-F527593614BE}">
  <dimension ref="A1:Z70"/>
  <sheetViews>
    <sheetView topLeftCell="F1" workbookViewId="0">
      <selection activeCell="M16" sqref="M16"/>
    </sheetView>
  </sheetViews>
  <sheetFormatPr defaultRowHeight="14.4" x14ac:dyDescent="0.3"/>
  <cols>
    <col min="1" max="1" width="5.77734375" customWidth="1"/>
    <col min="2" max="2" width="11.77734375" customWidth="1"/>
    <col min="4" max="8" width="12.77734375" customWidth="1"/>
    <col min="10" max="10" width="10.77734375" customWidth="1"/>
    <col min="11" max="11" width="10" bestFit="1" customWidth="1"/>
    <col min="12" max="13" width="8.88671875" customWidth="1"/>
    <col min="15" max="15" width="8.88671875" customWidth="1"/>
  </cols>
  <sheetData>
    <row r="1" spans="1:26" x14ac:dyDescent="0.3">
      <c r="A1" s="19"/>
      <c r="B1" s="19"/>
      <c r="C1" s="19"/>
      <c r="D1" s="19"/>
      <c r="E1" s="19"/>
      <c r="F1" s="19"/>
      <c r="G1" s="19"/>
      <c r="H1" s="19"/>
      <c r="I1" s="19"/>
      <c r="J1" s="19"/>
      <c r="K1" s="19"/>
      <c r="L1" s="19"/>
      <c r="M1" s="19"/>
      <c r="N1" s="19"/>
      <c r="O1" s="19"/>
      <c r="P1" s="19"/>
      <c r="Q1" s="19"/>
      <c r="R1" s="19"/>
      <c r="S1" s="19"/>
      <c r="T1" s="19"/>
      <c r="U1" s="19"/>
      <c r="V1" s="19"/>
      <c r="W1" s="19"/>
      <c r="X1" s="19"/>
      <c r="Y1" s="19"/>
      <c r="Z1" s="19"/>
    </row>
    <row r="2" spans="1:26" x14ac:dyDescent="0.3">
      <c r="A2" s="19"/>
      <c r="B2" s="14" t="s">
        <v>689</v>
      </c>
      <c r="C2" t="s">
        <v>1</v>
      </c>
      <c r="D2" t="s">
        <v>2</v>
      </c>
      <c r="E2" t="s">
        <v>3</v>
      </c>
      <c r="F2" t="s">
        <v>69</v>
      </c>
      <c r="G2" t="s">
        <v>70</v>
      </c>
      <c r="H2" t="s">
        <v>71</v>
      </c>
      <c r="J2" t="s">
        <v>269</v>
      </c>
      <c r="N2" t="s">
        <v>69</v>
      </c>
      <c r="O2" t="s">
        <v>70</v>
      </c>
      <c r="P2" t="s">
        <v>70</v>
      </c>
      <c r="R2" s="4"/>
      <c r="S2" s="4"/>
      <c r="T2" s="4"/>
      <c r="U2" s="4"/>
      <c r="V2" s="4"/>
      <c r="W2" s="4"/>
      <c r="X2" s="4"/>
      <c r="Y2" s="4"/>
      <c r="Z2" s="4"/>
    </row>
    <row r="3" spans="1:26" x14ac:dyDescent="0.3">
      <c r="A3" s="19"/>
      <c r="B3" t="s">
        <v>198</v>
      </c>
      <c r="C3" s="16" t="str">
        <f>IFERROR(INDEX(SType[],MATCH(C4,SType[Ship],0),COLUMN(SType[Type])),0)</f>
        <v>Battleship</v>
      </c>
      <c r="D3" t="s">
        <v>302</v>
      </c>
      <c r="E3" t="s">
        <v>301</v>
      </c>
      <c r="F3" t="s">
        <v>189</v>
      </c>
      <c r="G3" t="s">
        <v>740</v>
      </c>
      <c r="H3" t="s">
        <v>189</v>
      </c>
      <c r="J3" t="s">
        <v>151</v>
      </c>
      <c r="K3" t="s">
        <v>268</v>
      </c>
      <c r="M3" t="s">
        <v>1020</v>
      </c>
      <c r="N3">
        <f>IFERROR(INDEX(IF(F3="TB",TorpedoDamage[],BombDamage[]),MATCH(F4,IF(F3="TB",TorpedoDamage[Name],BombDamage[Name]),0),COLUMN(IF(F3="TB",TorpedoDamage[Light],BombDamage[Light]))),0)</f>
        <v>0</v>
      </c>
      <c r="O3">
        <f>IFERROR(INDEX(IF(G3="TB",TorpedoDamage[],BombDamage[]),MATCH(G4,IF(G3="TB",TorpedoDamage[Name],BombDamage[Name]),0),COLUMN(IF(G3="TB",TorpedoDamage[Light],BombDamage[Light]))),0)</f>
        <v>288</v>
      </c>
      <c r="P3">
        <f>IFERROR(INDEX(IF(H3="TB",TorpedoDamage[],BombDamage[]),MATCH(H4,IF(H3="TB",TorpedoDamage[Name],BombDamage[Name]),0),COLUMN(IF(H3="TB",TorpedoDamage[Light],BombDamage[Light]))),0)</f>
        <v>0</v>
      </c>
      <c r="R3" t="str">
        <f>B2</f>
        <v>Ise Kai</v>
      </c>
      <c r="T3" t="s">
        <v>25</v>
      </c>
      <c r="V3" t="s">
        <v>26</v>
      </c>
      <c r="X3" t="s">
        <v>1049</v>
      </c>
      <c r="Z3" t="s">
        <v>1050</v>
      </c>
    </row>
    <row r="4" spans="1:26" x14ac:dyDescent="0.3">
      <c r="A4" s="19"/>
      <c r="B4" t="s">
        <v>199</v>
      </c>
      <c r="C4" s="16" t="str">
        <f>IFERROR(INDEX(Base[],MATCH(B2,Base[Name],0),COLUMN(Base[Type])),0)</f>
        <v>BB</v>
      </c>
      <c r="D4" t="s">
        <v>290</v>
      </c>
      <c r="E4" t="s">
        <v>290</v>
      </c>
      <c r="F4" t="s">
        <v>971</v>
      </c>
      <c r="G4" t="s">
        <v>1044</v>
      </c>
      <c r="H4" t="s">
        <v>136</v>
      </c>
      <c r="J4" t="s">
        <v>150</v>
      </c>
      <c r="K4" t="str">
        <f ca="1">IFERROR(INDEX(INDIRECT(F3&amp;"Table"),MATCH(F4,INDIRECT(F3&amp;"Table"&amp;"[Name]"),0),COLUMN(INDIRECT(F3&amp;"Table"&amp;"[Ammo]"))),0)</f>
        <v>HE</v>
      </c>
      <c r="M4" t="s">
        <v>1021</v>
      </c>
      <c r="N4">
        <f>IFERROR(INDEX(IF(F3="TB",TorpedoDamage[],BombDamage[]),MATCH(F4,IF(F3="TB",TorpedoDamage[Name],BombDamage[Name]),0),COLUMN(IF(F3="TB",TorpedoDamage[Medium],BombDamage[Medium]))),0)</f>
        <v>0</v>
      </c>
      <c r="O4">
        <f>IFERROR(INDEX(IF(G3="TB",TorpedoDamage[],BombDamage[]),MATCH(G4,IF(G3="TB",TorpedoDamage[Name],BombDamage[Name]),0),COLUMN(IF(G3="TB",TorpedoDamage[Medium],BombDamage[Medium]))),0)</f>
        <v>324</v>
      </c>
      <c r="P4">
        <f>IFERROR(INDEX(IF(H3="TB",TorpedoDamage[],BombDamage[]),MATCH(H4,IF(H3="TB",TorpedoDamage[Name],BombDamage[Name]),0),COLUMN(IF(H3="TB",TorpedoDamage[Medium],BombDamage[Medium]))),0)</f>
        <v>0</v>
      </c>
      <c r="S4" t="s">
        <v>8</v>
      </c>
      <c r="T4">
        <f ca="1">SUM(Q28:U28)+SUM(Q34:W34)+SUM(Q43:W43)+SUM(Q44:W44)+Q31</f>
        <v>910.55371225286638</v>
      </c>
      <c r="V4">
        <f ca="1">(SUM(Q28:U28)+SUM(Q34:W34))*H30+SUM(Q43:W43)+Q44+Q31</f>
        <v>843.33852077156064</v>
      </c>
      <c r="X4">
        <f ca="1">S28</f>
        <v>177.13682876607371</v>
      </c>
      <c r="Z4">
        <f ca="1">Q28+$Q$31</f>
        <v>733.4168834867927</v>
      </c>
    </row>
    <row r="5" spans="1:26" x14ac:dyDescent="0.3">
      <c r="A5" s="19"/>
      <c r="B5" t="s">
        <v>150</v>
      </c>
      <c r="F5" t="str">
        <f ca="1">IFERROR(INDEX(INDIRECT(C3&amp;"Table"),MATCH(B2,INDIRECT(C3&amp;"Table"&amp;"[Name]"),0),COLUMN(INDIRECT(C3&amp;"Table"&amp;"["&amp;B5&amp;"1"&amp;"]"))),0)</f>
        <v>N/A</v>
      </c>
      <c r="G5" t="str">
        <f ca="1">IFERROR(INDEX(INDIRECT(C3&amp;"Table"),MATCH(B2,INDIRECT(C3&amp;"Table"&amp;"[Name]"),0),COLUMN(INDIRECT(C3&amp;"Table"&amp;"["&amp;B5&amp;"2"&amp;"]"))),0)</f>
        <v>B</v>
      </c>
      <c r="H5" t="str">
        <f ca="1">IFERROR(INDEX(INDIRECT(C3&amp;"Table"),MATCH(B2,INDIRECT(C3&amp;"Table"&amp;"[Name]"),0),COLUMN(INDIRECT(C3&amp;"Table"&amp;"["&amp;B5&amp;"3"&amp;"]"))),0)</f>
        <v>N/A</v>
      </c>
      <c r="J5" t="s">
        <v>8</v>
      </c>
      <c r="K5">
        <f ca="1">IF(B2="Kawakaze",1.15,IF(B2="Massachusetts",0.6,IFERROR(INDEX(INDIRECT(F3&amp;"Coef"),MATCH(K4,INDIRECT(F3&amp;"Coef"&amp;"[Ammo]"),0),COLUMN(INDIRECT(F3&amp;"Coef"&amp;"["&amp;J5&amp;"]"))),0)))</f>
        <v>1.4</v>
      </c>
      <c r="M5" t="s">
        <v>1022</v>
      </c>
      <c r="N5">
        <f>IFERROR(INDEX(IF(F3="TB",TorpedoDamage[],BombDamage[]),MATCH(F4,IF(F3="TB",TorpedoDamage[Name],BombDamage[Name]),0),COLUMN(IF(F3="TB",TorpedoDamage[Medium],BombDamage[Medium]))),0)</f>
        <v>0</v>
      </c>
      <c r="O5">
        <f>IFERROR(INDEX(IF(G3="TB",TorpedoDamage[],BombDamage[]),MATCH(G4,IF(G3="TB",TorpedoDamage[Name],BombDamage[Name]),0),COLUMN(IF(G3="TB",TorpedoDamage[Heavy],BombDamage[Heavy]))),0)</f>
        <v>396.00000000000006</v>
      </c>
      <c r="P5">
        <f>IFERROR(INDEX(IF(H3="TB",TorpedoDamage[],BombDamage[]),MATCH(H4,IF(H3="TB",TorpedoDamage[Name],BombDamage[Name]),0),COLUMN(IF(H3="TB",TorpedoDamage[Heavy],BombDamage[Heavy]))),0)</f>
        <v>0</v>
      </c>
      <c r="S5" t="s">
        <v>10</v>
      </c>
      <c r="T5">
        <f ca="1">SUM(Q29:U29)+SUM(Q35:W35)+SUM(Q43:W43)+SUM(Q44:W44)+Q31</f>
        <v>826.62115455284356</v>
      </c>
      <c r="V5">
        <f ca="1">(SUM(Q29:U29)+SUM(Q35:W35))*H30+SUM(Q43:W43)+Q44+Q31</f>
        <v>767.7992188415401</v>
      </c>
      <c r="X5">
        <f ca="1">S29</f>
        <v>199.27893236183291</v>
      </c>
      <c r="Z5">
        <f ca="1">Q29+$Q$31</f>
        <v>627.34222219101071</v>
      </c>
    </row>
    <row r="6" spans="1:26" x14ac:dyDescent="0.3">
      <c r="A6" s="19"/>
      <c r="B6" t="s">
        <v>103</v>
      </c>
      <c r="C6">
        <v>0</v>
      </c>
      <c r="D6">
        <v>0</v>
      </c>
      <c r="E6">
        <v>0</v>
      </c>
      <c r="F6">
        <f ca="1">IFERROR(INDEX(INDIRECT(C3&amp;"Table"),MATCH(B2,INDIRECT(C3&amp;"Table"&amp;"[Name]"),0),COLUMN(INDIRECT(C3&amp;"Table"&amp;"["&amp;"Plane1"&amp;"]"))),0)</f>
        <v>0</v>
      </c>
      <c r="G6">
        <f ca="1">IFERROR(INDEX(INDIRECT(C3&amp;"Table"),MATCH(B2,INDIRECT(C3&amp;"Table"&amp;"[Name]"),0),COLUMN(INDIRECT(C3&amp;"Table"&amp;"["&amp;"Plane2"&amp;"]"))),0)</f>
        <v>3</v>
      </c>
      <c r="H6">
        <f ca="1">IFERROR(INDEX(INDIRECT(C3&amp;"Table"),MATCH(B2,INDIRECT(C3&amp;"Table"&amp;"[Name]"),0),COLUMN(INDIRECT(C3&amp;"Table"&amp;"["&amp;"Plane3"&amp;"]"))),0)*IF(H5="N/A",0)</f>
        <v>0</v>
      </c>
      <c r="J6" t="s">
        <v>10</v>
      </c>
      <c r="K6">
        <f ca="1">IF(B2="Kawakaze",1.15,IF(B2="Massachusetts",1.35,IFERROR(INDEX(INDIRECT(F3&amp;"Coef"),MATCH(K4,INDIRECT(F3&amp;"Coef"&amp;"[Ammo]"),0),COLUMN(INDIRECT(F3&amp;"Coef"&amp;"["&amp;J6&amp;"]"))),0)))</f>
        <v>1.1000000000000001</v>
      </c>
      <c r="M6" t="s">
        <v>1081</v>
      </c>
      <c r="N6">
        <f ca="1">F6*4</f>
        <v>0</v>
      </c>
      <c r="O6">
        <f ca="1">G6*4</f>
        <v>12</v>
      </c>
      <c r="P6">
        <f ca="1">H6*4</f>
        <v>0</v>
      </c>
      <c r="S6" t="s">
        <v>12</v>
      </c>
      <c r="T6">
        <f ca="1">SUM(Q30:U30)+SUM(Q36:W36)+SUM(Q43:W43)+SUM(Q44:W44)+Q31</f>
        <v>800.18892088050711</v>
      </c>
      <c r="V6">
        <f ca="1">(SUM(Q30:U30)+SUM(Q36:W36))*H30+SUM(Q43:W43)+Q44+Q31</f>
        <v>744.0102085364374</v>
      </c>
      <c r="X6">
        <f ca="1">S30</f>
        <v>243.56313955335133</v>
      </c>
      <c r="Z6">
        <f ca="1">Q30+$Q$31</f>
        <v>556.62578132715578</v>
      </c>
    </row>
    <row r="7" spans="1:26" x14ac:dyDescent="0.3">
      <c r="A7" s="19"/>
      <c r="B7" t="s">
        <v>7</v>
      </c>
      <c r="C7">
        <f ca="1">IFERROR(INDEX(INDIRECT(C3&amp;"Table"),MATCH(B2,INDIRECT(C3&amp;"Table"&amp;"[Name]"),0),COLUMN(INDIRECT(C3&amp;"Table"&amp;"["&amp;B7&amp;"]"))),0)</f>
        <v>7243</v>
      </c>
      <c r="D7">
        <f ca="1">IFERROR(INDEX(INDIRECT(D3&amp;"Table"),MATCH(D4,INDIRECT(D3&amp;"Table"&amp;"[Name]"),0),COLUMN(INDIRECT(D3&amp;"Table"&amp;"["&amp;B7&amp;"]"))),0)</f>
        <v>75</v>
      </c>
      <c r="E7">
        <f ca="1">IFERROR(INDEX(INDIRECT(E3&amp;"Table"),MATCH(E4,INDIRECT(E3&amp;"Table"&amp;"[Name]"),0),COLUMN(INDIRECT(E3&amp;"Table"&amp;"["&amp;B7&amp;"]"))),0)</f>
        <v>75</v>
      </c>
      <c r="F7">
        <f ca="1">IFERROR(INDEX(INDIRECT(F3&amp;"Table"),MATCH(F4,INDIRECT(F3&amp;"Table"&amp;"[Name]"),0),COLUMN(INDIRECT(F3&amp;"Table"&amp;"["&amp;B7&amp;"]"))),0)</f>
        <v>0</v>
      </c>
      <c r="G7">
        <f ca="1">IFERROR(INDEX(INDIRECT(G3&amp;"Table"),MATCH(G4,INDIRECT(G3&amp;"Table"&amp;"[Name]"),0),COLUMN(INDIRECT(G3&amp;"Table"&amp;"["&amp;B7&amp;"]"))),0)</f>
        <v>0</v>
      </c>
      <c r="H7">
        <f ca="1">IFERROR(INDEX(INDIRECT(H3&amp;"Table"),MATCH(H4,INDIRECT(H3&amp;"Table"&amp;"[Name]"),0),COLUMN(INDIRECT(H3&amp;"Table"&amp;"["&amp;B7&amp;"]"))),0)*IF(H5="N/A",0)</f>
        <v>0</v>
      </c>
      <c r="J7" t="s">
        <v>12</v>
      </c>
      <c r="K7">
        <f ca="1">IF(B2="Kawakaze",1.15,IF(B2="Massachusetts",1.15,IFERROR(INDEX(INDIRECT(F3&amp;"Coef"),MATCH(K4,INDIRECT(F3&amp;"Coef"&amp;"[Ammo]"),0),COLUMN(INDIRECT(F3&amp;"Coef"&amp;"["&amp;J7&amp;"]"))),0)))</f>
        <v>0.9</v>
      </c>
    </row>
    <row r="8" spans="1:26" x14ac:dyDescent="0.3">
      <c r="A8" s="19"/>
      <c r="B8" t="s">
        <v>293</v>
      </c>
      <c r="C8">
        <f ca="1">IFERROR(INDEX(INDIRECT(C3&amp;"Table"),MATCH(B2,INDIRECT(C3&amp;"Table"&amp;"[Name]"),0),COLUMN(INDIRECT(C3&amp;"Table"&amp;"["&amp;B8&amp;"]"))),0)</f>
        <v>275</v>
      </c>
      <c r="D8">
        <f ca="1">IFERROR(INDEX(INDIRECT(D3&amp;"Table"),MATCH(D4,INDIRECT(D3&amp;"Table"&amp;"[Name]"),0),COLUMN(INDIRECT(D3&amp;"Table"&amp;"["&amp;B8&amp;"]"))),0)</f>
        <v>100</v>
      </c>
      <c r="E8">
        <f ca="1">IFERROR(INDEX(INDIRECT(E3&amp;"Table"),MATCH(E4,INDIRECT(E3&amp;"Table"&amp;"[Name]"),0),COLUMN(INDIRECT(E3&amp;"Table"&amp;"["&amp;B8&amp;"]"))),0)</f>
        <v>100</v>
      </c>
      <c r="F8">
        <f ca="1">IFERROR(INDEX(INDIRECT(F3&amp;"Table"),MATCH(F4,INDIRECT(F3&amp;"Table"&amp;"[Name]"),0),COLUMN(INDIRECT(F3&amp;"Table"&amp;"["&amp;B8&amp;"]"))),0)</f>
        <v>0</v>
      </c>
      <c r="G8">
        <f ca="1">IFERROR(INDEX(INDIRECT(G3&amp;"Table"),MATCH(G4,INDIRECT(G3&amp;"Table"&amp;"[Name]"),0),COLUMN(INDIRECT(G3&amp;"Table"&amp;"["&amp;B8&amp;"]"))),0)</f>
        <v>25</v>
      </c>
      <c r="H8">
        <f ca="1">IFERROR(INDEX(INDIRECT(H3&amp;"Table"),MATCH(H4,INDIRECT(H3&amp;"Table"&amp;"[Name]"),0),COLUMN(INDIRECT(H3&amp;"Table"&amp;"["&amp;B8&amp;"]"))),0)*IF(H5="N/A",0)</f>
        <v>0</v>
      </c>
      <c r="R8" t="s">
        <v>30</v>
      </c>
      <c r="T8">
        <f ca="1">H28</f>
        <v>73930</v>
      </c>
      <c r="V8" t="s">
        <v>1079</v>
      </c>
      <c r="W8">
        <f ca="1">G18</f>
        <v>120</v>
      </c>
    </row>
    <row r="9" spans="1:26" x14ac:dyDescent="0.3">
      <c r="A9" s="19"/>
      <c r="B9" t="s">
        <v>9</v>
      </c>
      <c r="C9">
        <f ca="1">IFERROR(INDEX(INDIRECT(C3&amp;"Table"),MATCH(B2,INDIRECT(C3&amp;"Table"&amp;"[Name]"),0),COLUMN(INDIRECT(C3&amp;"Table"&amp;"["&amp;B9&amp;"]"))),0)</f>
        <v>389</v>
      </c>
      <c r="D9">
        <f ca="1">IFERROR(INDEX(INDIRECT(D3&amp;"Table"),MATCH(D4,INDIRECT(D3&amp;"Table"&amp;"[Name]"),0),COLUMN(INDIRECT(D3&amp;"Table"&amp;"["&amp;B9&amp;"]"))),0)</f>
        <v>0</v>
      </c>
      <c r="E9">
        <f ca="1">IFERROR(INDEX(INDIRECT(E3&amp;"Table"),MATCH(E4,INDIRECT(E3&amp;"Table"&amp;"[Name]"),0),COLUMN(INDIRECT(E3&amp;"Table"&amp;"["&amp;B9&amp;"]"))),0)</f>
        <v>0</v>
      </c>
      <c r="F9">
        <f ca="1">IFERROR(INDEX(INDIRECT(F3&amp;"Table"),MATCH(F4,INDIRECT(F3&amp;"Table"&amp;"[Name]"),0),COLUMN(INDIRECT(F3&amp;"Table"&amp;"["&amp;B9&amp;"]"))),0)</f>
        <v>25</v>
      </c>
      <c r="G9">
        <f ca="1">IFERROR(INDEX(INDIRECT(G3&amp;"Table"),MATCH(G4,INDIRECT(G3&amp;"Table"&amp;"[Name]"),0),COLUMN(INDIRECT(G3&amp;"Table"&amp;"["&amp;B9&amp;"]"))),0)</f>
        <v>0</v>
      </c>
      <c r="H9">
        <f ca="1">IFERROR(INDEX(INDIRECT(H3&amp;"Table"),MATCH(H4,INDIRECT(H3&amp;"Table"&amp;"[Name]"),0),COLUMN(INDIRECT(H3&amp;"Table"&amp;"["&amp;B9&amp;"]"))),0)*IF(H5="N/A",0)</f>
        <v>0</v>
      </c>
      <c r="J9" t="s">
        <v>760</v>
      </c>
      <c r="N9" s="18" t="s">
        <v>19</v>
      </c>
      <c r="O9">
        <v>2</v>
      </c>
      <c r="R9" t="s">
        <v>1047</v>
      </c>
      <c r="T9">
        <f ca="1">L12</f>
        <v>28.635802617667565</v>
      </c>
      <c r="V9" t="s">
        <v>1048</v>
      </c>
      <c r="W9">
        <f ca="1">L13</f>
        <v>18.588103351522889</v>
      </c>
    </row>
    <row r="10" spans="1:26" x14ac:dyDescent="0.3">
      <c r="A10" s="19"/>
      <c r="B10" t="s">
        <v>53</v>
      </c>
      <c r="C10">
        <f ca="1">IFERROR(INDEX(INDIRECT(C3&amp;"Table"),MATCH(B2,INDIRECT(C3&amp;"Table"&amp;"[Name]"),0),COLUMN(INDIRECT(C3&amp;"Table"&amp;"["&amp;"EFF"&amp;"]"))),0)</f>
        <v>1.8</v>
      </c>
      <c r="D10">
        <v>0</v>
      </c>
      <c r="E10">
        <v>0</v>
      </c>
      <c r="F10">
        <f ca="1">IFERROR(INDEX(INDIRECT(F3&amp;"Table"),MATCH(F4,INDIRECT(F3&amp;"Table"&amp;"[Name]"),0),COLUMN(INDIRECT(F3&amp;"Table"&amp;"["&amp;B10&amp;"]"))),0)</f>
        <v>1.1000000000000001</v>
      </c>
      <c r="G10">
        <f ca="1">IFERROR(INDEX(INDIRECT(C3&amp;"Table"),MATCH(B2,INDIRECT(C3&amp;"Table"&amp;"[Name]"),0),COLUMN(INDIRECT(C3&amp;"Table"&amp;"["&amp;"SECEFF"&amp;"]"))),0)</f>
        <v>1.8</v>
      </c>
      <c r="H10">
        <f ca="1">IFERROR(INDEX(INDIRECT(C3&amp;"Table"),MATCH(B2,INDIRECT(C3&amp;"Table"&amp;"[Name]"),0),COLUMN(INDIRECT(C3&amp;"Table"&amp;"["&amp;"TRIEFF"&amp;"]"))),0)*IF(H5="N/A",0)</f>
        <v>0</v>
      </c>
      <c r="J10" s="18" t="s">
        <v>1068</v>
      </c>
      <c r="K10">
        <v>0.1</v>
      </c>
      <c r="N10" s="18" t="s">
        <v>5</v>
      </c>
      <c r="O10" s="18"/>
      <c r="P10">
        <v>0</v>
      </c>
      <c r="R10" s="5"/>
      <c r="S10" s="5"/>
      <c r="T10" s="5"/>
      <c r="U10" s="5"/>
      <c r="V10" s="5"/>
      <c r="W10" s="5"/>
      <c r="X10" s="4"/>
      <c r="Y10" s="4"/>
      <c r="Z10" s="4"/>
    </row>
    <row r="11" spans="1:26" x14ac:dyDescent="0.3">
      <c r="A11" s="19"/>
      <c r="B11" t="s">
        <v>14</v>
      </c>
      <c r="C11">
        <f ca="1">IFERROR(INDEX(INDIRECT(C3&amp;"Table"),MATCH(B2,INDIRECT(C3&amp;"Table"&amp;"[Name]"),0),COLUMN(INDIRECT(C3&amp;"Table"&amp;"["&amp;B11&amp;"]"))),0)</f>
        <v>132</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IFERROR(INDEX(INDIRECT(H3&amp;"Table"),MATCH(H4,INDIRECT(H3&amp;"Table"&amp;"[Name]"),0),COLUMN(INDIRECT(H3&amp;"Table"&amp;"["&amp;B11&amp;"]"))),0)*IF(H5="N/A",0)</f>
        <v>0</v>
      </c>
      <c r="J11" s="18" t="s">
        <v>65</v>
      </c>
      <c r="K11" s="23"/>
      <c r="L11" s="1">
        <v>0</v>
      </c>
      <c r="N11" s="18" t="s">
        <v>57</v>
      </c>
      <c r="O11" s="18"/>
      <c r="P11">
        <v>0</v>
      </c>
    </row>
    <row r="12" spans="1:26" x14ac:dyDescent="0.3">
      <c r="A12" s="19"/>
      <c r="B12" t="s">
        <v>294</v>
      </c>
      <c r="C12">
        <f ca="1">IFERROR(INDEX(INDIRECT(C3&amp;"Table"),MATCH(B2,INDIRECT(C3&amp;"Table"&amp;"[Name]"),0),COLUMN(INDIRECT(C3&amp;"Table"&amp;"["&amp;B12&amp;"]"))),0)</f>
        <v>31</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IFERROR(INDEX(INDIRECT(H3&amp;"Table"),MATCH(H4,INDIRECT(H3&amp;"Table"&amp;"[Name]"),0),COLUMN(INDIRECT(H3&amp;"Table"&amp;"["&amp;B12&amp;"]"))),0)*IF(H5="N/A",0)</f>
        <v>0</v>
      </c>
      <c r="J12" t="s">
        <v>1045</v>
      </c>
      <c r="L12">
        <f ca="1">SQRT(200/(100+SUM(C11:H11)*(1+L11)))*2.2*(((F6*F17)+(G6*G17)+(H6*H17))/(SUM(C6:H6)))+K10</f>
        <v>28.635802617667565</v>
      </c>
      <c r="N12" s="18" t="s">
        <v>58</v>
      </c>
      <c r="O12" s="18"/>
      <c r="P12">
        <v>0</v>
      </c>
    </row>
    <row r="13" spans="1:26" x14ac:dyDescent="0.3">
      <c r="A13" s="19"/>
      <c r="B13" s="32" t="s">
        <v>17</v>
      </c>
      <c r="C13">
        <f ca="1">IFERROR(INDEX(INDIRECT(C3&amp;"Table"),MATCH(B2,INDIRECT(C3&amp;"Table"&amp;"[Name]"),0),COLUMN(INDIRECT(C3&amp;"Table"&amp;"["&amp;B13&amp;"]"))),0)</f>
        <v>60</v>
      </c>
      <c r="D13">
        <f ca="1">IFERROR(INDEX(INDIRECT(D3&amp;"Table"),MATCH(D4,INDIRECT(D3&amp;"Table"&amp;"[Name]"),0),COLUMN(INDIRECT(D3&amp;"Table"&amp;"["&amp;B13&amp;"]"))),0)</f>
        <v>0</v>
      </c>
      <c r="E13">
        <f ca="1">IFERROR(INDEX(INDIRECT(E3&amp;"Table"),MATCH(E4,INDIRECT(E3&amp;"Table"&amp;"[Name]"),0),COLUMN(INDIRECT(E3&amp;"Table"&amp;"["&amp;B13&amp;"]"))),0)</f>
        <v>0</v>
      </c>
      <c r="F13">
        <f ca="1">IFERROR(INDEX(INDIRECT(F3&amp;"Table"),MATCH(F4,INDIRECT(F3&amp;"Table"&amp;"[Name]"),0),COLUMN(INDIRECT(F3&amp;"Table"&amp;"["&amp;B13&amp;"]"))),0)</f>
        <v>0</v>
      </c>
      <c r="G13">
        <f ca="1">IFERROR(INDEX(INDIRECT(G3&amp;"Table"),MATCH(G4,INDIRECT(G3&amp;"Table"&amp;"[Name]"),0),COLUMN(INDIRECT(G3&amp;"Table"&amp;"["&amp;B13&amp;"]"))),0)</f>
        <v>0</v>
      </c>
      <c r="H13">
        <f ca="1">IFERROR(INDEX(INDIRECT(H3&amp;"Table"),MATCH(H4,INDIRECT(H3&amp;"Table"&amp;"[Name]"),0),COLUMN(INDIRECT(H3&amp;"Table"&amp;"["&amp;B13&amp;"]"))),0)*IF(H5="N/A",0)</f>
        <v>0</v>
      </c>
      <c r="J13" t="s">
        <v>1046</v>
      </c>
      <c r="L13">
        <f ca="1">SQRT(200/(100+SUM(C11:H11)*(1+L11)))*F17</f>
        <v>18.588103351522889</v>
      </c>
    </row>
    <row r="14" spans="1:26" x14ac:dyDescent="0.3">
      <c r="A14" s="19"/>
      <c r="B14" s="32" t="s">
        <v>6</v>
      </c>
      <c r="C14">
        <f ca="1">IFERROR(INDEX(INDIRECT(C3&amp;"Table"),MATCH(B2,INDIRECT(C3&amp;"Table"&amp;"[Name]"),0),COLUMN(INDIRECT(C3&amp;"Table"&amp;"["&amp;B14&amp;"]"))),0)</f>
        <v>72</v>
      </c>
      <c r="D14">
        <f ca="1">IFERROR(INDEX(INDIRECT(D3&amp;"Table"),MATCH(D4,INDIRECT(D3&amp;"Table"&amp;"[Name]"),0),COLUMN(INDIRECT(D3&amp;"Table"&amp;"["&amp;B14&amp;"]"))),0)</f>
        <v>0</v>
      </c>
      <c r="E14">
        <f ca="1">IFERROR(INDEX(INDIRECT(E3&amp;"Table"),MATCH(E4,INDIRECT(E3&amp;"Table"&amp;"[Name]"),0),COLUMN(INDIRECT(E3&amp;"Table"&amp;"["&amp;B14&amp;"]"))),0)</f>
        <v>0</v>
      </c>
      <c r="F14">
        <f ca="1">IFERROR(INDEX(INDIRECT(F3&amp;"Table"),MATCH(F4,INDIRECT(F3&amp;"Table"&amp;"[Name]"),0),COLUMN(INDIRECT(F3&amp;"Table"&amp;"["&amp;B14&amp;"]"))),0)</f>
        <v>0</v>
      </c>
      <c r="G14">
        <f ca="1">IFERROR(INDEX(INDIRECT(G3&amp;"Table"),MATCH(G4,INDIRECT(G3&amp;"Table"&amp;"[Name]"),0),COLUMN(INDIRECT(G3&amp;"Table"&amp;"["&amp;B14&amp;"]"))),0)</f>
        <v>0</v>
      </c>
      <c r="H14">
        <f ca="1">IFERROR(INDEX(INDIRECT(H3&amp;"Table"),MATCH(H4,INDIRECT(H3&amp;"Table"&amp;"[Name]"),0),COLUMN(INDIRECT(H3&amp;"Table"&amp;"["&amp;B14&amp;"]"))),0)*IF(H5="N/A",0)</f>
        <v>0</v>
      </c>
      <c r="J14" s="18" t="s">
        <v>1067</v>
      </c>
      <c r="K14" s="18"/>
      <c r="L14" s="1">
        <v>0</v>
      </c>
      <c r="N14" s="18" t="s">
        <v>1056</v>
      </c>
      <c r="O14" s="18"/>
      <c r="P14" s="6">
        <v>1</v>
      </c>
    </row>
    <row r="15" spans="1:26" x14ac:dyDescent="0.3">
      <c r="A15" s="19"/>
      <c r="B15" t="s">
        <v>52</v>
      </c>
      <c r="C15">
        <v>0</v>
      </c>
      <c r="D15">
        <v>0</v>
      </c>
      <c r="E15">
        <v>0</v>
      </c>
      <c r="F15">
        <f ca="1">IFERROR(INDEX(INDIRECT(F3&amp;"Table"),MATCH(F4,INDIRECT(F3&amp;"Table"&amp;"[Name]"),0),COLUMN(INDIRECT(F3&amp;"Table"&amp;"["&amp;B15&amp;"]"))),0)</f>
        <v>154</v>
      </c>
      <c r="G15">
        <f ca="1">IFERROR(INDEX(INDIRECT(G3&amp;"Table"),MATCH(G4,INDIRECT(G3&amp;"Table"&amp;"[Name]"),0),COLUMN(INDIRECT(G3&amp;"Table"&amp;"["&amp;B15&amp;"]"))),0)</f>
        <v>0</v>
      </c>
      <c r="H15">
        <f ca="1">IFERROR(INDEX(INDIRECT(H3&amp;"Table"),MATCH(H4,INDIRECT(H3&amp;"Table"&amp;"[Name]"),0),COLUMN(INDIRECT(H3&amp;"Table"&amp;"["&amp;B15&amp;"]"))),0)*IF(H5="N/A",0)</f>
        <v>0</v>
      </c>
      <c r="J15" s="18" t="s">
        <v>60</v>
      </c>
      <c r="K15" s="19"/>
      <c r="L15" s="1">
        <v>0.5</v>
      </c>
      <c r="N15" s="18" t="s">
        <v>1064</v>
      </c>
      <c r="O15" s="18"/>
      <c r="P15" s="6">
        <v>1</v>
      </c>
    </row>
    <row r="16" spans="1:26" x14ac:dyDescent="0.3">
      <c r="A16" s="19"/>
      <c r="B16" t="s">
        <v>757</v>
      </c>
      <c r="C16">
        <v>0</v>
      </c>
      <c r="D16">
        <v>0</v>
      </c>
      <c r="E16">
        <v>0</v>
      </c>
      <c r="F16">
        <f ca="1">IFERROR(INDEX(INDIRECT(F3&amp;"Table"),MATCH(F4,INDIRECT(F3&amp;"Table"&amp;"[Name]"),0),COLUMN(INDIRECT(F3&amp;"Table"&amp;"["&amp;B16&amp;"]"))),0)</f>
        <v>2</v>
      </c>
      <c r="G16">
        <f ca="1">IFERROR(INDEX(INDIRECT(G3&amp;"Table"),MATCH(G4,INDIRECT(G3&amp;"Table"&amp;"[Name]"),0),COLUMN(INDIRECT(G3&amp;"Table"&amp;"["&amp;B16&amp;"]"))),0)</f>
        <v>0</v>
      </c>
      <c r="H16">
        <f ca="1">IFERROR(INDEX(INDIRECT(H3&amp;"Table"),MATCH(H4,INDIRECT(H3&amp;"Table"&amp;"[Name]"),0),COLUMN(INDIRECT(H3&amp;"Table"&amp;"["&amp;B16&amp;"]"))),0)*IF(H5="N/A",0)</f>
        <v>0</v>
      </c>
      <c r="J16" t="s">
        <v>13</v>
      </c>
      <c r="L16" s="1">
        <f ca="1">1+(0.05+(SUM(C14:H14)/(SUM(C14:H14)+2000))+(SUM(C13:H13)/5000)+L14)*L15</f>
        <v>1.0483745173745174</v>
      </c>
      <c r="N16" s="18" t="s">
        <v>1063</v>
      </c>
      <c r="O16" s="18"/>
      <c r="P16" s="6">
        <v>1</v>
      </c>
    </row>
    <row r="17" spans="1:22" x14ac:dyDescent="0.3">
      <c r="A17" s="19"/>
      <c r="B17" t="s">
        <v>266</v>
      </c>
      <c r="C17">
        <v>0</v>
      </c>
      <c r="D17">
        <v>0</v>
      </c>
      <c r="E17">
        <v>0</v>
      </c>
      <c r="F17">
        <f ca="1">IFERROR(INDEX(INDIRECT(F3&amp;"Table"),MATCH(F4,INDIRECT(F3&amp;"Table"&amp;"[Name]"),0),COLUMN(INDIRECT(F3&amp;"Table"&amp;"["&amp;B17&amp;"]"))),0)</f>
        <v>20.02</v>
      </c>
      <c r="G17">
        <f ca="1">IFERROR(INDEX(INDIRECT(G3&amp;"Table"),MATCH(G4,INDIRECT(G3&amp;"Table"&amp;"[Name]"),0),COLUMN(INDIRECT(G3&amp;"Table"&amp;"["&amp;B17&amp;"]"))),0)</f>
        <v>13.97</v>
      </c>
      <c r="H17">
        <f ca="1">IFERROR(INDEX(INDIRECT(H3&amp;"Table"),MATCH(H4,INDIRECT(H3&amp;"Table"&amp;"[Name]"),0),COLUMN(INDIRECT(H3&amp;"Table"&amp;"["&amp;B17&amp;"]"))),0)*IF(H5="N/A",0)</f>
        <v>0</v>
      </c>
    </row>
    <row r="18" spans="1:22" x14ac:dyDescent="0.3">
      <c r="A18" s="19"/>
      <c r="B18" t="s">
        <v>1034</v>
      </c>
      <c r="C18">
        <f ca="1">SUM(C8:H8)*P15</f>
        <v>500</v>
      </c>
      <c r="D18" t="s">
        <v>23</v>
      </c>
      <c r="E18">
        <f ca="1">SUM(C9:H9)*P14</f>
        <v>414</v>
      </c>
      <c r="F18" t="s">
        <v>1082</v>
      </c>
      <c r="G18">
        <f ca="1">FLOOR(2*C18*SUM(N6:P6)/100,1)</f>
        <v>120</v>
      </c>
      <c r="J18" s="18" t="s">
        <v>15</v>
      </c>
      <c r="K18">
        <v>0.6</v>
      </c>
      <c r="N18" s="18" t="s">
        <v>143</v>
      </c>
      <c r="O18" s="19"/>
      <c r="P18">
        <v>0</v>
      </c>
      <c r="R18" s="18" t="s">
        <v>1078</v>
      </c>
      <c r="S18" s="1">
        <v>0.08</v>
      </c>
      <c r="U18" s="15" t="s">
        <v>1080</v>
      </c>
      <c r="V18">
        <f ca="1">IF(AND(F3="BB",K4="AP"),(1-(1-S19)^(F16*O9))*(S18),0)+1</f>
        <v>1</v>
      </c>
    </row>
    <row r="19" spans="1:22" x14ac:dyDescent="0.3">
      <c r="A19" s="19"/>
      <c r="J19" s="18" t="s">
        <v>55</v>
      </c>
      <c r="K19" s="1">
        <f ca="1">IF(OR(K4="Normal", K4="Magnetic",K4="AP"), 0,IFERROR(INDEX(BurnT[],MATCH(F3,BurnT[Type],0),COLUMN(BurnT[Burn])),0))</f>
        <v>0.5</v>
      </c>
      <c r="N19" t="s">
        <v>1035</v>
      </c>
      <c r="P19">
        <v>0</v>
      </c>
      <c r="R19" s="18" t="s">
        <v>1076</v>
      </c>
      <c r="S19" s="1">
        <v>0.2</v>
      </c>
    </row>
    <row r="20" spans="1:22" x14ac:dyDescent="0.3">
      <c r="A20" s="19"/>
    </row>
    <row r="21" spans="1:22" x14ac:dyDescent="0.3">
      <c r="A21" s="19"/>
      <c r="B21" s="18" t="s">
        <v>1023</v>
      </c>
      <c r="C21" s="22" t="s">
        <v>52</v>
      </c>
      <c r="D21" s="18" t="s">
        <v>757</v>
      </c>
      <c r="E21" s="18" t="s">
        <v>8</v>
      </c>
      <c r="F21" s="18" t="s">
        <v>10</v>
      </c>
      <c r="G21" s="18" t="s">
        <v>12</v>
      </c>
      <c r="H21" s="18" t="s">
        <v>55</v>
      </c>
      <c r="I21" s="18" t="s">
        <v>1035</v>
      </c>
      <c r="J21" s="18" t="s">
        <v>1036</v>
      </c>
      <c r="K21" s="21" t="s">
        <v>27</v>
      </c>
      <c r="L21" s="18" t="s">
        <v>59</v>
      </c>
      <c r="M21" s="18" t="s">
        <v>1058</v>
      </c>
      <c r="N21" s="18" t="s">
        <v>150</v>
      </c>
      <c r="Q21" t="s">
        <v>69</v>
      </c>
      <c r="S21" t="s">
        <v>70</v>
      </c>
      <c r="U21" t="s">
        <v>71</v>
      </c>
    </row>
    <row r="22" spans="1:22" x14ac:dyDescent="0.3">
      <c r="A22" s="19"/>
      <c r="B22">
        <v>0</v>
      </c>
      <c r="C22" s="2">
        <v>0</v>
      </c>
      <c r="D22">
        <v>0</v>
      </c>
      <c r="E22">
        <v>1.4</v>
      </c>
      <c r="F22">
        <v>0.9</v>
      </c>
      <c r="G22">
        <v>0.7</v>
      </c>
      <c r="H22" s="1">
        <v>0</v>
      </c>
      <c r="I22" s="1">
        <v>0</v>
      </c>
      <c r="J22" s="1">
        <v>0</v>
      </c>
      <c r="K22" s="1">
        <v>1</v>
      </c>
      <c r="L22">
        <v>0</v>
      </c>
      <c r="M22" s="1">
        <v>1</v>
      </c>
      <c r="N22" s="15" t="s">
        <v>293</v>
      </c>
      <c r="P22" t="s">
        <v>8</v>
      </c>
      <c r="Q22">
        <f ca="1">((100+$E$18)/100)*$L$16*$P$16*$O$9*$F$10*$F$15*$F$16*$C$10*K5</f>
        <v>9201.3915800043251</v>
      </c>
      <c r="S22">
        <f ca="1">((100+C18*IF(G5="T",P15,0.8*P15))/100)*O3*L16*P16*G6*K5</f>
        <v>6340.5690810810811</v>
      </c>
      <c r="U22">
        <f ca="1">((100+C18*IF(H5="T",P15,0.8*P15))/100)*O3*L16*P16*H6*K5</f>
        <v>0</v>
      </c>
    </row>
    <row r="23" spans="1:22" x14ac:dyDescent="0.3">
      <c r="A23" s="19"/>
      <c r="B23">
        <v>0</v>
      </c>
      <c r="C23" s="2">
        <v>0</v>
      </c>
      <c r="D23">
        <v>0</v>
      </c>
      <c r="E23">
        <v>1.1000000000000001</v>
      </c>
      <c r="F23">
        <v>0.9</v>
      </c>
      <c r="G23">
        <v>0.6</v>
      </c>
      <c r="H23" s="1">
        <v>0</v>
      </c>
      <c r="I23" s="1">
        <v>0</v>
      </c>
      <c r="J23" s="1">
        <v>0</v>
      </c>
      <c r="K23" s="1">
        <v>1</v>
      </c>
      <c r="L23">
        <v>20</v>
      </c>
      <c r="M23" s="1">
        <v>1</v>
      </c>
      <c r="N23" s="15" t="s">
        <v>293</v>
      </c>
      <c r="P23" t="s">
        <v>10</v>
      </c>
      <c r="Q23">
        <f ca="1">((100+$E$18)/100)*$L$16*$P$16*$O$9*$F$10*$F$15*$F$16*$C$10*K6</f>
        <v>7229.664812860543</v>
      </c>
      <c r="S23">
        <f ca="1">((100+C18*IF(G5="T",P15,0.8*P15))/100)*O4*L16*P16*G6*K5</f>
        <v>7133.1402162162158</v>
      </c>
      <c r="U23">
        <f ca="1">((100+C18*IF(H5="T",P15,0.8*P15))/100)*O4*L16*P16*H6*K5</f>
        <v>0</v>
      </c>
    </row>
    <row r="24" spans="1:22" x14ac:dyDescent="0.3">
      <c r="A24" s="19"/>
      <c r="B24">
        <v>0</v>
      </c>
      <c r="C24" s="2">
        <v>0</v>
      </c>
      <c r="D24">
        <v>0</v>
      </c>
      <c r="E24">
        <v>0.8</v>
      </c>
      <c r="F24">
        <v>1</v>
      </c>
      <c r="G24">
        <v>1.3</v>
      </c>
      <c r="H24" s="1">
        <v>0</v>
      </c>
      <c r="I24" s="1">
        <v>0</v>
      </c>
      <c r="J24" s="1">
        <v>0</v>
      </c>
      <c r="K24" s="1">
        <v>1</v>
      </c>
      <c r="L24">
        <v>20</v>
      </c>
      <c r="M24" s="1">
        <v>1</v>
      </c>
      <c r="N24" s="15" t="s">
        <v>293</v>
      </c>
      <c r="P24" t="s">
        <v>12</v>
      </c>
      <c r="Q24">
        <f ca="1">((100+$E$18)/100)*$L$16*$P$16*$O$9*$F$10*$F$15*$F$16*$C$10*K7*V18</f>
        <v>5915.1803014313527</v>
      </c>
      <c r="S24">
        <f ca="1">((100+C18*IF(G5="T",P15,0.8*P15))/100)*O5*L16*P16*G6*K5</f>
        <v>8718.2824864864851</v>
      </c>
      <c r="U24">
        <f ca="1">((100+C18*IF(H5="T",P15,0.8*P15))/100)*O5*L16*P16*H6*K5</f>
        <v>0</v>
      </c>
    </row>
    <row r="25" spans="1:22" x14ac:dyDescent="0.3">
      <c r="A25" s="19"/>
      <c r="B25">
        <v>0</v>
      </c>
      <c r="C25" s="2">
        <v>0</v>
      </c>
      <c r="D25">
        <v>0</v>
      </c>
      <c r="E25">
        <v>0.8</v>
      </c>
      <c r="F25">
        <v>1</v>
      </c>
      <c r="G25">
        <v>1.3</v>
      </c>
      <c r="H25" s="1">
        <v>0</v>
      </c>
      <c r="I25" s="1">
        <v>0</v>
      </c>
      <c r="J25" s="1">
        <v>0</v>
      </c>
      <c r="K25" s="1">
        <v>1</v>
      </c>
      <c r="L25">
        <v>20</v>
      </c>
      <c r="M25" s="1">
        <v>1</v>
      </c>
      <c r="N25" s="15" t="s">
        <v>293</v>
      </c>
      <c r="P25" t="s">
        <v>1024</v>
      </c>
      <c r="Q25">
        <f ca="1">(((100+E18)/100)*C10*F10*F15*K18+5)*5*(1-(1-K19)^(F16*O9))</f>
        <v>4431.437249999999</v>
      </c>
      <c r="S25">
        <v>0</v>
      </c>
      <c r="U25">
        <v>0</v>
      </c>
    </row>
    <row r="26" spans="1:22" x14ac:dyDescent="0.3">
      <c r="A26" s="19"/>
    </row>
    <row r="27" spans="1:22" x14ac:dyDescent="0.3">
      <c r="A27" s="19"/>
      <c r="B27" s="18" t="s">
        <v>32</v>
      </c>
      <c r="C27" s="18"/>
      <c r="D27" s="1">
        <v>0</v>
      </c>
      <c r="F27" t="s">
        <v>31</v>
      </c>
      <c r="H27">
        <f ca="1">SUM(C7:H7)</f>
        <v>7393</v>
      </c>
      <c r="I27" s="1"/>
      <c r="J27" t="s">
        <v>37</v>
      </c>
      <c r="L27" s="3">
        <f ca="1">0.1+(P11/(P11+2+D28*SUM(C12:H12)))+((P10-SUM(C13:H13))/1000)-D27</f>
        <v>4.0000000000000008E-2</v>
      </c>
      <c r="Q27" t="s">
        <v>128</v>
      </c>
      <c r="S27" t="s">
        <v>129</v>
      </c>
      <c r="U27" t="s">
        <v>130</v>
      </c>
    </row>
    <row r="28" spans="1:22" x14ac:dyDescent="0.3">
      <c r="A28" s="19"/>
      <c r="B28" s="18" t="s">
        <v>34</v>
      </c>
      <c r="C28" s="18"/>
      <c r="D28" s="1">
        <v>1</v>
      </c>
      <c r="F28" t="s">
        <v>33</v>
      </c>
      <c r="H28">
        <f ca="1">H27/(L28*(1-D29))</f>
        <v>73930</v>
      </c>
      <c r="I28" s="1"/>
      <c r="J28" t="s">
        <v>50</v>
      </c>
      <c r="L28" s="1">
        <f ca="1">IF(L27&lt;=0.1, 0.1, IF(L27&gt;=0.9, 0.9, L27))</f>
        <v>0.1</v>
      </c>
      <c r="P28" t="s">
        <v>8</v>
      </c>
      <c r="Q28">
        <f ca="1">Q22*(IF(OR(F5="F",F5="B"),0.8,1))/L13</f>
        <v>495.01508604698347</v>
      </c>
      <c r="S28">
        <f ca="1">S22*(IF(OR(G5="F",G5="B"),0.8,1))/L12</f>
        <v>177.13682876607371</v>
      </c>
      <c r="U28">
        <f ca="1">U22*(IF(OR(H5="F",H5="B"),0.8,1))/L12</f>
        <v>0</v>
      </c>
    </row>
    <row r="29" spans="1:22" x14ac:dyDescent="0.3">
      <c r="A29" s="19"/>
      <c r="B29" s="18" t="s">
        <v>314</v>
      </c>
      <c r="C29" s="18"/>
      <c r="D29" s="1">
        <v>0</v>
      </c>
      <c r="F29" t="s">
        <v>36</v>
      </c>
      <c r="H29" s="1">
        <f ca="1">0.1+(SUM(C14:H14)/(SUM(C14:H14)+2+P12))-((SUM(C13:H13)-P10)/1000)</f>
        <v>1.0129729729729731</v>
      </c>
      <c r="P29" t="s">
        <v>10</v>
      </c>
      <c r="Q29">
        <f ca="1">Q23*(IF(OR(F5="F",F5="B"),0.8,1))/L13</f>
        <v>388.94042475120142</v>
      </c>
      <c r="S29">
        <f ca="1">S23*(IF(OR(G5="F",G5="B"),0.8,1))/L12</f>
        <v>199.27893236183291</v>
      </c>
      <c r="U29">
        <f ca="1">U23*(IF(OR(H5="F",H5="B"),0.8,1))/L12</f>
        <v>0</v>
      </c>
    </row>
    <row r="30" spans="1:22" x14ac:dyDescent="0.3">
      <c r="A30" s="19"/>
      <c r="F30" t="s">
        <v>51</v>
      </c>
      <c r="H30" s="1">
        <f ca="1">IF(H29&lt;=0.1, 0.1, IF(H29&gt;=0.9, 0.9, H29))</f>
        <v>0.9</v>
      </c>
      <c r="P30" t="s">
        <v>12</v>
      </c>
      <c r="Q30">
        <f ca="1">Q24*(IF(OR(F5="F",F5="B"),0.8,1))/L13</f>
        <v>318.22398388734655</v>
      </c>
      <c r="S30">
        <f ca="1">S24*(IF(OR(G5="F",G5="B"),0.8,1))/L12</f>
        <v>243.56313955335133</v>
      </c>
      <c r="U30">
        <f ca="1">U24*(IF(OR(H5="F",H5="B"),0.8,1))/L12</f>
        <v>0</v>
      </c>
    </row>
    <row r="31" spans="1:22" x14ac:dyDescent="0.3">
      <c r="A31" s="19"/>
      <c r="P31" t="s">
        <v>44</v>
      </c>
      <c r="Q31">
        <f ca="1">Q25/15*(MIN((15/(L13)),1))</f>
        <v>238.40179743980926</v>
      </c>
      <c r="S31">
        <v>0</v>
      </c>
      <c r="U31">
        <v>0</v>
      </c>
    </row>
    <row r="32" spans="1:22" x14ac:dyDescent="0.3">
      <c r="A32" s="19"/>
    </row>
    <row r="33" spans="1:23" x14ac:dyDescent="0.3">
      <c r="A33" s="19"/>
      <c r="B33" t="s">
        <v>28</v>
      </c>
      <c r="C33" t="s">
        <v>66</v>
      </c>
      <c r="P33" t="s">
        <v>1032</v>
      </c>
      <c r="Q33" t="s">
        <v>1037</v>
      </c>
      <c r="S33" t="s">
        <v>1038</v>
      </c>
      <c r="U33" t="s">
        <v>1039</v>
      </c>
      <c r="W33" t="s">
        <v>1040</v>
      </c>
    </row>
    <row r="34" spans="1:23" x14ac:dyDescent="0.3">
      <c r="A34" s="19"/>
      <c r="B34" t="s">
        <v>29</v>
      </c>
      <c r="C34" t="s">
        <v>67</v>
      </c>
      <c r="P34" t="s">
        <v>8</v>
      </c>
      <c r="Q34">
        <f ca="1">(B22*E22*((100+IF(N22="AirP",C18,E18)*M22)/100)/IF(L22=0,L12,L22)*L16*K22)*P16</f>
        <v>0</v>
      </c>
      <c r="S34">
        <f ca="1">(B23*E23*((100+IF(N23="AirP",C18,E18)*M23)/100)/IF(L23=0,L12,L23)*L16*K23)*P16</f>
        <v>0</v>
      </c>
      <c r="U34">
        <f ca="1">(B24*E24*((100+IF(N24="AirP",C18,E18)*M24)/100)/IF(L24=0,L12,L24)*L16*K24)*P16</f>
        <v>0</v>
      </c>
      <c r="W34">
        <f ca="1">(B25*E25*((100+IF(N25="AirP",C18,E18)*M25)/100)/IF(L25=0,L12,L25)*L16*K25)*P16</f>
        <v>0</v>
      </c>
    </row>
    <row r="35" spans="1:23" x14ac:dyDescent="0.3">
      <c r="A35" s="19"/>
      <c r="P35" t="s">
        <v>10</v>
      </c>
      <c r="Q35">
        <f ca="1">(B22*F22*((100+IF(N22="AirP",C18,E18)*M22)/100)/IF(L22=0,L12,L22)*L16*K22)*P16</f>
        <v>0</v>
      </c>
      <c r="S35">
        <f ca="1">(B23*F23*((100+IF(N23="AirP",C18,E18)*M23)/100)/IF(L23=0,L12,L23)*L16*K23)*P16</f>
        <v>0</v>
      </c>
      <c r="U35">
        <f ca="1">(B24*F24*((100+IF(N24="AirP",C18,E18)*M24)/100)/IF(L24=0,L12,L24)*L16*K24)*P16</f>
        <v>0</v>
      </c>
      <c r="W35">
        <f ca="1">(B25*F25*((100+IF(N25="AirP",C18,E18)*M25)/100)/IF(L25=0,L12,L25)*L16*K25)*P16</f>
        <v>0</v>
      </c>
    </row>
    <row r="36" spans="1:23" x14ac:dyDescent="0.3">
      <c r="A36" s="19"/>
      <c r="B36" t="s">
        <v>38</v>
      </c>
      <c r="C36" t="s">
        <v>39</v>
      </c>
      <c r="P36" t="s">
        <v>12</v>
      </c>
      <c r="Q36">
        <f ca="1">(B22*G22*((100+IF(N22="AirP",C18,E18)*M22)/100)/IF(L22=0,L12,L22)*L16*K22)*P16</f>
        <v>0</v>
      </c>
      <c r="S36">
        <f ca="1">(B23*G23*((100+IF(N23="AirP",C18,E18)*M23)/100)/IF(L23=0,L12,L23)*L16*K23)*P16</f>
        <v>0</v>
      </c>
      <c r="U36">
        <f ca="1">(B24*G24*((100+IF(N24="AirP",C18,E18)*M24)/100)/IF(L24=0,L12,L24)*L16*K24)*P16</f>
        <v>0</v>
      </c>
      <c r="W36">
        <f ca="1">(B25*G25*((100+IF(N25="AirP",C18,E18)*M25)/100)/IF(L25=0,L12,L25)*L16*K25)*P16</f>
        <v>0</v>
      </c>
    </row>
    <row r="37" spans="1:23" x14ac:dyDescent="0.3">
      <c r="A37" s="19"/>
      <c r="C37" t="s">
        <v>40</v>
      </c>
    </row>
    <row r="38" spans="1:23" x14ac:dyDescent="0.3">
      <c r="A38" s="19"/>
      <c r="C38" t="s">
        <v>41</v>
      </c>
      <c r="P38" t="s">
        <v>1042</v>
      </c>
      <c r="Q38" t="s">
        <v>1033</v>
      </c>
      <c r="S38" t="s">
        <v>1029</v>
      </c>
      <c r="U38" t="s">
        <v>1030</v>
      </c>
      <c r="W38" t="s">
        <v>1041</v>
      </c>
    </row>
    <row r="39" spans="1:23" x14ac:dyDescent="0.3">
      <c r="A39" s="19"/>
      <c r="P39" t="s">
        <v>15</v>
      </c>
      <c r="Q39">
        <f ca="1">(C22*K22*((100+M22*C18)/100)*K18+5)*(1-(1-H22)^(D22))*5</f>
        <v>0</v>
      </c>
      <c r="S39">
        <f ca="1">(C23*K23*((100+M23*C18)/100)*K18+5)*(1-(1-H23)^(D23))*5</f>
        <v>0</v>
      </c>
      <c r="U39">
        <f ca="1">(C24*K24*((100+M24*C18)/100)*K18+5)*(1-(1-H24)^(D24))*5</f>
        <v>0</v>
      </c>
      <c r="W39">
        <f ca="1">(C25*K25*((100+M25*C18)/100)*K18+5)*(1-(1-H22)^(D22))*5</f>
        <v>0</v>
      </c>
    </row>
    <row r="40" spans="1:23" x14ac:dyDescent="0.3">
      <c r="A40" s="19"/>
      <c r="B40" t="s">
        <v>42</v>
      </c>
      <c r="C40" t="s">
        <v>43</v>
      </c>
      <c r="P40" t="s">
        <v>145</v>
      </c>
      <c r="Q40">
        <f ca="1">I22*(C22*((100+C18*M22)/100)*J22+10)*8</f>
        <v>0</v>
      </c>
      <c r="S40">
        <f ca="1">I23*(C23*((100+C18*M23)/100)*J23+10)*8</f>
        <v>0</v>
      </c>
      <c r="U40">
        <f ca="1">I24*(C24*((100+C18*M24)/100)*J24+10)*8</f>
        <v>0</v>
      </c>
      <c r="W40">
        <f ca="1">I25*(C25*((100+C18*M25)/100)*J25+10)*8</f>
        <v>0</v>
      </c>
    </row>
    <row r="41" spans="1:23" x14ac:dyDescent="0.3">
      <c r="A41" s="19"/>
      <c r="C41" t="s">
        <v>45</v>
      </c>
    </row>
    <row r="42" spans="1:23" x14ac:dyDescent="0.3">
      <c r="A42" s="19"/>
      <c r="P42" t="s">
        <v>1042</v>
      </c>
      <c r="Q42" t="s">
        <v>1037</v>
      </c>
      <c r="S42" t="s">
        <v>1038</v>
      </c>
      <c r="U42" t="s">
        <v>1039</v>
      </c>
      <c r="W42" t="s">
        <v>1040</v>
      </c>
    </row>
    <row r="43" spans="1:23" x14ac:dyDescent="0.3">
      <c r="A43" s="19"/>
      <c r="B43" t="s">
        <v>46</v>
      </c>
      <c r="C43" t="s">
        <v>47</v>
      </c>
      <c r="P43" t="s">
        <v>44</v>
      </c>
      <c r="Q43">
        <f ca="1">Q39/15*(MIN((15/IF(L22=0,L12,L22)),1))</f>
        <v>0</v>
      </c>
      <c r="S43">
        <f ca="1">S39/15*(MIN((15/IF(L23=0,L12,L23)),1))</f>
        <v>0</v>
      </c>
      <c r="U43">
        <f ca="1">U39/15*(MIN((15/IF(L24=0,L12,L24)),1))</f>
        <v>0</v>
      </c>
      <c r="W43">
        <f ca="1">W39/15*(MIN((15/IF(L25=0,L12,L25)),1))</f>
        <v>0</v>
      </c>
    </row>
    <row r="44" spans="1:23" x14ac:dyDescent="0.3">
      <c r="A44" s="19"/>
      <c r="C44" t="s">
        <v>48</v>
      </c>
      <c r="P44" t="s">
        <v>147</v>
      </c>
      <c r="Q44">
        <f ca="1">Q40/15*(MIN((15/IF(L22=0,L12,L22)),1))</f>
        <v>0</v>
      </c>
      <c r="S44">
        <f ca="1">S40/15*(MIN((15/IF(L22=0,L12,L22)),1))</f>
        <v>0</v>
      </c>
      <c r="U44">
        <f ca="1">U40/15*(MIN((15/IF(L22=0,L12,L22)),1))</f>
        <v>0</v>
      </c>
      <c r="W44">
        <f ca="1">W40/15*(MIN((15/IF(L22=0,L12,L22)),1))</f>
        <v>0</v>
      </c>
    </row>
    <row r="45" spans="1:23" x14ac:dyDescent="0.3">
      <c r="A45" s="19"/>
    </row>
    <row r="46" spans="1:23" x14ac:dyDescent="0.3">
      <c r="A46" s="19"/>
    </row>
    <row r="47" spans="1:23" x14ac:dyDescent="0.3">
      <c r="A47" s="19"/>
    </row>
    <row r="48" spans="1:23" x14ac:dyDescent="0.3">
      <c r="A48" s="19"/>
    </row>
    <row r="49" spans="1:11" x14ac:dyDescent="0.3">
      <c r="A49" s="19"/>
    </row>
    <row r="50" spans="1:11" x14ac:dyDescent="0.3">
      <c r="A50" s="19"/>
    </row>
    <row r="51" spans="1:11" x14ac:dyDescent="0.3">
      <c r="A51" s="19"/>
    </row>
    <row r="52" spans="1:11" x14ac:dyDescent="0.3">
      <c r="A52" s="19"/>
    </row>
    <row r="53" spans="1:11" x14ac:dyDescent="0.3">
      <c r="A53" s="19"/>
      <c r="C53" s="6"/>
      <c r="D53" s="6"/>
      <c r="E53" s="6"/>
      <c r="F53" s="6"/>
      <c r="G53" s="6"/>
      <c r="K53" s="1"/>
    </row>
    <row r="54" spans="1:11" x14ac:dyDescent="0.3">
      <c r="A54" s="19"/>
      <c r="C54" s="6"/>
      <c r="D54" s="6"/>
      <c r="E54" s="6"/>
      <c r="F54" s="6"/>
      <c r="G54" s="6"/>
      <c r="K54" s="1"/>
    </row>
    <row r="55" spans="1:11" x14ac:dyDescent="0.3">
      <c r="A55" s="19"/>
      <c r="C55" s="6"/>
      <c r="D55" s="6"/>
      <c r="E55" s="6"/>
      <c r="F55" s="6"/>
      <c r="G55" s="6"/>
      <c r="K55" s="1"/>
    </row>
    <row r="56" spans="1:11" x14ac:dyDescent="0.3">
      <c r="A56" s="19"/>
    </row>
    <row r="57" spans="1:11" x14ac:dyDescent="0.3">
      <c r="A57" s="19"/>
    </row>
    <row r="58" spans="1:11" x14ac:dyDescent="0.3">
      <c r="A58" s="19"/>
    </row>
    <row r="59" spans="1:11" x14ac:dyDescent="0.3">
      <c r="A59" s="19"/>
    </row>
    <row r="60" spans="1:11" x14ac:dyDescent="0.3">
      <c r="A60" s="19"/>
    </row>
    <row r="61" spans="1:11" x14ac:dyDescent="0.3">
      <c r="A61" s="19"/>
    </row>
    <row r="62" spans="1:11" x14ac:dyDescent="0.3">
      <c r="A62" s="19"/>
    </row>
    <row r="63" spans="1:11" x14ac:dyDescent="0.3">
      <c r="A63" s="19"/>
    </row>
    <row r="64" spans="1:11" x14ac:dyDescent="0.3">
      <c r="A64" s="19"/>
    </row>
    <row r="65" spans="1:1" x14ac:dyDescent="0.3">
      <c r="A65" s="19"/>
    </row>
    <row r="66" spans="1:1" x14ac:dyDescent="0.3">
      <c r="A66" s="19"/>
    </row>
    <row r="67" spans="1:1" x14ac:dyDescent="0.3">
      <c r="A67" s="19"/>
    </row>
    <row r="68" spans="1:1" x14ac:dyDescent="0.3">
      <c r="A68" s="19"/>
    </row>
    <row r="69" spans="1:1" x14ac:dyDescent="0.3">
      <c r="A69" s="19"/>
    </row>
    <row r="70" spans="1:1" x14ac:dyDescent="0.3">
      <c r="A70" s="19"/>
    </row>
  </sheetData>
  <dataValidations count="7">
    <dataValidation type="list" allowBlank="1" showInputMessage="1" showErrorMessage="1" sqref="H4" xr:uid="{4EFAC6A5-5E97-406F-A558-A94BE36AA5A3}">
      <formula1>INDIRECT($H$3)</formula1>
    </dataValidation>
    <dataValidation type="list" allowBlank="1" showInputMessage="1" showErrorMessage="1" sqref="E4" xr:uid="{39BC5C92-BDE8-4533-92FA-FF3B991880F6}">
      <formula1>INDIRECT($E$3)</formula1>
    </dataValidation>
    <dataValidation type="list" allowBlank="1" showInputMessage="1" showErrorMessage="1" sqref="D4" xr:uid="{2A9ED676-FB96-4FF9-8C04-64F571CF0AF7}">
      <formula1>INDIRECT($D$3)</formula1>
    </dataValidation>
    <dataValidation type="list" allowBlank="1" showInputMessage="1" showErrorMessage="1" sqref="D3:E3" xr:uid="{F0EF57E5-842E-415F-9EDB-0EBB0B82ABE0}">
      <formula1>AuxType1</formula1>
    </dataValidation>
    <dataValidation type="list" allowBlank="1" showInputMessage="1" showErrorMessage="1" sqref="G4" xr:uid="{629F45CF-86D3-4976-9C9A-3166288E8247}">
      <formula1>INDIRECT($G$3)</formula1>
    </dataValidation>
    <dataValidation type="list" allowBlank="1" showInputMessage="1" showErrorMessage="1" sqref="F4" xr:uid="{B139B1FC-60EC-4229-BD61-8E8713B075BE}">
      <formula1>INDIRECT($F$3)</formula1>
    </dataValidation>
    <dataValidation type="list" allowBlank="1" showInputMessage="1" showErrorMessage="1" sqref="F3:H3" xr:uid="{FECF688D-83D7-4C47-949D-8D0DA37C9134}">
      <formula1>EquipmentType</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11CD5F9-A52B-42E9-869F-EAFE7424BB3A}">
          <x14:formula1>
            <xm:f>'Ship Stats'!$A$786:$A$788</xm:f>
          </x14:formula1>
          <xm:sqref>N22:N25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9296-A771-42B4-85F8-5882B7A9E256}">
  <dimension ref="A1:AC36"/>
  <sheetViews>
    <sheetView topLeftCell="B10" workbookViewId="0">
      <selection activeCell="L24" sqref="L24"/>
    </sheetView>
  </sheetViews>
  <sheetFormatPr defaultRowHeight="14.4" x14ac:dyDescent="0.3"/>
  <cols>
    <col min="6" max="8" width="10.77734375" customWidth="1"/>
  </cols>
  <sheetData>
    <row r="1" spans="1:29" x14ac:dyDescent="0.3">
      <c r="A1" s="19"/>
      <c r="B1" s="23"/>
      <c r="C1" s="23"/>
      <c r="D1" s="23"/>
      <c r="E1" s="23"/>
      <c r="F1" s="23"/>
      <c r="G1" s="23"/>
      <c r="H1" s="23"/>
      <c r="I1" s="19"/>
      <c r="J1" s="23"/>
      <c r="K1" s="23"/>
      <c r="L1" s="23"/>
      <c r="M1" s="23"/>
      <c r="N1" s="23"/>
      <c r="O1" s="23"/>
      <c r="P1" s="23"/>
      <c r="Q1" s="23"/>
      <c r="R1" s="23"/>
      <c r="S1" s="23"/>
      <c r="T1" s="23"/>
      <c r="U1" s="23"/>
      <c r="V1" s="23"/>
      <c r="W1" s="23"/>
      <c r="X1" s="23"/>
      <c r="Y1" s="23"/>
      <c r="Z1" s="23"/>
      <c r="AA1" s="23"/>
      <c r="AB1" s="23"/>
      <c r="AC1" s="23"/>
    </row>
    <row r="2" spans="1:29" x14ac:dyDescent="0.3">
      <c r="A2" s="19"/>
      <c r="B2" s="14" t="s">
        <v>665</v>
      </c>
      <c r="C2" t="s">
        <v>1</v>
      </c>
      <c r="D2" t="s">
        <v>2</v>
      </c>
      <c r="E2" t="s">
        <v>3</v>
      </c>
      <c r="F2" t="s">
        <v>54</v>
      </c>
      <c r="G2" t="s">
        <v>4</v>
      </c>
      <c r="H2" t="s">
        <v>1092</v>
      </c>
      <c r="J2" t="s">
        <v>269</v>
      </c>
      <c r="R2" s="4"/>
      <c r="S2" s="4"/>
      <c r="T2" s="4"/>
      <c r="U2" s="4"/>
      <c r="V2" s="4"/>
      <c r="W2" s="4"/>
      <c r="X2" s="4"/>
      <c r="Y2" s="4"/>
      <c r="Z2" s="4"/>
      <c r="AA2" s="4"/>
      <c r="AB2" s="4"/>
      <c r="AC2" s="4"/>
    </row>
    <row r="3" spans="1:29" x14ac:dyDescent="0.3">
      <c r="A3" s="19"/>
      <c r="B3" t="s">
        <v>198</v>
      </c>
      <c r="C3" s="16" t="str">
        <f>IFERROR(INDEX(SType[],MATCH(C4,SType[Ship],0),COLUMN(SType[Type])),0)</f>
        <v>Submarine</v>
      </c>
      <c r="D3" t="s">
        <v>302</v>
      </c>
      <c r="E3" t="s">
        <v>301</v>
      </c>
      <c r="F3" t="s">
        <v>188</v>
      </c>
      <c r="G3" t="s">
        <v>188</v>
      </c>
      <c r="H3" t="s">
        <v>157</v>
      </c>
      <c r="J3" t="s">
        <v>151</v>
      </c>
      <c r="K3" t="s">
        <v>268</v>
      </c>
      <c r="L3" t="s">
        <v>4</v>
      </c>
      <c r="M3" t="s">
        <v>1092</v>
      </c>
      <c r="O3" t="s">
        <v>1077</v>
      </c>
      <c r="P3" s="1">
        <f>IF(H4="2x410mm Gold", 1.2, 0.6)</f>
        <v>0.6</v>
      </c>
      <c r="R3" t="str">
        <f>B2</f>
        <v>I-19</v>
      </c>
      <c r="T3" t="s">
        <v>1121</v>
      </c>
      <c r="V3" t="s">
        <v>1123</v>
      </c>
      <c r="X3" t="s">
        <v>1124</v>
      </c>
      <c r="Z3" t="s">
        <v>1027</v>
      </c>
    </row>
    <row r="4" spans="1:29" x14ac:dyDescent="0.3">
      <c r="A4" s="19"/>
      <c r="B4" t="s">
        <v>199</v>
      </c>
      <c r="C4" s="16" t="str">
        <f>IFERROR(INDEX(Base[],MATCH(B2,Base[Name],0),COLUMN(Base[Type])),0)</f>
        <v>SS</v>
      </c>
      <c r="D4" t="s">
        <v>1112</v>
      </c>
      <c r="E4" t="s">
        <v>304</v>
      </c>
      <c r="F4" t="s">
        <v>1106</v>
      </c>
      <c r="G4" t="s">
        <v>1106</v>
      </c>
      <c r="H4" t="s">
        <v>737</v>
      </c>
      <c r="J4" t="s">
        <v>150</v>
      </c>
      <c r="K4" t="str">
        <f ca="1">IFERROR(INDEX(INDIRECT(F3&amp;"Table"),MATCH(F4,INDIRECT(F3&amp;"Table"&amp;"[Name]"),0),COLUMN(INDIRECT(F3&amp;"Table"&amp;"[Ammo]"))),0)</f>
        <v>Normal</v>
      </c>
      <c r="L4" t="str">
        <f ca="1">IFERROR(INDEX(INDIRECT(G3&amp;"Table"),MATCH(G4,INDIRECT(G3&amp;"Table"&amp;"[Name]"),0),COLUMN(INDIRECT(G3&amp;"Table"&amp;"[Ammo]"))),0)</f>
        <v>Normal</v>
      </c>
      <c r="M4" t="str">
        <f ca="1">IFERROR(INDEX(INDIRECT(H3&amp;"Table"),MATCH(H4,INDIRECT(H3&amp;"Table"&amp;"[Name]"),0),COLUMN(INDIRECT(H3&amp;"Table"&amp;"[Ammo]"))),0)</f>
        <v>HE</v>
      </c>
      <c r="O4" t="s">
        <v>55</v>
      </c>
      <c r="P4" s="1">
        <f ca="1">IF(OR(M4="Normal", M4="Magnetic",M4="AP"), 0,IFERROR(INDEX(BurnT[],MATCH(H3,BurnT[Type],0),COLUMN(BurnT[Burn])),0))</f>
        <v>0.01</v>
      </c>
      <c r="S4" t="s">
        <v>8</v>
      </c>
      <c r="T4">
        <f ca="1">X23*$H$31+Z4</f>
        <v>45363.646338226783</v>
      </c>
      <c r="V4">
        <f ca="1">X23/P7</f>
        <v>1278.5521076440984</v>
      </c>
      <c r="X4">
        <f ca="1">V4*0.9</f>
        <v>1150.6968968796887</v>
      </c>
      <c r="Z4">
        <f ca="1">SUM(O29:U29)*$H$31</f>
        <v>5664.6033958775188</v>
      </c>
    </row>
    <row r="5" spans="1:29" x14ac:dyDescent="0.3">
      <c r="A5" s="19"/>
      <c r="B5" t="s">
        <v>1114</v>
      </c>
      <c r="C5">
        <f ca="1">IFERROR(INDEX(INDIRECT(C3&amp;"Table"),MATCH(B2,INDIRECT(C3&amp;"Table"&amp;"[Name]"),0),COLUMN(INDIRECT(C3&amp;"Table"&amp;"["&amp;B5&amp;"]"))),0)</f>
        <v>200</v>
      </c>
      <c r="D5">
        <f ca="1">IFERROR(INDEX(INDIRECT(D3&amp;"Table"),MATCH(D4,INDIRECT(D3&amp;"Table"&amp;"[Name]"),0),COLUMN(INDIRECT(D3&amp;"Table"&amp;"["&amp;B5&amp;"]"))),0)</f>
        <v>85</v>
      </c>
      <c r="E5">
        <f ca="1">IFERROR(INDEX(INDIRECT(E3&amp;"Table"),MATCH(E4,INDIRECT(E3&amp;"Table"&amp;"[Name]"),0),COLUMN(INDIRECT(E3&amp;"Table"&amp;"["&amp;B5&amp;"]"))),0)</f>
        <v>0</v>
      </c>
      <c r="F5">
        <f ca="1">IFERROR(INDEX(INDIRECT(F3&amp;"Table"),MATCH(F4,INDIRECT(F3&amp;"Table"&amp;"[Name]"),0),COLUMN(INDIRECT(F3&amp;"Table"&amp;"["&amp;B5&amp;"]"))),0)</f>
        <v>0</v>
      </c>
      <c r="G5">
        <f ca="1">IFERROR(INDEX(INDIRECT(G3&amp;"Table"),MATCH(G4,INDIRECT(G3&amp;"Table"&amp;"[Name]"),0),COLUMN(INDIRECT(G3&amp;"Table"&amp;"["&amp;B5&amp;"]"))),0)</f>
        <v>0</v>
      </c>
      <c r="H5">
        <f ca="1">IFERROR(INDEX(INDIRECT(G3&amp;"Table"),MATCH(G4,INDIRECT(G3&amp;"Table"&amp;"[Name]"),0),COLUMN(INDIRECT(G3&amp;"Table"&amp;"["&amp;B5&amp;"]"))),0)</f>
        <v>0</v>
      </c>
      <c r="J5" t="s">
        <v>8</v>
      </c>
      <c r="K5">
        <f ca="1">IFERROR(INDEX(INDIRECT(F3&amp;"Coef"),MATCH(K4,INDIRECT(F3&amp;"Coef"&amp;"[Ammo]"),0),COLUMN(INDIRECT(F3&amp;"Coef"&amp;"["&amp;J5&amp;"]"))),0)</f>
        <v>0.8</v>
      </c>
      <c r="L5">
        <f ca="1">IFERROR(INDEX(INDIRECT(G3&amp;"Coef"),MATCH(L4,INDIRECT(G3&amp;"Coef"&amp;"[Ammo]"),0),COLUMN(INDIRECT(G3&amp;"Coef"&amp;"["&amp;J5&amp;"]"))),0)</f>
        <v>0.8</v>
      </c>
      <c r="M5">
        <f ca="1">IFERROR(INDEX(INDIRECT(H3&amp;"Coef"),MATCH(M4,INDIRECT(H3&amp;"Coef"&amp;"[Ammo]"),0),COLUMN(INDIRECT(H3&amp;"Coef"&amp;"["&amp;J5&amp;"]"))),0)</f>
        <v>1.2</v>
      </c>
      <c r="O5" t="s">
        <v>1111</v>
      </c>
      <c r="P5">
        <v>6</v>
      </c>
      <c r="S5" t="s">
        <v>10</v>
      </c>
      <c r="T5">
        <f ca="1">X24*$H$31+Z5</f>
        <v>56333.222333900703</v>
      </c>
      <c r="V5">
        <f ca="1">X24/P7</f>
        <v>1586.2308563302354</v>
      </c>
      <c r="X5">
        <f t="shared" ref="X5:X6" ca="1" si="0">V5*0.9</f>
        <v>1427.6077706972119</v>
      </c>
      <c r="Z5">
        <f t="shared" ref="Z5:Z6" ca="1" si="1">SUM(O30:U30)*$H$31</f>
        <v>7080.7542448468976</v>
      </c>
    </row>
    <row r="6" spans="1:29" x14ac:dyDescent="0.3">
      <c r="A6" s="19"/>
      <c r="B6" t="s">
        <v>7</v>
      </c>
      <c r="C6">
        <f ca="1">IFERROR(INDEX(INDIRECT(C3&amp;"Table"),MATCH(B2,INDIRECT(C3&amp;"Table"&amp;"[Name]"),0),COLUMN(INDIRECT(C3&amp;"Table"&amp;"["&amp;B6&amp;"]"))),0)</f>
        <v>2165</v>
      </c>
      <c r="D6">
        <f ca="1">IFERROR(INDEX(INDIRECT(D3&amp;"Table"),MATCH(D4,INDIRECT(D3&amp;"Table"&amp;"[Name]"),0),COLUMN(INDIRECT(D3&amp;"Table"&amp;"["&amp;B6&amp;"]"))),0)</f>
        <v>0</v>
      </c>
      <c r="E6">
        <f ca="1">IFERROR(INDEX(INDIRECT(E3&amp;"Table"),MATCH(E4,INDIRECT(E3&amp;"Table"&amp;"[Name]"),0),COLUMN(INDIRECT(E3&amp;"Table"&amp;"["&amp;B6&amp;"]"))),0)</f>
        <v>0</v>
      </c>
      <c r="F6">
        <f ca="1">IFERROR(INDEX(INDIRECT(F3&amp;"Table"),MATCH(F4,INDIRECT(F3&amp;"Table"&amp;"[Name]"),0),COLUMN(INDIRECT(F3&amp;"Table"&amp;"["&amp;B6&amp;"]"))),0)</f>
        <v>0</v>
      </c>
      <c r="G6">
        <f ca="1">IFERROR(INDEX(INDIRECT(G3&amp;"Table"),MATCH(G4,INDIRECT(G3&amp;"Table"&amp;"[Name]"),0),COLUMN(INDIRECT(G3&amp;"Table"&amp;"["&amp;B6&amp;"]"))),0)</f>
        <v>0</v>
      </c>
      <c r="H6">
        <f ca="1">IFERROR(INDEX(INDIRECT(G3&amp;"Table"),MATCH(G4,INDIRECT(G3&amp;"Table"&amp;"[Name]"),0),COLUMN(INDIRECT(G3&amp;"Table"&amp;"["&amp;B6&amp;"]"))),0)</f>
        <v>0</v>
      </c>
      <c r="J6" t="s">
        <v>10</v>
      </c>
      <c r="K6">
        <f ca="1">IFERROR(INDEX(INDIRECT(F3&amp;"Coef"),MATCH(K4,INDIRECT(F3&amp;"Coef"&amp;"[Ammo]"),0),COLUMN(INDIRECT(F3&amp;"Coef"&amp;"["&amp;J6&amp;"]"))),0)</f>
        <v>1</v>
      </c>
      <c r="L6">
        <f ca="1">IFERROR(INDEX(INDIRECT(G3&amp;"Coef"),MATCH(L4,INDIRECT(G3&amp;"Coef"&amp;"[Ammo]"),0),COLUMN(INDIRECT(G3&amp;"Coef"&amp;"["&amp;J6&amp;"]"))),0)</f>
        <v>1</v>
      </c>
      <c r="M6">
        <f ca="1">IFERROR(INDEX(INDIRECT(H3&amp;"Coef"),MATCH(M4,INDIRECT(H3&amp;"Coef"&amp;"[Ammo]"),0),COLUMN(INDIRECT(H3&amp;"Coef"&amp;"["&amp;J6&amp;"]"))),0)</f>
        <v>0.6</v>
      </c>
      <c r="O6" t="s">
        <v>1116</v>
      </c>
      <c r="P6">
        <f ca="1">G20/10</f>
        <v>28.5</v>
      </c>
      <c r="S6" t="s">
        <v>12</v>
      </c>
      <c r="T6">
        <f ca="1">X25*$H$31+Z6</f>
        <v>73158.921916294377</v>
      </c>
      <c r="V6">
        <f ca="1">X25/P7</f>
        <v>2059.7082575843287</v>
      </c>
      <c r="X6">
        <f t="shared" ca="1" si="0"/>
        <v>1853.737431825896</v>
      </c>
      <c r="Z6">
        <f t="shared" ca="1" si="1"/>
        <v>9204.9805183009685</v>
      </c>
    </row>
    <row r="7" spans="1:29" x14ac:dyDescent="0.3">
      <c r="A7" s="19"/>
      <c r="B7" t="s">
        <v>9</v>
      </c>
      <c r="C7">
        <f ca="1">IFERROR(INDEX(INDIRECT(C3&amp;"Table"),MATCH(B2,INDIRECT(C3&amp;"Table"&amp;"[Name]"),0),COLUMN(INDIRECT(C3&amp;"Table"&amp;"["&amp;B7&amp;"]"))),0)</f>
        <v>59</v>
      </c>
      <c r="D7">
        <f ca="1">IFERROR(INDEX(INDIRECT(D3&amp;"Table"),MATCH(D4,INDIRECT(D3&amp;"Table"&amp;"[Name]"),0),COLUMN(INDIRECT(D3&amp;"Table"&amp;"["&amp;B7&amp;"]"))),0)</f>
        <v>0</v>
      </c>
      <c r="E7">
        <f ca="1">IFERROR(INDEX(INDIRECT(E3&amp;"Table"),MATCH(E4,INDIRECT(E3&amp;"Table"&amp;"[Name]"),0),COLUMN(INDIRECT(E3&amp;"Table"&amp;"["&amp;B7&amp;"]"))),0)</f>
        <v>0</v>
      </c>
      <c r="F7">
        <f ca="1">IFERROR(INDEX(INDIRECT(F3&amp;"Table"),MATCH(F4,INDIRECT(F3&amp;"Table"&amp;"[Name]"),0),COLUMN(INDIRECT(F3&amp;"Table"&amp;"["&amp;B7&amp;"]"))),0)</f>
        <v>0</v>
      </c>
      <c r="G7" s="11">
        <f ca="1">IFERROR(INDEX(INDIRECT(G3&amp;"Table"),MATCH(G4,INDIRECT(G3&amp;"Table"&amp;"[Name]"),0),COLUMN(INDIRECT(G3&amp;"Table"&amp;"["&amp;B7&amp;"]"))),0)</f>
        <v>0</v>
      </c>
      <c r="H7">
        <f ca="1">IFERROR(INDEX(INDIRECT(H3&amp;"Table"),MATCH(H4,INDIRECT(H3&amp;"Table"&amp;"[Name]"),0),COLUMN(INDIRECT(H3&amp;"Table"&amp;"["&amp;B7&amp;"]"))),0)</f>
        <v>20</v>
      </c>
      <c r="J7" t="s">
        <v>12</v>
      </c>
      <c r="K7">
        <f ca="1">IFERROR(INDEX(INDIRECT(F3&amp;"Coef"),MATCH(K4,INDIRECT(F3&amp;"Coef"&amp;"[Ammo]"),0),COLUMN(INDIRECT(F3&amp;"Coef"&amp;"["&amp;J7&amp;"]"))),0)</f>
        <v>1.3</v>
      </c>
      <c r="L7">
        <f ca="1">IFERROR(INDEX(INDIRECT(G3&amp;"Coef"),MATCH(L4,INDIRECT(G3&amp;"Coef"&amp;"[Ammo]"),0),COLUMN(INDIRECT(G3&amp;"Coef"&amp;"["&amp;J7&amp;"]"))),0)</f>
        <v>1.3</v>
      </c>
      <c r="M7">
        <f ca="1">IFERROR(INDEX(INDIRECT(H3&amp;"Coef"),MATCH(M4,INDIRECT(H3&amp;"Coef"&amp;"[Ammo]"),0),COLUMN(INDIRECT(H3&amp;"Coef"&amp;"["&amp;J7&amp;"]"))),0)</f>
        <v>0.6</v>
      </c>
      <c r="O7" t="s">
        <v>1117</v>
      </c>
      <c r="P7">
        <f ca="1">P5+P6</f>
        <v>34.5</v>
      </c>
    </row>
    <row r="8" spans="1:29" x14ac:dyDescent="0.3">
      <c r="A8" s="19"/>
      <c r="B8" t="s">
        <v>11</v>
      </c>
      <c r="C8">
        <f ca="1">IFERROR(INDEX(INDIRECT(C3&amp;"Table"),MATCH(B2,INDIRECT(C3&amp;"Table"&amp;"[Name]"),0),COLUMN(INDIRECT(C3&amp;"Table"&amp;"["&amp;B8&amp;"]"))),0)</f>
        <v>549</v>
      </c>
      <c r="D8">
        <f ca="1">IFERROR(INDEX(INDIRECT(D3&amp;"Table"),MATCH(D4,INDIRECT(D3&amp;"Table"&amp;"[Name]"),0),COLUMN(INDIRECT(D3&amp;"Table"&amp;"["&amp;B8&amp;"]"))),0)</f>
        <v>0</v>
      </c>
      <c r="E8">
        <f ca="1">IFERROR(INDEX(INDIRECT(E3&amp;"Table"),MATCH(E4,INDIRECT(E3&amp;"Table"&amp;"[Name]"),0),COLUMN(INDIRECT(E3&amp;"Table"&amp;"["&amp;B8&amp;"]"))),0)</f>
        <v>100</v>
      </c>
      <c r="F8">
        <f ca="1">IFERROR(INDEX(INDIRECT(F3&amp;"Table"),MATCH(F4,INDIRECT(F3&amp;"Table"&amp;"[Name]"),0),COLUMN(INDIRECT(F3&amp;"Table"&amp;"["&amp;B8&amp;"]"))),0)</f>
        <v>45</v>
      </c>
      <c r="G8">
        <f ca="1">IFERROR(INDEX(INDIRECT(G3&amp;"Table"),MATCH(G4,INDIRECT(G3&amp;"Table"&amp;"[Name]"),0),COLUMN(INDIRECT(G3&amp;"Table"&amp;"["&amp;B8&amp;"]"))),0)</f>
        <v>45</v>
      </c>
      <c r="H8">
        <f ca="1">IFERROR(INDEX(INDIRECT(H3&amp;"Table"),MATCH(H4,INDIRECT(H3&amp;"Table"&amp;"[Name]"),0),COLUMN(INDIRECT(H3&amp;"Table"&amp;"["&amp;B8&amp;"]"))),0)</f>
        <v>0</v>
      </c>
      <c r="J8" t="s">
        <v>1110</v>
      </c>
      <c r="K8">
        <f ca="1">FLOOR(P7/(P15*F19),1)*P13*F18+MIN(FLOOR((P7-(F19*P15)*FLOOR(P7/(P15*F19),1))/0.75+1,1),F18*P13)</f>
        <v>12</v>
      </c>
      <c r="L8">
        <f ca="1">FLOOR(P7/(P15*G19),1)*P13*G18+MIN(FLOOR((P7-(G19*P15)*FLOOR(P7/(P15*G19),1))/0.75+1,1),G18*P13)</f>
        <v>12</v>
      </c>
      <c r="M8">
        <v>0</v>
      </c>
      <c r="R8" t="s">
        <v>30</v>
      </c>
      <c r="T8" s="11">
        <f>I28</f>
        <v>0</v>
      </c>
    </row>
    <row r="9" spans="1:29" x14ac:dyDescent="0.3">
      <c r="A9" s="19"/>
      <c r="B9" t="s">
        <v>265</v>
      </c>
      <c r="C9">
        <f ca="1">IFERROR(INDEX(INDIRECT(C3&amp;"Table"),MATCH(B2,INDIRECT(C3&amp;"Table"&amp;"[Name]"),0),COLUMN(INDIRECT(C3&amp;"Table"&amp;"["&amp;B9&amp;"]"))),0)</f>
        <v>0</v>
      </c>
      <c r="D9">
        <f ca="1">IFERROR(INDEX(INDIRECT(D3&amp;"Table"),MATCH(D4,INDIRECT(D3&amp;"Table"&amp;"[Name]"),0),COLUMN(INDIRECT(D3&amp;"Table"&amp;"["&amp;B9&amp;"]"))),0)</f>
        <v>0</v>
      </c>
      <c r="E9">
        <f ca="1">IFERROR(INDEX(INDIRECT(E3&amp;"Table"),MATCH(E4,INDIRECT(E3&amp;"Table"&amp;"[Name]"),0),COLUMN(INDIRECT(E3&amp;"Table"&amp;"["&amp;B9&amp;"]"))),0)</f>
        <v>0</v>
      </c>
      <c r="F9">
        <f ca="1">IFERROR(INDEX(INDIRECT(F3&amp;"Table"),MATCH(F4,INDIRECT(F3&amp;"Table"&amp;"[Name]"),0),COLUMN(INDIRECT(F3&amp;"Table"&amp;"["&amp;B9&amp;"]"))),0)</f>
        <v>0</v>
      </c>
      <c r="G9">
        <f ca="1">IFERROR(INDEX(INDIRECT(G3&amp;"Table"),MATCH(G4,INDIRECT(G3&amp;"Table"&amp;"[Name]"),0),COLUMN(INDIRECT(G3&amp;"Table"&amp;"["&amp;B9&amp;"]"))),0)</f>
        <v>0</v>
      </c>
      <c r="H9">
        <f ca="1">IFERROR(INDEX(INDIRECT(H3&amp;"Table"),MATCH(H4,INDIRECT(H3&amp;"Table"&amp;"[Name]"),0),COLUMN(INDIRECT(H3&amp;"Table"&amp;"["&amp;B9&amp;"]"))),0)</f>
        <v>25</v>
      </c>
      <c r="J9" s="15" t="s">
        <v>1129</v>
      </c>
      <c r="K9" s="15"/>
      <c r="L9" s="1">
        <f ca="1">1+(0.05+((SUM(C16:H16)*S16)/(SUM(C16:H16)*S16+2000+P19))+((SUM(C15:H15)-P17)/5000)+P10)*(L15+P9+L16)</f>
        <v>1.0671298850574713</v>
      </c>
      <c r="N9" t="s">
        <v>315</v>
      </c>
      <c r="P9">
        <f ca="1">IFERROR(INDEX(INDIRECT(D3&amp;"Table"),MATCH(D4,INDIRECT(D3&amp;"Table"&amp;"[Name]"),0),COLUMN(INDIRECT(D3&amp;"Table"&amp;"[CritDamage]"))),0)+IFERROR(INDEX(INDIRECT(E3&amp;"Table"),MATCH(E4,INDIRECT(E3&amp;"Table"&amp;"[Name]"),0),COLUMN(INDIRECT(E3&amp;"Table"&amp;"[CritDamage]"))),0)</f>
        <v>0</v>
      </c>
      <c r="R9" t="s">
        <v>1071</v>
      </c>
      <c r="T9" s="1">
        <f>I30</f>
        <v>0</v>
      </c>
      <c r="V9" t="s">
        <v>1119</v>
      </c>
      <c r="X9">
        <f ca="1">F19*P15</f>
        <v>23.464714321334029</v>
      </c>
      <c r="Z9" t="str">
        <f>F4</f>
        <v>Mark 16 Torpedo</v>
      </c>
    </row>
    <row r="10" spans="1:29" x14ac:dyDescent="0.3">
      <c r="A10" s="19"/>
      <c r="B10" t="s">
        <v>14</v>
      </c>
      <c r="C10">
        <f ca="1">IFERROR(INDEX(INDIRECT(C3&amp;"Table"),MATCH(B2,INDIRECT(C3&amp;"Table"&amp;"[Name]"),0),COLUMN(INDIRECT(C3&amp;"Table"&amp;"["&amp;B10&amp;"]"))),0)</f>
        <v>110</v>
      </c>
      <c r="D10">
        <f ca="1">IFERROR(INDEX(INDIRECT(D3&amp;"Table"),MATCH(D4,INDIRECT(D3&amp;"Table"&amp;"[Name]"),0),COLUMN(INDIRECT(D3&amp;"Table"&amp;"["&amp;B10&amp;"]"))),0)</f>
        <v>0</v>
      </c>
      <c r="E10">
        <f ca="1">IFERROR(INDEX(INDIRECT(E3&amp;"Table"),MATCH(E4,INDIRECT(E3&amp;"Table"&amp;"[Name]"),0),COLUMN(INDIRECT(E3&amp;"Table"&amp;"["&amp;B10&amp;"]"))),0)</f>
        <v>10</v>
      </c>
      <c r="F10">
        <f ca="1">IFERROR(INDEX(INDIRECT(F3&amp;"Table"),MATCH(F4,INDIRECT(F3&amp;"Table"&amp;"[Name]"),0),COLUMN(INDIRECT(F3&amp;"Table"&amp;"["&amp;B10&amp;"]"))),0)</f>
        <v>0</v>
      </c>
      <c r="G10">
        <f ca="1">IFERROR(INDEX(INDIRECT(G3&amp;"Table"),MATCH(G4,INDIRECT(G3&amp;"Table"&amp;"[Name]"),0),COLUMN(INDIRECT(G3&amp;"Table"&amp;"["&amp;B10&amp;"]"))),0)</f>
        <v>0</v>
      </c>
      <c r="H10">
        <f ca="1">IFERROR(INDEX(INDIRECT(H3&amp;"Table"),MATCH(H4,INDIRECT(H3&amp;"Table"&amp;"[Name]"),0),COLUMN(INDIRECT(H3&amp;"Table"&amp;"["&amp;B10&amp;"]"))),0)</f>
        <v>0</v>
      </c>
      <c r="J10" t="s">
        <v>1061</v>
      </c>
      <c r="L10" s="1">
        <f ca="1">1+(0.05+((SUM(C16:H16)*S16)/(SUM(C16:H16)*S16+2000+P19))+((SUM(C15:H15)-P17)/5000)+P10)*(L15+P9+L17)</f>
        <v>1.0671298850574713</v>
      </c>
      <c r="N10" t="s">
        <v>313</v>
      </c>
      <c r="P10" s="1">
        <f ca="1">IFERROR(INDEX(INDIRECT(D3&amp;"Table"),MATCH(D4,INDIRECT(D3&amp;"Table"&amp;"[Name]"),0),COLUMN(INDIRECT(D3&amp;"Table"&amp;"[Crit%]"))),0)+IFERROR(INDEX(INDIRECT(E3&amp;"Table"),MATCH(E4,INDIRECT(E3&amp;"Table"&amp;"[Name]"),0),COLUMN(INDIRECT(E3&amp;"Table"&amp;"[Crit%]"))),0)</f>
        <v>0</v>
      </c>
      <c r="R10" t="s">
        <v>1073</v>
      </c>
      <c r="T10" s="1">
        <f>M28</f>
        <v>0</v>
      </c>
      <c r="V10" t="s">
        <v>1120</v>
      </c>
      <c r="X10">
        <f ca="1">G19*P15</f>
        <v>23.464714321334029</v>
      </c>
      <c r="Z10" t="str">
        <f>G4</f>
        <v>Mark 16 Torpedo</v>
      </c>
      <c r="AB10" t="str">
        <f>D4</f>
        <v>Snorkel</v>
      </c>
    </row>
    <row r="11" spans="1:29" x14ac:dyDescent="0.3">
      <c r="A11" s="19"/>
      <c r="B11" t="s">
        <v>53</v>
      </c>
      <c r="C11">
        <f ca="1">IFERROR(INDEX(INDIRECT(C3&amp;"Table"),MATCH(B2,INDIRECT(C3&amp;"Table"&amp;"[Name]"),0),COLUMN(INDIRECT(C3&amp;"Table"&amp;"["&amp;B11&amp;"]"))),0)</f>
        <v>1.35</v>
      </c>
      <c r="D11">
        <f ca="1">IFERROR(INDEX(INDIRECT(D3&amp;"Table"),MATCH(D4,INDIRECT(D3&amp;"Table"&amp;"[Name]"),0),COLUMN(INDIRECT(D3&amp;"Table"&amp;"["&amp;B11&amp;"]"))),0)</f>
        <v>0</v>
      </c>
      <c r="E11">
        <f ca="1">IFERROR(INDEX(INDIRECT(E3&amp;"Table"),MATCH(E4,INDIRECT(E3&amp;"Table"&amp;"[Name]"),0),COLUMN(INDIRECT(E3&amp;"Table"&amp;"["&amp;B11&amp;"]"))),0)</f>
        <v>0</v>
      </c>
      <c r="F11">
        <f ca="1">IFERROR(INDEX(INDIRECT(F3&amp;"Table"),MATCH(F4,INDIRECT(F3&amp;"Table"&amp;"[Name]"),0),COLUMN(INDIRECT(F3&amp;"Table"&amp;"["&amp;B11&amp;"]"))),0)</f>
        <v>0</v>
      </c>
      <c r="G11">
        <f ca="1">IFERROR(INDEX(INDIRECT(G3&amp;"Table"),MATCH(G4,INDIRECT(G3&amp;"Table"&amp;"[Name]"),0),COLUMN(INDIRECT(G3&amp;"Table"&amp;"["&amp;B11&amp;"]"))),0)</f>
        <v>0</v>
      </c>
      <c r="H11">
        <f ca="1">IFERROR(INDEX(INDIRECT(H3&amp;"Table"),MATCH(H4,INDIRECT(H3&amp;"Table"&amp;"[Name]"),0),COLUMN(INDIRECT(H3&amp;"Table"&amp;"["&amp;B11&amp;"]"))),0)</f>
        <v>1.1000000000000001</v>
      </c>
      <c r="R11" t="s">
        <v>1125</v>
      </c>
      <c r="T11">
        <f ca="1">P7</f>
        <v>34.5</v>
      </c>
      <c r="V11" t="s">
        <v>1122</v>
      </c>
      <c r="X11">
        <f ca="1">H19*P15</f>
        <v>1.4587977615457564</v>
      </c>
      <c r="Z11" t="str">
        <f>H4</f>
        <v>2x127mm (Mk 12)</v>
      </c>
      <c r="AB11" t="str">
        <f>E4</f>
        <v>Type 93 Rainbow</v>
      </c>
    </row>
    <row r="12" spans="1:29" x14ac:dyDescent="0.3">
      <c r="A12" s="19"/>
      <c r="B12" t="s">
        <v>668</v>
      </c>
      <c r="C12">
        <f ca="1">IFERROR(INDEX(INDIRECT(C3&amp;"Table"),MATCH(B2,INDIRECT(C3&amp;"Table"&amp;"[Name]"),0),COLUMN(INDIRECT(C3&amp;"Table"&amp;"["&amp;B12&amp;"]"))),0)</f>
        <v>1.1499999999999999</v>
      </c>
      <c r="D12">
        <f ca="1">IFERROR(INDEX(INDIRECT(D3&amp;"Table"),MATCH(D4,INDIRECT(D3&amp;"Table"&amp;"[Name]"),0),COLUMN(INDIRECT(D3&amp;"Table"&amp;"["&amp;B12&amp;"]"))),0)</f>
        <v>0</v>
      </c>
      <c r="E12">
        <f ca="1">IFERROR(INDEX(INDIRECT(E3&amp;"Table"),MATCH(E4,INDIRECT(E3&amp;"Table"&amp;"[Name]"),0),COLUMN(INDIRECT(E3&amp;"Table"&amp;"["&amp;B12&amp;"]"))),0)</f>
        <v>0</v>
      </c>
      <c r="F12">
        <f ca="1">IFERROR(INDEX(INDIRECT(F3&amp;"Table"),MATCH(F4,INDIRECT(F3&amp;"Table"&amp;"[Name]"),0),COLUMN(INDIRECT(F3&amp;"Table"&amp;"["&amp;B12&amp;"]"))),0)</f>
        <v>0</v>
      </c>
      <c r="G12">
        <f ca="1">IFERROR(INDEX(INDIRECT(G3&amp;"Table"),MATCH(G4,INDIRECT(G3&amp;"Table"&amp;"[Name]"),0),COLUMN(INDIRECT(G3&amp;"Table"&amp;"["&amp;B12&amp;"]"))),0)</f>
        <v>0</v>
      </c>
      <c r="H12">
        <f ca="1">IFERROR(INDEX(INDIRECT(H3&amp;"Table"),MATCH(H4,INDIRECT(H3&amp;"Table"&amp;"[Name]"),0),COLUMN(INDIRECT(H3&amp;"Table"&amp;"["&amp;B12&amp;"]"))),0)</f>
        <v>0</v>
      </c>
      <c r="J12" t="s">
        <v>270</v>
      </c>
      <c r="R12" s="5"/>
      <c r="S12" s="5"/>
      <c r="T12" s="5"/>
      <c r="U12" s="5"/>
      <c r="V12" s="5"/>
      <c r="W12" s="5"/>
      <c r="X12" s="5"/>
      <c r="Y12" s="5"/>
      <c r="Z12" s="5"/>
      <c r="AA12" s="5"/>
      <c r="AB12" s="5"/>
      <c r="AC12" s="5"/>
    </row>
    <row r="13" spans="1:29" x14ac:dyDescent="0.3">
      <c r="A13" s="19"/>
      <c r="B13" t="s">
        <v>733</v>
      </c>
      <c r="C13">
        <f ca="1">IFERROR(INDEX(INDIRECT(C3&amp;"Table"),MATCH(B2,INDIRECT(C3&amp;"Table"&amp;"[Name]"),0),COLUMN(INDIRECT(C3&amp;"Table"&amp;"["&amp;B13&amp;"]"))),0)</f>
        <v>0.8</v>
      </c>
      <c r="D13">
        <v>0</v>
      </c>
      <c r="E13">
        <v>0</v>
      </c>
      <c r="F13">
        <v>0</v>
      </c>
      <c r="G13">
        <v>0</v>
      </c>
      <c r="H13">
        <v>0</v>
      </c>
      <c r="J13" s="18" t="s">
        <v>318</v>
      </c>
      <c r="K13" s="19"/>
      <c r="L13" s="1">
        <v>0</v>
      </c>
      <c r="N13" s="18" t="s">
        <v>1109</v>
      </c>
      <c r="O13" s="19"/>
      <c r="P13">
        <v>2</v>
      </c>
    </row>
    <row r="14" spans="1:29" x14ac:dyDescent="0.3">
      <c r="A14" s="19"/>
      <c r="B14" t="s">
        <v>294</v>
      </c>
      <c r="C14">
        <f ca="1">IFERROR(INDEX(INDIRECT(C3&amp;"Table"),MATCH(B2,INDIRECT(C3&amp;"Table"&amp;"[Name]"),0),COLUMN(INDIRECT(C3&amp;"Table"&amp;"["&amp;B14&amp;"]"))),0)</f>
        <v>45</v>
      </c>
      <c r="D14">
        <f ca="1">IFERROR(INDEX(INDIRECT(D3&amp;"Table"),MATCH(D4,INDIRECT(D3&amp;"Table"&amp;"[Name]"),0),COLUMN(INDIRECT(D3&amp;"Table"&amp;"["&amp;B14&amp;"]"))),0)</f>
        <v>0</v>
      </c>
      <c r="E14">
        <f ca="1">IFERROR(INDEX(INDIRECT(E3&amp;"Table"),MATCH(E4,INDIRECT(E3&amp;"Table"&amp;"[Name]"),0),COLUMN(INDIRECT(E3&amp;"Table"&amp;"["&amp;B14&amp;"]"))),0)</f>
        <v>0</v>
      </c>
      <c r="F14">
        <f ca="1">IFERROR(INDEX(INDIRECT(F3&amp;"Table"),MATCH(F4,INDIRECT(F3&amp;"Table"&amp;"[Name]"),0),COLUMN(INDIRECT(F3&amp;"Table"&amp;"["&amp;B14&amp;"]"))),0)</f>
        <v>0</v>
      </c>
      <c r="G14">
        <f ca="1">IFERROR(INDEX(INDIRECT(G3&amp;"Table"),MATCH(G4,INDIRECT(G3&amp;"Table"&amp;"[Name]"),0),COLUMN(INDIRECT(G3&amp;"Table"&amp;"["&amp;B14&amp;"]"))),0)</f>
        <v>0</v>
      </c>
      <c r="H14">
        <f ca="1">IFERROR(INDEX(INDIRECT(H3&amp;"Table"),MATCH(H4,INDIRECT(H3&amp;"Table"&amp;"[Name]"),0),COLUMN(INDIRECT(H3&amp;"Table"&amp;"["&amp;B14&amp;"]"))),0)</f>
        <v>0</v>
      </c>
      <c r="J14" s="18" t="s">
        <v>319</v>
      </c>
      <c r="K14" s="19"/>
      <c r="L14" s="1">
        <v>0</v>
      </c>
      <c r="N14" s="18" t="s">
        <v>1057</v>
      </c>
      <c r="O14" s="20"/>
      <c r="P14" s="1">
        <v>1</v>
      </c>
      <c r="R14" s="18" t="s">
        <v>1056</v>
      </c>
      <c r="S14" s="1">
        <v>1</v>
      </c>
    </row>
    <row r="15" spans="1:29" x14ac:dyDescent="0.3">
      <c r="A15" s="19"/>
      <c r="B15" s="25" t="s">
        <v>17</v>
      </c>
      <c r="C15">
        <f ca="1">IFERROR(INDEX(INDIRECT(C3&amp;"Table"),MATCH(B2,INDIRECT(C3&amp;"Table"&amp;"[Name]"),0),COLUMN(INDIRECT(C3&amp;"Table"&amp;"["&amp;B15&amp;"]"))),0)</f>
        <v>19</v>
      </c>
      <c r="D15">
        <f ca="1">IFERROR(INDEX(INDIRECT(D3&amp;"Table"),MATCH(D4,INDIRECT(D3&amp;"Table"&amp;"[Name]"),0),COLUMN(INDIRECT(D3&amp;"Table"&amp;"["&amp;B15&amp;"]"))),0)</f>
        <v>0</v>
      </c>
      <c r="E15">
        <f ca="1">IFERROR(INDEX(INDIRECT(E3&amp;"Table"),MATCH(E4,INDIRECT(E3&amp;"Table"&amp;"[Name]"),0),COLUMN(INDIRECT(E3&amp;"Table"&amp;"["&amp;B15&amp;"]"))),0)</f>
        <v>0</v>
      </c>
      <c r="F15">
        <f ca="1">IFERROR(INDEX(INDIRECT(F3&amp;"Table"),MATCH(F4,INDIRECT(F3&amp;"Table"&amp;"[Name]"),0),COLUMN(INDIRECT(F3&amp;"Table"&amp;"["&amp;B15&amp;"]"))),0)</f>
        <v>0</v>
      </c>
      <c r="G15">
        <f ca="1">IFERROR(INDEX(INDIRECT(G3&amp;"Table"),MATCH(G4,INDIRECT(G3&amp;"Table"&amp;"[Name]"),0),COLUMN(INDIRECT(G3&amp;"Table"&amp;"["&amp;B15&amp;"]"))),0)</f>
        <v>0</v>
      </c>
      <c r="H15">
        <f ca="1">IFERROR(INDEX(INDIRECT(H3&amp;"Table"),MATCH(H4,INDIRECT(H3&amp;"Table"&amp;"[Name]"),0),COLUMN(INDIRECT(H3&amp;"Table"&amp;"["&amp;B15&amp;"]"))),0)</f>
        <v>0</v>
      </c>
      <c r="J15" s="18" t="s">
        <v>60</v>
      </c>
      <c r="K15" s="19"/>
      <c r="L15" s="1">
        <v>0.5</v>
      </c>
      <c r="N15" s="15" t="s">
        <v>739</v>
      </c>
      <c r="O15" s="15"/>
      <c r="P15">
        <f ca="1">SQRT(200/(100+SUM(C10:H10)*(P14)))</f>
        <v>0.95346258924559235</v>
      </c>
      <c r="R15" s="18" t="s">
        <v>1055</v>
      </c>
      <c r="S15" s="1">
        <v>1</v>
      </c>
    </row>
    <row r="16" spans="1:29" x14ac:dyDescent="0.3">
      <c r="A16" s="19"/>
      <c r="B16" s="25" t="s">
        <v>6</v>
      </c>
      <c r="C16">
        <f ca="1">IFERROR(INDEX(INDIRECT(C3&amp;"Table"),MATCH(B2,INDIRECT(C3&amp;"Table"&amp;"[Name]"),0),COLUMN(INDIRECT(C3&amp;"Table"&amp;"["&amp;B16&amp;"]"))),0)</f>
        <v>175</v>
      </c>
      <c r="D16">
        <f ca="1">IFERROR(INDEX(INDIRECT(D3&amp;"Table"),MATCH(D4,INDIRECT(D3&amp;"Table"&amp;"[Name]"),0),COLUMN(INDIRECT(D3&amp;"Table"&amp;"["&amp;B16&amp;"]"))),0)</f>
        <v>0</v>
      </c>
      <c r="E16">
        <f ca="1">IFERROR(INDEX(INDIRECT(E3&amp;"Table"),MATCH(E4,INDIRECT(E3&amp;"Table"&amp;"[Name]"),0),COLUMN(INDIRECT(E3&amp;"Table"&amp;"["&amp;B16&amp;"]"))),0)</f>
        <v>0</v>
      </c>
      <c r="F16">
        <f ca="1">IFERROR(INDEX(INDIRECT(F3&amp;"Table"),MATCH(F4,INDIRECT(F3&amp;"Table"&amp;"[Name]"),0),COLUMN(INDIRECT(F3&amp;"Table"&amp;"["&amp;B16&amp;"]"))),0)</f>
        <v>0</v>
      </c>
      <c r="G16">
        <f ca="1">IFERROR(INDEX(INDIRECT(G3&amp;"Table"),MATCH(G4,INDIRECT(G3&amp;"Table"&amp;"[Name]"),0),COLUMN(INDIRECT(G3&amp;"Table"&amp;"["&amp;B16&amp;"]"))),0)</f>
        <v>0</v>
      </c>
      <c r="H16">
        <f ca="1">IFERROR(INDEX(INDIRECT(H3&amp;"Table"),MATCH(H4,INDIRECT(H3&amp;"Table"&amp;"[Name]"),0),COLUMN(INDIRECT(H3&amp;"Table"&amp;"["&amp;B16&amp;"]"))),0)</f>
        <v>0</v>
      </c>
      <c r="J16" s="18" t="s">
        <v>1126</v>
      </c>
      <c r="K16" s="23"/>
      <c r="L16" s="1">
        <v>0</v>
      </c>
      <c r="R16" s="18" t="s">
        <v>1054</v>
      </c>
      <c r="S16" s="1">
        <v>1</v>
      </c>
    </row>
    <row r="17" spans="1:24" x14ac:dyDescent="0.3">
      <c r="A17" s="19"/>
      <c r="B17" t="s">
        <v>21</v>
      </c>
      <c r="C17">
        <v>0</v>
      </c>
      <c r="D17">
        <f ca="1">IFERROR(INDEX(INDIRECT(D3&amp;"Table"),MATCH(D4,INDIRECT(D3&amp;"Table"&amp;"[Name]"),0),COLUMN(INDIRECT(D3&amp;"Table"&amp;"["&amp;B17&amp;"]"))),0)</f>
        <v>0</v>
      </c>
      <c r="E17">
        <f ca="1">IFERROR(INDEX(INDIRECT(E3&amp;"Table"),MATCH(E4,INDIRECT(E3&amp;"Table"&amp;"[Name]"),0),COLUMN(INDIRECT(E3&amp;"Table"&amp;"["&amp;B17&amp;"]"))),0)</f>
        <v>0</v>
      </c>
      <c r="F17">
        <f ca="1">IFERROR(INDEX(INDIRECT(F3&amp;"Table"),MATCH(F4,INDIRECT(F3&amp;"Table"&amp;"[Name]"),0),COLUMN(INDIRECT(F3&amp;"Table"&amp;"["&amp;B17&amp;"]"))),0)</f>
        <v>181</v>
      </c>
      <c r="G17">
        <f ca="1">IFERROR(INDEX(INDIRECT(G3&amp;"Table"),MATCH(G4,INDIRECT(G3&amp;"Table"&amp;"[Name]"),0),COLUMN(INDIRECT(G3&amp;"Table"&amp;"["&amp;B17&amp;"]"))),0)</f>
        <v>181</v>
      </c>
      <c r="H17">
        <f ca="1">IFERROR(INDEX(INDIRECT(H3&amp;"Table"),MATCH(H4,INDIRECT(H3&amp;"Table"&amp;"[Name]"),0),COLUMN(INDIRECT(H3&amp;"Table"&amp;"["&amp;B17&amp;"]"))),0)</f>
        <v>15</v>
      </c>
      <c r="J17" s="18" t="s">
        <v>1025</v>
      </c>
      <c r="K17" s="23"/>
      <c r="L17" s="1">
        <v>0</v>
      </c>
      <c r="N17" s="18" t="s">
        <v>5</v>
      </c>
      <c r="O17" s="19"/>
      <c r="P17">
        <v>0</v>
      </c>
      <c r="R17" s="18" t="s">
        <v>1053</v>
      </c>
      <c r="S17" s="1">
        <v>1</v>
      </c>
    </row>
    <row r="18" spans="1:24" x14ac:dyDescent="0.3">
      <c r="A18" s="19"/>
      <c r="B18" t="s">
        <v>22</v>
      </c>
      <c r="C18">
        <v>0</v>
      </c>
      <c r="D18">
        <f ca="1">IFERROR(INDEX(INDIRECT(D3&amp;"Table"),MATCH(D4,INDIRECT(D3&amp;"Table"&amp;"[Name]"),0),COLUMN(INDIRECT(D3&amp;"Table"&amp;"["&amp;B18&amp;"]"))),0)</f>
        <v>0</v>
      </c>
      <c r="E18">
        <f ca="1">IFERROR(INDEX(INDIRECT(E3&amp;"Table"),MATCH(E4,INDIRECT(E3&amp;"Table"&amp;"[Name]"),0),COLUMN(INDIRECT(E3&amp;"Table"&amp;"["&amp;B18&amp;"]"))),0)</f>
        <v>0</v>
      </c>
      <c r="F18">
        <f ca="1">IFERROR(INDEX(INDIRECT(F3&amp;"Table"),MATCH(F4,INDIRECT(F3&amp;"Table"&amp;"[Name]"),0),COLUMN(INDIRECT(F3&amp;"Table"&amp;"["&amp;B18&amp;"]"))),0)</f>
        <v>3</v>
      </c>
      <c r="G18">
        <f ca="1">IFERROR(INDEX(INDIRECT(G3&amp;"Table"),MATCH(G4,INDIRECT(G3&amp;"Table"&amp;"[Name]"),0),COLUMN(INDIRECT(G3&amp;"Table"&amp;"["&amp;B18&amp;"]"))),0)</f>
        <v>3</v>
      </c>
      <c r="H18">
        <f ca="1">IFERROR(INDEX(INDIRECT(H3&amp;"Table"),MATCH(H4,INDIRECT(H3&amp;"Table"&amp;"[Name]"),0),COLUMN(INDIRECT(H3&amp;"Table"&amp;"["&amp;B18&amp;"]"))),0)</f>
        <v>4</v>
      </c>
      <c r="N18" s="18" t="s">
        <v>57</v>
      </c>
      <c r="O18" s="19"/>
      <c r="P18">
        <v>0</v>
      </c>
      <c r="R18" s="18" t="s">
        <v>1089</v>
      </c>
      <c r="S18" s="18"/>
      <c r="T18" s="6">
        <v>1.1200000000000001</v>
      </c>
    </row>
    <row r="19" spans="1:24" x14ac:dyDescent="0.3">
      <c r="A19" s="19"/>
      <c r="B19" t="s">
        <v>266</v>
      </c>
      <c r="C19">
        <v>0</v>
      </c>
      <c r="D19">
        <f ca="1">IFERROR(INDEX(INDIRECT(D3&amp;"Table"),MATCH(D4,INDIRECT(D3&amp;"Table"&amp;"[Name]"),0),COLUMN(INDIRECT(D3&amp;"Table"&amp;"["&amp;B19&amp;"]"))),0)</f>
        <v>0</v>
      </c>
      <c r="E19">
        <f ca="1">IFERROR(INDEX(INDIRECT(E3&amp;"Table"),MATCH(E4,INDIRECT(E3&amp;"Table"&amp;"[Name]"),0),COLUMN(INDIRECT(E3&amp;"Table"&amp;"["&amp;B19&amp;"]"))),0)</f>
        <v>0</v>
      </c>
      <c r="F19">
        <f ca="1">IFERROR(INDEX(INDIRECT(F3&amp;"Table"),MATCH(F4,INDIRECT(F3&amp;"Table"&amp;"[Name]"),0),COLUMN(INDIRECT(F3&amp;"Table"&amp;"["&amp;B19&amp;"]"))),0)</f>
        <v>24.61</v>
      </c>
      <c r="G19">
        <f ca="1">IFERROR(INDEX(INDIRECT(G3&amp;"Table"),MATCH(G4,INDIRECT(G3&amp;"Table"&amp;"[Name]"),0),COLUMN(INDIRECT(G3&amp;"Table"&amp;"["&amp;B19&amp;"]"))),0)</f>
        <v>24.61</v>
      </c>
      <c r="H19">
        <f ca="1">IFERROR(INDEX(INDIRECT(H3&amp;"Table"),MATCH(H4,INDIRECT(H3&amp;"Table"&amp;"[Name]"),0),COLUMN(INDIRECT(H3&amp;"Table"&amp;"["&amp;B19&amp;"]"))),0)</f>
        <v>1.53</v>
      </c>
      <c r="N19" s="18" t="s">
        <v>58</v>
      </c>
      <c r="O19" s="19"/>
      <c r="P19">
        <v>0</v>
      </c>
      <c r="R19" s="18" t="s">
        <v>143</v>
      </c>
      <c r="S19" s="19"/>
      <c r="T19">
        <v>0</v>
      </c>
    </row>
    <row r="20" spans="1:24" x14ac:dyDescent="0.3">
      <c r="A20" s="19"/>
      <c r="B20" t="s">
        <v>23</v>
      </c>
      <c r="C20">
        <f ca="1">SUM(C7:H7)</f>
        <v>79</v>
      </c>
      <c r="D20" t="s">
        <v>24</v>
      </c>
      <c r="E20">
        <f ca="1">SUM(C8:H8)</f>
        <v>739</v>
      </c>
      <c r="F20" s="15" t="s">
        <v>1115</v>
      </c>
      <c r="G20">
        <f ca="1">SUM(C5:H5)</f>
        <v>285</v>
      </c>
      <c r="R20" t="s">
        <v>1035</v>
      </c>
      <c r="T20">
        <v>0</v>
      </c>
    </row>
    <row r="21" spans="1:24" x14ac:dyDescent="0.3">
      <c r="A21" s="19"/>
      <c r="R21" s="15"/>
    </row>
    <row r="22" spans="1:24" x14ac:dyDescent="0.3">
      <c r="A22" s="19"/>
      <c r="B22" s="18" t="s">
        <v>1023</v>
      </c>
      <c r="C22" s="22" t="s">
        <v>1026</v>
      </c>
      <c r="D22" s="22" t="s">
        <v>1059</v>
      </c>
      <c r="E22" s="18" t="s">
        <v>8</v>
      </c>
      <c r="F22" s="18" t="s">
        <v>10</v>
      </c>
      <c r="G22" s="18" t="s">
        <v>12</v>
      </c>
      <c r="H22" s="18" t="s">
        <v>55</v>
      </c>
      <c r="I22" s="18" t="s">
        <v>1035</v>
      </c>
      <c r="J22" s="21" t="s">
        <v>27</v>
      </c>
      <c r="K22" s="18" t="s">
        <v>59</v>
      </c>
      <c r="L22" s="18" t="s">
        <v>970</v>
      </c>
      <c r="M22" s="18" t="s">
        <v>1058</v>
      </c>
      <c r="N22" s="18" t="s">
        <v>974</v>
      </c>
      <c r="O22" s="18" t="s">
        <v>1053</v>
      </c>
      <c r="R22" t="s">
        <v>69</v>
      </c>
      <c r="T22" t="s">
        <v>70</v>
      </c>
      <c r="V22" t="s">
        <v>71</v>
      </c>
      <c r="X22" t="s">
        <v>1118</v>
      </c>
    </row>
    <row r="23" spans="1:24" x14ac:dyDescent="0.3">
      <c r="A23" s="19"/>
      <c r="B23">
        <v>540</v>
      </c>
      <c r="C23" s="2">
        <v>12</v>
      </c>
      <c r="D23" s="2">
        <v>12</v>
      </c>
      <c r="E23" s="6">
        <v>0.8</v>
      </c>
      <c r="F23" s="6">
        <v>1</v>
      </c>
      <c r="G23" s="6">
        <v>1.3</v>
      </c>
      <c r="H23" s="1">
        <v>0</v>
      </c>
      <c r="I23" s="1">
        <v>0</v>
      </c>
      <c r="J23" s="1">
        <v>1</v>
      </c>
      <c r="K23">
        <v>0</v>
      </c>
      <c r="L23" s="15" t="s">
        <v>11</v>
      </c>
      <c r="M23" s="1">
        <v>1</v>
      </c>
      <c r="N23" s="6">
        <v>0</v>
      </c>
      <c r="O23" s="6">
        <v>1</v>
      </c>
      <c r="Q23" t="s">
        <v>8</v>
      </c>
      <c r="R23">
        <f ca="1">((100+E20*S15)/100)*K8*F17*L10*K5*C11*T18</f>
        <v>23522.357294303347</v>
      </c>
      <c r="T23">
        <f ca="1">((100+E20*S15)/100)*L8*G17*L10*L5*C12*T18</f>
        <v>20037.563621073219</v>
      </c>
      <c r="V23">
        <f ca="1">((100+C20*S14))/100*FLOOR(P5/(P15*H19),1)*H18*H17*L9*S17*M5</f>
        <v>550.12679834482765</v>
      </c>
      <c r="X23">
        <f ca="1">R23+T23+V23</f>
        <v>44110.047713721397</v>
      </c>
    </row>
    <row r="24" spans="1:24" x14ac:dyDescent="0.3">
      <c r="A24" s="19"/>
      <c r="B24">
        <v>288</v>
      </c>
      <c r="C24" s="2">
        <v>0</v>
      </c>
      <c r="D24" s="2">
        <v>0</v>
      </c>
      <c r="E24" s="6">
        <v>0.8</v>
      </c>
      <c r="F24" s="6">
        <v>1</v>
      </c>
      <c r="G24" s="6">
        <v>1.3</v>
      </c>
      <c r="H24" s="1">
        <v>0</v>
      </c>
      <c r="I24" s="1">
        <v>0</v>
      </c>
      <c r="J24" s="1">
        <v>1</v>
      </c>
      <c r="K24">
        <v>0</v>
      </c>
      <c r="L24" s="15" t="s">
        <v>11</v>
      </c>
      <c r="M24" s="1">
        <v>1.2</v>
      </c>
      <c r="N24" s="6">
        <v>0</v>
      </c>
      <c r="O24" s="6">
        <v>1</v>
      </c>
      <c r="Q24" t="s">
        <v>10</v>
      </c>
      <c r="R24">
        <f ca="1">((100+E20*S15)/100)*K8*F17*L10*K6*C11*T18</f>
        <v>29402.946617879184</v>
      </c>
      <c r="T24">
        <f ca="1">((100+E20*S15)/100)*L8*G17*L10*L6*C12*T18</f>
        <v>25046.95452634152</v>
      </c>
      <c r="V24">
        <f ca="1">((100+C20*S14))/100*FLOOR(P5/(P15*H19),1)*H18*H17*L9*S17*M6</f>
        <v>275.06339917241382</v>
      </c>
      <c r="X24">
        <f t="shared" ref="X24:X25" ca="1" si="2">R24+T24+V24</f>
        <v>54724.964543393122</v>
      </c>
    </row>
    <row r="25" spans="1:24" x14ac:dyDescent="0.3">
      <c r="A25" s="19"/>
      <c r="B25">
        <v>0</v>
      </c>
      <c r="C25" s="2">
        <v>0</v>
      </c>
      <c r="D25" s="2">
        <v>0</v>
      </c>
      <c r="E25" s="6">
        <v>0.8</v>
      </c>
      <c r="F25" s="6">
        <v>1</v>
      </c>
      <c r="G25" s="6">
        <v>1.3</v>
      </c>
      <c r="H25" s="1">
        <v>0</v>
      </c>
      <c r="I25" s="1">
        <v>0</v>
      </c>
      <c r="J25" s="1">
        <v>1</v>
      </c>
      <c r="K25">
        <v>0</v>
      </c>
      <c r="L25" s="15" t="s">
        <v>9</v>
      </c>
      <c r="M25" s="1">
        <v>1</v>
      </c>
      <c r="N25" s="6">
        <v>0</v>
      </c>
      <c r="O25" s="6">
        <v>1</v>
      </c>
      <c r="Q25" t="s">
        <v>12</v>
      </c>
      <c r="R25">
        <f ca="1">((100+E20*S15)/100)*K8*F17*L10*K7*C11*T18</f>
        <v>38223.830603242939</v>
      </c>
      <c r="T25">
        <f ca="1">((100+E20*S15)/100)*L8*G17*L10*L7*C12*T18</f>
        <v>32561.040884243979</v>
      </c>
      <c r="V25">
        <f ca="1">((100+C20*S14))/100*FLOOR(P5/(P15*H19),1)*H18*H17*L9*S17*M7</f>
        <v>275.06339917241382</v>
      </c>
      <c r="X25">
        <f t="shared" ca="1" si="2"/>
        <v>71059.934886659335</v>
      </c>
    </row>
    <row r="26" spans="1:24" x14ac:dyDescent="0.3">
      <c r="A26" s="19"/>
      <c r="B26">
        <v>0</v>
      </c>
      <c r="C26" s="2">
        <v>0</v>
      </c>
      <c r="D26" s="2">
        <v>0</v>
      </c>
      <c r="E26" s="6">
        <v>0.8</v>
      </c>
      <c r="F26" s="6">
        <v>1</v>
      </c>
      <c r="G26" s="6">
        <v>1.3</v>
      </c>
      <c r="H26" s="1">
        <v>0</v>
      </c>
      <c r="I26" s="1">
        <v>0</v>
      </c>
      <c r="J26" s="1">
        <v>1</v>
      </c>
      <c r="K26">
        <v>0</v>
      </c>
      <c r="L26" s="15" t="s">
        <v>9</v>
      </c>
      <c r="M26" s="1">
        <v>1</v>
      </c>
      <c r="N26" s="6">
        <v>0</v>
      </c>
      <c r="O26" s="6">
        <v>1</v>
      </c>
      <c r="Q26" t="s">
        <v>1024</v>
      </c>
      <c r="R26">
        <v>0</v>
      </c>
      <c r="T26">
        <v>0</v>
      </c>
      <c r="V26">
        <f ca="1">(((100+C20)/100)*C13*H11*H17*P3+5)*5*(1-(1-P4)^(H18))</f>
        <v>3.7782121771600057</v>
      </c>
      <c r="X26">
        <f ca="1">SUM(R26+T26+V26)</f>
        <v>3.7782121771600057</v>
      </c>
    </row>
    <row r="27" spans="1:24" x14ac:dyDescent="0.3">
      <c r="A27" s="19"/>
    </row>
    <row r="28" spans="1:24" x14ac:dyDescent="0.3">
      <c r="A28" s="19"/>
      <c r="B28" s="18" t="s">
        <v>32</v>
      </c>
      <c r="C28" s="18"/>
      <c r="D28" s="1">
        <v>0</v>
      </c>
      <c r="F28" t="s">
        <v>31</v>
      </c>
      <c r="H28">
        <f ca="1">SUM(C6:H6)</f>
        <v>2165</v>
      </c>
      <c r="I28" s="1"/>
      <c r="J28" t="s">
        <v>37</v>
      </c>
      <c r="L28" s="3">
        <f ca="1">0.1+(P18/(P18+2+D29*SUM(C14:H14)))+((P17-SUM(C15:H15))/1000)-D28</f>
        <v>8.1000000000000003E-2</v>
      </c>
      <c r="N28" t="s">
        <v>1127</v>
      </c>
      <c r="Q28" t="s">
        <v>975</v>
      </c>
      <c r="S28" t="s">
        <v>975</v>
      </c>
      <c r="U28" t="s">
        <v>975</v>
      </c>
    </row>
    <row r="29" spans="1:24" x14ac:dyDescent="0.3">
      <c r="A29" s="19"/>
      <c r="B29" s="18" t="s">
        <v>34</v>
      </c>
      <c r="C29" s="18"/>
      <c r="D29" s="1">
        <v>1</v>
      </c>
      <c r="F29" t="s">
        <v>33</v>
      </c>
      <c r="H29">
        <f ca="1">H28/(L29*(1-D30))</f>
        <v>21650</v>
      </c>
      <c r="I29" s="1"/>
      <c r="J29" t="s">
        <v>50</v>
      </c>
      <c r="L29" s="1">
        <f ca="1">IF(L28&lt;=0.1, 0.1, IF(L28&gt;=0.9, 0.9, L28))</f>
        <v>0.1</v>
      </c>
      <c r="N29" t="s">
        <v>8</v>
      </c>
      <c r="O29">
        <f ca="1">IFERROR((B23*E23*((100+IF(L23="FP",C20*S14,E20*S15)*M23)/100))*IF(N23=0,IF(L23="FP",L9,L10),N23*IF(L23="FP",L15+L16+1,L15+L17+1))*J23,0)*O23</f>
        <v>3867.7909257931042</v>
      </c>
      <c r="Q29">
        <f ca="1">IFERROR((B24*E24*((100+IF(L24="FP",C20*S14,E20*S15)*M24)/100))*IF(N24=0,IF(L24="FP",L9,L10),N24*IF(L24="FP",L15+L16+1,L15+L17+1))*J24,0)*O24</f>
        <v>2426.2128474041378</v>
      </c>
      <c r="S29">
        <f ca="1">IFERROR((B25*E25*((100+IF(L25="FP",C20*S14,E20*S15)*M25)/100))*IF(N25=0,IF(L25="FP",L9,L10),N25*IF(L25="FP",L15+L16+1,L15+L17+1))*J25,0)*O25</f>
        <v>0</v>
      </c>
      <c r="U29">
        <f ca="1">IFERROR((B26*E26*((100+IF(L26="FP",C20*S14,E20*S15)*M26)/100))*IF(N26=0,IF(L26="FP",L9,L10),N26*IF(L26="FP",L15+L16+1,L15+L17+1))*J26,0)*O26</f>
        <v>0</v>
      </c>
    </row>
    <row r="30" spans="1:24" x14ac:dyDescent="0.3">
      <c r="A30" s="19"/>
      <c r="B30" s="18" t="s">
        <v>314</v>
      </c>
      <c r="C30" s="18"/>
      <c r="D30" s="1">
        <v>0</v>
      </c>
      <c r="F30" t="s">
        <v>36</v>
      </c>
      <c r="H30" s="1">
        <f ca="1">0.1+(SUM(C16:H16)/(SUM(C16:H16)+2+P19))-((SUM(C15:H15)-P17)/1000)</f>
        <v>1.0697005649717515</v>
      </c>
      <c r="N30" t="s">
        <v>10</v>
      </c>
      <c r="O30">
        <f ca="1">IFERROR((B23*F23*((100+IF(L23="FP",C20*S14,E20*S15)*M23)/100))*IF(N23=0,IF(L23="FP",L9,L10),N23*IF(L23="FP",L15+L16+1,L15+L17+1))*J23,0)*O23</f>
        <v>4834.7386572413798</v>
      </c>
      <c r="Q30">
        <f ca="1">IFERROR((B24*F24*((100+IF(L24="FP",C20*S14,E20*S15)*M24)/100))*IF(N24=0,IF(L24="FP",L9,L10),N24*IF(L24="FP",L15+L16+1,L15+L17+1))*J24,0)*O24</f>
        <v>3032.7660592551724</v>
      </c>
      <c r="S30">
        <f ca="1">IFERROR((B25*F25*((100+IF(L25="FP",C20*S14,E20*S15)*M25)/100))*IF(N25=0,IF(L25="FP",L9,L10),N25*IF(L25="FP",L15+L16+1,L15+L17+1))*J25,0)*O25</f>
        <v>0</v>
      </c>
      <c r="U30">
        <f ca="1">IFERROR((B26*F26*((100+IF(L26="FP",C20*S14,E20*S15)*M26)/100))*IF(N26=0,IF(L26="FP",L9,L10),N26*IF(L26="FP",L15+L16+1,L15+L17+1))*J26,0)*O26</f>
        <v>0</v>
      </c>
    </row>
    <row r="31" spans="1:24" x14ac:dyDescent="0.3">
      <c r="A31" s="19"/>
      <c r="F31" t="s">
        <v>51</v>
      </c>
      <c r="H31" s="1">
        <f ca="1">IF(H30&lt;=0.1, 0.1, IF(H30&gt;=0.9, 0.9, H30))</f>
        <v>0.9</v>
      </c>
      <c r="N31" t="s">
        <v>12</v>
      </c>
      <c r="O31">
        <f ca="1">IFERROR((B23*G23*((100+IF(L23="FP",C20*S14,E20*S15)*M23)/100))*IF(N23=0,IF(L23="FP",L9,L10),N23*IF(L23="FP",L15+L16+1,L15+L17+1))*J23,0)*O23</f>
        <v>6285.1602544137941</v>
      </c>
      <c r="Q31">
        <f ca="1">IFERROR((B24*G24*((100+IF(L24="FP",C20*S14,E20*S15)*M24)/100))*IF(N24=0,IF(L24="FP",L9,L10),N24*IF(L24="FP",L15+L16+1,L15+L17+1))*J24,0)*O24</f>
        <v>3942.5958770317247</v>
      </c>
      <c r="S31">
        <f ca="1">IFERROR((B25*G25*((100+IF(L25="FP",C20*S14,E20*S15)*M25)/100))*IF(N25=0,IF(L25="FP",L9,L10),N25*IF(L25="FP",L15+L16+1,L15+L17+1))*J25,0)*O25</f>
        <v>0</v>
      </c>
      <c r="U31">
        <f ca="1">IFERROR((B26*G26*((100+IF(L26="FP",C20*S14,E20*S15)*M26)/100))*IF(N26=0,IF(L26="FP",L9,L10),N26*IF(L26="FP",L15+L16+1,L15+L17+1))*J26,0)*O26</f>
        <v>0</v>
      </c>
    </row>
    <row r="32" spans="1:24" x14ac:dyDescent="0.3">
      <c r="A32" s="19"/>
      <c r="N32" t="s">
        <v>1024</v>
      </c>
      <c r="O32">
        <f ca="1">(((100+C20*S14*M23)/100)*C13*1*C23*P4+5)*(1-(1-H23)^(D23))*5</f>
        <v>0</v>
      </c>
      <c r="Q32">
        <f ca="1">(((100+C20*S14*M24)/100)*C13*1*C24*P4+5)*(1-(1-H24)^(D24))*5</f>
        <v>0</v>
      </c>
      <c r="S32">
        <f ca="1">(((100+C20*S14*M25)/100)*C13*1*C25*P4+5)*(1-(1-H25)^(D25))*5</f>
        <v>0</v>
      </c>
      <c r="U32">
        <f ca="1">(((100+C20*S14*M26)/100)*C13*1*C26*P4+5)*(1-(1-H26)^(D26))*5</f>
        <v>0</v>
      </c>
    </row>
    <row r="33" spans="1:21" x14ac:dyDescent="0.3">
      <c r="A33" s="19"/>
      <c r="N33" t="s">
        <v>44</v>
      </c>
      <c r="O33">
        <f ca="1">IFERROR(O32/15*(MIN((15/IF(P17=1,IF(K23=0,G19*L20+O10+O11,K23),P18)),1)),0)</f>
        <v>0</v>
      </c>
      <c r="Q33">
        <f ca="1">IFERROR(Q32/15*(MIN((15/IF(P17=1,IF(K24=0,G19*L20+O10+O11,K24),P18)),1)),0)</f>
        <v>0</v>
      </c>
      <c r="S33">
        <f ca="1">IFERROR(S32/15*(MIN((15/IF(P17=1,IF(K25=0,G19*L20+O10+O11,K25),P18)),1)),0)</f>
        <v>0</v>
      </c>
      <c r="U33">
        <f ca="1">IFERROR(U32/15*(MIN((15/IF(P17=1,IF(K26=0,G19*L20+O10+O11,K26),P18)),1)),0)</f>
        <v>0</v>
      </c>
    </row>
    <row r="34" spans="1:21" x14ac:dyDescent="0.3">
      <c r="A34" s="19"/>
      <c r="N34" t="s">
        <v>1130</v>
      </c>
      <c r="O34">
        <f ca="1">I23*(C23*((100+E20*M23*S15)/100)*J23+10)*8</f>
        <v>0</v>
      </c>
    </row>
    <row r="35" spans="1:21" x14ac:dyDescent="0.3">
      <c r="A35" s="19"/>
      <c r="N35" t="s">
        <v>147</v>
      </c>
      <c r="O35">
        <f ca="1">P35/24*(MIN((24/IF(K23=0,P7,K23)),1))</f>
        <v>0</v>
      </c>
    </row>
    <row r="36" spans="1:21" x14ac:dyDescent="0.3">
      <c r="A36" s="19"/>
    </row>
  </sheetData>
  <dataValidations count="7">
    <dataValidation type="list" allowBlank="1" showInputMessage="1" showErrorMessage="1" sqref="F3:H3" xr:uid="{D3424696-D62F-4BB0-B0F7-C6AE65FB14DE}">
      <formula1>EquipmentType</formula1>
    </dataValidation>
    <dataValidation type="list" allowBlank="1" showInputMessage="1" showErrorMessage="1" sqref="F4" xr:uid="{D9AEC655-53D5-4B76-939E-16C8A482682D}">
      <formula1>INDIRECT($F$3)</formula1>
    </dataValidation>
    <dataValidation type="list" allowBlank="1" showInputMessage="1" showErrorMessage="1" sqref="G4" xr:uid="{E032C994-9ABA-4E0F-8C62-4A9C30513559}">
      <formula1>INDIRECT($G$3)</formula1>
    </dataValidation>
    <dataValidation type="list" allowBlank="1" showInputMessage="1" showErrorMessage="1" sqref="D3:E3" xr:uid="{9F8FDAB3-44D1-4A23-9B1F-DBD7168BABC7}">
      <formula1>AuxType1</formula1>
    </dataValidation>
    <dataValidation type="list" allowBlank="1" showInputMessage="1" showErrorMessage="1" sqref="D4" xr:uid="{263D0804-6E4D-4857-A742-CE2C28403A17}">
      <formula1>INDIRECT($D$3)</formula1>
    </dataValidation>
    <dataValidation type="list" allowBlank="1" showInputMessage="1" showErrorMessage="1" sqref="E4" xr:uid="{502B2CBA-E25D-4466-B038-2E2662E01011}">
      <formula1>INDIRECT($E$3)</formula1>
    </dataValidation>
    <dataValidation type="list" allowBlank="1" showInputMessage="1" showErrorMessage="1" sqref="H4" xr:uid="{0073B442-2697-4E1C-BE81-4BDDDB8A9F87}">
      <formula1>INDIRECT($H$3)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C64FD8A-C0E8-4314-98C8-0B4803AFE775}">
          <x14:formula1>
            <xm:f>'Ship Stats'!$A$786:$A$788</xm:f>
          </x14:formula1>
          <xm:sqref>L23:L26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1"/>
  <sheetViews>
    <sheetView topLeftCell="A40" zoomScaleNormal="100" workbookViewId="0">
      <selection activeCell="M66" sqref="M66"/>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AB788"/>
  <sheetViews>
    <sheetView topLeftCell="A385" zoomScale="85" zoomScaleNormal="85" workbookViewId="0">
      <selection activeCell="G401" sqref="G401"/>
    </sheetView>
  </sheetViews>
  <sheetFormatPr defaultRowHeight="14.4" x14ac:dyDescent="0.3"/>
  <cols>
    <col min="1" max="1" width="12.109375" customWidth="1"/>
    <col min="2" max="2" width="31.5546875" bestFit="1" customWidth="1"/>
    <col min="3" max="6" width="10.77734375" customWidth="1"/>
    <col min="7" max="7" width="13.77734375" customWidth="1"/>
    <col min="8" max="16" width="10.77734375" customWidth="1"/>
    <col min="17" max="18" width="10" style="6" bestFit="1" customWidth="1"/>
    <col min="19" max="19" width="10" bestFit="1" customWidth="1"/>
  </cols>
  <sheetData>
    <row r="1" spans="1:20" x14ac:dyDescent="0.3">
      <c r="A1" t="s">
        <v>351</v>
      </c>
      <c r="B1" t="s">
        <v>149</v>
      </c>
      <c r="C1" t="s">
        <v>192</v>
      </c>
      <c r="D1" t="s">
        <v>352</v>
      </c>
      <c r="E1" t="s">
        <v>150</v>
      </c>
      <c r="F1" t="s">
        <v>7</v>
      </c>
      <c r="G1" t="s">
        <v>353</v>
      </c>
      <c r="H1" t="s">
        <v>14</v>
      </c>
      <c r="I1" t="s">
        <v>9</v>
      </c>
      <c r="J1" t="s">
        <v>11</v>
      </c>
      <c r="K1" t="s">
        <v>294</v>
      </c>
      <c r="L1" t="s">
        <v>265</v>
      </c>
      <c r="M1" t="s">
        <v>293</v>
      </c>
      <c r="N1" t="s">
        <v>667</v>
      </c>
      <c r="O1" t="s">
        <v>666</v>
      </c>
      <c r="P1" t="s">
        <v>295</v>
      </c>
      <c r="Q1" t="s">
        <v>761</v>
      </c>
      <c r="R1" t="s">
        <v>762</v>
      </c>
    </row>
    <row r="2" spans="1:20" x14ac:dyDescent="0.3">
      <c r="A2">
        <v>80</v>
      </c>
      <c r="B2" t="s">
        <v>614</v>
      </c>
      <c r="C2" t="s">
        <v>646</v>
      </c>
      <c r="D2" t="s">
        <v>639</v>
      </c>
      <c r="E2" t="s">
        <v>615</v>
      </c>
      <c r="F2">
        <v>4624</v>
      </c>
      <c r="G2" t="s">
        <v>8</v>
      </c>
      <c r="H2">
        <v>168</v>
      </c>
      <c r="I2">
        <v>50</v>
      </c>
      <c r="J2">
        <v>0</v>
      </c>
      <c r="K2">
        <v>43</v>
      </c>
      <c r="L2">
        <v>152</v>
      </c>
      <c r="M2">
        <v>0</v>
      </c>
      <c r="N2">
        <v>10</v>
      </c>
      <c r="O2">
        <v>0</v>
      </c>
      <c r="P2">
        <v>16</v>
      </c>
      <c r="Q2">
        <v>79</v>
      </c>
      <c r="R2">
        <v>111</v>
      </c>
    </row>
    <row r="3" spans="1:20" x14ac:dyDescent="0.3">
      <c r="A3">
        <v>232</v>
      </c>
      <c r="B3" t="s">
        <v>616</v>
      </c>
      <c r="C3" t="s">
        <v>648</v>
      </c>
      <c r="D3" t="s">
        <v>642</v>
      </c>
      <c r="E3" t="s">
        <v>615</v>
      </c>
      <c r="F3">
        <v>4125</v>
      </c>
      <c r="G3" t="s">
        <v>8</v>
      </c>
      <c r="H3">
        <v>181</v>
      </c>
      <c r="I3">
        <v>44</v>
      </c>
      <c r="J3">
        <v>0</v>
      </c>
      <c r="K3">
        <v>45</v>
      </c>
      <c r="L3">
        <v>160</v>
      </c>
      <c r="M3">
        <v>0</v>
      </c>
      <c r="N3">
        <v>11</v>
      </c>
      <c r="O3">
        <v>0</v>
      </c>
      <c r="P3">
        <v>19</v>
      </c>
      <c r="Q3">
        <v>53</v>
      </c>
      <c r="R3">
        <v>110</v>
      </c>
    </row>
    <row r="4" spans="1:20" x14ac:dyDescent="0.3">
      <c r="Q4"/>
      <c r="R4"/>
    </row>
    <row r="5" spans="1:20" x14ac:dyDescent="0.3">
      <c r="A5" t="s">
        <v>351</v>
      </c>
      <c r="B5" t="s">
        <v>149</v>
      </c>
      <c r="C5" t="s">
        <v>192</v>
      </c>
      <c r="D5" t="s">
        <v>352</v>
      </c>
      <c r="E5" t="s">
        <v>150</v>
      </c>
      <c r="F5" t="s">
        <v>7</v>
      </c>
      <c r="G5" t="s">
        <v>353</v>
      </c>
      <c r="H5" t="s">
        <v>14</v>
      </c>
      <c r="I5" t="s">
        <v>9</v>
      </c>
      <c r="J5" t="s">
        <v>11</v>
      </c>
      <c r="K5" t="s">
        <v>294</v>
      </c>
      <c r="L5" t="s">
        <v>265</v>
      </c>
      <c r="M5" t="s">
        <v>293</v>
      </c>
      <c r="N5" t="s">
        <v>667</v>
      </c>
      <c r="O5" t="s">
        <v>666</v>
      </c>
      <c r="P5" t="s">
        <v>295</v>
      </c>
      <c r="Q5" t="s">
        <v>761</v>
      </c>
      <c r="R5" t="s">
        <v>762</v>
      </c>
      <c r="S5" s="6" t="s">
        <v>53</v>
      </c>
      <c r="T5" s="6" t="s">
        <v>668</v>
      </c>
    </row>
    <row r="6" spans="1:20" x14ac:dyDescent="0.3">
      <c r="A6">
        <v>1</v>
      </c>
      <c r="B6" t="s">
        <v>414</v>
      </c>
      <c r="C6" t="s">
        <v>645</v>
      </c>
      <c r="D6" t="s">
        <v>639</v>
      </c>
      <c r="E6" t="s">
        <v>657</v>
      </c>
      <c r="F6">
        <v>245</v>
      </c>
      <c r="G6" t="s">
        <v>8</v>
      </c>
      <c r="H6">
        <v>122</v>
      </c>
      <c r="I6">
        <v>24</v>
      </c>
      <c r="J6">
        <v>24</v>
      </c>
      <c r="K6">
        <v>122</v>
      </c>
      <c r="L6">
        <v>24</v>
      </c>
      <c r="M6">
        <v>24</v>
      </c>
      <c r="N6">
        <v>3</v>
      </c>
      <c r="O6">
        <v>35</v>
      </c>
      <c r="P6">
        <v>35</v>
      </c>
      <c r="Q6">
        <v>100</v>
      </c>
      <c r="R6">
        <v>119</v>
      </c>
      <c r="S6" s="6">
        <v>1</v>
      </c>
      <c r="T6" s="6">
        <v>1</v>
      </c>
    </row>
    <row r="7" spans="1:20" x14ac:dyDescent="0.3">
      <c r="A7">
        <v>2</v>
      </c>
      <c r="B7" t="s">
        <v>415</v>
      </c>
      <c r="C7" t="s">
        <v>645</v>
      </c>
      <c r="D7" t="s">
        <v>642</v>
      </c>
      <c r="E7" t="s">
        <v>657</v>
      </c>
      <c r="F7">
        <v>245</v>
      </c>
      <c r="G7" t="s">
        <v>8</v>
      </c>
      <c r="H7">
        <v>122</v>
      </c>
      <c r="I7">
        <v>24</v>
      </c>
      <c r="J7">
        <v>24</v>
      </c>
      <c r="K7">
        <v>122</v>
      </c>
      <c r="L7">
        <v>24</v>
      </c>
      <c r="M7">
        <v>24</v>
      </c>
      <c r="N7">
        <v>3</v>
      </c>
      <c r="O7">
        <v>35</v>
      </c>
      <c r="P7">
        <v>35</v>
      </c>
      <c r="Q7">
        <v>100</v>
      </c>
      <c r="R7">
        <v>119</v>
      </c>
      <c r="S7" s="6">
        <v>1</v>
      </c>
      <c r="T7" s="6">
        <v>1</v>
      </c>
    </row>
    <row r="8" spans="1:20" x14ac:dyDescent="0.3">
      <c r="A8">
        <v>5</v>
      </c>
      <c r="B8" t="s">
        <v>354</v>
      </c>
      <c r="C8" t="s">
        <v>646</v>
      </c>
      <c r="D8" t="s">
        <v>641</v>
      </c>
      <c r="E8" t="s">
        <v>657</v>
      </c>
      <c r="F8">
        <v>1735</v>
      </c>
      <c r="G8" t="s">
        <v>8</v>
      </c>
      <c r="H8">
        <v>190</v>
      </c>
      <c r="I8">
        <v>76</v>
      </c>
      <c r="J8">
        <v>283</v>
      </c>
      <c r="K8">
        <v>162</v>
      </c>
      <c r="L8">
        <v>168</v>
      </c>
      <c r="M8">
        <v>0</v>
      </c>
      <c r="N8">
        <v>7</v>
      </c>
      <c r="O8">
        <v>181</v>
      </c>
      <c r="P8">
        <v>44</v>
      </c>
      <c r="Q8">
        <v>66</v>
      </c>
      <c r="R8">
        <v>188</v>
      </c>
      <c r="S8" s="6">
        <v>1.2</v>
      </c>
      <c r="T8" s="6">
        <v>1.3</v>
      </c>
    </row>
    <row r="9" spans="1:20" x14ac:dyDescent="0.3">
      <c r="A9">
        <v>6</v>
      </c>
      <c r="B9" t="s">
        <v>356</v>
      </c>
      <c r="C9" t="s">
        <v>646</v>
      </c>
      <c r="D9" t="s">
        <v>641</v>
      </c>
      <c r="E9" t="s">
        <v>657</v>
      </c>
      <c r="F9">
        <v>1735</v>
      </c>
      <c r="G9" t="s">
        <v>8</v>
      </c>
      <c r="H9">
        <v>190</v>
      </c>
      <c r="I9">
        <v>76</v>
      </c>
      <c r="J9">
        <v>283</v>
      </c>
      <c r="K9">
        <v>162</v>
      </c>
      <c r="L9">
        <v>168</v>
      </c>
      <c r="M9">
        <v>0</v>
      </c>
      <c r="N9">
        <v>7</v>
      </c>
      <c r="O9">
        <v>181</v>
      </c>
      <c r="P9">
        <v>44</v>
      </c>
      <c r="Q9">
        <v>63</v>
      </c>
      <c r="R9">
        <v>188</v>
      </c>
      <c r="S9" s="6">
        <v>1.2</v>
      </c>
      <c r="T9" s="6">
        <v>1.3</v>
      </c>
    </row>
    <row r="10" spans="1:20" x14ac:dyDescent="0.3">
      <c r="A10">
        <v>7</v>
      </c>
      <c r="B10" t="s">
        <v>416</v>
      </c>
      <c r="C10" t="s">
        <v>646</v>
      </c>
      <c r="D10" t="s">
        <v>640</v>
      </c>
      <c r="E10" t="s">
        <v>657</v>
      </c>
      <c r="F10">
        <v>1810</v>
      </c>
      <c r="G10" t="s">
        <v>8</v>
      </c>
      <c r="H10">
        <v>201</v>
      </c>
      <c r="I10">
        <v>73</v>
      </c>
      <c r="J10">
        <v>438</v>
      </c>
      <c r="K10">
        <v>163</v>
      </c>
      <c r="L10">
        <v>174</v>
      </c>
      <c r="M10">
        <v>0</v>
      </c>
      <c r="N10">
        <v>8</v>
      </c>
      <c r="O10">
        <v>201</v>
      </c>
      <c r="P10">
        <v>46</v>
      </c>
      <c r="Q10">
        <v>72</v>
      </c>
      <c r="R10">
        <v>199</v>
      </c>
      <c r="S10" s="6">
        <v>1.1499999999999999</v>
      </c>
      <c r="T10" s="6">
        <v>1.35</v>
      </c>
    </row>
    <row r="11" spans="1:20" x14ac:dyDescent="0.3">
      <c r="A11">
        <v>8</v>
      </c>
      <c r="B11" t="s">
        <v>417</v>
      </c>
      <c r="C11" t="s">
        <v>646</v>
      </c>
      <c r="D11" t="s">
        <v>641</v>
      </c>
      <c r="E11" t="s">
        <v>657</v>
      </c>
      <c r="F11">
        <v>1774</v>
      </c>
      <c r="G11" t="s">
        <v>8</v>
      </c>
      <c r="H11">
        <v>196</v>
      </c>
      <c r="I11">
        <v>72</v>
      </c>
      <c r="J11">
        <v>429</v>
      </c>
      <c r="K11">
        <v>163</v>
      </c>
      <c r="L11">
        <v>171</v>
      </c>
      <c r="M11">
        <v>0</v>
      </c>
      <c r="N11">
        <v>7</v>
      </c>
      <c r="O11">
        <v>192</v>
      </c>
      <c r="P11">
        <v>46</v>
      </c>
      <c r="Q11">
        <v>72</v>
      </c>
      <c r="R11">
        <v>199</v>
      </c>
      <c r="S11" s="6">
        <v>1.1499999999999999</v>
      </c>
      <c r="T11" s="6">
        <v>1.35</v>
      </c>
    </row>
    <row r="12" spans="1:20" x14ac:dyDescent="0.3">
      <c r="A12">
        <v>9</v>
      </c>
      <c r="B12" t="s">
        <v>418</v>
      </c>
      <c r="C12" t="s">
        <v>646</v>
      </c>
      <c r="D12" t="s">
        <v>641</v>
      </c>
      <c r="E12" t="s">
        <v>657</v>
      </c>
      <c r="F12">
        <v>1724</v>
      </c>
      <c r="G12" t="s">
        <v>8</v>
      </c>
      <c r="H12">
        <v>196</v>
      </c>
      <c r="I12">
        <v>72</v>
      </c>
      <c r="J12">
        <v>429</v>
      </c>
      <c r="K12">
        <v>162</v>
      </c>
      <c r="L12">
        <v>171</v>
      </c>
      <c r="M12">
        <v>0</v>
      </c>
      <c r="N12">
        <v>7</v>
      </c>
      <c r="O12">
        <v>192</v>
      </c>
      <c r="P12">
        <v>43</v>
      </c>
      <c r="Q12">
        <v>69</v>
      </c>
      <c r="R12">
        <v>199</v>
      </c>
      <c r="S12" s="6">
        <v>1.1499999999999999</v>
      </c>
      <c r="T12" s="6">
        <v>1.35</v>
      </c>
    </row>
    <row r="13" spans="1:20" x14ac:dyDescent="0.3">
      <c r="A13">
        <v>10</v>
      </c>
      <c r="B13" t="s">
        <v>419</v>
      </c>
      <c r="C13" t="s">
        <v>646</v>
      </c>
      <c r="D13" t="s">
        <v>639</v>
      </c>
      <c r="E13" t="s">
        <v>657</v>
      </c>
      <c r="F13">
        <v>1809</v>
      </c>
      <c r="G13" t="s">
        <v>8</v>
      </c>
      <c r="H13">
        <v>207</v>
      </c>
      <c r="I13">
        <v>76</v>
      </c>
      <c r="J13">
        <v>448</v>
      </c>
      <c r="K13">
        <v>198</v>
      </c>
      <c r="L13">
        <v>178</v>
      </c>
      <c r="M13">
        <v>0</v>
      </c>
      <c r="N13">
        <v>9</v>
      </c>
      <c r="O13">
        <v>202</v>
      </c>
      <c r="P13">
        <v>43</v>
      </c>
      <c r="Q13">
        <v>69</v>
      </c>
      <c r="R13">
        <v>199</v>
      </c>
      <c r="S13" s="6">
        <v>1.1499999999999999</v>
      </c>
      <c r="T13" s="6">
        <v>1.4</v>
      </c>
    </row>
    <row r="14" spans="1:20" x14ac:dyDescent="0.3">
      <c r="A14">
        <v>11</v>
      </c>
      <c r="B14" t="s">
        <v>420</v>
      </c>
      <c r="C14" t="s">
        <v>646</v>
      </c>
      <c r="D14" t="s">
        <v>640</v>
      </c>
      <c r="E14" t="s">
        <v>657</v>
      </c>
      <c r="F14">
        <v>2077</v>
      </c>
      <c r="G14" t="s">
        <v>8</v>
      </c>
      <c r="H14">
        <v>196</v>
      </c>
      <c r="I14">
        <v>85</v>
      </c>
      <c r="J14">
        <v>283</v>
      </c>
      <c r="K14">
        <v>160</v>
      </c>
      <c r="L14">
        <v>172</v>
      </c>
      <c r="M14">
        <v>0</v>
      </c>
      <c r="N14">
        <v>8</v>
      </c>
      <c r="O14">
        <v>206</v>
      </c>
      <c r="P14">
        <v>43</v>
      </c>
      <c r="Q14">
        <v>73</v>
      </c>
      <c r="R14">
        <v>194</v>
      </c>
      <c r="S14" s="6">
        <v>1.2</v>
      </c>
      <c r="T14" s="6">
        <v>1.3</v>
      </c>
    </row>
    <row r="15" spans="1:20" x14ac:dyDescent="0.3">
      <c r="A15">
        <v>13</v>
      </c>
      <c r="B15" t="s">
        <v>421</v>
      </c>
      <c r="C15" t="s">
        <v>646</v>
      </c>
      <c r="D15" t="s">
        <v>639</v>
      </c>
      <c r="E15" t="s">
        <v>657</v>
      </c>
      <c r="F15">
        <v>2112</v>
      </c>
      <c r="G15" t="s">
        <v>8</v>
      </c>
      <c r="H15">
        <v>215</v>
      </c>
      <c r="I15">
        <v>87</v>
      </c>
      <c r="J15">
        <v>291</v>
      </c>
      <c r="K15">
        <v>158</v>
      </c>
      <c r="L15">
        <v>178</v>
      </c>
      <c r="M15">
        <v>0</v>
      </c>
      <c r="N15">
        <v>9</v>
      </c>
      <c r="O15">
        <v>212</v>
      </c>
      <c r="P15">
        <v>42</v>
      </c>
      <c r="Q15">
        <v>82</v>
      </c>
      <c r="R15">
        <v>213</v>
      </c>
      <c r="S15" s="6">
        <v>1.25</v>
      </c>
      <c r="T15" s="6">
        <v>1.3</v>
      </c>
    </row>
    <row r="16" spans="1:20" x14ac:dyDescent="0.3">
      <c r="A16">
        <v>14</v>
      </c>
      <c r="B16" t="s">
        <v>422</v>
      </c>
      <c r="C16" t="s">
        <v>646</v>
      </c>
      <c r="D16" t="s">
        <v>640</v>
      </c>
      <c r="E16" t="s">
        <v>657</v>
      </c>
      <c r="F16">
        <v>2037</v>
      </c>
      <c r="G16" t="s">
        <v>8</v>
      </c>
      <c r="H16">
        <v>209</v>
      </c>
      <c r="I16">
        <v>85</v>
      </c>
      <c r="J16">
        <v>283</v>
      </c>
      <c r="K16">
        <v>158</v>
      </c>
      <c r="L16">
        <v>172</v>
      </c>
      <c r="M16">
        <v>0</v>
      </c>
      <c r="N16">
        <v>8</v>
      </c>
      <c r="O16">
        <v>206</v>
      </c>
      <c r="P16">
        <v>42</v>
      </c>
      <c r="Q16">
        <v>65</v>
      </c>
      <c r="R16">
        <v>203</v>
      </c>
      <c r="S16" s="6">
        <v>1.2</v>
      </c>
      <c r="T16" s="6">
        <v>1.3</v>
      </c>
    </row>
    <row r="17" spans="1:20" x14ac:dyDescent="0.3">
      <c r="A17">
        <v>15</v>
      </c>
      <c r="B17" t="s">
        <v>423</v>
      </c>
      <c r="C17" t="s">
        <v>646</v>
      </c>
      <c r="D17" t="s">
        <v>641</v>
      </c>
      <c r="E17" t="s">
        <v>657</v>
      </c>
      <c r="F17">
        <v>1998</v>
      </c>
      <c r="G17" t="s">
        <v>8</v>
      </c>
      <c r="H17">
        <v>204</v>
      </c>
      <c r="I17">
        <v>82</v>
      </c>
      <c r="J17">
        <v>279</v>
      </c>
      <c r="K17">
        <v>158</v>
      </c>
      <c r="L17">
        <v>171</v>
      </c>
      <c r="M17">
        <v>0</v>
      </c>
      <c r="N17">
        <v>7</v>
      </c>
      <c r="O17">
        <v>202</v>
      </c>
      <c r="P17">
        <v>42</v>
      </c>
      <c r="Q17">
        <v>62</v>
      </c>
      <c r="R17">
        <v>203</v>
      </c>
      <c r="S17" s="6">
        <v>1.2</v>
      </c>
      <c r="T17" s="6">
        <v>1.3</v>
      </c>
    </row>
    <row r="18" spans="1:20" x14ac:dyDescent="0.3">
      <c r="A18">
        <v>16</v>
      </c>
      <c r="B18" t="s">
        <v>424</v>
      </c>
      <c r="C18" t="s">
        <v>646</v>
      </c>
      <c r="D18" t="s">
        <v>641</v>
      </c>
      <c r="E18" t="s">
        <v>657</v>
      </c>
      <c r="F18">
        <v>1998</v>
      </c>
      <c r="G18" t="s">
        <v>8</v>
      </c>
      <c r="H18">
        <v>196</v>
      </c>
      <c r="I18">
        <v>82</v>
      </c>
      <c r="J18">
        <v>279</v>
      </c>
      <c r="K18">
        <v>158</v>
      </c>
      <c r="L18">
        <v>171</v>
      </c>
      <c r="M18">
        <v>0</v>
      </c>
      <c r="N18">
        <v>7</v>
      </c>
      <c r="O18">
        <v>202</v>
      </c>
      <c r="P18">
        <v>42</v>
      </c>
      <c r="Q18">
        <v>67</v>
      </c>
      <c r="R18">
        <v>203</v>
      </c>
      <c r="S18" s="6">
        <v>1.2</v>
      </c>
      <c r="T18" s="6">
        <v>1.3</v>
      </c>
    </row>
    <row r="19" spans="1:20" x14ac:dyDescent="0.3">
      <c r="A19">
        <v>17</v>
      </c>
      <c r="B19" t="s">
        <v>425</v>
      </c>
      <c r="C19" t="s">
        <v>646</v>
      </c>
      <c r="D19" t="s">
        <v>641</v>
      </c>
      <c r="E19" t="s">
        <v>657</v>
      </c>
      <c r="F19">
        <v>1998</v>
      </c>
      <c r="G19" t="s">
        <v>8</v>
      </c>
      <c r="H19">
        <v>196</v>
      </c>
      <c r="I19">
        <v>82</v>
      </c>
      <c r="J19">
        <v>279</v>
      </c>
      <c r="K19">
        <v>158</v>
      </c>
      <c r="L19">
        <v>171</v>
      </c>
      <c r="M19">
        <v>0</v>
      </c>
      <c r="N19">
        <v>7</v>
      </c>
      <c r="O19">
        <v>202</v>
      </c>
      <c r="P19">
        <v>42</v>
      </c>
      <c r="Q19">
        <v>20</v>
      </c>
      <c r="R19">
        <v>203</v>
      </c>
      <c r="S19" s="6">
        <v>1.2</v>
      </c>
      <c r="T19" s="6">
        <v>1.3</v>
      </c>
    </row>
    <row r="20" spans="1:20" x14ac:dyDescent="0.3">
      <c r="A20">
        <v>18</v>
      </c>
      <c r="B20" t="s">
        <v>426</v>
      </c>
      <c r="C20" t="s">
        <v>646</v>
      </c>
      <c r="D20" t="s">
        <v>640</v>
      </c>
      <c r="E20" t="s">
        <v>657</v>
      </c>
      <c r="F20">
        <v>1826</v>
      </c>
      <c r="G20" t="s">
        <v>8</v>
      </c>
      <c r="H20">
        <v>204</v>
      </c>
      <c r="I20">
        <v>87</v>
      </c>
      <c r="J20">
        <v>320</v>
      </c>
      <c r="K20">
        <v>163</v>
      </c>
      <c r="L20">
        <v>172</v>
      </c>
      <c r="M20">
        <v>0</v>
      </c>
      <c r="N20">
        <v>8</v>
      </c>
      <c r="O20">
        <v>193</v>
      </c>
      <c r="P20">
        <v>45</v>
      </c>
      <c r="Q20">
        <v>72</v>
      </c>
      <c r="R20">
        <v>189</v>
      </c>
      <c r="S20" s="6">
        <v>1.3</v>
      </c>
      <c r="T20" s="6">
        <v>1.3</v>
      </c>
    </row>
    <row r="21" spans="1:20" x14ac:dyDescent="0.3">
      <c r="A21">
        <v>19</v>
      </c>
      <c r="B21" t="s">
        <v>317</v>
      </c>
      <c r="C21" t="s">
        <v>646</v>
      </c>
      <c r="D21" t="s">
        <v>639</v>
      </c>
      <c r="E21" t="s">
        <v>657</v>
      </c>
      <c r="F21">
        <v>1980</v>
      </c>
      <c r="G21" t="s">
        <v>8</v>
      </c>
      <c r="H21">
        <v>220</v>
      </c>
      <c r="I21">
        <v>101</v>
      </c>
      <c r="J21">
        <v>302</v>
      </c>
      <c r="K21">
        <v>163</v>
      </c>
      <c r="L21">
        <v>176</v>
      </c>
      <c r="M21">
        <v>0</v>
      </c>
      <c r="N21">
        <v>9</v>
      </c>
      <c r="O21">
        <v>199</v>
      </c>
      <c r="P21">
        <v>45</v>
      </c>
      <c r="Q21">
        <v>18</v>
      </c>
      <c r="R21">
        <v>210</v>
      </c>
      <c r="S21" s="6">
        <v>1.4</v>
      </c>
      <c r="T21" s="6">
        <v>1.25</v>
      </c>
    </row>
    <row r="22" spans="1:20" x14ac:dyDescent="0.3">
      <c r="A22">
        <v>26</v>
      </c>
      <c r="B22" t="s">
        <v>427</v>
      </c>
      <c r="C22" t="s">
        <v>646</v>
      </c>
      <c r="D22" t="s">
        <v>640</v>
      </c>
      <c r="E22" t="s">
        <v>657</v>
      </c>
      <c r="F22">
        <v>1815</v>
      </c>
      <c r="G22" t="s">
        <v>8</v>
      </c>
      <c r="H22">
        <v>204</v>
      </c>
      <c r="I22">
        <v>81</v>
      </c>
      <c r="J22">
        <v>286</v>
      </c>
      <c r="K22">
        <v>160</v>
      </c>
      <c r="L22">
        <v>172</v>
      </c>
      <c r="M22">
        <v>0</v>
      </c>
      <c r="N22">
        <v>8</v>
      </c>
      <c r="O22">
        <v>208</v>
      </c>
      <c r="P22">
        <v>42</v>
      </c>
      <c r="Q22">
        <v>45</v>
      </c>
      <c r="R22">
        <v>183</v>
      </c>
      <c r="S22" s="6">
        <v>1.2</v>
      </c>
      <c r="T22" s="6">
        <v>1.3</v>
      </c>
    </row>
    <row r="23" spans="1:20" x14ac:dyDescent="0.3">
      <c r="A23">
        <v>27</v>
      </c>
      <c r="B23" t="s">
        <v>357</v>
      </c>
      <c r="C23" t="s">
        <v>646</v>
      </c>
      <c r="D23" t="s">
        <v>640</v>
      </c>
      <c r="E23" t="s">
        <v>657</v>
      </c>
      <c r="F23">
        <v>1815</v>
      </c>
      <c r="G23" t="s">
        <v>8</v>
      </c>
      <c r="H23">
        <v>204</v>
      </c>
      <c r="I23">
        <v>81</v>
      </c>
      <c r="J23">
        <v>286</v>
      </c>
      <c r="K23">
        <v>160</v>
      </c>
      <c r="L23">
        <v>172</v>
      </c>
      <c r="M23">
        <v>0</v>
      </c>
      <c r="N23">
        <v>8</v>
      </c>
      <c r="O23">
        <v>208</v>
      </c>
      <c r="P23">
        <v>42</v>
      </c>
      <c r="Q23">
        <v>47</v>
      </c>
      <c r="R23">
        <v>183</v>
      </c>
      <c r="S23" s="6">
        <v>1.2</v>
      </c>
      <c r="T23" s="6">
        <v>1.3</v>
      </c>
    </row>
    <row r="24" spans="1:20" x14ac:dyDescent="0.3">
      <c r="A24">
        <v>28</v>
      </c>
      <c r="B24" t="s">
        <v>428</v>
      </c>
      <c r="C24" t="s">
        <v>646</v>
      </c>
      <c r="D24" t="s">
        <v>642</v>
      </c>
      <c r="E24" t="s">
        <v>657</v>
      </c>
      <c r="F24">
        <v>1720</v>
      </c>
      <c r="G24" t="s">
        <v>8</v>
      </c>
      <c r="H24">
        <v>231</v>
      </c>
      <c r="I24">
        <v>81</v>
      </c>
      <c r="J24">
        <v>381</v>
      </c>
      <c r="K24">
        <v>211</v>
      </c>
      <c r="L24">
        <v>183</v>
      </c>
      <c r="M24">
        <v>0</v>
      </c>
      <c r="N24">
        <v>10</v>
      </c>
      <c r="O24">
        <v>226</v>
      </c>
      <c r="P24">
        <v>25</v>
      </c>
      <c r="Q24">
        <v>75</v>
      </c>
      <c r="R24">
        <v>199</v>
      </c>
      <c r="S24" s="6">
        <v>1.1499999999999999</v>
      </c>
      <c r="T24" s="6">
        <v>1.3</v>
      </c>
    </row>
    <row r="25" spans="1:20" x14ac:dyDescent="0.3">
      <c r="A25">
        <v>81</v>
      </c>
      <c r="B25" t="s">
        <v>429</v>
      </c>
      <c r="C25" t="s">
        <v>647</v>
      </c>
      <c r="D25" t="s">
        <v>640</v>
      </c>
      <c r="E25" t="s">
        <v>657</v>
      </c>
      <c r="F25">
        <v>1370</v>
      </c>
      <c r="G25" t="s">
        <v>8</v>
      </c>
      <c r="H25">
        <v>192</v>
      </c>
      <c r="I25">
        <v>65</v>
      </c>
      <c r="J25">
        <v>360</v>
      </c>
      <c r="K25">
        <v>211</v>
      </c>
      <c r="L25">
        <v>154</v>
      </c>
      <c r="M25">
        <v>0</v>
      </c>
      <c r="N25">
        <v>8</v>
      </c>
      <c r="O25">
        <v>176</v>
      </c>
      <c r="P25">
        <v>44</v>
      </c>
      <c r="Q25">
        <v>72</v>
      </c>
      <c r="R25">
        <v>191</v>
      </c>
      <c r="S25" s="6">
        <v>1.2</v>
      </c>
      <c r="T25" s="6">
        <v>1.35</v>
      </c>
    </row>
    <row r="26" spans="1:20" x14ac:dyDescent="0.3">
      <c r="A26">
        <v>82</v>
      </c>
      <c r="B26" t="s">
        <v>370</v>
      </c>
      <c r="C26" t="s">
        <v>647</v>
      </c>
      <c r="D26" t="s">
        <v>640</v>
      </c>
      <c r="E26" t="s">
        <v>657</v>
      </c>
      <c r="F26">
        <v>1370</v>
      </c>
      <c r="G26" t="s">
        <v>8</v>
      </c>
      <c r="H26">
        <v>193</v>
      </c>
      <c r="I26">
        <v>68</v>
      </c>
      <c r="J26">
        <v>360</v>
      </c>
      <c r="K26">
        <v>209</v>
      </c>
      <c r="L26">
        <v>154</v>
      </c>
      <c r="M26">
        <v>0</v>
      </c>
      <c r="N26">
        <v>8</v>
      </c>
      <c r="O26">
        <v>173</v>
      </c>
      <c r="P26">
        <v>42</v>
      </c>
      <c r="Q26">
        <v>43</v>
      </c>
      <c r="R26">
        <v>177</v>
      </c>
      <c r="S26" s="6">
        <v>1.1499999999999999</v>
      </c>
      <c r="T26" s="6">
        <v>1.45</v>
      </c>
    </row>
    <row r="27" spans="1:20" x14ac:dyDescent="0.3">
      <c r="A27">
        <v>83</v>
      </c>
      <c r="B27" t="s">
        <v>371</v>
      </c>
      <c r="C27" t="s">
        <v>647</v>
      </c>
      <c r="D27" t="s">
        <v>640</v>
      </c>
      <c r="E27" t="s">
        <v>657</v>
      </c>
      <c r="F27">
        <v>1370</v>
      </c>
      <c r="G27" t="s">
        <v>8</v>
      </c>
      <c r="H27">
        <v>193</v>
      </c>
      <c r="I27">
        <v>68</v>
      </c>
      <c r="J27">
        <v>360</v>
      </c>
      <c r="K27">
        <v>209</v>
      </c>
      <c r="L27">
        <v>154</v>
      </c>
      <c r="M27">
        <v>0</v>
      </c>
      <c r="N27">
        <v>8</v>
      </c>
      <c r="O27">
        <v>173</v>
      </c>
      <c r="P27">
        <v>42</v>
      </c>
      <c r="Q27">
        <v>35</v>
      </c>
      <c r="R27">
        <v>177</v>
      </c>
      <c r="S27" s="6">
        <v>1.2</v>
      </c>
      <c r="T27" s="6">
        <v>1.4</v>
      </c>
    </row>
    <row r="28" spans="1:20" x14ac:dyDescent="0.3">
      <c r="A28">
        <v>86</v>
      </c>
      <c r="B28" t="s">
        <v>430</v>
      </c>
      <c r="C28" t="s">
        <v>647</v>
      </c>
      <c r="D28" t="s">
        <v>641</v>
      </c>
      <c r="E28" t="s">
        <v>657</v>
      </c>
      <c r="F28">
        <v>1349</v>
      </c>
      <c r="G28" t="s">
        <v>8</v>
      </c>
      <c r="H28">
        <v>190</v>
      </c>
      <c r="I28">
        <v>65</v>
      </c>
      <c r="J28">
        <v>354</v>
      </c>
      <c r="K28">
        <v>209</v>
      </c>
      <c r="L28">
        <v>150</v>
      </c>
      <c r="M28">
        <v>0</v>
      </c>
      <c r="N28">
        <v>7</v>
      </c>
      <c r="O28">
        <v>192</v>
      </c>
      <c r="P28">
        <v>42</v>
      </c>
      <c r="Q28">
        <v>71</v>
      </c>
      <c r="R28">
        <v>180</v>
      </c>
      <c r="S28" s="6">
        <v>1.2</v>
      </c>
      <c r="T28" s="6">
        <v>1.35</v>
      </c>
    </row>
    <row r="29" spans="1:20" x14ac:dyDescent="0.3">
      <c r="A29">
        <v>87</v>
      </c>
      <c r="B29" t="s">
        <v>431</v>
      </c>
      <c r="C29" t="s">
        <v>647</v>
      </c>
      <c r="D29" t="s">
        <v>641</v>
      </c>
      <c r="E29" t="s">
        <v>657</v>
      </c>
      <c r="F29">
        <v>1349</v>
      </c>
      <c r="G29" t="s">
        <v>8</v>
      </c>
      <c r="H29">
        <v>190</v>
      </c>
      <c r="I29">
        <v>65</v>
      </c>
      <c r="J29">
        <v>354</v>
      </c>
      <c r="K29">
        <v>209</v>
      </c>
      <c r="L29">
        <v>150</v>
      </c>
      <c r="M29">
        <v>0</v>
      </c>
      <c r="N29">
        <v>7</v>
      </c>
      <c r="O29">
        <v>197</v>
      </c>
      <c r="P29">
        <v>42</v>
      </c>
      <c r="Q29">
        <v>65</v>
      </c>
      <c r="R29">
        <v>180</v>
      </c>
      <c r="S29" s="6">
        <v>1.2</v>
      </c>
      <c r="T29" s="6">
        <v>1.35</v>
      </c>
    </row>
    <row r="30" spans="1:20" x14ac:dyDescent="0.3">
      <c r="A30">
        <v>88</v>
      </c>
      <c r="B30" t="s">
        <v>372</v>
      </c>
      <c r="C30" t="s">
        <v>647</v>
      </c>
      <c r="D30" t="s">
        <v>641</v>
      </c>
      <c r="E30" t="s">
        <v>657</v>
      </c>
      <c r="F30">
        <v>1359</v>
      </c>
      <c r="G30" t="s">
        <v>8</v>
      </c>
      <c r="H30">
        <v>190</v>
      </c>
      <c r="I30">
        <v>68</v>
      </c>
      <c r="J30">
        <v>350</v>
      </c>
      <c r="K30">
        <v>210</v>
      </c>
      <c r="L30">
        <v>150</v>
      </c>
      <c r="M30">
        <v>0</v>
      </c>
      <c r="N30">
        <v>7</v>
      </c>
      <c r="O30">
        <v>206</v>
      </c>
      <c r="P30">
        <v>43</v>
      </c>
      <c r="Q30">
        <v>54</v>
      </c>
      <c r="R30">
        <v>183</v>
      </c>
      <c r="S30" s="6">
        <v>1.2</v>
      </c>
      <c r="T30" s="6">
        <v>1.35</v>
      </c>
    </row>
    <row r="31" spans="1:20" x14ac:dyDescent="0.3">
      <c r="A31">
        <v>89</v>
      </c>
      <c r="B31" t="s">
        <v>373</v>
      </c>
      <c r="C31" t="s">
        <v>647</v>
      </c>
      <c r="D31" t="s">
        <v>641</v>
      </c>
      <c r="E31" t="s">
        <v>657</v>
      </c>
      <c r="F31">
        <v>1359</v>
      </c>
      <c r="G31" t="s">
        <v>8</v>
      </c>
      <c r="H31">
        <v>190</v>
      </c>
      <c r="I31">
        <v>68</v>
      </c>
      <c r="J31">
        <v>350</v>
      </c>
      <c r="K31">
        <v>210</v>
      </c>
      <c r="L31">
        <v>150</v>
      </c>
      <c r="M31">
        <v>0</v>
      </c>
      <c r="N31">
        <v>7</v>
      </c>
      <c r="O31">
        <v>206</v>
      </c>
      <c r="P31">
        <v>43</v>
      </c>
      <c r="Q31">
        <v>35</v>
      </c>
      <c r="R31">
        <v>183</v>
      </c>
      <c r="S31" s="6">
        <v>1.2</v>
      </c>
      <c r="T31" s="6">
        <v>1.35</v>
      </c>
    </row>
    <row r="32" spans="1:20" x14ac:dyDescent="0.3">
      <c r="A32">
        <v>90</v>
      </c>
      <c r="B32" t="s">
        <v>374</v>
      </c>
      <c r="C32" t="s">
        <v>647</v>
      </c>
      <c r="D32" t="s">
        <v>641</v>
      </c>
      <c r="E32" t="s">
        <v>657</v>
      </c>
      <c r="F32">
        <v>1359</v>
      </c>
      <c r="G32" t="s">
        <v>8</v>
      </c>
      <c r="H32">
        <v>190</v>
      </c>
      <c r="I32">
        <v>68</v>
      </c>
      <c r="J32">
        <v>350</v>
      </c>
      <c r="K32">
        <v>210</v>
      </c>
      <c r="L32">
        <v>150</v>
      </c>
      <c r="M32">
        <v>0</v>
      </c>
      <c r="N32">
        <v>7</v>
      </c>
      <c r="O32">
        <v>210</v>
      </c>
      <c r="P32">
        <v>43</v>
      </c>
      <c r="Q32">
        <v>72</v>
      </c>
      <c r="R32">
        <v>183</v>
      </c>
      <c r="S32" s="6">
        <v>1.2</v>
      </c>
      <c r="T32" s="6">
        <v>1.35</v>
      </c>
    </row>
    <row r="33" spans="1:20" x14ac:dyDescent="0.3">
      <c r="A33">
        <v>91</v>
      </c>
      <c r="B33" t="s">
        <v>375</v>
      </c>
      <c r="C33" t="s">
        <v>647</v>
      </c>
      <c r="D33" t="s">
        <v>641</v>
      </c>
      <c r="E33" t="s">
        <v>657</v>
      </c>
      <c r="F33">
        <v>1373</v>
      </c>
      <c r="G33" t="s">
        <v>8</v>
      </c>
      <c r="H33">
        <v>192</v>
      </c>
      <c r="I33">
        <v>71</v>
      </c>
      <c r="J33">
        <v>350</v>
      </c>
      <c r="K33">
        <v>209</v>
      </c>
      <c r="L33">
        <v>150</v>
      </c>
      <c r="M33">
        <v>0</v>
      </c>
      <c r="N33">
        <v>7</v>
      </c>
      <c r="O33">
        <v>213</v>
      </c>
      <c r="P33">
        <v>42</v>
      </c>
      <c r="Q33">
        <v>68</v>
      </c>
      <c r="R33">
        <v>185</v>
      </c>
      <c r="S33" s="6">
        <v>1.2</v>
      </c>
      <c r="T33" s="6">
        <v>1.35</v>
      </c>
    </row>
    <row r="34" spans="1:20" x14ac:dyDescent="0.3">
      <c r="A34">
        <v>92</v>
      </c>
      <c r="B34" t="s">
        <v>376</v>
      </c>
      <c r="C34" t="s">
        <v>647</v>
      </c>
      <c r="D34" t="s">
        <v>640</v>
      </c>
      <c r="E34" t="s">
        <v>657</v>
      </c>
      <c r="F34">
        <v>1402</v>
      </c>
      <c r="G34" t="s">
        <v>8</v>
      </c>
      <c r="H34">
        <v>195</v>
      </c>
      <c r="I34">
        <v>72</v>
      </c>
      <c r="J34">
        <v>357</v>
      </c>
      <c r="K34">
        <v>209</v>
      </c>
      <c r="L34">
        <v>154</v>
      </c>
      <c r="M34">
        <v>0</v>
      </c>
      <c r="N34">
        <v>8</v>
      </c>
      <c r="O34">
        <v>218</v>
      </c>
      <c r="P34">
        <v>42</v>
      </c>
      <c r="Q34">
        <v>68</v>
      </c>
      <c r="R34">
        <v>185</v>
      </c>
      <c r="S34" s="6">
        <v>1.2</v>
      </c>
      <c r="T34" s="6">
        <v>1.35</v>
      </c>
    </row>
    <row r="35" spans="1:20" x14ac:dyDescent="0.3">
      <c r="A35">
        <v>93</v>
      </c>
      <c r="B35" t="s">
        <v>432</v>
      </c>
      <c r="C35" t="s">
        <v>647</v>
      </c>
      <c r="D35" t="s">
        <v>639</v>
      </c>
      <c r="E35" t="s">
        <v>657</v>
      </c>
      <c r="F35">
        <v>1518</v>
      </c>
      <c r="G35" t="s">
        <v>8</v>
      </c>
      <c r="H35">
        <v>201</v>
      </c>
      <c r="I35">
        <v>85</v>
      </c>
      <c r="J35">
        <v>346</v>
      </c>
      <c r="K35">
        <v>210</v>
      </c>
      <c r="L35">
        <v>164</v>
      </c>
      <c r="M35">
        <v>0</v>
      </c>
      <c r="N35">
        <v>9</v>
      </c>
      <c r="O35">
        <v>215</v>
      </c>
      <c r="P35">
        <v>43</v>
      </c>
      <c r="Q35">
        <v>32</v>
      </c>
      <c r="R35">
        <v>184</v>
      </c>
      <c r="S35" s="6">
        <v>1.35</v>
      </c>
      <c r="T35" s="6">
        <v>1.3</v>
      </c>
    </row>
    <row r="36" spans="1:20" x14ac:dyDescent="0.3">
      <c r="A36">
        <v>94</v>
      </c>
      <c r="B36" t="s">
        <v>433</v>
      </c>
      <c r="C36" t="s">
        <v>647</v>
      </c>
      <c r="D36" t="s">
        <v>639</v>
      </c>
      <c r="E36" t="s">
        <v>657</v>
      </c>
      <c r="F36">
        <v>1412</v>
      </c>
      <c r="G36" t="s">
        <v>8</v>
      </c>
      <c r="H36">
        <v>201</v>
      </c>
      <c r="I36">
        <v>79</v>
      </c>
      <c r="J36">
        <v>370</v>
      </c>
      <c r="K36">
        <v>210</v>
      </c>
      <c r="L36">
        <v>164</v>
      </c>
      <c r="M36">
        <v>0</v>
      </c>
      <c r="N36">
        <v>9</v>
      </c>
      <c r="O36">
        <v>215</v>
      </c>
      <c r="P36">
        <v>43</v>
      </c>
      <c r="Q36">
        <v>36</v>
      </c>
      <c r="R36">
        <v>191</v>
      </c>
      <c r="S36" s="6">
        <v>1.3</v>
      </c>
      <c r="T36" s="6">
        <v>1.35</v>
      </c>
    </row>
    <row r="37" spans="1:20" x14ac:dyDescent="0.3">
      <c r="A37">
        <v>101</v>
      </c>
      <c r="B37" t="s">
        <v>377</v>
      </c>
      <c r="C37" t="s">
        <v>647</v>
      </c>
      <c r="D37" t="s">
        <v>639</v>
      </c>
      <c r="E37" t="s">
        <v>657</v>
      </c>
      <c r="F37">
        <v>1581</v>
      </c>
      <c r="G37" t="s">
        <v>8</v>
      </c>
      <c r="H37">
        <v>207</v>
      </c>
      <c r="I37">
        <v>80</v>
      </c>
      <c r="J37">
        <v>374</v>
      </c>
      <c r="K37">
        <v>210</v>
      </c>
      <c r="L37">
        <v>160</v>
      </c>
      <c r="M37">
        <v>0</v>
      </c>
      <c r="N37">
        <v>9</v>
      </c>
      <c r="O37">
        <v>215</v>
      </c>
      <c r="P37">
        <v>43</v>
      </c>
      <c r="Q37">
        <v>65</v>
      </c>
      <c r="R37">
        <v>200</v>
      </c>
      <c r="S37" s="6">
        <v>1.2</v>
      </c>
      <c r="T37" s="6">
        <v>1.4</v>
      </c>
    </row>
    <row r="38" spans="1:20" x14ac:dyDescent="0.3">
      <c r="A38">
        <v>102</v>
      </c>
      <c r="B38" t="s">
        <v>434</v>
      </c>
      <c r="C38" t="s">
        <v>647</v>
      </c>
      <c r="D38" t="s">
        <v>640</v>
      </c>
      <c r="E38" t="s">
        <v>657</v>
      </c>
      <c r="F38">
        <v>1536</v>
      </c>
      <c r="G38" t="s">
        <v>8</v>
      </c>
      <c r="H38">
        <v>201</v>
      </c>
      <c r="I38">
        <v>76</v>
      </c>
      <c r="J38">
        <v>364</v>
      </c>
      <c r="K38">
        <v>210</v>
      </c>
      <c r="L38">
        <v>156</v>
      </c>
      <c r="M38">
        <v>0</v>
      </c>
      <c r="N38">
        <v>8</v>
      </c>
      <c r="O38">
        <v>210</v>
      </c>
      <c r="P38">
        <v>43</v>
      </c>
      <c r="Q38">
        <v>40</v>
      </c>
      <c r="R38">
        <v>200</v>
      </c>
      <c r="S38" s="6">
        <v>1.2</v>
      </c>
      <c r="T38" s="6">
        <v>1.4</v>
      </c>
    </row>
    <row r="39" spans="1:20" x14ac:dyDescent="0.3">
      <c r="A39">
        <v>103</v>
      </c>
      <c r="B39" t="s">
        <v>435</v>
      </c>
      <c r="C39" t="s">
        <v>647</v>
      </c>
      <c r="D39" t="s">
        <v>639</v>
      </c>
      <c r="E39" t="s">
        <v>657</v>
      </c>
      <c r="F39">
        <v>1314</v>
      </c>
      <c r="G39" t="s">
        <v>8</v>
      </c>
      <c r="H39">
        <v>196</v>
      </c>
      <c r="I39">
        <v>71</v>
      </c>
      <c r="J39">
        <v>376</v>
      </c>
      <c r="K39">
        <v>195</v>
      </c>
      <c r="L39">
        <v>156</v>
      </c>
      <c r="M39">
        <v>0</v>
      </c>
      <c r="N39">
        <v>9</v>
      </c>
      <c r="O39">
        <v>207</v>
      </c>
      <c r="P39">
        <v>40</v>
      </c>
      <c r="Q39">
        <v>42</v>
      </c>
      <c r="R39">
        <v>171</v>
      </c>
      <c r="S39" s="6">
        <v>1.1499999999999999</v>
      </c>
      <c r="T39" s="6">
        <v>1.45</v>
      </c>
    </row>
    <row r="40" spans="1:20" x14ac:dyDescent="0.3">
      <c r="A40">
        <v>151</v>
      </c>
      <c r="B40" t="s">
        <v>436</v>
      </c>
      <c r="C40" t="s">
        <v>648</v>
      </c>
      <c r="D40" t="s">
        <v>639</v>
      </c>
      <c r="E40" t="s">
        <v>657</v>
      </c>
      <c r="F40">
        <v>1798</v>
      </c>
      <c r="G40" t="s">
        <v>8</v>
      </c>
      <c r="H40">
        <v>213</v>
      </c>
      <c r="I40">
        <v>62</v>
      </c>
      <c r="J40">
        <v>508</v>
      </c>
      <c r="K40">
        <v>191</v>
      </c>
      <c r="L40">
        <v>146</v>
      </c>
      <c r="M40">
        <v>0</v>
      </c>
      <c r="N40">
        <v>9</v>
      </c>
      <c r="O40">
        <v>195</v>
      </c>
      <c r="P40">
        <v>45</v>
      </c>
      <c r="Q40">
        <v>34</v>
      </c>
      <c r="R40">
        <v>188</v>
      </c>
      <c r="S40" s="6">
        <v>0.75</v>
      </c>
      <c r="T40" s="6">
        <v>1.6</v>
      </c>
    </row>
    <row r="41" spans="1:20" x14ac:dyDescent="0.3">
      <c r="A41">
        <v>155</v>
      </c>
      <c r="B41" t="s">
        <v>385</v>
      </c>
      <c r="C41" t="s">
        <v>648</v>
      </c>
      <c r="D41" t="s">
        <v>639</v>
      </c>
      <c r="E41" t="s">
        <v>657</v>
      </c>
      <c r="F41">
        <v>1798</v>
      </c>
      <c r="G41" t="s">
        <v>8</v>
      </c>
      <c r="H41">
        <v>213</v>
      </c>
      <c r="I41">
        <v>65</v>
      </c>
      <c r="J41">
        <v>509</v>
      </c>
      <c r="K41">
        <v>194</v>
      </c>
      <c r="L41">
        <v>146</v>
      </c>
      <c r="M41">
        <v>0</v>
      </c>
      <c r="N41">
        <v>9</v>
      </c>
      <c r="O41">
        <v>203</v>
      </c>
      <c r="P41">
        <v>45</v>
      </c>
      <c r="Q41">
        <v>36</v>
      </c>
      <c r="R41">
        <v>188</v>
      </c>
      <c r="S41" s="6">
        <v>0.8</v>
      </c>
      <c r="T41" s="6">
        <v>1.6</v>
      </c>
    </row>
    <row r="42" spans="1:20" x14ac:dyDescent="0.3">
      <c r="A42">
        <v>159</v>
      </c>
      <c r="B42" t="s">
        <v>437</v>
      </c>
      <c r="C42" t="s">
        <v>648</v>
      </c>
      <c r="D42" t="s">
        <v>640</v>
      </c>
      <c r="E42" t="s">
        <v>657</v>
      </c>
      <c r="F42">
        <v>1747</v>
      </c>
      <c r="G42" t="s">
        <v>8</v>
      </c>
      <c r="H42">
        <v>210</v>
      </c>
      <c r="I42">
        <v>60</v>
      </c>
      <c r="J42">
        <v>493</v>
      </c>
      <c r="K42">
        <v>194</v>
      </c>
      <c r="L42">
        <v>150</v>
      </c>
      <c r="M42">
        <v>0</v>
      </c>
      <c r="N42">
        <v>8</v>
      </c>
      <c r="O42">
        <v>190</v>
      </c>
      <c r="P42">
        <v>45</v>
      </c>
      <c r="Q42">
        <v>45</v>
      </c>
      <c r="R42">
        <v>183</v>
      </c>
      <c r="S42" s="6">
        <v>0.75</v>
      </c>
      <c r="T42" s="6">
        <v>1.5</v>
      </c>
    </row>
    <row r="43" spans="1:20" x14ac:dyDescent="0.3">
      <c r="A43">
        <v>161</v>
      </c>
      <c r="B43" t="s">
        <v>438</v>
      </c>
      <c r="C43" t="s">
        <v>648</v>
      </c>
      <c r="D43" t="s">
        <v>640</v>
      </c>
      <c r="E43" t="s">
        <v>657</v>
      </c>
      <c r="F43">
        <v>1747</v>
      </c>
      <c r="G43" t="s">
        <v>8</v>
      </c>
      <c r="H43">
        <v>210</v>
      </c>
      <c r="I43">
        <v>60</v>
      </c>
      <c r="J43">
        <v>493</v>
      </c>
      <c r="K43">
        <v>194</v>
      </c>
      <c r="L43">
        <v>150</v>
      </c>
      <c r="M43">
        <v>0</v>
      </c>
      <c r="N43">
        <v>8</v>
      </c>
      <c r="O43">
        <v>170</v>
      </c>
      <c r="P43">
        <v>45</v>
      </c>
      <c r="Q43">
        <v>52</v>
      </c>
      <c r="R43">
        <v>183</v>
      </c>
      <c r="S43" s="6">
        <v>0.75</v>
      </c>
      <c r="T43" s="6">
        <v>1.5</v>
      </c>
    </row>
    <row r="44" spans="1:20" x14ac:dyDescent="0.3">
      <c r="A44">
        <v>162</v>
      </c>
      <c r="B44" t="s">
        <v>439</v>
      </c>
      <c r="C44" t="s">
        <v>648</v>
      </c>
      <c r="D44" t="s">
        <v>640</v>
      </c>
      <c r="E44" t="s">
        <v>657</v>
      </c>
      <c r="F44">
        <v>1747</v>
      </c>
      <c r="G44" t="s">
        <v>8</v>
      </c>
      <c r="H44">
        <v>210</v>
      </c>
      <c r="I44">
        <v>60</v>
      </c>
      <c r="J44">
        <v>493</v>
      </c>
      <c r="K44">
        <v>194</v>
      </c>
      <c r="L44">
        <v>150</v>
      </c>
      <c r="M44">
        <v>0</v>
      </c>
      <c r="N44">
        <v>8</v>
      </c>
      <c r="O44">
        <v>170</v>
      </c>
      <c r="P44">
        <v>45</v>
      </c>
      <c r="Q44">
        <v>57</v>
      </c>
      <c r="R44">
        <v>183</v>
      </c>
      <c r="S44" s="6">
        <v>0.75</v>
      </c>
      <c r="T44" s="6">
        <v>1.5</v>
      </c>
    </row>
    <row r="45" spans="1:20" x14ac:dyDescent="0.3">
      <c r="A45">
        <v>163</v>
      </c>
      <c r="B45" t="s">
        <v>440</v>
      </c>
      <c r="C45" t="s">
        <v>648</v>
      </c>
      <c r="D45" t="s">
        <v>640</v>
      </c>
      <c r="E45" t="s">
        <v>657</v>
      </c>
      <c r="F45">
        <v>1712</v>
      </c>
      <c r="G45" t="s">
        <v>8</v>
      </c>
      <c r="H45">
        <v>196</v>
      </c>
      <c r="I45">
        <v>65</v>
      </c>
      <c r="J45">
        <v>509</v>
      </c>
      <c r="K45">
        <v>190</v>
      </c>
      <c r="L45">
        <v>150</v>
      </c>
      <c r="M45">
        <v>0</v>
      </c>
      <c r="N45">
        <v>8</v>
      </c>
      <c r="O45">
        <v>165</v>
      </c>
      <c r="P45">
        <v>40</v>
      </c>
      <c r="Q45">
        <v>41</v>
      </c>
      <c r="R45">
        <v>188</v>
      </c>
      <c r="S45" s="6">
        <v>0.75</v>
      </c>
      <c r="T45" s="6">
        <v>1.5</v>
      </c>
    </row>
    <row r="46" spans="1:20" x14ac:dyDescent="0.3">
      <c r="A46">
        <v>164</v>
      </c>
      <c r="B46" t="s">
        <v>441</v>
      </c>
      <c r="C46" t="s">
        <v>648</v>
      </c>
      <c r="D46" t="s">
        <v>642</v>
      </c>
      <c r="E46" t="s">
        <v>657</v>
      </c>
      <c r="F46">
        <v>1828</v>
      </c>
      <c r="G46" t="s">
        <v>8</v>
      </c>
      <c r="H46">
        <v>226</v>
      </c>
      <c r="I46">
        <v>70</v>
      </c>
      <c r="J46">
        <v>545</v>
      </c>
      <c r="K46">
        <v>190</v>
      </c>
      <c r="L46">
        <v>157</v>
      </c>
      <c r="M46">
        <v>0</v>
      </c>
      <c r="N46">
        <v>10</v>
      </c>
      <c r="O46">
        <v>200</v>
      </c>
      <c r="P46">
        <v>40</v>
      </c>
      <c r="Q46">
        <v>32</v>
      </c>
      <c r="R46">
        <v>197</v>
      </c>
      <c r="S46" s="6">
        <v>0.85</v>
      </c>
      <c r="T46" s="6">
        <v>1.5</v>
      </c>
    </row>
    <row r="47" spans="1:20" x14ac:dyDescent="0.3">
      <c r="A47">
        <v>165</v>
      </c>
      <c r="B47" t="s">
        <v>442</v>
      </c>
      <c r="C47" t="s">
        <v>648</v>
      </c>
      <c r="D47" t="s">
        <v>639</v>
      </c>
      <c r="E47" t="s">
        <v>657</v>
      </c>
      <c r="F47">
        <v>1763</v>
      </c>
      <c r="G47" t="s">
        <v>8</v>
      </c>
      <c r="H47">
        <v>212</v>
      </c>
      <c r="I47">
        <v>65</v>
      </c>
      <c r="J47">
        <v>524</v>
      </c>
      <c r="K47">
        <v>190</v>
      </c>
      <c r="L47">
        <v>150</v>
      </c>
      <c r="M47">
        <v>0</v>
      </c>
      <c r="N47">
        <v>9</v>
      </c>
      <c r="O47">
        <v>181</v>
      </c>
      <c r="P47">
        <v>40</v>
      </c>
      <c r="Q47">
        <v>84</v>
      </c>
      <c r="R47">
        <v>188</v>
      </c>
      <c r="S47" s="6">
        <v>0.75</v>
      </c>
      <c r="T47" s="6">
        <v>1.5</v>
      </c>
    </row>
    <row r="48" spans="1:20" x14ac:dyDescent="0.3">
      <c r="A48">
        <v>166</v>
      </c>
      <c r="B48" t="s">
        <v>443</v>
      </c>
      <c r="C48" t="s">
        <v>648</v>
      </c>
      <c r="D48" t="s">
        <v>642</v>
      </c>
      <c r="E48" t="s">
        <v>657</v>
      </c>
      <c r="F48">
        <v>2226</v>
      </c>
      <c r="G48" t="s">
        <v>8</v>
      </c>
      <c r="H48">
        <v>223</v>
      </c>
      <c r="I48">
        <v>68</v>
      </c>
      <c r="J48">
        <v>526</v>
      </c>
      <c r="K48">
        <v>192</v>
      </c>
      <c r="L48">
        <v>161</v>
      </c>
      <c r="M48">
        <v>0</v>
      </c>
      <c r="N48">
        <v>10</v>
      </c>
      <c r="O48">
        <v>210</v>
      </c>
      <c r="P48">
        <v>42</v>
      </c>
      <c r="Q48">
        <v>93</v>
      </c>
      <c r="R48">
        <v>200</v>
      </c>
      <c r="S48" s="6">
        <v>0.75</v>
      </c>
      <c r="T48" s="6">
        <v>1.5</v>
      </c>
    </row>
    <row r="49" spans="1:20" x14ac:dyDescent="0.3">
      <c r="A49">
        <v>167</v>
      </c>
      <c r="B49" t="s">
        <v>386</v>
      </c>
      <c r="C49" t="s">
        <v>648</v>
      </c>
      <c r="D49" t="s">
        <v>640</v>
      </c>
      <c r="E49" t="s">
        <v>657</v>
      </c>
      <c r="F49">
        <v>1885</v>
      </c>
      <c r="G49" t="s">
        <v>8</v>
      </c>
      <c r="H49">
        <v>201</v>
      </c>
      <c r="I49">
        <v>65</v>
      </c>
      <c r="J49">
        <v>512</v>
      </c>
      <c r="K49">
        <v>192</v>
      </c>
      <c r="L49">
        <v>150</v>
      </c>
      <c r="M49">
        <v>0</v>
      </c>
      <c r="N49">
        <v>8</v>
      </c>
      <c r="O49">
        <v>189</v>
      </c>
      <c r="P49">
        <v>42</v>
      </c>
      <c r="Q49">
        <v>25</v>
      </c>
      <c r="R49">
        <v>189</v>
      </c>
      <c r="S49" s="6">
        <v>0.75</v>
      </c>
      <c r="T49" s="6">
        <v>1.5</v>
      </c>
    </row>
    <row r="50" spans="1:20" x14ac:dyDescent="0.3">
      <c r="A50">
        <v>168</v>
      </c>
      <c r="B50" t="s">
        <v>387</v>
      </c>
      <c r="C50" t="s">
        <v>648</v>
      </c>
      <c r="D50" t="s">
        <v>641</v>
      </c>
      <c r="E50" t="s">
        <v>657</v>
      </c>
      <c r="F50">
        <v>1848</v>
      </c>
      <c r="G50" t="s">
        <v>8</v>
      </c>
      <c r="H50">
        <v>196</v>
      </c>
      <c r="I50">
        <v>63</v>
      </c>
      <c r="J50">
        <v>502</v>
      </c>
      <c r="K50">
        <v>192</v>
      </c>
      <c r="L50">
        <v>145</v>
      </c>
      <c r="M50">
        <v>0</v>
      </c>
      <c r="N50">
        <v>7</v>
      </c>
      <c r="O50">
        <v>173</v>
      </c>
      <c r="P50">
        <v>42</v>
      </c>
      <c r="Q50">
        <v>25</v>
      </c>
      <c r="R50">
        <v>189</v>
      </c>
      <c r="S50" s="6">
        <v>0.75</v>
      </c>
      <c r="T50" s="6">
        <v>1.5</v>
      </c>
    </row>
    <row r="51" spans="1:20" x14ac:dyDescent="0.3">
      <c r="A51">
        <v>170</v>
      </c>
      <c r="B51" t="s">
        <v>444</v>
      </c>
      <c r="C51" t="s">
        <v>648</v>
      </c>
      <c r="D51" t="s">
        <v>639</v>
      </c>
      <c r="E51" t="s">
        <v>657</v>
      </c>
      <c r="F51">
        <v>2145</v>
      </c>
      <c r="G51" t="s">
        <v>8</v>
      </c>
      <c r="H51">
        <v>210</v>
      </c>
      <c r="I51">
        <v>65</v>
      </c>
      <c r="J51">
        <v>526</v>
      </c>
      <c r="K51">
        <v>191</v>
      </c>
      <c r="L51">
        <v>154</v>
      </c>
      <c r="M51">
        <v>0</v>
      </c>
      <c r="N51">
        <v>9</v>
      </c>
      <c r="O51">
        <v>192</v>
      </c>
      <c r="P51">
        <v>42</v>
      </c>
      <c r="Q51">
        <v>72</v>
      </c>
      <c r="R51">
        <v>197</v>
      </c>
      <c r="S51" s="6">
        <v>0.8</v>
      </c>
      <c r="T51" s="6">
        <v>1.55</v>
      </c>
    </row>
    <row r="52" spans="1:20" x14ac:dyDescent="0.3">
      <c r="A52">
        <v>171</v>
      </c>
      <c r="B52" t="s">
        <v>445</v>
      </c>
      <c r="C52" t="s">
        <v>648</v>
      </c>
      <c r="D52" t="s">
        <v>640</v>
      </c>
      <c r="E52" t="s">
        <v>657</v>
      </c>
      <c r="F52">
        <v>1773</v>
      </c>
      <c r="G52" t="s">
        <v>8</v>
      </c>
      <c r="H52">
        <v>196</v>
      </c>
      <c r="I52">
        <v>59</v>
      </c>
      <c r="J52">
        <v>478</v>
      </c>
      <c r="K52">
        <v>192</v>
      </c>
      <c r="L52">
        <v>145</v>
      </c>
      <c r="M52">
        <v>0</v>
      </c>
      <c r="N52">
        <v>8</v>
      </c>
      <c r="O52">
        <v>189</v>
      </c>
      <c r="P52">
        <v>43</v>
      </c>
      <c r="Q52">
        <v>45</v>
      </c>
      <c r="R52">
        <v>185</v>
      </c>
      <c r="S52" s="6">
        <v>0.75</v>
      </c>
      <c r="T52" s="6">
        <v>1.5</v>
      </c>
    </row>
    <row r="53" spans="1:20" x14ac:dyDescent="0.3">
      <c r="A53">
        <v>173</v>
      </c>
      <c r="B53" t="s">
        <v>446</v>
      </c>
      <c r="C53" t="s">
        <v>648</v>
      </c>
      <c r="D53" t="s">
        <v>640</v>
      </c>
      <c r="E53" t="s">
        <v>657</v>
      </c>
      <c r="F53">
        <v>1770</v>
      </c>
      <c r="G53" t="s">
        <v>8</v>
      </c>
      <c r="H53">
        <v>196</v>
      </c>
      <c r="I53">
        <v>59</v>
      </c>
      <c r="J53">
        <v>478</v>
      </c>
      <c r="K53">
        <v>192</v>
      </c>
      <c r="L53">
        <v>145</v>
      </c>
      <c r="M53">
        <v>0</v>
      </c>
      <c r="N53">
        <v>8</v>
      </c>
      <c r="O53">
        <v>189</v>
      </c>
      <c r="P53">
        <v>43</v>
      </c>
      <c r="Q53">
        <v>36</v>
      </c>
      <c r="R53">
        <v>185</v>
      </c>
      <c r="S53" s="6">
        <v>0.75</v>
      </c>
      <c r="T53" s="6">
        <v>1.5</v>
      </c>
    </row>
    <row r="54" spans="1:20" x14ac:dyDescent="0.3">
      <c r="A54">
        <v>174</v>
      </c>
      <c r="B54" t="s">
        <v>447</v>
      </c>
      <c r="C54" t="s">
        <v>648</v>
      </c>
      <c r="D54" t="s">
        <v>640</v>
      </c>
      <c r="E54" t="s">
        <v>657</v>
      </c>
      <c r="F54">
        <v>1773</v>
      </c>
      <c r="G54" t="s">
        <v>8</v>
      </c>
      <c r="H54">
        <v>196</v>
      </c>
      <c r="I54">
        <v>59</v>
      </c>
      <c r="J54">
        <v>478</v>
      </c>
      <c r="K54">
        <v>192</v>
      </c>
      <c r="L54">
        <v>145</v>
      </c>
      <c r="M54">
        <v>0</v>
      </c>
      <c r="N54">
        <v>8</v>
      </c>
      <c r="O54">
        <v>189</v>
      </c>
      <c r="P54">
        <v>43</v>
      </c>
      <c r="Q54">
        <v>51</v>
      </c>
      <c r="R54">
        <v>185</v>
      </c>
      <c r="S54" s="6">
        <v>0.75</v>
      </c>
      <c r="T54" s="6">
        <v>1.5</v>
      </c>
    </row>
    <row r="55" spans="1:20" x14ac:dyDescent="0.3">
      <c r="A55">
        <v>175</v>
      </c>
      <c r="B55" t="s">
        <v>448</v>
      </c>
      <c r="C55" t="s">
        <v>648</v>
      </c>
      <c r="D55" t="s">
        <v>640</v>
      </c>
      <c r="E55" t="s">
        <v>657</v>
      </c>
      <c r="F55">
        <v>1773</v>
      </c>
      <c r="G55" t="s">
        <v>8</v>
      </c>
      <c r="H55">
        <v>196</v>
      </c>
      <c r="I55">
        <v>59</v>
      </c>
      <c r="J55">
        <v>478</v>
      </c>
      <c r="K55">
        <v>192</v>
      </c>
      <c r="L55">
        <v>145</v>
      </c>
      <c r="M55">
        <v>0</v>
      </c>
      <c r="N55">
        <v>8</v>
      </c>
      <c r="O55">
        <v>189</v>
      </c>
      <c r="P55">
        <v>43</v>
      </c>
      <c r="Q55">
        <v>34</v>
      </c>
      <c r="R55">
        <v>185</v>
      </c>
      <c r="S55" s="6">
        <v>0.75</v>
      </c>
      <c r="T55" s="6">
        <v>1.5</v>
      </c>
    </row>
    <row r="56" spans="1:20" x14ac:dyDescent="0.3">
      <c r="A56">
        <v>176</v>
      </c>
      <c r="B56" t="s">
        <v>449</v>
      </c>
      <c r="C56" t="s">
        <v>648</v>
      </c>
      <c r="D56" t="s">
        <v>640</v>
      </c>
      <c r="E56" t="s">
        <v>657</v>
      </c>
      <c r="F56">
        <v>1619</v>
      </c>
      <c r="G56" t="s">
        <v>8</v>
      </c>
      <c r="H56">
        <v>196</v>
      </c>
      <c r="I56">
        <v>59</v>
      </c>
      <c r="J56">
        <v>478</v>
      </c>
      <c r="K56">
        <v>193</v>
      </c>
      <c r="L56">
        <v>145</v>
      </c>
      <c r="M56">
        <v>0</v>
      </c>
      <c r="N56">
        <v>8</v>
      </c>
      <c r="O56">
        <v>189</v>
      </c>
      <c r="P56">
        <v>44</v>
      </c>
      <c r="Q56">
        <v>32</v>
      </c>
      <c r="R56">
        <v>185</v>
      </c>
      <c r="S56" s="6">
        <v>0.75</v>
      </c>
      <c r="T56" s="6">
        <v>1.5</v>
      </c>
    </row>
    <row r="57" spans="1:20" x14ac:dyDescent="0.3">
      <c r="A57">
        <v>177</v>
      </c>
      <c r="B57" t="s">
        <v>450</v>
      </c>
      <c r="C57" t="s">
        <v>648</v>
      </c>
      <c r="D57" t="s">
        <v>640</v>
      </c>
      <c r="E57" t="s">
        <v>657</v>
      </c>
      <c r="F57">
        <v>2083</v>
      </c>
      <c r="G57" t="s">
        <v>8</v>
      </c>
      <c r="H57">
        <v>201</v>
      </c>
      <c r="I57">
        <v>65</v>
      </c>
      <c r="J57">
        <v>512</v>
      </c>
      <c r="K57">
        <v>191</v>
      </c>
      <c r="L57">
        <v>150</v>
      </c>
      <c r="M57">
        <v>0</v>
      </c>
      <c r="N57">
        <v>8</v>
      </c>
      <c r="O57">
        <v>189</v>
      </c>
      <c r="P57">
        <v>42</v>
      </c>
      <c r="Q57">
        <v>34</v>
      </c>
      <c r="R57">
        <v>189</v>
      </c>
      <c r="S57" s="6">
        <v>0.75</v>
      </c>
      <c r="T57" s="6">
        <v>1.5</v>
      </c>
    </row>
    <row r="58" spans="1:20" x14ac:dyDescent="0.3">
      <c r="A58">
        <v>178</v>
      </c>
      <c r="B58" t="s">
        <v>451</v>
      </c>
      <c r="C58" t="s">
        <v>648</v>
      </c>
      <c r="D58" t="s">
        <v>640</v>
      </c>
      <c r="E58" t="s">
        <v>657</v>
      </c>
      <c r="F58">
        <v>2083</v>
      </c>
      <c r="G58" t="s">
        <v>8</v>
      </c>
      <c r="H58">
        <v>201</v>
      </c>
      <c r="I58">
        <v>65</v>
      </c>
      <c r="J58">
        <v>512</v>
      </c>
      <c r="K58">
        <v>191</v>
      </c>
      <c r="L58">
        <v>150</v>
      </c>
      <c r="M58">
        <v>0</v>
      </c>
      <c r="N58">
        <v>8</v>
      </c>
      <c r="O58">
        <v>189</v>
      </c>
      <c r="P58">
        <v>42</v>
      </c>
      <c r="Q58">
        <v>34</v>
      </c>
      <c r="R58">
        <v>189</v>
      </c>
      <c r="S58" s="6">
        <v>0.75</v>
      </c>
      <c r="T58" s="6">
        <v>1.5</v>
      </c>
    </row>
    <row r="59" spans="1:20" x14ac:dyDescent="0.3">
      <c r="A59">
        <v>233</v>
      </c>
      <c r="B59" t="s">
        <v>320</v>
      </c>
      <c r="C59" t="s">
        <v>649</v>
      </c>
      <c r="D59" t="s">
        <v>639</v>
      </c>
      <c r="E59" t="s">
        <v>657</v>
      </c>
      <c r="F59">
        <v>2053</v>
      </c>
      <c r="G59" t="s">
        <v>8</v>
      </c>
      <c r="H59">
        <v>207</v>
      </c>
      <c r="I59">
        <v>65</v>
      </c>
      <c r="J59">
        <v>450</v>
      </c>
      <c r="K59">
        <v>148</v>
      </c>
      <c r="L59">
        <v>154</v>
      </c>
      <c r="M59">
        <v>0</v>
      </c>
      <c r="N59">
        <v>9</v>
      </c>
      <c r="O59">
        <v>197</v>
      </c>
      <c r="P59">
        <v>41</v>
      </c>
      <c r="Q59">
        <v>40</v>
      </c>
      <c r="R59">
        <v>178</v>
      </c>
      <c r="S59" s="6">
        <v>1.25</v>
      </c>
      <c r="T59" s="6">
        <v>1.4</v>
      </c>
    </row>
    <row r="60" spans="1:20" x14ac:dyDescent="0.3">
      <c r="A60">
        <v>236</v>
      </c>
      <c r="B60" t="s">
        <v>316</v>
      </c>
      <c r="C60" t="s">
        <v>649</v>
      </c>
      <c r="D60" t="s">
        <v>639</v>
      </c>
      <c r="E60" t="s">
        <v>657</v>
      </c>
      <c r="F60">
        <v>2125</v>
      </c>
      <c r="G60" t="s">
        <v>8</v>
      </c>
      <c r="H60">
        <v>199</v>
      </c>
      <c r="I60">
        <v>120</v>
      </c>
      <c r="J60">
        <v>327</v>
      </c>
      <c r="K60">
        <v>157</v>
      </c>
      <c r="L60">
        <v>150</v>
      </c>
      <c r="M60">
        <v>0</v>
      </c>
      <c r="N60">
        <v>9</v>
      </c>
      <c r="O60">
        <v>201</v>
      </c>
      <c r="P60">
        <v>42</v>
      </c>
      <c r="Q60">
        <v>65</v>
      </c>
      <c r="R60">
        <v>180</v>
      </c>
      <c r="S60" s="6">
        <v>1.6</v>
      </c>
      <c r="T60" s="6">
        <v>1.2</v>
      </c>
    </row>
    <row r="61" spans="1:20" x14ac:dyDescent="0.3">
      <c r="A61">
        <v>237</v>
      </c>
      <c r="B61" t="s">
        <v>321</v>
      </c>
      <c r="C61" t="s">
        <v>649</v>
      </c>
      <c r="D61" t="s">
        <v>639</v>
      </c>
      <c r="E61" t="s">
        <v>657</v>
      </c>
      <c r="F61">
        <v>2116</v>
      </c>
      <c r="G61" t="s">
        <v>8</v>
      </c>
      <c r="H61">
        <v>190</v>
      </c>
      <c r="I61">
        <v>120</v>
      </c>
      <c r="J61">
        <v>327</v>
      </c>
      <c r="K61">
        <v>156</v>
      </c>
      <c r="L61">
        <v>154</v>
      </c>
      <c r="M61">
        <v>0</v>
      </c>
      <c r="N61">
        <v>9</v>
      </c>
      <c r="O61">
        <v>201</v>
      </c>
      <c r="P61">
        <v>43</v>
      </c>
      <c r="Q61">
        <v>72</v>
      </c>
      <c r="R61">
        <v>174</v>
      </c>
      <c r="S61" s="6">
        <v>1.6</v>
      </c>
      <c r="T61" s="6">
        <v>1.2</v>
      </c>
    </row>
    <row r="62" spans="1:20" x14ac:dyDescent="0.3">
      <c r="A62">
        <v>254</v>
      </c>
      <c r="B62" t="s">
        <v>453</v>
      </c>
      <c r="C62" t="s">
        <v>650</v>
      </c>
      <c r="D62" t="s">
        <v>639</v>
      </c>
      <c r="E62" t="s">
        <v>657</v>
      </c>
      <c r="F62">
        <v>2277</v>
      </c>
      <c r="G62" t="s">
        <v>8</v>
      </c>
      <c r="H62">
        <v>201</v>
      </c>
      <c r="I62">
        <v>128</v>
      </c>
      <c r="J62">
        <v>231</v>
      </c>
      <c r="K62">
        <v>165</v>
      </c>
      <c r="L62">
        <v>174</v>
      </c>
      <c r="M62">
        <v>0</v>
      </c>
      <c r="N62">
        <v>9</v>
      </c>
      <c r="O62">
        <v>200</v>
      </c>
      <c r="P62">
        <v>45</v>
      </c>
      <c r="Q62">
        <v>51</v>
      </c>
      <c r="R62">
        <v>191</v>
      </c>
      <c r="S62" s="6">
        <v>1.55</v>
      </c>
      <c r="T62" s="6">
        <v>1</v>
      </c>
    </row>
    <row r="63" spans="1:20" x14ac:dyDescent="0.3">
      <c r="A63">
        <v>255</v>
      </c>
      <c r="B63" t="s">
        <v>454</v>
      </c>
      <c r="C63" t="s">
        <v>650</v>
      </c>
      <c r="D63" t="s">
        <v>639</v>
      </c>
      <c r="E63" t="s">
        <v>657</v>
      </c>
      <c r="F63">
        <v>2277</v>
      </c>
      <c r="G63" t="s">
        <v>8</v>
      </c>
      <c r="H63">
        <v>199</v>
      </c>
      <c r="I63">
        <v>131</v>
      </c>
      <c r="J63">
        <v>228</v>
      </c>
      <c r="K63">
        <v>165</v>
      </c>
      <c r="L63">
        <v>172</v>
      </c>
      <c r="M63">
        <v>0</v>
      </c>
      <c r="N63">
        <v>9</v>
      </c>
      <c r="O63">
        <v>200</v>
      </c>
      <c r="P63">
        <v>45</v>
      </c>
      <c r="Q63">
        <v>61</v>
      </c>
      <c r="R63">
        <v>189</v>
      </c>
      <c r="S63" s="6">
        <v>1.55</v>
      </c>
      <c r="T63" s="6">
        <v>1</v>
      </c>
    </row>
    <row r="64" spans="1:20" x14ac:dyDescent="0.3">
      <c r="A64">
        <v>256</v>
      </c>
      <c r="B64" t="s">
        <v>455</v>
      </c>
      <c r="C64" t="s">
        <v>650</v>
      </c>
      <c r="D64" t="s">
        <v>639</v>
      </c>
      <c r="E64" t="s">
        <v>657</v>
      </c>
      <c r="F64">
        <v>2277</v>
      </c>
      <c r="G64" t="s">
        <v>8</v>
      </c>
      <c r="H64">
        <v>199</v>
      </c>
      <c r="I64">
        <v>128</v>
      </c>
      <c r="J64">
        <v>229</v>
      </c>
      <c r="K64">
        <v>165</v>
      </c>
      <c r="L64">
        <v>174</v>
      </c>
      <c r="M64">
        <v>0</v>
      </c>
      <c r="N64">
        <v>9</v>
      </c>
      <c r="O64">
        <v>200</v>
      </c>
      <c r="P64">
        <v>45</v>
      </c>
      <c r="Q64">
        <v>71</v>
      </c>
      <c r="R64">
        <v>191</v>
      </c>
      <c r="S64" s="6">
        <v>1.55</v>
      </c>
      <c r="T64" s="6">
        <v>1</v>
      </c>
    </row>
    <row r="65" spans="1:20" x14ac:dyDescent="0.3">
      <c r="A65">
        <v>263</v>
      </c>
      <c r="B65" t="s">
        <v>402</v>
      </c>
      <c r="C65" t="s">
        <v>646</v>
      </c>
      <c r="D65" t="s">
        <v>640</v>
      </c>
      <c r="E65" t="s">
        <v>657</v>
      </c>
      <c r="F65">
        <v>1826</v>
      </c>
      <c r="G65" t="s">
        <v>8</v>
      </c>
      <c r="H65">
        <v>204</v>
      </c>
      <c r="I65">
        <v>87</v>
      </c>
      <c r="J65">
        <v>320</v>
      </c>
      <c r="K65">
        <v>162</v>
      </c>
      <c r="L65">
        <v>172</v>
      </c>
      <c r="M65">
        <v>0</v>
      </c>
      <c r="N65">
        <v>8</v>
      </c>
      <c r="O65">
        <v>192</v>
      </c>
      <c r="P65">
        <v>44</v>
      </c>
      <c r="Q65">
        <v>70</v>
      </c>
      <c r="R65">
        <v>189</v>
      </c>
      <c r="S65" s="6">
        <v>1.3</v>
      </c>
      <c r="T65" s="6">
        <v>1.3</v>
      </c>
    </row>
    <row r="66" spans="1:20" x14ac:dyDescent="0.3">
      <c r="A66">
        <v>264</v>
      </c>
      <c r="B66" t="s">
        <v>322</v>
      </c>
      <c r="C66" t="s">
        <v>649</v>
      </c>
      <c r="D66" t="s">
        <v>640</v>
      </c>
      <c r="E66" t="s">
        <v>657</v>
      </c>
      <c r="F66">
        <v>2033</v>
      </c>
      <c r="G66" t="s">
        <v>8</v>
      </c>
      <c r="H66">
        <v>201</v>
      </c>
      <c r="I66">
        <v>68</v>
      </c>
      <c r="J66">
        <v>440</v>
      </c>
      <c r="K66">
        <v>148</v>
      </c>
      <c r="L66">
        <v>149</v>
      </c>
      <c r="M66">
        <v>0</v>
      </c>
      <c r="N66">
        <v>8</v>
      </c>
      <c r="O66">
        <v>192</v>
      </c>
      <c r="P66">
        <v>43</v>
      </c>
      <c r="Q66">
        <v>39</v>
      </c>
      <c r="R66">
        <v>188</v>
      </c>
      <c r="S66" s="6">
        <v>1.1499999999999999</v>
      </c>
      <c r="T66" s="6">
        <v>1.4</v>
      </c>
    </row>
    <row r="67" spans="1:20" x14ac:dyDescent="0.3">
      <c r="A67">
        <v>265</v>
      </c>
      <c r="B67" t="s">
        <v>323</v>
      </c>
      <c r="C67" t="s">
        <v>649</v>
      </c>
      <c r="D67" t="s">
        <v>641</v>
      </c>
      <c r="E67" t="s">
        <v>657</v>
      </c>
      <c r="F67">
        <v>1993</v>
      </c>
      <c r="G67" t="s">
        <v>8</v>
      </c>
      <c r="H67">
        <v>196</v>
      </c>
      <c r="I67">
        <v>65</v>
      </c>
      <c r="J67">
        <v>433</v>
      </c>
      <c r="K67">
        <v>148</v>
      </c>
      <c r="L67">
        <v>145</v>
      </c>
      <c r="M67">
        <v>0</v>
      </c>
      <c r="N67">
        <v>7</v>
      </c>
      <c r="O67">
        <v>189</v>
      </c>
      <c r="P67">
        <v>43</v>
      </c>
      <c r="Q67">
        <v>71</v>
      </c>
      <c r="R67">
        <v>188</v>
      </c>
      <c r="S67" s="6">
        <v>1.1499999999999999</v>
      </c>
      <c r="T67" s="6">
        <v>1.4</v>
      </c>
    </row>
    <row r="68" spans="1:20" x14ac:dyDescent="0.3">
      <c r="A68">
        <v>266</v>
      </c>
      <c r="B68" t="s">
        <v>324</v>
      </c>
      <c r="C68" t="s">
        <v>649</v>
      </c>
      <c r="D68" t="s">
        <v>641</v>
      </c>
      <c r="E68" t="s">
        <v>657</v>
      </c>
      <c r="F68">
        <v>1993</v>
      </c>
      <c r="G68" t="s">
        <v>8</v>
      </c>
      <c r="H68">
        <v>196</v>
      </c>
      <c r="I68">
        <v>65</v>
      </c>
      <c r="J68">
        <v>433</v>
      </c>
      <c r="K68">
        <v>148</v>
      </c>
      <c r="L68">
        <v>145</v>
      </c>
      <c r="M68">
        <v>0</v>
      </c>
      <c r="N68">
        <v>7</v>
      </c>
      <c r="O68">
        <v>190</v>
      </c>
      <c r="P68">
        <v>43</v>
      </c>
      <c r="Q68">
        <v>42</v>
      </c>
      <c r="R68">
        <v>188</v>
      </c>
      <c r="S68" s="6">
        <v>1.1499999999999999</v>
      </c>
      <c r="T68" s="6">
        <v>1.4</v>
      </c>
    </row>
    <row r="69" spans="1:20" x14ac:dyDescent="0.3">
      <c r="A69">
        <v>267</v>
      </c>
      <c r="B69" t="s">
        <v>325</v>
      </c>
      <c r="C69" t="s">
        <v>649</v>
      </c>
      <c r="D69" t="s">
        <v>642</v>
      </c>
      <c r="E69" t="s">
        <v>657</v>
      </c>
      <c r="F69">
        <v>2595</v>
      </c>
      <c r="G69" t="s">
        <v>8</v>
      </c>
      <c r="H69">
        <v>212</v>
      </c>
      <c r="I69">
        <v>90</v>
      </c>
      <c r="J69">
        <v>452</v>
      </c>
      <c r="K69">
        <v>151</v>
      </c>
      <c r="L69">
        <v>255</v>
      </c>
      <c r="M69">
        <v>0</v>
      </c>
      <c r="N69">
        <v>10</v>
      </c>
      <c r="O69">
        <v>210</v>
      </c>
      <c r="P69">
        <v>43</v>
      </c>
      <c r="Q69">
        <v>63</v>
      </c>
      <c r="R69">
        <v>185</v>
      </c>
      <c r="S69" s="6">
        <v>1.6</v>
      </c>
      <c r="T69" s="6">
        <v>1.2</v>
      </c>
    </row>
    <row r="70" spans="1:20" x14ac:dyDescent="0.3">
      <c r="A70">
        <v>269</v>
      </c>
      <c r="B70" t="s">
        <v>403</v>
      </c>
      <c r="C70" t="s">
        <v>648</v>
      </c>
      <c r="D70" t="s">
        <v>640</v>
      </c>
      <c r="E70" t="s">
        <v>657</v>
      </c>
      <c r="F70">
        <v>1561</v>
      </c>
      <c r="G70" t="s">
        <v>8</v>
      </c>
      <c r="H70">
        <v>209</v>
      </c>
      <c r="I70">
        <v>60</v>
      </c>
      <c r="J70">
        <v>404</v>
      </c>
      <c r="K70">
        <v>193</v>
      </c>
      <c r="L70">
        <v>139</v>
      </c>
      <c r="M70">
        <v>0</v>
      </c>
      <c r="N70">
        <v>7</v>
      </c>
      <c r="O70">
        <v>202</v>
      </c>
      <c r="P70">
        <v>44</v>
      </c>
      <c r="Q70">
        <v>86</v>
      </c>
      <c r="R70">
        <v>188</v>
      </c>
      <c r="S70" s="6">
        <v>0.75</v>
      </c>
      <c r="T70" s="6">
        <v>1.4</v>
      </c>
    </row>
    <row r="71" spans="1:20" x14ac:dyDescent="0.3">
      <c r="A71">
        <v>270</v>
      </c>
      <c r="B71" t="s">
        <v>404</v>
      </c>
      <c r="C71" t="s">
        <v>648</v>
      </c>
      <c r="D71" t="s">
        <v>640</v>
      </c>
      <c r="E71" t="s">
        <v>657</v>
      </c>
      <c r="F71">
        <v>1561</v>
      </c>
      <c r="G71" t="s">
        <v>8</v>
      </c>
      <c r="H71">
        <v>203</v>
      </c>
      <c r="I71">
        <v>59</v>
      </c>
      <c r="J71">
        <v>404</v>
      </c>
      <c r="K71">
        <v>190</v>
      </c>
      <c r="L71">
        <v>130</v>
      </c>
      <c r="M71">
        <v>0</v>
      </c>
      <c r="N71">
        <v>7</v>
      </c>
      <c r="O71">
        <v>186</v>
      </c>
      <c r="P71">
        <v>44</v>
      </c>
      <c r="Q71">
        <v>45</v>
      </c>
      <c r="R71">
        <v>188</v>
      </c>
      <c r="S71" s="6">
        <v>0.75</v>
      </c>
      <c r="T71" s="6">
        <v>1.4</v>
      </c>
    </row>
    <row r="72" spans="1:20" x14ac:dyDescent="0.3">
      <c r="A72">
        <v>271</v>
      </c>
      <c r="B72" t="s">
        <v>405</v>
      </c>
      <c r="C72" t="s">
        <v>648</v>
      </c>
      <c r="D72" t="s">
        <v>641</v>
      </c>
      <c r="E72" t="s">
        <v>657</v>
      </c>
      <c r="F72">
        <v>1487</v>
      </c>
      <c r="G72" t="s">
        <v>8</v>
      </c>
      <c r="H72">
        <v>196</v>
      </c>
      <c r="I72">
        <v>59</v>
      </c>
      <c r="J72">
        <v>427</v>
      </c>
      <c r="K72">
        <v>193</v>
      </c>
      <c r="L72">
        <v>138</v>
      </c>
      <c r="M72">
        <v>0</v>
      </c>
      <c r="N72">
        <v>7</v>
      </c>
      <c r="O72">
        <v>181</v>
      </c>
      <c r="P72">
        <v>44</v>
      </c>
      <c r="Q72">
        <v>35</v>
      </c>
      <c r="R72">
        <v>183</v>
      </c>
      <c r="S72" s="6">
        <v>0.75</v>
      </c>
      <c r="T72" s="6">
        <v>1.45</v>
      </c>
    </row>
    <row r="73" spans="1:20" x14ac:dyDescent="0.3">
      <c r="A73">
        <v>272</v>
      </c>
      <c r="B73" t="s">
        <v>456</v>
      </c>
      <c r="C73" t="s">
        <v>648</v>
      </c>
      <c r="D73" t="s">
        <v>641</v>
      </c>
      <c r="E73" t="s">
        <v>657</v>
      </c>
      <c r="F73">
        <v>1487</v>
      </c>
      <c r="G73" t="s">
        <v>8</v>
      </c>
      <c r="H73">
        <v>196</v>
      </c>
      <c r="I73">
        <v>59</v>
      </c>
      <c r="J73">
        <v>427</v>
      </c>
      <c r="K73">
        <v>193</v>
      </c>
      <c r="L73">
        <v>138</v>
      </c>
      <c r="M73">
        <v>0</v>
      </c>
      <c r="N73">
        <v>7</v>
      </c>
      <c r="O73">
        <v>179</v>
      </c>
      <c r="P73">
        <v>44</v>
      </c>
      <c r="Q73">
        <v>15</v>
      </c>
      <c r="R73">
        <v>183</v>
      </c>
      <c r="S73" s="6">
        <v>0.75</v>
      </c>
      <c r="T73" s="6">
        <v>1.45</v>
      </c>
    </row>
    <row r="74" spans="1:20" x14ac:dyDescent="0.3">
      <c r="A74">
        <v>274</v>
      </c>
      <c r="B74" t="s">
        <v>457</v>
      </c>
      <c r="C74" t="s">
        <v>648</v>
      </c>
      <c r="D74" t="s">
        <v>641</v>
      </c>
      <c r="E74" t="s">
        <v>657</v>
      </c>
      <c r="F74">
        <v>1487</v>
      </c>
      <c r="G74" t="s">
        <v>8</v>
      </c>
      <c r="H74">
        <v>196</v>
      </c>
      <c r="I74">
        <v>59</v>
      </c>
      <c r="J74">
        <v>427</v>
      </c>
      <c r="K74">
        <v>193</v>
      </c>
      <c r="L74">
        <v>138</v>
      </c>
      <c r="M74">
        <v>0</v>
      </c>
      <c r="N74">
        <v>7</v>
      </c>
      <c r="O74">
        <v>181</v>
      </c>
      <c r="P74">
        <v>44</v>
      </c>
      <c r="Q74">
        <v>37</v>
      </c>
      <c r="R74">
        <v>183</v>
      </c>
      <c r="S74" s="6">
        <v>0.75</v>
      </c>
      <c r="T74" s="6">
        <v>1.45</v>
      </c>
    </row>
    <row r="75" spans="1:20" x14ac:dyDescent="0.3">
      <c r="A75">
        <v>276</v>
      </c>
      <c r="B75" t="s">
        <v>458</v>
      </c>
      <c r="C75" t="s">
        <v>648</v>
      </c>
      <c r="D75" t="s">
        <v>641</v>
      </c>
      <c r="E75" t="s">
        <v>657</v>
      </c>
      <c r="F75">
        <v>1487</v>
      </c>
      <c r="G75" t="s">
        <v>8</v>
      </c>
      <c r="H75">
        <v>196</v>
      </c>
      <c r="I75">
        <v>59</v>
      </c>
      <c r="J75">
        <v>427</v>
      </c>
      <c r="K75">
        <v>193</v>
      </c>
      <c r="L75">
        <v>138</v>
      </c>
      <c r="M75">
        <v>0</v>
      </c>
      <c r="N75">
        <v>7</v>
      </c>
      <c r="O75">
        <v>168</v>
      </c>
      <c r="P75">
        <v>44</v>
      </c>
      <c r="Q75">
        <v>45</v>
      </c>
      <c r="R75">
        <v>183</v>
      </c>
      <c r="S75" s="6">
        <v>0.75</v>
      </c>
      <c r="T75" s="6">
        <v>1.45</v>
      </c>
    </row>
    <row r="76" spans="1:20" x14ac:dyDescent="0.3">
      <c r="A76">
        <v>277</v>
      </c>
      <c r="B76" t="s">
        <v>459</v>
      </c>
      <c r="C76" t="s">
        <v>648</v>
      </c>
      <c r="D76" t="s">
        <v>640</v>
      </c>
      <c r="E76" t="s">
        <v>657</v>
      </c>
      <c r="F76">
        <v>1516</v>
      </c>
      <c r="G76" t="s">
        <v>8</v>
      </c>
      <c r="H76">
        <v>201</v>
      </c>
      <c r="I76">
        <v>60</v>
      </c>
      <c r="J76">
        <v>438</v>
      </c>
      <c r="K76">
        <v>193</v>
      </c>
      <c r="L76">
        <v>128</v>
      </c>
      <c r="M76">
        <v>0</v>
      </c>
      <c r="N76">
        <v>8</v>
      </c>
      <c r="O76">
        <v>184</v>
      </c>
      <c r="P76">
        <v>44</v>
      </c>
      <c r="Q76">
        <v>27</v>
      </c>
      <c r="R76">
        <v>183</v>
      </c>
      <c r="S76" s="6">
        <v>0.75</v>
      </c>
      <c r="T76" s="6">
        <v>1.45</v>
      </c>
    </row>
    <row r="77" spans="1:20" x14ac:dyDescent="0.3">
      <c r="A77">
        <v>278</v>
      </c>
      <c r="B77" t="s">
        <v>460</v>
      </c>
      <c r="C77" t="s">
        <v>648</v>
      </c>
      <c r="D77" t="s">
        <v>640</v>
      </c>
      <c r="E77" t="s">
        <v>657</v>
      </c>
      <c r="F77">
        <v>1516</v>
      </c>
      <c r="G77" t="s">
        <v>8</v>
      </c>
      <c r="H77">
        <v>201</v>
      </c>
      <c r="I77">
        <v>60</v>
      </c>
      <c r="J77">
        <v>438</v>
      </c>
      <c r="K77">
        <v>193</v>
      </c>
      <c r="L77">
        <v>128</v>
      </c>
      <c r="M77">
        <v>0</v>
      </c>
      <c r="N77">
        <v>8</v>
      </c>
      <c r="O77">
        <v>187</v>
      </c>
      <c r="P77">
        <v>44</v>
      </c>
      <c r="Q77">
        <v>35</v>
      </c>
      <c r="R77">
        <v>188</v>
      </c>
      <c r="S77" s="6">
        <v>0.75</v>
      </c>
      <c r="T77" s="6">
        <v>1.45</v>
      </c>
    </row>
    <row r="78" spans="1:20" x14ac:dyDescent="0.3">
      <c r="A78">
        <v>280</v>
      </c>
      <c r="B78" t="s">
        <v>461</v>
      </c>
      <c r="C78" t="s">
        <v>648</v>
      </c>
      <c r="D78" t="s">
        <v>641</v>
      </c>
      <c r="E78" t="s">
        <v>657</v>
      </c>
      <c r="F78">
        <v>1487</v>
      </c>
      <c r="G78" t="s">
        <v>8</v>
      </c>
      <c r="H78">
        <v>196</v>
      </c>
      <c r="I78">
        <v>59</v>
      </c>
      <c r="J78">
        <v>427</v>
      </c>
      <c r="K78">
        <v>193</v>
      </c>
      <c r="L78">
        <v>138</v>
      </c>
      <c r="M78">
        <v>0</v>
      </c>
      <c r="N78">
        <v>7</v>
      </c>
      <c r="O78">
        <v>182</v>
      </c>
      <c r="P78">
        <v>44</v>
      </c>
      <c r="Q78">
        <v>40</v>
      </c>
      <c r="R78">
        <v>183</v>
      </c>
      <c r="S78" s="6">
        <v>0.75</v>
      </c>
      <c r="T78" s="6">
        <v>1.45</v>
      </c>
    </row>
    <row r="79" spans="1:20" x14ac:dyDescent="0.3">
      <c r="A79">
        <v>288</v>
      </c>
      <c r="B79" t="s">
        <v>462</v>
      </c>
      <c r="C79" t="s">
        <v>648</v>
      </c>
      <c r="D79" t="s">
        <v>642</v>
      </c>
      <c r="E79" t="s">
        <v>657</v>
      </c>
      <c r="F79">
        <v>1830</v>
      </c>
      <c r="G79" t="s">
        <v>8</v>
      </c>
      <c r="H79">
        <v>217</v>
      </c>
      <c r="I79">
        <v>69</v>
      </c>
      <c r="J79">
        <v>545</v>
      </c>
      <c r="K79">
        <v>190</v>
      </c>
      <c r="L79">
        <v>161</v>
      </c>
      <c r="M79">
        <v>0</v>
      </c>
      <c r="N79">
        <v>10</v>
      </c>
      <c r="O79">
        <v>200</v>
      </c>
      <c r="P79">
        <v>40</v>
      </c>
      <c r="Q79">
        <v>38</v>
      </c>
      <c r="R79">
        <v>197</v>
      </c>
      <c r="S79" s="6">
        <v>0.85</v>
      </c>
      <c r="T79" s="6">
        <v>1.5</v>
      </c>
    </row>
    <row r="80" spans="1:20" x14ac:dyDescent="0.3">
      <c r="A80">
        <v>295</v>
      </c>
      <c r="B80" t="s">
        <v>463</v>
      </c>
      <c r="C80" t="s">
        <v>648</v>
      </c>
      <c r="D80" t="s">
        <v>639</v>
      </c>
      <c r="E80" t="s">
        <v>657</v>
      </c>
      <c r="F80">
        <v>2445</v>
      </c>
      <c r="G80" t="s">
        <v>8</v>
      </c>
      <c r="H80">
        <v>210</v>
      </c>
      <c r="I80">
        <v>76</v>
      </c>
      <c r="J80">
        <v>370</v>
      </c>
      <c r="K80">
        <v>179</v>
      </c>
      <c r="L80">
        <v>193</v>
      </c>
      <c r="M80">
        <v>0</v>
      </c>
      <c r="N80">
        <v>9</v>
      </c>
      <c r="O80">
        <v>200</v>
      </c>
      <c r="P80">
        <v>39</v>
      </c>
      <c r="Q80">
        <v>32</v>
      </c>
      <c r="R80">
        <v>189</v>
      </c>
      <c r="S80" s="6">
        <v>1</v>
      </c>
      <c r="T80" s="6">
        <v>1.35</v>
      </c>
    </row>
    <row r="81" spans="1:20" x14ac:dyDescent="0.3">
      <c r="A81">
        <v>296</v>
      </c>
      <c r="B81" t="s">
        <v>0</v>
      </c>
      <c r="C81" t="s">
        <v>648</v>
      </c>
      <c r="D81" t="s">
        <v>639</v>
      </c>
      <c r="E81" t="s">
        <v>657</v>
      </c>
      <c r="F81">
        <v>2445</v>
      </c>
      <c r="G81" t="s">
        <v>8</v>
      </c>
      <c r="H81">
        <v>210</v>
      </c>
      <c r="I81">
        <v>74</v>
      </c>
      <c r="J81">
        <v>363</v>
      </c>
      <c r="K81">
        <v>179</v>
      </c>
      <c r="L81">
        <v>194</v>
      </c>
      <c r="M81">
        <v>0</v>
      </c>
      <c r="N81">
        <v>9</v>
      </c>
      <c r="O81">
        <v>207</v>
      </c>
      <c r="P81">
        <v>39</v>
      </c>
      <c r="Q81">
        <v>61</v>
      </c>
      <c r="R81">
        <v>194</v>
      </c>
      <c r="S81" s="6">
        <v>1</v>
      </c>
      <c r="T81" s="6">
        <v>1.35</v>
      </c>
    </row>
    <row r="82" spans="1:20" x14ac:dyDescent="0.3">
      <c r="A82">
        <v>297</v>
      </c>
      <c r="B82" t="s">
        <v>464</v>
      </c>
      <c r="C82" t="s">
        <v>648</v>
      </c>
      <c r="D82" t="s">
        <v>639</v>
      </c>
      <c r="E82" t="s">
        <v>657</v>
      </c>
      <c r="F82">
        <v>2445</v>
      </c>
      <c r="G82" t="s">
        <v>8</v>
      </c>
      <c r="H82">
        <v>210</v>
      </c>
      <c r="I82">
        <v>74</v>
      </c>
      <c r="J82">
        <v>363</v>
      </c>
      <c r="K82">
        <v>179</v>
      </c>
      <c r="L82">
        <v>199</v>
      </c>
      <c r="M82">
        <v>0</v>
      </c>
      <c r="N82">
        <v>9</v>
      </c>
      <c r="O82">
        <v>200</v>
      </c>
      <c r="P82">
        <v>39</v>
      </c>
      <c r="Q82">
        <v>61</v>
      </c>
      <c r="R82">
        <v>193</v>
      </c>
      <c r="S82" s="6">
        <v>1</v>
      </c>
      <c r="T82" s="6">
        <v>1.35</v>
      </c>
    </row>
    <row r="83" spans="1:20" x14ac:dyDescent="0.3">
      <c r="A83">
        <v>299</v>
      </c>
      <c r="B83" t="s">
        <v>465</v>
      </c>
      <c r="C83" t="s">
        <v>646</v>
      </c>
      <c r="D83" t="s">
        <v>640</v>
      </c>
      <c r="E83" t="s">
        <v>657</v>
      </c>
      <c r="F83">
        <v>2054</v>
      </c>
      <c r="G83" t="s">
        <v>8</v>
      </c>
      <c r="H83">
        <v>201</v>
      </c>
      <c r="I83">
        <v>85</v>
      </c>
      <c r="J83">
        <v>283</v>
      </c>
      <c r="K83">
        <v>163</v>
      </c>
      <c r="L83">
        <v>172</v>
      </c>
      <c r="M83">
        <v>0</v>
      </c>
      <c r="N83">
        <v>8</v>
      </c>
      <c r="O83">
        <v>206</v>
      </c>
      <c r="P83">
        <v>45</v>
      </c>
      <c r="Q83">
        <v>80</v>
      </c>
      <c r="R83">
        <v>203</v>
      </c>
      <c r="S83" s="6">
        <v>1.2</v>
      </c>
      <c r="T83" s="6">
        <v>1.3</v>
      </c>
    </row>
    <row r="84" spans="1:20" x14ac:dyDescent="0.3">
      <c r="A84">
        <v>300</v>
      </c>
      <c r="B84" t="s">
        <v>466</v>
      </c>
      <c r="C84" t="s">
        <v>646</v>
      </c>
      <c r="D84" t="s">
        <v>640</v>
      </c>
      <c r="E84" t="s">
        <v>657</v>
      </c>
      <c r="F84">
        <v>2080</v>
      </c>
      <c r="G84" t="s">
        <v>8</v>
      </c>
      <c r="H84">
        <v>201</v>
      </c>
      <c r="I84">
        <v>85</v>
      </c>
      <c r="J84">
        <v>283</v>
      </c>
      <c r="K84">
        <v>161</v>
      </c>
      <c r="L84">
        <v>172</v>
      </c>
      <c r="M84">
        <v>0</v>
      </c>
      <c r="N84">
        <v>8</v>
      </c>
      <c r="O84">
        <v>206</v>
      </c>
      <c r="P84">
        <v>43</v>
      </c>
      <c r="Q84">
        <v>81</v>
      </c>
      <c r="R84">
        <v>203</v>
      </c>
      <c r="S84" s="6">
        <v>1.2</v>
      </c>
      <c r="T84" s="6">
        <v>1.3</v>
      </c>
    </row>
    <row r="85" spans="1:20" x14ac:dyDescent="0.3">
      <c r="A85">
        <v>301</v>
      </c>
      <c r="B85" t="s">
        <v>406</v>
      </c>
      <c r="C85" t="s">
        <v>646</v>
      </c>
      <c r="D85" t="s">
        <v>639</v>
      </c>
      <c r="E85" t="s">
        <v>657</v>
      </c>
      <c r="F85">
        <v>2115</v>
      </c>
      <c r="G85" t="s">
        <v>8</v>
      </c>
      <c r="H85">
        <v>207</v>
      </c>
      <c r="I85">
        <v>87</v>
      </c>
      <c r="J85">
        <v>291</v>
      </c>
      <c r="K85">
        <v>160</v>
      </c>
      <c r="L85">
        <v>178</v>
      </c>
      <c r="M85">
        <v>0</v>
      </c>
      <c r="N85">
        <v>9</v>
      </c>
      <c r="O85">
        <v>212</v>
      </c>
      <c r="P85">
        <v>42</v>
      </c>
      <c r="Q85">
        <v>80</v>
      </c>
      <c r="R85">
        <v>203</v>
      </c>
      <c r="S85" s="6">
        <v>1.25</v>
      </c>
      <c r="T85" s="6">
        <v>1.3</v>
      </c>
    </row>
    <row r="86" spans="1:20" x14ac:dyDescent="0.3">
      <c r="A86">
        <v>306</v>
      </c>
      <c r="B86" t="s">
        <v>467</v>
      </c>
      <c r="C86" t="s">
        <v>647</v>
      </c>
      <c r="D86" t="s">
        <v>640</v>
      </c>
      <c r="E86" t="s">
        <v>657</v>
      </c>
      <c r="F86">
        <v>1536</v>
      </c>
      <c r="G86" t="s">
        <v>8</v>
      </c>
      <c r="H86">
        <v>201</v>
      </c>
      <c r="I86">
        <v>76</v>
      </c>
      <c r="J86">
        <v>364</v>
      </c>
      <c r="K86">
        <v>210</v>
      </c>
      <c r="L86">
        <v>156</v>
      </c>
      <c r="M86">
        <v>0</v>
      </c>
      <c r="N86">
        <v>8</v>
      </c>
      <c r="O86">
        <v>210</v>
      </c>
      <c r="P86">
        <v>43</v>
      </c>
      <c r="Q86">
        <v>52</v>
      </c>
      <c r="R86">
        <v>200</v>
      </c>
      <c r="S86" s="6">
        <v>1.2</v>
      </c>
      <c r="T86" s="6">
        <v>1.4</v>
      </c>
    </row>
    <row r="87" spans="1:20" x14ac:dyDescent="0.3">
      <c r="A87">
        <v>307</v>
      </c>
      <c r="B87" t="s">
        <v>468</v>
      </c>
      <c r="C87" t="s">
        <v>647</v>
      </c>
      <c r="D87" t="s">
        <v>640</v>
      </c>
      <c r="E87" t="s">
        <v>657</v>
      </c>
      <c r="F87">
        <v>1536</v>
      </c>
      <c r="G87" t="s">
        <v>8</v>
      </c>
      <c r="H87">
        <v>201</v>
      </c>
      <c r="I87">
        <v>76</v>
      </c>
      <c r="J87">
        <v>364</v>
      </c>
      <c r="K87">
        <v>210</v>
      </c>
      <c r="L87">
        <v>156</v>
      </c>
      <c r="M87">
        <v>0</v>
      </c>
      <c r="N87">
        <v>8</v>
      </c>
      <c r="O87">
        <v>210</v>
      </c>
      <c r="P87">
        <v>43</v>
      </c>
      <c r="Q87">
        <v>20</v>
      </c>
      <c r="R87">
        <v>200</v>
      </c>
      <c r="S87" s="6">
        <v>1.2</v>
      </c>
      <c r="T87" s="6">
        <v>1.4</v>
      </c>
    </row>
    <row r="88" spans="1:20" x14ac:dyDescent="0.3">
      <c r="A88">
        <v>316</v>
      </c>
      <c r="B88" t="s">
        <v>469</v>
      </c>
      <c r="C88" t="s">
        <v>648</v>
      </c>
      <c r="D88" t="s">
        <v>640</v>
      </c>
      <c r="E88" t="s">
        <v>657</v>
      </c>
      <c r="F88">
        <v>2083</v>
      </c>
      <c r="G88" t="s">
        <v>8</v>
      </c>
      <c r="H88">
        <v>201</v>
      </c>
      <c r="I88">
        <v>63</v>
      </c>
      <c r="J88">
        <v>502</v>
      </c>
      <c r="K88">
        <v>191</v>
      </c>
      <c r="L88">
        <v>149</v>
      </c>
      <c r="M88">
        <v>0</v>
      </c>
      <c r="N88">
        <v>8</v>
      </c>
      <c r="O88">
        <v>165</v>
      </c>
      <c r="P88">
        <v>42</v>
      </c>
      <c r="Q88">
        <v>27</v>
      </c>
      <c r="R88">
        <v>188</v>
      </c>
      <c r="S88" s="6">
        <v>0.75</v>
      </c>
      <c r="T88" s="6">
        <v>1.5</v>
      </c>
    </row>
    <row r="89" spans="1:20" x14ac:dyDescent="0.3">
      <c r="A89">
        <v>317</v>
      </c>
      <c r="B89" t="s">
        <v>470</v>
      </c>
      <c r="C89" t="s">
        <v>648</v>
      </c>
      <c r="D89" t="s">
        <v>640</v>
      </c>
      <c r="E89" t="s">
        <v>657</v>
      </c>
      <c r="F89">
        <v>2083</v>
      </c>
      <c r="G89" t="s">
        <v>8</v>
      </c>
      <c r="H89">
        <v>201</v>
      </c>
      <c r="I89">
        <v>65</v>
      </c>
      <c r="J89">
        <v>502</v>
      </c>
      <c r="K89">
        <v>191</v>
      </c>
      <c r="L89">
        <v>149</v>
      </c>
      <c r="M89">
        <v>0</v>
      </c>
      <c r="N89">
        <v>8</v>
      </c>
      <c r="O89">
        <v>198</v>
      </c>
      <c r="P89">
        <v>42</v>
      </c>
      <c r="Q89">
        <v>18</v>
      </c>
      <c r="R89">
        <v>188</v>
      </c>
      <c r="S89" s="6">
        <v>0.75</v>
      </c>
      <c r="T89" s="6">
        <v>1.5</v>
      </c>
    </row>
    <row r="90" spans="1:20" x14ac:dyDescent="0.3">
      <c r="A90">
        <v>318</v>
      </c>
      <c r="B90" t="s">
        <v>409</v>
      </c>
      <c r="C90" t="s">
        <v>648</v>
      </c>
      <c r="D90" t="s">
        <v>640</v>
      </c>
      <c r="E90" t="s">
        <v>657</v>
      </c>
      <c r="F90">
        <v>2083</v>
      </c>
      <c r="G90" t="s">
        <v>8</v>
      </c>
      <c r="H90">
        <v>201</v>
      </c>
      <c r="I90">
        <v>65</v>
      </c>
      <c r="J90">
        <v>512</v>
      </c>
      <c r="K90">
        <v>191</v>
      </c>
      <c r="L90">
        <v>150</v>
      </c>
      <c r="M90">
        <v>0</v>
      </c>
      <c r="N90">
        <v>8</v>
      </c>
      <c r="O90">
        <v>187</v>
      </c>
      <c r="P90">
        <v>42</v>
      </c>
      <c r="Q90">
        <v>58</v>
      </c>
      <c r="R90">
        <v>189</v>
      </c>
      <c r="S90" s="6">
        <v>0.75</v>
      </c>
      <c r="T90" s="6">
        <v>1.5</v>
      </c>
    </row>
    <row r="91" spans="1:20" x14ac:dyDescent="0.3">
      <c r="A91">
        <v>319</v>
      </c>
      <c r="B91" t="s">
        <v>410</v>
      </c>
      <c r="C91" t="s">
        <v>648</v>
      </c>
      <c r="D91" t="s">
        <v>640</v>
      </c>
      <c r="E91" t="s">
        <v>657</v>
      </c>
      <c r="F91">
        <v>2083</v>
      </c>
      <c r="G91" t="s">
        <v>8</v>
      </c>
      <c r="H91">
        <v>196</v>
      </c>
      <c r="I91">
        <v>65</v>
      </c>
      <c r="J91">
        <v>512</v>
      </c>
      <c r="K91">
        <v>191</v>
      </c>
      <c r="L91">
        <v>154</v>
      </c>
      <c r="M91">
        <v>0</v>
      </c>
      <c r="N91">
        <v>8</v>
      </c>
      <c r="O91">
        <v>165</v>
      </c>
      <c r="P91">
        <v>42</v>
      </c>
      <c r="Q91">
        <v>52</v>
      </c>
      <c r="R91">
        <v>189</v>
      </c>
      <c r="S91" s="6">
        <v>0.75</v>
      </c>
      <c r="T91" s="6">
        <v>1.5</v>
      </c>
    </row>
    <row r="92" spans="1:20" x14ac:dyDescent="0.3">
      <c r="A92">
        <v>325</v>
      </c>
      <c r="B92" t="s">
        <v>471</v>
      </c>
      <c r="C92" t="s">
        <v>647</v>
      </c>
      <c r="D92" t="s">
        <v>639</v>
      </c>
      <c r="E92" t="s">
        <v>657</v>
      </c>
      <c r="F92">
        <v>1683</v>
      </c>
      <c r="G92" t="s">
        <v>8</v>
      </c>
      <c r="H92">
        <v>201</v>
      </c>
      <c r="I92">
        <v>76</v>
      </c>
      <c r="J92">
        <v>394</v>
      </c>
      <c r="K92">
        <v>210</v>
      </c>
      <c r="L92">
        <v>157</v>
      </c>
      <c r="M92">
        <v>0</v>
      </c>
      <c r="N92">
        <v>9</v>
      </c>
      <c r="O92">
        <v>223</v>
      </c>
      <c r="P92">
        <v>43</v>
      </c>
      <c r="Q92">
        <v>76</v>
      </c>
      <c r="R92">
        <v>185</v>
      </c>
      <c r="S92" s="6">
        <v>1.2</v>
      </c>
      <c r="T92" s="6">
        <v>1.45</v>
      </c>
    </row>
    <row r="93" spans="1:20" x14ac:dyDescent="0.3">
      <c r="A93">
        <v>326</v>
      </c>
      <c r="B93" t="s">
        <v>472</v>
      </c>
      <c r="C93" t="s">
        <v>647</v>
      </c>
      <c r="D93" t="s">
        <v>639</v>
      </c>
      <c r="E93" t="s">
        <v>657</v>
      </c>
      <c r="F93">
        <v>1683</v>
      </c>
      <c r="G93" t="s">
        <v>8</v>
      </c>
      <c r="H93">
        <v>201</v>
      </c>
      <c r="I93">
        <v>76</v>
      </c>
      <c r="J93">
        <v>400</v>
      </c>
      <c r="K93">
        <v>210</v>
      </c>
      <c r="L93">
        <v>156</v>
      </c>
      <c r="M93">
        <v>0</v>
      </c>
      <c r="N93">
        <v>9</v>
      </c>
      <c r="O93">
        <v>223</v>
      </c>
      <c r="P93">
        <v>43</v>
      </c>
      <c r="Q93">
        <v>67</v>
      </c>
      <c r="R93">
        <v>183</v>
      </c>
      <c r="S93" s="6">
        <v>1.2</v>
      </c>
      <c r="T93" s="6">
        <v>1.45</v>
      </c>
    </row>
    <row r="94" spans="1:20" x14ac:dyDescent="0.3">
      <c r="A94">
        <v>331</v>
      </c>
      <c r="B94" t="s">
        <v>473</v>
      </c>
      <c r="C94" t="s">
        <v>648</v>
      </c>
      <c r="D94" t="s">
        <v>640</v>
      </c>
      <c r="E94" t="s">
        <v>657</v>
      </c>
      <c r="F94">
        <v>1937</v>
      </c>
      <c r="G94" t="s">
        <v>8</v>
      </c>
      <c r="H94">
        <v>196</v>
      </c>
      <c r="I94">
        <v>62</v>
      </c>
      <c r="J94">
        <v>508</v>
      </c>
      <c r="K94">
        <v>191</v>
      </c>
      <c r="L94">
        <v>149</v>
      </c>
      <c r="M94">
        <v>0</v>
      </c>
      <c r="N94">
        <v>8</v>
      </c>
      <c r="O94">
        <v>189</v>
      </c>
      <c r="P94">
        <v>42</v>
      </c>
      <c r="Q94">
        <v>32</v>
      </c>
      <c r="R94">
        <v>188</v>
      </c>
      <c r="S94" s="6">
        <v>0.75</v>
      </c>
      <c r="T94" s="6">
        <v>1.5</v>
      </c>
    </row>
    <row r="95" spans="1:20" x14ac:dyDescent="0.3">
      <c r="A95">
        <v>332</v>
      </c>
      <c r="B95" t="s">
        <v>474</v>
      </c>
      <c r="C95" t="s">
        <v>648</v>
      </c>
      <c r="D95" t="s">
        <v>640</v>
      </c>
      <c r="E95" t="s">
        <v>657</v>
      </c>
      <c r="F95">
        <v>1937</v>
      </c>
      <c r="G95" t="s">
        <v>8</v>
      </c>
      <c r="H95">
        <v>196</v>
      </c>
      <c r="I95">
        <v>62</v>
      </c>
      <c r="J95">
        <v>509</v>
      </c>
      <c r="K95">
        <v>191</v>
      </c>
      <c r="L95">
        <v>150</v>
      </c>
      <c r="M95">
        <v>0</v>
      </c>
      <c r="N95">
        <v>8</v>
      </c>
      <c r="O95">
        <v>171</v>
      </c>
      <c r="P95">
        <v>42</v>
      </c>
      <c r="Q95">
        <v>40</v>
      </c>
      <c r="R95">
        <v>188</v>
      </c>
      <c r="S95" s="6">
        <v>0.75</v>
      </c>
      <c r="T95" s="6">
        <v>1.5</v>
      </c>
    </row>
    <row r="96" spans="1:20" x14ac:dyDescent="0.3">
      <c r="A96">
        <v>333</v>
      </c>
      <c r="B96" t="s">
        <v>475</v>
      </c>
      <c r="C96" t="s">
        <v>648</v>
      </c>
      <c r="D96" t="s">
        <v>640</v>
      </c>
      <c r="E96" t="s">
        <v>657</v>
      </c>
      <c r="F96">
        <v>1964</v>
      </c>
      <c r="G96" t="s">
        <v>8</v>
      </c>
      <c r="H96">
        <v>196</v>
      </c>
      <c r="I96">
        <v>62</v>
      </c>
      <c r="J96">
        <v>509</v>
      </c>
      <c r="K96">
        <v>191</v>
      </c>
      <c r="L96">
        <v>150</v>
      </c>
      <c r="M96">
        <v>0</v>
      </c>
      <c r="N96">
        <v>8</v>
      </c>
      <c r="O96">
        <v>189</v>
      </c>
      <c r="P96">
        <v>42</v>
      </c>
      <c r="Q96">
        <v>48</v>
      </c>
      <c r="R96">
        <v>189</v>
      </c>
      <c r="S96" s="6">
        <v>0.75</v>
      </c>
      <c r="T96" s="6">
        <v>1.5</v>
      </c>
    </row>
    <row r="97" spans="1:20" x14ac:dyDescent="0.3">
      <c r="A97">
        <v>334</v>
      </c>
      <c r="B97" t="s">
        <v>476</v>
      </c>
      <c r="C97" t="s">
        <v>648</v>
      </c>
      <c r="D97" t="s">
        <v>640</v>
      </c>
      <c r="E97" t="s">
        <v>657</v>
      </c>
      <c r="F97">
        <v>1937</v>
      </c>
      <c r="G97" t="s">
        <v>8</v>
      </c>
      <c r="H97">
        <v>196</v>
      </c>
      <c r="I97">
        <v>62</v>
      </c>
      <c r="J97">
        <v>509</v>
      </c>
      <c r="K97">
        <v>191</v>
      </c>
      <c r="L97">
        <v>149</v>
      </c>
      <c r="M97">
        <v>0</v>
      </c>
      <c r="N97">
        <v>8</v>
      </c>
      <c r="O97">
        <v>187</v>
      </c>
      <c r="P97">
        <v>42</v>
      </c>
      <c r="Q97">
        <v>32</v>
      </c>
      <c r="R97">
        <v>188</v>
      </c>
      <c r="S97" s="6">
        <v>0.75</v>
      </c>
      <c r="T97" s="6">
        <v>1.5</v>
      </c>
    </row>
    <row r="98" spans="1:20" x14ac:dyDescent="0.3">
      <c r="A98">
        <v>345</v>
      </c>
      <c r="B98" t="s">
        <v>329</v>
      </c>
      <c r="C98" t="s">
        <v>649</v>
      </c>
      <c r="D98" t="s">
        <v>639</v>
      </c>
      <c r="E98" t="s">
        <v>657</v>
      </c>
      <c r="F98">
        <v>2092</v>
      </c>
      <c r="G98" t="s">
        <v>8</v>
      </c>
      <c r="H98">
        <v>201</v>
      </c>
      <c r="I98">
        <v>80</v>
      </c>
      <c r="J98">
        <v>440</v>
      </c>
      <c r="K98">
        <v>159</v>
      </c>
      <c r="L98">
        <v>182</v>
      </c>
      <c r="M98">
        <v>0</v>
      </c>
      <c r="N98">
        <v>9</v>
      </c>
      <c r="O98">
        <v>202</v>
      </c>
      <c r="P98">
        <v>43</v>
      </c>
      <c r="Q98">
        <v>35</v>
      </c>
      <c r="R98">
        <v>186</v>
      </c>
      <c r="S98" s="6">
        <v>1.5</v>
      </c>
      <c r="T98" s="6">
        <v>1.2</v>
      </c>
    </row>
    <row r="99" spans="1:20" x14ac:dyDescent="0.3">
      <c r="A99">
        <v>346</v>
      </c>
      <c r="B99" t="s">
        <v>330</v>
      </c>
      <c r="C99" t="s">
        <v>649</v>
      </c>
      <c r="D99" t="s">
        <v>640</v>
      </c>
      <c r="E99" t="s">
        <v>657</v>
      </c>
      <c r="F99">
        <v>2033</v>
      </c>
      <c r="G99" t="s">
        <v>8</v>
      </c>
      <c r="H99">
        <v>201</v>
      </c>
      <c r="I99">
        <v>68</v>
      </c>
      <c r="J99">
        <v>440</v>
      </c>
      <c r="K99">
        <v>148</v>
      </c>
      <c r="L99">
        <v>149</v>
      </c>
      <c r="M99">
        <v>0</v>
      </c>
      <c r="O99">
        <v>192</v>
      </c>
      <c r="P99">
        <v>43</v>
      </c>
      <c r="Q99">
        <v>38</v>
      </c>
      <c r="R99">
        <v>188</v>
      </c>
      <c r="S99" s="6">
        <v>1.1499999999999999</v>
      </c>
      <c r="T99" s="6">
        <v>1.4</v>
      </c>
    </row>
    <row r="100" spans="1:20" x14ac:dyDescent="0.3">
      <c r="A100">
        <v>347</v>
      </c>
      <c r="B100" t="s">
        <v>477</v>
      </c>
      <c r="C100" t="s">
        <v>652</v>
      </c>
      <c r="D100" t="s">
        <v>642</v>
      </c>
      <c r="E100" t="s">
        <v>657</v>
      </c>
      <c r="F100">
        <v>2021</v>
      </c>
      <c r="G100" t="s">
        <v>8</v>
      </c>
      <c r="H100">
        <v>207</v>
      </c>
      <c r="I100">
        <v>131</v>
      </c>
      <c r="J100">
        <v>267</v>
      </c>
      <c r="K100">
        <v>213</v>
      </c>
      <c r="L100">
        <v>167</v>
      </c>
      <c r="M100">
        <v>0</v>
      </c>
      <c r="N100">
        <v>10</v>
      </c>
      <c r="O100">
        <v>207</v>
      </c>
      <c r="P100">
        <v>54</v>
      </c>
      <c r="Q100">
        <v>77</v>
      </c>
      <c r="R100">
        <v>191</v>
      </c>
      <c r="S100" s="6">
        <v>1.4</v>
      </c>
      <c r="T100" s="6">
        <v>1.25</v>
      </c>
    </row>
    <row r="101" spans="1:20" x14ac:dyDescent="0.3">
      <c r="A101">
        <v>348</v>
      </c>
      <c r="B101" t="s">
        <v>411</v>
      </c>
      <c r="C101" t="s">
        <v>652</v>
      </c>
      <c r="D101" t="s">
        <v>640</v>
      </c>
      <c r="E101" t="s">
        <v>657</v>
      </c>
      <c r="F101">
        <v>1376</v>
      </c>
      <c r="G101" t="s">
        <v>8</v>
      </c>
      <c r="H101">
        <v>193</v>
      </c>
      <c r="I101">
        <v>69</v>
      </c>
      <c r="J101">
        <v>409</v>
      </c>
      <c r="K101">
        <v>200</v>
      </c>
      <c r="L101">
        <v>138</v>
      </c>
      <c r="M101">
        <v>0</v>
      </c>
      <c r="N101">
        <v>8</v>
      </c>
      <c r="O101">
        <v>189</v>
      </c>
      <c r="P101">
        <v>39</v>
      </c>
      <c r="Q101">
        <v>69</v>
      </c>
      <c r="R101">
        <v>191</v>
      </c>
      <c r="S101" s="6">
        <v>1.1499999999999999</v>
      </c>
      <c r="T101" s="6">
        <v>1.4</v>
      </c>
    </row>
    <row r="102" spans="1:20" x14ac:dyDescent="0.3">
      <c r="A102">
        <v>351</v>
      </c>
      <c r="B102" t="s">
        <v>412</v>
      </c>
      <c r="C102" t="s">
        <v>653</v>
      </c>
      <c r="D102" t="s">
        <v>640</v>
      </c>
      <c r="E102" t="s">
        <v>657</v>
      </c>
      <c r="F102">
        <v>1376</v>
      </c>
      <c r="G102" t="s">
        <v>8</v>
      </c>
      <c r="H102">
        <v>193</v>
      </c>
      <c r="I102">
        <v>69</v>
      </c>
      <c r="J102">
        <v>409</v>
      </c>
      <c r="K102">
        <v>200</v>
      </c>
      <c r="L102">
        <v>138</v>
      </c>
      <c r="M102">
        <v>0</v>
      </c>
      <c r="N102">
        <v>8</v>
      </c>
      <c r="O102">
        <v>187</v>
      </c>
      <c r="P102">
        <v>42</v>
      </c>
      <c r="Q102">
        <v>24</v>
      </c>
      <c r="R102">
        <v>191</v>
      </c>
      <c r="S102" s="6">
        <v>1.1499999999999999</v>
      </c>
      <c r="T102" s="6">
        <v>1.4</v>
      </c>
    </row>
    <row r="103" spans="1:20" x14ac:dyDescent="0.3">
      <c r="A103">
        <v>355</v>
      </c>
      <c r="B103" t="s">
        <v>478</v>
      </c>
      <c r="C103" t="s">
        <v>646</v>
      </c>
      <c r="D103" t="s">
        <v>640</v>
      </c>
      <c r="E103" t="s">
        <v>657</v>
      </c>
      <c r="F103">
        <v>2054</v>
      </c>
      <c r="G103" t="s">
        <v>8</v>
      </c>
      <c r="H103">
        <v>201</v>
      </c>
      <c r="I103">
        <v>85</v>
      </c>
      <c r="J103">
        <v>282</v>
      </c>
      <c r="K103">
        <v>160</v>
      </c>
      <c r="L103">
        <v>189</v>
      </c>
      <c r="M103">
        <v>0</v>
      </c>
      <c r="N103">
        <v>8</v>
      </c>
      <c r="O103">
        <v>206</v>
      </c>
      <c r="P103">
        <v>42</v>
      </c>
      <c r="Q103">
        <v>34</v>
      </c>
      <c r="R103">
        <v>205</v>
      </c>
      <c r="S103" s="6">
        <v>1.2</v>
      </c>
      <c r="T103" s="6">
        <v>1.3</v>
      </c>
    </row>
    <row r="104" spans="1:20" x14ac:dyDescent="0.3">
      <c r="A104">
        <v>359</v>
      </c>
      <c r="B104" t="s">
        <v>479</v>
      </c>
      <c r="C104" t="s">
        <v>652</v>
      </c>
      <c r="D104" t="s">
        <v>639</v>
      </c>
      <c r="E104" t="s">
        <v>657</v>
      </c>
      <c r="F104">
        <v>1571</v>
      </c>
      <c r="G104" t="s">
        <v>8</v>
      </c>
      <c r="H104">
        <v>192</v>
      </c>
      <c r="I104">
        <v>93</v>
      </c>
      <c r="J104">
        <v>394</v>
      </c>
      <c r="K104">
        <v>189</v>
      </c>
      <c r="L104">
        <v>172</v>
      </c>
      <c r="M104">
        <v>0</v>
      </c>
      <c r="N104">
        <v>9</v>
      </c>
      <c r="O104">
        <v>187</v>
      </c>
      <c r="P104">
        <v>42</v>
      </c>
      <c r="Q104">
        <v>41</v>
      </c>
      <c r="R104">
        <v>194</v>
      </c>
      <c r="S104" s="6">
        <v>1.3</v>
      </c>
      <c r="T104" s="6">
        <v>1.1499999999999999</v>
      </c>
    </row>
    <row r="105" spans="1:20" x14ac:dyDescent="0.3">
      <c r="A105">
        <v>362</v>
      </c>
      <c r="B105" t="s">
        <v>480</v>
      </c>
      <c r="C105" t="s">
        <v>646</v>
      </c>
      <c r="D105" t="s">
        <v>640</v>
      </c>
      <c r="E105" t="s">
        <v>657</v>
      </c>
      <c r="F105">
        <v>1826</v>
      </c>
      <c r="G105" t="s">
        <v>8</v>
      </c>
      <c r="H105">
        <v>204</v>
      </c>
      <c r="I105">
        <v>87</v>
      </c>
      <c r="J105">
        <v>320</v>
      </c>
      <c r="K105">
        <v>163</v>
      </c>
      <c r="L105">
        <v>172</v>
      </c>
      <c r="M105">
        <v>0</v>
      </c>
      <c r="N105">
        <v>8</v>
      </c>
      <c r="O105">
        <v>212</v>
      </c>
      <c r="P105">
        <v>45</v>
      </c>
      <c r="Q105">
        <v>68</v>
      </c>
      <c r="R105">
        <v>189</v>
      </c>
      <c r="S105" s="6">
        <v>1.3</v>
      </c>
      <c r="T105" s="6">
        <v>1.3</v>
      </c>
    </row>
    <row r="106" spans="1:20" x14ac:dyDescent="0.3">
      <c r="A106">
        <v>363</v>
      </c>
      <c r="B106" t="s">
        <v>481</v>
      </c>
      <c r="C106" t="s">
        <v>646</v>
      </c>
      <c r="D106" t="s">
        <v>640</v>
      </c>
      <c r="E106" t="s">
        <v>657</v>
      </c>
      <c r="F106">
        <v>1826</v>
      </c>
      <c r="G106" t="s">
        <v>8</v>
      </c>
      <c r="H106">
        <v>204</v>
      </c>
      <c r="I106">
        <v>87</v>
      </c>
      <c r="J106">
        <v>320</v>
      </c>
      <c r="K106">
        <v>163</v>
      </c>
      <c r="L106">
        <v>172</v>
      </c>
      <c r="M106">
        <v>0</v>
      </c>
      <c r="N106">
        <v>8</v>
      </c>
      <c r="O106">
        <v>193</v>
      </c>
      <c r="P106">
        <v>45</v>
      </c>
      <c r="Q106">
        <v>75</v>
      </c>
      <c r="R106">
        <v>189</v>
      </c>
      <c r="S106" s="6">
        <v>1.3</v>
      </c>
      <c r="T106" s="6">
        <v>1.3</v>
      </c>
    </row>
    <row r="107" spans="1:20" x14ac:dyDescent="0.3">
      <c r="A107">
        <v>365</v>
      </c>
      <c r="B107" t="s">
        <v>482</v>
      </c>
      <c r="C107" t="s">
        <v>646</v>
      </c>
      <c r="D107" t="s">
        <v>640</v>
      </c>
      <c r="E107" t="s">
        <v>657</v>
      </c>
      <c r="F107">
        <v>2054</v>
      </c>
      <c r="G107" t="s">
        <v>8</v>
      </c>
      <c r="H107">
        <v>196</v>
      </c>
      <c r="I107">
        <v>85</v>
      </c>
      <c r="J107">
        <v>283</v>
      </c>
      <c r="K107">
        <v>160</v>
      </c>
      <c r="L107">
        <v>172</v>
      </c>
      <c r="M107">
        <v>0</v>
      </c>
      <c r="N107">
        <v>8</v>
      </c>
      <c r="O107">
        <v>218</v>
      </c>
      <c r="P107">
        <v>42</v>
      </c>
      <c r="Q107">
        <v>75</v>
      </c>
      <c r="R107"/>
      <c r="S107" s="6">
        <v>1.2</v>
      </c>
      <c r="T107" s="6">
        <v>1.3</v>
      </c>
    </row>
    <row r="108" spans="1:20" x14ac:dyDescent="0.3">
      <c r="A108">
        <v>369</v>
      </c>
      <c r="B108" t="s">
        <v>483</v>
      </c>
      <c r="C108" t="s">
        <v>648</v>
      </c>
      <c r="D108" t="s">
        <v>640</v>
      </c>
      <c r="E108" t="s">
        <v>657</v>
      </c>
      <c r="F108">
        <v>1561</v>
      </c>
      <c r="G108" t="s">
        <v>8</v>
      </c>
      <c r="H108">
        <v>203</v>
      </c>
      <c r="I108">
        <v>60</v>
      </c>
      <c r="J108">
        <v>404</v>
      </c>
      <c r="K108">
        <v>193</v>
      </c>
      <c r="L108">
        <v>139</v>
      </c>
      <c r="M108">
        <v>0</v>
      </c>
      <c r="N108">
        <v>7</v>
      </c>
      <c r="O108">
        <v>189</v>
      </c>
      <c r="P108">
        <v>44</v>
      </c>
      <c r="Q108">
        <v>87</v>
      </c>
      <c r="R108">
        <v>183</v>
      </c>
      <c r="S108" s="6">
        <v>0.75</v>
      </c>
      <c r="T108" s="6">
        <v>1.4</v>
      </c>
    </row>
    <row r="109" spans="1:20" x14ac:dyDescent="0.3">
      <c r="A109">
        <v>370</v>
      </c>
      <c r="B109" t="s">
        <v>484</v>
      </c>
      <c r="C109" t="s">
        <v>648</v>
      </c>
      <c r="D109" t="s">
        <v>639</v>
      </c>
      <c r="E109" t="s">
        <v>657</v>
      </c>
      <c r="F109">
        <v>2157</v>
      </c>
      <c r="G109" t="s">
        <v>8</v>
      </c>
      <c r="H109">
        <v>215</v>
      </c>
      <c r="I109">
        <v>70</v>
      </c>
      <c r="J109">
        <v>526</v>
      </c>
      <c r="K109">
        <v>191</v>
      </c>
      <c r="L109">
        <v>156</v>
      </c>
      <c r="M109">
        <v>0</v>
      </c>
      <c r="N109">
        <v>9</v>
      </c>
      <c r="O109">
        <v>193</v>
      </c>
      <c r="P109">
        <v>42</v>
      </c>
      <c r="Q109">
        <v>40</v>
      </c>
      <c r="R109">
        <v>189</v>
      </c>
      <c r="S109" s="6">
        <v>0.8</v>
      </c>
      <c r="T109" s="6">
        <v>1.55</v>
      </c>
    </row>
    <row r="110" spans="1:20" x14ac:dyDescent="0.3">
      <c r="A110">
        <v>374</v>
      </c>
      <c r="B110" t="s">
        <v>485</v>
      </c>
      <c r="C110" t="s">
        <v>646</v>
      </c>
      <c r="D110" t="s">
        <v>640</v>
      </c>
      <c r="E110" t="s">
        <v>657</v>
      </c>
      <c r="F110">
        <v>2054</v>
      </c>
      <c r="G110" t="s">
        <v>8</v>
      </c>
      <c r="H110">
        <v>201</v>
      </c>
      <c r="I110">
        <v>82</v>
      </c>
      <c r="J110">
        <v>283</v>
      </c>
      <c r="K110">
        <v>160</v>
      </c>
      <c r="L110">
        <v>182</v>
      </c>
      <c r="M110">
        <v>0</v>
      </c>
      <c r="N110">
        <v>8</v>
      </c>
      <c r="O110">
        <v>206</v>
      </c>
      <c r="P110">
        <v>42</v>
      </c>
      <c r="Q110">
        <v>77</v>
      </c>
      <c r="R110">
        <v>199</v>
      </c>
      <c r="S110" s="6">
        <v>1.2</v>
      </c>
      <c r="T110" s="6">
        <v>1.3</v>
      </c>
    </row>
    <row r="111" spans="1:20" x14ac:dyDescent="0.3">
      <c r="A111">
        <v>375</v>
      </c>
      <c r="B111" t="s">
        <v>486</v>
      </c>
      <c r="C111" t="s">
        <v>646</v>
      </c>
      <c r="D111" t="s">
        <v>639</v>
      </c>
      <c r="E111" t="s">
        <v>657</v>
      </c>
      <c r="F111">
        <v>2115</v>
      </c>
      <c r="G111" t="s">
        <v>8</v>
      </c>
      <c r="H111">
        <v>206</v>
      </c>
      <c r="I111">
        <v>90</v>
      </c>
      <c r="J111">
        <v>291</v>
      </c>
      <c r="K111">
        <v>160</v>
      </c>
      <c r="L111">
        <v>172</v>
      </c>
      <c r="M111">
        <v>0</v>
      </c>
      <c r="N111">
        <v>9</v>
      </c>
      <c r="O111">
        <v>212</v>
      </c>
      <c r="P111">
        <v>42</v>
      </c>
      <c r="Q111">
        <v>89</v>
      </c>
      <c r="R111">
        <v>197</v>
      </c>
      <c r="S111" s="6">
        <v>1.25</v>
      </c>
      <c r="T111" s="6">
        <v>1.3</v>
      </c>
    </row>
    <row r="112" spans="1:20" x14ac:dyDescent="0.3">
      <c r="A112">
        <v>3005</v>
      </c>
      <c r="B112" t="s">
        <v>709</v>
      </c>
      <c r="C112" t="s">
        <v>646</v>
      </c>
      <c r="D112" t="s">
        <v>640</v>
      </c>
      <c r="E112" t="s">
        <v>657</v>
      </c>
      <c r="F112">
        <v>1900</v>
      </c>
      <c r="G112" t="s">
        <v>8</v>
      </c>
      <c r="H112">
        <v>210</v>
      </c>
      <c r="I112">
        <v>101</v>
      </c>
      <c r="J112">
        <v>293</v>
      </c>
      <c r="K112">
        <v>187</v>
      </c>
      <c r="L112">
        <v>168</v>
      </c>
      <c r="M112">
        <v>0</v>
      </c>
      <c r="N112">
        <v>7</v>
      </c>
      <c r="O112">
        <v>181</v>
      </c>
      <c r="P112">
        <v>47</v>
      </c>
      <c r="Q112">
        <v>66</v>
      </c>
      <c r="R112">
        <v>188</v>
      </c>
      <c r="S112" s="6">
        <v>1.25</v>
      </c>
      <c r="T112" s="6">
        <v>1.35</v>
      </c>
    </row>
    <row r="113" spans="1:20" x14ac:dyDescent="0.3">
      <c r="A113">
        <v>3006</v>
      </c>
      <c r="B113" t="s">
        <v>710</v>
      </c>
      <c r="C113" t="s">
        <v>646</v>
      </c>
      <c r="D113" t="s">
        <v>640</v>
      </c>
      <c r="E113" t="s">
        <v>657</v>
      </c>
      <c r="F113">
        <v>1900</v>
      </c>
      <c r="G113" t="s">
        <v>8</v>
      </c>
      <c r="H113">
        <v>210</v>
      </c>
      <c r="I113">
        <v>101</v>
      </c>
      <c r="J113">
        <v>293</v>
      </c>
      <c r="K113">
        <v>187</v>
      </c>
      <c r="L113">
        <v>168</v>
      </c>
      <c r="M113">
        <v>0</v>
      </c>
      <c r="N113">
        <v>7</v>
      </c>
      <c r="O113">
        <v>181</v>
      </c>
      <c r="P113">
        <v>47</v>
      </c>
      <c r="Q113">
        <v>63</v>
      </c>
      <c r="R113">
        <v>188</v>
      </c>
      <c r="S113" s="6">
        <v>1.25</v>
      </c>
      <c r="T113" s="6">
        <v>1.35</v>
      </c>
    </row>
    <row r="114" spans="1:20" x14ac:dyDescent="0.3">
      <c r="A114">
        <v>3019</v>
      </c>
      <c r="B114" t="s">
        <v>711</v>
      </c>
      <c r="C114" t="s">
        <v>646</v>
      </c>
      <c r="D114" t="s">
        <v>642</v>
      </c>
      <c r="E114" t="s">
        <v>657</v>
      </c>
      <c r="F114">
        <v>2145</v>
      </c>
      <c r="G114" t="s">
        <v>8</v>
      </c>
      <c r="H114">
        <v>220</v>
      </c>
      <c r="I114">
        <v>161</v>
      </c>
      <c r="J114">
        <v>342</v>
      </c>
      <c r="K114">
        <v>203</v>
      </c>
      <c r="L114">
        <v>176</v>
      </c>
      <c r="M114">
        <v>0</v>
      </c>
      <c r="N114">
        <v>9</v>
      </c>
      <c r="O114">
        <v>199</v>
      </c>
      <c r="P114">
        <v>45</v>
      </c>
      <c r="Q114">
        <v>18</v>
      </c>
      <c r="R114">
        <v>210</v>
      </c>
      <c r="S114" s="6">
        <v>1.65</v>
      </c>
      <c r="T114" s="6">
        <v>1.25</v>
      </c>
    </row>
    <row r="115" spans="1:20" x14ac:dyDescent="0.3">
      <c r="A115">
        <v>3027</v>
      </c>
      <c r="B115" t="s">
        <v>712</v>
      </c>
      <c r="C115" t="s">
        <v>646</v>
      </c>
      <c r="D115" t="s">
        <v>639</v>
      </c>
      <c r="E115" t="s">
        <v>657</v>
      </c>
      <c r="F115">
        <v>2025</v>
      </c>
      <c r="G115" t="s">
        <v>8</v>
      </c>
      <c r="H115">
        <v>224</v>
      </c>
      <c r="I115">
        <v>96</v>
      </c>
      <c r="J115">
        <v>286</v>
      </c>
      <c r="K115">
        <v>160</v>
      </c>
      <c r="L115">
        <v>262</v>
      </c>
      <c r="M115">
        <v>0</v>
      </c>
      <c r="N115">
        <v>8</v>
      </c>
      <c r="O115">
        <v>208</v>
      </c>
      <c r="P115">
        <v>45</v>
      </c>
      <c r="Q115">
        <v>47</v>
      </c>
      <c r="R115">
        <v>183</v>
      </c>
      <c r="S115" s="6">
        <v>1.25</v>
      </c>
      <c r="T115" s="6">
        <v>1.3</v>
      </c>
    </row>
    <row r="116" spans="1:20" x14ac:dyDescent="0.3">
      <c r="A116">
        <v>3082</v>
      </c>
      <c r="B116" t="s">
        <v>713</v>
      </c>
      <c r="C116" t="s">
        <v>647</v>
      </c>
      <c r="D116" t="s">
        <v>639</v>
      </c>
      <c r="E116" t="s">
        <v>657</v>
      </c>
      <c r="F116">
        <v>1535</v>
      </c>
      <c r="G116" t="s">
        <v>8</v>
      </c>
      <c r="H116">
        <v>193</v>
      </c>
      <c r="I116">
        <v>68</v>
      </c>
      <c r="J116">
        <v>400</v>
      </c>
      <c r="K116">
        <v>244</v>
      </c>
      <c r="L116">
        <v>169</v>
      </c>
      <c r="M116">
        <v>0</v>
      </c>
      <c r="N116">
        <v>8</v>
      </c>
      <c r="O116">
        <v>173</v>
      </c>
      <c r="P116">
        <v>45</v>
      </c>
      <c r="Q116">
        <v>43</v>
      </c>
      <c r="R116">
        <v>177</v>
      </c>
      <c r="S116" s="6">
        <v>1.1499999999999999</v>
      </c>
      <c r="T116" s="6">
        <v>1.5</v>
      </c>
    </row>
    <row r="117" spans="1:20" x14ac:dyDescent="0.3">
      <c r="A117">
        <v>3083</v>
      </c>
      <c r="B117" t="s">
        <v>714</v>
      </c>
      <c r="C117" t="s">
        <v>647</v>
      </c>
      <c r="D117" t="s">
        <v>639</v>
      </c>
      <c r="E117" t="s">
        <v>657</v>
      </c>
      <c r="F117">
        <v>1535</v>
      </c>
      <c r="G117" t="s">
        <v>8</v>
      </c>
      <c r="H117">
        <v>193</v>
      </c>
      <c r="I117">
        <v>68</v>
      </c>
      <c r="J117">
        <v>400</v>
      </c>
      <c r="K117">
        <v>244</v>
      </c>
      <c r="L117">
        <v>169</v>
      </c>
      <c r="M117">
        <v>0</v>
      </c>
      <c r="N117">
        <v>8</v>
      </c>
      <c r="O117">
        <v>173</v>
      </c>
      <c r="P117">
        <v>45</v>
      </c>
      <c r="Q117">
        <v>35</v>
      </c>
      <c r="R117">
        <v>177</v>
      </c>
      <c r="S117" s="6">
        <v>1.2</v>
      </c>
      <c r="T117" s="6">
        <v>1.45</v>
      </c>
    </row>
    <row r="118" spans="1:20" x14ac:dyDescent="0.3">
      <c r="A118">
        <v>3088</v>
      </c>
      <c r="B118" t="s">
        <v>715</v>
      </c>
      <c r="C118" t="s">
        <v>647</v>
      </c>
      <c r="D118" t="s">
        <v>640</v>
      </c>
      <c r="E118" t="s">
        <v>657</v>
      </c>
      <c r="F118">
        <v>1524</v>
      </c>
      <c r="G118" t="s">
        <v>8</v>
      </c>
      <c r="H118">
        <v>195</v>
      </c>
      <c r="I118">
        <v>68</v>
      </c>
      <c r="J118">
        <v>385</v>
      </c>
      <c r="K118">
        <v>245</v>
      </c>
      <c r="L118">
        <v>165</v>
      </c>
      <c r="M118">
        <v>0</v>
      </c>
      <c r="N118">
        <v>7</v>
      </c>
      <c r="O118">
        <v>206</v>
      </c>
      <c r="P118">
        <v>46</v>
      </c>
      <c r="Q118">
        <v>54</v>
      </c>
      <c r="R118">
        <v>183</v>
      </c>
      <c r="S118" s="6">
        <v>1.2</v>
      </c>
      <c r="T118" s="6">
        <v>1.4</v>
      </c>
    </row>
    <row r="119" spans="1:20" x14ac:dyDescent="0.3">
      <c r="A119">
        <v>3089</v>
      </c>
      <c r="B119" t="s">
        <v>716</v>
      </c>
      <c r="C119" t="s">
        <v>647</v>
      </c>
      <c r="D119" t="s">
        <v>640</v>
      </c>
      <c r="E119" t="s">
        <v>657</v>
      </c>
      <c r="F119">
        <v>1524</v>
      </c>
      <c r="G119" t="s">
        <v>8</v>
      </c>
      <c r="H119">
        <v>190</v>
      </c>
      <c r="I119">
        <v>108</v>
      </c>
      <c r="J119">
        <v>350</v>
      </c>
      <c r="K119">
        <v>240</v>
      </c>
      <c r="L119">
        <v>165</v>
      </c>
      <c r="M119">
        <v>0</v>
      </c>
      <c r="N119">
        <v>7</v>
      </c>
      <c r="O119">
        <v>206</v>
      </c>
      <c r="P119">
        <v>46</v>
      </c>
      <c r="Q119">
        <v>35</v>
      </c>
      <c r="R119">
        <v>183</v>
      </c>
      <c r="S119" s="6">
        <v>1.25</v>
      </c>
      <c r="T119" s="6">
        <v>1.35</v>
      </c>
    </row>
    <row r="120" spans="1:20" x14ac:dyDescent="0.3">
      <c r="A120">
        <v>3090</v>
      </c>
      <c r="B120" t="s">
        <v>717</v>
      </c>
      <c r="C120" t="s">
        <v>647</v>
      </c>
      <c r="D120" t="s">
        <v>640</v>
      </c>
      <c r="E120" t="s">
        <v>657</v>
      </c>
      <c r="F120">
        <v>1524</v>
      </c>
      <c r="G120" t="s">
        <v>8</v>
      </c>
      <c r="H120">
        <v>190</v>
      </c>
      <c r="I120">
        <v>98</v>
      </c>
      <c r="J120">
        <v>350</v>
      </c>
      <c r="K120">
        <v>255</v>
      </c>
      <c r="L120">
        <v>165</v>
      </c>
      <c r="M120">
        <v>0</v>
      </c>
      <c r="N120">
        <v>7</v>
      </c>
      <c r="O120">
        <v>210</v>
      </c>
      <c r="P120">
        <v>46</v>
      </c>
      <c r="Q120">
        <v>72</v>
      </c>
      <c r="R120">
        <v>183</v>
      </c>
      <c r="S120" s="6">
        <v>1.25</v>
      </c>
      <c r="T120" s="6">
        <v>1.35</v>
      </c>
    </row>
    <row r="121" spans="1:20" x14ac:dyDescent="0.3">
      <c r="A121">
        <v>3091</v>
      </c>
      <c r="B121" t="s">
        <v>718</v>
      </c>
      <c r="C121" t="s">
        <v>647</v>
      </c>
      <c r="D121" t="s">
        <v>640</v>
      </c>
      <c r="E121" t="s">
        <v>657</v>
      </c>
      <c r="F121">
        <v>1538</v>
      </c>
      <c r="G121" t="s">
        <v>8</v>
      </c>
      <c r="H121">
        <v>192</v>
      </c>
      <c r="I121">
        <v>106</v>
      </c>
      <c r="J121">
        <v>350</v>
      </c>
      <c r="K121">
        <v>249</v>
      </c>
      <c r="L121">
        <v>165</v>
      </c>
      <c r="M121">
        <v>0</v>
      </c>
      <c r="N121">
        <v>7</v>
      </c>
      <c r="O121">
        <v>213</v>
      </c>
      <c r="P121">
        <v>45</v>
      </c>
      <c r="Q121">
        <v>68</v>
      </c>
      <c r="R121">
        <v>185</v>
      </c>
      <c r="S121" s="6">
        <v>1.25</v>
      </c>
      <c r="T121" s="6">
        <v>1.35</v>
      </c>
    </row>
    <row r="122" spans="1:20" x14ac:dyDescent="0.3">
      <c r="A122">
        <v>3092</v>
      </c>
      <c r="B122" t="s">
        <v>719</v>
      </c>
      <c r="C122" t="s">
        <v>647</v>
      </c>
      <c r="D122" t="s">
        <v>639</v>
      </c>
      <c r="E122" t="s">
        <v>657</v>
      </c>
      <c r="F122">
        <v>1567</v>
      </c>
      <c r="G122" t="s">
        <v>8</v>
      </c>
      <c r="H122">
        <v>195</v>
      </c>
      <c r="I122">
        <v>107</v>
      </c>
      <c r="J122">
        <v>357</v>
      </c>
      <c r="K122">
        <v>249</v>
      </c>
      <c r="L122">
        <v>169</v>
      </c>
      <c r="M122">
        <v>0</v>
      </c>
      <c r="N122">
        <v>8</v>
      </c>
      <c r="O122">
        <v>218</v>
      </c>
      <c r="P122">
        <v>45</v>
      </c>
      <c r="Q122">
        <v>68</v>
      </c>
      <c r="R122">
        <v>185</v>
      </c>
      <c r="S122" s="6">
        <v>1.25</v>
      </c>
      <c r="T122" s="6">
        <v>1.35</v>
      </c>
    </row>
    <row r="123" spans="1:20" x14ac:dyDescent="0.3">
      <c r="A123">
        <v>3101</v>
      </c>
      <c r="B123" t="s">
        <v>720</v>
      </c>
      <c r="C123" t="s">
        <v>647</v>
      </c>
      <c r="D123" t="s">
        <v>642</v>
      </c>
      <c r="E123" t="s">
        <v>657</v>
      </c>
      <c r="F123">
        <v>1746</v>
      </c>
      <c r="G123" t="s">
        <v>8</v>
      </c>
      <c r="H123">
        <v>207</v>
      </c>
      <c r="I123">
        <v>90</v>
      </c>
      <c r="J123">
        <v>429</v>
      </c>
      <c r="K123">
        <v>250</v>
      </c>
      <c r="L123">
        <v>160</v>
      </c>
      <c r="M123">
        <v>0</v>
      </c>
      <c r="N123">
        <v>9</v>
      </c>
      <c r="O123">
        <v>215</v>
      </c>
      <c r="P123">
        <v>46</v>
      </c>
      <c r="Q123">
        <v>65</v>
      </c>
      <c r="R123">
        <v>200</v>
      </c>
      <c r="S123" s="6">
        <v>1.25</v>
      </c>
      <c r="T123" s="6">
        <v>1.45</v>
      </c>
    </row>
    <row r="124" spans="1:20" x14ac:dyDescent="0.3">
      <c r="A124">
        <v>3155</v>
      </c>
      <c r="B124" t="s">
        <v>721</v>
      </c>
      <c r="C124" t="s">
        <v>648</v>
      </c>
      <c r="D124" t="s">
        <v>642</v>
      </c>
      <c r="E124" t="s">
        <v>657</v>
      </c>
      <c r="F124">
        <v>1963</v>
      </c>
      <c r="G124" t="s">
        <v>8</v>
      </c>
      <c r="H124">
        <v>228</v>
      </c>
      <c r="I124">
        <v>75</v>
      </c>
      <c r="J124">
        <v>569</v>
      </c>
      <c r="K124">
        <v>214</v>
      </c>
      <c r="L124">
        <v>146</v>
      </c>
      <c r="M124">
        <v>0</v>
      </c>
      <c r="N124">
        <v>9</v>
      </c>
      <c r="O124">
        <v>203</v>
      </c>
      <c r="P124">
        <v>48</v>
      </c>
      <c r="Q124">
        <v>36</v>
      </c>
      <c r="R124">
        <v>188</v>
      </c>
      <c r="S124" s="6">
        <v>0.85</v>
      </c>
      <c r="T124" s="6">
        <v>1.65</v>
      </c>
    </row>
    <row r="125" spans="1:20" x14ac:dyDescent="0.3">
      <c r="A125">
        <v>3167</v>
      </c>
      <c r="B125" t="s">
        <v>722</v>
      </c>
      <c r="C125" t="s">
        <v>648</v>
      </c>
      <c r="D125" t="s">
        <v>639</v>
      </c>
      <c r="E125" t="s">
        <v>657</v>
      </c>
      <c r="F125">
        <v>2050</v>
      </c>
      <c r="G125" t="s">
        <v>8</v>
      </c>
      <c r="H125">
        <v>221</v>
      </c>
      <c r="I125">
        <v>75</v>
      </c>
      <c r="J125">
        <v>552</v>
      </c>
      <c r="K125">
        <v>192</v>
      </c>
      <c r="L125">
        <v>150</v>
      </c>
      <c r="M125">
        <v>0</v>
      </c>
      <c r="N125">
        <v>8</v>
      </c>
      <c r="O125">
        <v>209</v>
      </c>
      <c r="P125">
        <v>45</v>
      </c>
      <c r="Q125">
        <v>25</v>
      </c>
      <c r="R125">
        <v>189</v>
      </c>
      <c r="S125" s="6">
        <v>0.8</v>
      </c>
      <c r="T125" s="6">
        <v>1.55</v>
      </c>
    </row>
    <row r="126" spans="1:20" x14ac:dyDescent="0.3">
      <c r="A126">
        <v>3168</v>
      </c>
      <c r="B126" t="s">
        <v>723</v>
      </c>
      <c r="C126" t="s">
        <v>648</v>
      </c>
      <c r="D126" t="s">
        <v>640</v>
      </c>
      <c r="E126" t="s">
        <v>657</v>
      </c>
      <c r="F126">
        <v>1908</v>
      </c>
      <c r="G126" t="s">
        <v>8</v>
      </c>
      <c r="H126">
        <v>196</v>
      </c>
      <c r="I126">
        <v>73</v>
      </c>
      <c r="J126">
        <v>562</v>
      </c>
      <c r="K126">
        <v>212</v>
      </c>
      <c r="L126">
        <v>145</v>
      </c>
      <c r="M126">
        <v>0</v>
      </c>
      <c r="N126">
        <v>7</v>
      </c>
      <c r="O126">
        <v>173</v>
      </c>
      <c r="P126">
        <v>45</v>
      </c>
      <c r="Q126">
        <v>25</v>
      </c>
      <c r="R126">
        <v>189</v>
      </c>
      <c r="S126" s="6">
        <v>0.8</v>
      </c>
      <c r="T126" s="6">
        <v>1.65</v>
      </c>
    </row>
    <row r="127" spans="1:20" x14ac:dyDescent="0.3">
      <c r="A127">
        <v>3236</v>
      </c>
      <c r="B127" t="s">
        <v>675</v>
      </c>
      <c r="C127" t="s">
        <v>649</v>
      </c>
      <c r="D127" t="s">
        <v>642</v>
      </c>
      <c r="E127" t="s">
        <v>657</v>
      </c>
      <c r="F127">
        <v>2290</v>
      </c>
      <c r="G127" t="s">
        <v>8</v>
      </c>
      <c r="H127">
        <v>199</v>
      </c>
      <c r="I127">
        <v>170</v>
      </c>
      <c r="J127">
        <v>347</v>
      </c>
      <c r="K127">
        <v>162</v>
      </c>
      <c r="L127">
        <v>215</v>
      </c>
      <c r="M127">
        <v>0</v>
      </c>
      <c r="N127">
        <v>9</v>
      </c>
      <c r="O127">
        <v>221</v>
      </c>
      <c r="P127">
        <v>42</v>
      </c>
      <c r="Q127">
        <v>65</v>
      </c>
      <c r="R127">
        <v>180</v>
      </c>
      <c r="S127" s="6">
        <v>1.75</v>
      </c>
      <c r="T127" s="6">
        <v>1.2</v>
      </c>
    </row>
    <row r="128" spans="1:20" x14ac:dyDescent="0.3">
      <c r="A128">
        <v>3263</v>
      </c>
      <c r="B128" t="s">
        <v>724</v>
      </c>
      <c r="C128" t="s">
        <v>646</v>
      </c>
      <c r="D128" t="s">
        <v>639</v>
      </c>
      <c r="E128" t="s">
        <v>657</v>
      </c>
      <c r="F128">
        <v>2036</v>
      </c>
      <c r="G128" t="s">
        <v>8</v>
      </c>
      <c r="H128">
        <v>224</v>
      </c>
      <c r="I128">
        <v>102</v>
      </c>
      <c r="J128">
        <v>320</v>
      </c>
      <c r="K128">
        <v>162</v>
      </c>
      <c r="L128">
        <v>262</v>
      </c>
      <c r="M128">
        <v>0</v>
      </c>
      <c r="N128">
        <v>8</v>
      </c>
      <c r="O128">
        <v>192</v>
      </c>
      <c r="P128">
        <v>47</v>
      </c>
      <c r="Q128">
        <v>70</v>
      </c>
      <c r="R128">
        <v>189</v>
      </c>
      <c r="S128" s="6">
        <v>1.35</v>
      </c>
      <c r="T128" s="6">
        <v>1.35</v>
      </c>
    </row>
    <row r="129" spans="1:20" x14ac:dyDescent="0.3">
      <c r="A129">
        <v>3269</v>
      </c>
      <c r="B129" t="s">
        <v>725</v>
      </c>
      <c r="C129" t="s">
        <v>648</v>
      </c>
      <c r="D129" t="s">
        <v>639</v>
      </c>
      <c r="E129" t="s">
        <v>657</v>
      </c>
      <c r="F129">
        <v>1726</v>
      </c>
      <c r="G129" t="s">
        <v>8</v>
      </c>
      <c r="H129">
        <v>229</v>
      </c>
      <c r="I129">
        <v>60</v>
      </c>
      <c r="J129">
        <v>414</v>
      </c>
      <c r="K129">
        <v>193</v>
      </c>
      <c r="L129">
        <v>179</v>
      </c>
      <c r="M129">
        <v>0</v>
      </c>
      <c r="N129">
        <v>7</v>
      </c>
      <c r="O129">
        <v>202</v>
      </c>
      <c r="P129">
        <v>47</v>
      </c>
      <c r="Q129">
        <v>86</v>
      </c>
      <c r="R129">
        <v>188</v>
      </c>
      <c r="S129" s="6">
        <v>0.75</v>
      </c>
      <c r="T129" s="6">
        <v>1.45</v>
      </c>
    </row>
    <row r="130" spans="1:20" x14ac:dyDescent="0.3">
      <c r="A130">
        <v>3270</v>
      </c>
      <c r="B130" t="s">
        <v>726</v>
      </c>
      <c r="C130" t="s">
        <v>648</v>
      </c>
      <c r="D130" t="s">
        <v>639</v>
      </c>
      <c r="E130" t="s">
        <v>657</v>
      </c>
      <c r="F130">
        <v>1726</v>
      </c>
      <c r="G130" t="s">
        <v>8</v>
      </c>
      <c r="H130">
        <v>223</v>
      </c>
      <c r="I130">
        <v>59</v>
      </c>
      <c r="J130">
        <v>414</v>
      </c>
      <c r="K130">
        <v>190</v>
      </c>
      <c r="L130">
        <v>170</v>
      </c>
      <c r="M130">
        <v>0</v>
      </c>
      <c r="N130">
        <v>7</v>
      </c>
      <c r="O130">
        <v>186</v>
      </c>
      <c r="P130">
        <v>47</v>
      </c>
      <c r="Q130">
        <v>45</v>
      </c>
      <c r="R130">
        <v>188</v>
      </c>
      <c r="S130" s="6">
        <v>0.75</v>
      </c>
      <c r="T130" s="6">
        <v>1.45</v>
      </c>
    </row>
    <row r="131" spans="1:20" x14ac:dyDescent="0.3">
      <c r="A131">
        <v>3271</v>
      </c>
      <c r="B131" t="s">
        <v>727</v>
      </c>
      <c r="C131" t="s">
        <v>648</v>
      </c>
      <c r="D131" t="s">
        <v>640</v>
      </c>
      <c r="E131" t="s">
        <v>657</v>
      </c>
      <c r="F131">
        <v>1652</v>
      </c>
      <c r="G131" t="s">
        <v>8</v>
      </c>
      <c r="H131">
        <v>216</v>
      </c>
      <c r="I131">
        <v>59</v>
      </c>
      <c r="J131">
        <v>462</v>
      </c>
      <c r="K131">
        <v>193</v>
      </c>
      <c r="L131">
        <v>173</v>
      </c>
      <c r="M131">
        <v>0</v>
      </c>
      <c r="N131">
        <v>7</v>
      </c>
      <c r="O131">
        <v>181</v>
      </c>
      <c r="P131">
        <v>47</v>
      </c>
      <c r="Q131">
        <v>35</v>
      </c>
      <c r="R131">
        <v>183</v>
      </c>
      <c r="S131" s="6">
        <v>0.75</v>
      </c>
      <c r="T131" s="6">
        <v>1.5</v>
      </c>
    </row>
    <row r="132" spans="1:20" x14ac:dyDescent="0.3">
      <c r="A132">
        <v>3301</v>
      </c>
      <c r="B132" t="s">
        <v>728</v>
      </c>
      <c r="C132" t="s">
        <v>646</v>
      </c>
      <c r="D132" t="s">
        <v>642</v>
      </c>
      <c r="E132" t="s">
        <v>657</v>
      </c>
      <c r="F132">
        <v>2280</v>
      </c>
      <c r="G132" t="s">
        <v>8</v>
      </c>
      <c r="H132">
        <v>207</v>
      </c>
      <c r="I132">
        <v>132</v>
      </c>
      <c r="J132">
        <v>356</v>
      </c>
      <c r="K132">
        <v>160</v>
      </c>
      <c r="L132">
        <v>233</v>
      </c>
      <c r="M132">
        <v>0</v>
      </c>
      <c r="N132">
        <v>9</v>
      </c>
      <c r="O132">
        <v>222</v>
      </c>
      <c r="P132">
        <v>42</v>
      </c>
      <c r="Q132">
        <v>80</v>
      </c>
      <c r="R132">
        <v>203</v>
      </c>
      <c r="S132" s="6">
        <v>1.4</v>
      </c>
      <c r="T132" s="6">
        <v>1.4</v>
      </c>
    </row>
    <row r="133" spans="1:20" x14ac:dyDescent="0.3">
      <c r="A133">
        <v>3318</v>
      </c>
      <c r="B133" t="s">
        <v>729</v>
      </c>
      <c r="C133" t="s">
        <v>648</v>
      </c>
      <c r="D133" t="s">
        <v>639</v>
      </c>
      <c r="E133" t="s">
        <v>657</v>
      </c>
      <c r="F133">
        <v>2143</v>
      </c>
      <c r="G133" t="s">
        <v>8</v>
      </c>
      <c r="H133">
        <v>201</v>
      </c>
      <c r="I133">
        <v>75</v>
      </c>
      <c r="J133">
        <v>572</v>
      </c>
      <c r="K133">
        <v>211</v>
      </c>
      <c r="L133">
        <v>150</v>
      </c>
      <c r="M133">
        <v>0</v>
      </c>
      <c r="N133">
        <v>8</v>
      </c>
      <c r="O133">
        <v>187</v>
      </c>
      <c r="P133">
        <v>45</v>
      </c>
      <c r="Q133">
        <v>58</v>
      </c>
      <c r="R133">
        <v>189</v>
      </c>
      <c r="S133" s="6">
        <v>0.8</v>
      </c>
      <c r="T133" s="6">
        <v>1.65</v>
      </c>
    </row>
    <row r="134" spans="1:20" x14ac:dyDescent="0.3">
      <c r="A134">
        <v>3319</v>
      </c>
      <c r="B134" t="s">
        <v>730</v>
      </c>
      <c r="C134" t="s">
        <v>648</v>
      </c>
      <c r="D134" t="s">
        <v>639</v>
      </c>
      <c r="E134" t="s">
        <v>657</v>
      </c>
      <c r="F134">
        <v>2143</v>
      </c>
      <c r="G134" t="s">
        <v>8</v>
      </c>
      <c r="H134">
        <v>196</v>
      </c>
      <c r="I134">
        <v>75</v>
      </c>
      <c r="J134">
        <v>572</v>
      </c>
      <c r="K134">
        <v>211</v>
      </c>
      <c r="L134">
        <v>154</v>
      </c>
      <c r="M134">
        <v>0</v>
      </c>
      <c r="N134">
        <v>8</v>
      </c>
      <c r="O134">
        <v>165</v>
      </c>
      <c r="P134">
        <v>45</v>
      </c>
      <c r="Q134">
        <v>52</v>
      </c>
      <c r="R134">
        <v>189</v>
      </c>
      <c r="S134" s="6">
        <v>0.8</v>
      </c>
      <c r="T134" s="6">
        <v>1.65</v>
      </c>
    </row>
    <row r="135" spans="1:20" x14ac:dyDescent="0.3">
      <c r="A135">
        <v>3348</v>
      </c>
      <c r="B135" t="s">
        <v>731</v>
      </c>
      <c r="C135" t="s">
        <v>652</v>
      </c>
      <c r="D135" t="s">
        <v>639</v>
      </c>
      <c r="E135" t="s">
        <v>657</v>
      </c>
      <c r="F135">
        <v>1436</v>
      </c>
      <c r="G135" t="s">
        <v>8</v>
      </c>
      <c r="H135">
        <v>193</v>
      </c>
      <c r="I135">
        <v>89</v>
      </c>
      <c r="J135">
        <v>439</v>
      </c>
      <c r="K135">
        <v>200</v>
      </c>
      <c r="L135">
        <v>168</v>
      </c>
      <c r="M135">
        <v>0</v>
      </c>
      <c r="N135">
        <v>8</v>
      </c>
      <c r="O135">
        <v>219</v>
      </c>
      <c r="P135">
        <v>42</v>
      </c>
      <c r="Q135">
        <v>69</v>
      </c>
      <c r="R135">
        <v>191</v>
      </c>
      <c r="S135" s="6">
        <v>1.2</v>
      </c>
      <c r="T135" s="6">
        <v>1.45</v>
      </c>
    </row>
    <row r="136" spans="1:20" x14ac:dyDescent="0.3">
      <c r="A136">
        <v>3351</v>
      </c>
      <c r="B136" t="s">
        <v>732</v>
      </c>
      <c r="C136" t="s">
        <v>653</v>
      </c>
      <c r="D136" t="s">
        <v>639</v>
      </c>
      <c r="E136" t="s">
        <v>657</v>
      </c>
      <c r="F136">
        <v>1436</v>
      </c>
      <c r="G136" t="s">
        <v>8</v>
      </c>
      <c r="H136">
        <v>193</v>
      </c>
      <c r="I136">
        <v>89</v>
      </c>
      <c r="J136">
        <v>439</v>
      </c>
      <c r="K136">
        <v>200</v>
      </c>
      <c r="L136">
        <v>183</v>
      </c>
      <c r="M136">
        <v>0</v>
      </c>
      <c r="N136">
        <v>8</v>
      </c>
      <c r="O136">
        <v>202</v>
      </c>
      <c r="P136">
        <v>42</v>
      </c>
      <c r="Q136">
        <v>24</v>
      </c>
      <c r="R136">
        <v>191</v>
      </c>
      <c r="S136" s="6">
        <v>1.2</v>
      </c>
      <c r="T136" s="6">
        <v>1.45</v>
      </c>
    </row>
    <row r="137" spans="1:20" x14ac:dyDescent="0.3">
      <c r="A137" t="s">
        <v>333</v>
      </c>
      <c r="B137" t="s">
        <v>619</v>
      </c>
      <c r="C137" t="s">
        <v>654</v>
      </c>
      <c r="D137" t="s">
        <v>639</v>
      </c>
      <c r="E137" t="s">
        <v>657</v>
      </c>
      <c r="F137">
        <v>1800</v>
      </c>
      <c r="G137" t="s">
        <v>8</v>
      </c>
      <c r="H137">
        <v>207</v>
      </c>
      <c r="I137">
        <v>70</v>
      </c>
      <c r="J137">
        <v>439</v>
      </c>
      <c r="K137">
        <v>175</v>
      </c>
      <c r="L137">
        <v>149</v>
      </c>
      <c r="M137">
        <v>0</v>
      </c>
      <c r="N137">
        <v>9</v>
      </c>
      <c r="O137">
        <v>199</v>
      </c>
      <c r="P137">
        <v>45</v>
      </c>
      <c r="Q137">
        <v>71</v>
      </c>
      <c r="R137">
        <v>194</v>
      </c>
      <c r="S137" s="6">
        <v>0.75</v>
      </c>
      <c r="T137" s="6">
        <v>1.5</v>
      </c>
    </row>
    <row r="138" spans="1:20" x14ac:dyDescent="0.3">
      <c r="A138" t="s">
        <v>337</v>
      </c>
      <c r="B138" t="s">
        <v>623</v>
      </c>
      <c r="C138" t="s">
        <v>654</v>
      </c>
      <c r="D138" t="s">
        <v>642</v>
      </c>
      <c r="E138" t="s">
        <v>657</v>
      </c>
      <c r="F138">
        <v>1947</v>
      </c>
      <c r="G138" t="s">
        <v>8</v>
      </c>
      <c r="H138">
        <v>215</v>
      </c>
      <c r="I138">
        <v>74</v>
      </c>
      <c r="J138">
        <v>476</v>
      </c>
      <c r="K138">
        <v>178</v>
      </c>
      <c r="L138">
        <v>154</v>
      </c>
      <c r="M138">
        <v>0</v>
      </c>
      <c r="N138">
        <v>10</v>
      </c>
      <c r="O138">
        <v>206</v>
      </c>
      <c r="P138">
        <v>45</v>
      </c>
      <c r="Q138">
        <v>73</v>
      </c>
      <c r="R138">
        <v>194</v>
      </c>
      <c r="S138" s="6">
        <v>0.8</v>
      </c>
      <c r="T138" s="6">
        <v>1.5</v>
      </c>
    </row>
    <row r="139" spans="1:20" x14ac:dyDescent="0.3">
      <c r="A139" t="s">
        <v>340</v>
      </c>
      <c r="B139" t="s">
        <v>626</v>
      </c>
      <c r="C139" t="s">
        <v>655</v>
      </c>
      <c r="D139" t="s">
        <v>642</v>
      </c>
      <c r="E139" t="s">
        <v>657</v>
      </c>
      <c r="F139">
        <v>1941</v>
      </c>
      <c r="G139" t="s">
        <v>8</v>
      </c>
      <c r="H139">
        <v>199</v>
      </c>
      <c r="I139">
        <v>98</v>
      </c>
      <c r="J139">
        <v>356</v>
      </c>
      <c r="K139">
        <v>189</v>
      </c>
      <c r="L139">
        <v>210</v>
      </c>
      <c r="M139">
        <v>0</v>
      </c>
      <c r="N139">
        <v>10</v>
      </c>
      <c r="O139">
        <v>162</v>
      </c>
      <c r="P139">
        <v>39</v>
      </c>
      <c r="Q139">
        <v>52</v>
      </c>
      <c r="R139">
        <v>202</v>
      </c>
      <c r="S139" s="6">
        <v>0.85</v>
      </c>
      <c r="T139" s="6">
        <v>1.2</v>
      </c>
    </row>
    <row r="140" spans="1:20" x14ac:dyDescent="0.3">
      <c r="A140" t="s">
        <v>637</v>
      </c>
      <c r="B140">
        <v>22</v>
      </c>
      <c r="C140" t="s">
        <v>656</v>
      </c>
      <c r="D140" t="s">
        <v>639</v>
      </c>
      <c r="E140" t="s">
        <v>657</v>
      </c>
      <c r="F140">
        <v>1427</v>
      </c>
      <c r="G140" t="s">
        <v>8</v>
      </c>
      <c r="H140">
        <v>179</v>
      </c>
      <c r="I140">
        <v>54</v>
      </c>
      <c r="J140">
        <v>204</v>
      </c>
      <c r="K140">
        <v>163</v>
      </c>
      <c r="L140">
        <v>149</v>
      </c>
      <c r="M140">
        <v>0</v>
      </c>
      <c r="N140">
        <v>8</v>
      </c>
      <c r="O140">
        <v>190</v>
      </c>
      <c r="P140">
        <v>43</v>
      </c>
      <c r="Q140">
        <v>22</v>
      </c>
      <c r="R140">
        <v>188</v>
      </c>
      <c r="S140" s="6">
        <v>1.35</v>
      </c>
      <c r="T140" s="6">
        <v>1.1499999999999999</v>
      </c>
    </row>
    <row r="141" spans="1:20" x14ac:dyDescent="0.3">
      <c r="A141" t="s">
        <v>638</v>
      </c>
      <c r="B141">
        <v>33</v>
      </c>
      <c r="C141" t="s">
        <v>656</v>
      </c>
      <c r="D141" t="s">
        <v>639</v>
      </c>
      <c r="E141" t="s">
        <v>657</v>
      </c>
      <c r="F141">
        <v>1375</v>
      </c>
      <c r="G141" t="s">
        <v>8</v>
      </c>
      <c r="H141">
        <v>170</v>
      </c>
      <c r="I141">
        <v>39</v>
      </c>
      <c r="J141">
        <v>251</v>
      </c>
      <c r="K141">
        <v>163</v>
      </c>
      <c r="L141">
        <v>149</v>
      </c>
      <c r="M141">
        <v>0</v>
      </c>
      <c r="N141">
        <v>8</v>
      </c>
      <c r="O141">
        <v>190</v>
      </c>
      <c r="P141">
        <v>43</v>
      </c>
      <c r="Q141">
        <v>33</v>
      </c>
      <c r="R141">
        <v>178</v>
      </c>
      <c r="S141" s="6">
        <v>1.1499999999999999</v>
      </c>
      <c r="T141" s="6">
        <v>1.3</v>
      </c>
    </row>
    <row r="142" spans="1:20" x14ac:dyDescent="0.3">
      <c r="A142">
        <v>253</v>
      </c>
      <c r="B142" t="s">
        <v>452</v>
      </c>
      <c r="C142" t="s">
        <v>650</v>
      </c>
      <c r="D142" t="s">
        <v>639</v>
      </c>
      <c r="E142" t="s">
        <v>157</v>
      </c>
      <c r="F142">
        <v>2277</v>
      </c>
      <c r="G142" t="s">
        <v>8</v>
      </c>
      <c r="H142">
        <v>201</v>
      </c>
      <c r="I142">
        <v>131</v>
      </c>
      <c r="J142">
        <v>228</v>
      </c>
      <c r="K142">
        <v>165</v>
      </c>
      <c r="L142">
        <v>172</v>
      </c>
      <c r="M142">
        <v>0</v>
      </c>
      <c r="N142">
        <v>8</v>
      </c>
      <c r="O142">
        <v>200</v>
      </c>
      <c r="P142">
        <v>45</v>
      </c>
      <c r="Q142">
        <v>81</v>
      </c>
      <c r="R142">
        <v>193</v>
      </c>
      <c r="S142" s="6">
        <v>1.55</v>
      </c>
      <c r="T142" s="6">
        <v>1</v>
      </c>
    </row>
    <row r="143" spans="1:20" x14ac:dyDescent="0.3">
      <c r="B143" t="s">
        <v>1012</v>
      </c>
      <c r="C143" t="s">
        <v>649</v>
      </c>
      <c r="D143" t="s">
        <v>639</v>
      </c>
      <c r="E143" t="s">
        <v>157</v>
      </c>
      <c r="F143">
        <v>2053</v>
      </c>
      <c r="G143" t="s">
        <v>8</v>
      </c>
      <c r="H143">
        <v>206</v>
      </c>
      <c r="I143">
        <v>84</v>
      </c>
      <c r="J143">
        <v>433</v>
      </c>
      <c r="K143">
        <v>148</v>
      </c>
      <c r="L143">
        <v>154</v>
      </c>
      <c r="M143">
        <v>0</v>
      </c>
      <c r="N143">
        <v>8</v>
      </c>
      <c r="O143">
        <v>197</v>
      </c>
      <c r="P143">
        <v>43</v>
      </c>
      <c r="Q143">
        <v>44</v>
      </c>
      <c r="R143">
        <v>175</v>
      </c>
      <c r="S143" s="6">
        <v>1.25</v>
      </c>
      <c r="T143" s="6">
        <v>1.4</v>
      </c>
    </row>
    <row r="144" spans="1:20" x14ac:dyDescent="0.3">
      <c r="B144" t="s">
        <v>1013</v>
      </c>
      <c r="C144" t="s">
        <v>647</v>
      </c>
      <c r="D144" t="s">
        <v>640</v>
      </c>
      <c r="E144" t="s">
        <v>157</v>
      </c>
      <c r="F144">
        <v>1370</v>
      </c>
      <c r="G144" t="s">
        <v>8</v>
      </c>
      <c r="H144">
        <v>196</v>
      </c>
      <c r="I144">
        <v>76</v>
      </c>
      <c r="J144">
        <v>356</v>
      </c>
      <c r="K144">
        <v>210</v>
      </c>
      <c r="L144">
        <v>156</v>
      </c>
      <c r="M144">
        <v>0</v>
      </c>
      <c r="N144">
        <v>7</v>
      </c>
      <c r="O144">
        <v>187</v>
      </c>
      <c r="P144">
        <v>43</v>
      </c>
      <c r="Q144">
        <v>24</v>
      </c>
      <c r="R144">
        <v>191</v>
      </c>
      <c r="S144" s="6">
        <v>1.25</v>
      </c>
      <c r="T144" s="6">
        <v>1.3</v>
      </c>
    </row>
    <row r="145" spans="1:20" x14ac:dyDescent="0.3">
      <c r="B145" t="s">
        <v>1014</v>
      </c>
      <c r="C145" t="s">
        <v>647</v>
      </c>
      <c r="D145" t="s">
        <v>639</v>
      </c>
      <c r="E145" t="s">
        <v>157</v>
      </c>
      <c r="F145">
        <v>1518</v>
      </c>
      <c r="G145" t="s">
        <v>8</v>
      </c>
      <c r="H145">
        <v>201</v>
      </c>
      <c r="I145">
        <v>81</v>
      </c>
      <c r="J145">
        <v>374</v>
      </c>
      <c r="K145">
        <v>210</v>
      </c>
      <c r="L145">
        <v>157</v>
      </c>
      <c r="M145">
        <v>0</v>
      </c>
      <c r="N145">
        <v>8</v>
      </c>
      <c r="O145">
        <v>192</v>
      </c>
      <c r="P145">
        <v>43</v>
      </c>
      <c r="Q145">
        <v>40</v>
      </c>
      <c r="R145">
        <v>197</v>
      </c>
      <c r="S145" s="6">
        <v>1.3</v>
      </c>
      <c r="T145" s="6">
        <v>1.35</v>
      </c>
    </row>
    <row r="146" spans="1:20" x14ac:dyDescent="0.3">
      <c r="B146" t="s">
        <v>1075</v>
      </c>
      <c r="C146" t="s">
        <v>646</v>
      </c>
      <c r="D146" t="s">
        <v>640</v>
      </c>
      <c r="E146" t="s">
        <v>157</v>
      </c>
      <c r="F146">
        <v>1647</v>
      </c>
      <c r="G146" t="s">
        <v>8</v>
      </c>
      <c r="H146">
        <v>162</v>
      </c>
      <c r="I146">
        <v>74</v>
      </c>
      <c r="J146">
        <v>279</v>
      </c>
      <c r="K146">
        <v>162</v>
      </c>
      <c r="L146">
        <v>185</v>
      </c>
      <c r="M146">
        <v>0</v>
      </c>
      <c r="N146">
        <v>7</v>
      </c>
      <c r="O146">
        <v>184</v>
      </c>
      <c r="P146">
        <v>44</v>
      </c>
      <c r="Q146">
        <v>72</v>
      </c>
      <c r="R146">
        <v>173</v>
      </c>
      <c r="S146" s="6">
        <v>1.2</v>
      </c>
      <c r="T146" s="6">
        <v>1.3</v>
      </c>
    </row>
    <row r="147" spans="1:20" x14ac:dyDescent="0.3">
      <c r="A147" s="42"/>
      <c r="B147" s="42" t="s">
        <v>1144</v>
      </c>
      <c r="C147" s="42" t="s">
        <v>648</v>
      </c>
      <c r="D147" s="42" t="s">
        <v>1150</v>
      </c>
      <c r="E147" s="42" t="s">
        <v>157</v>
      </c>
      <c r="F147" s="42">
        <v>2641</v>
      </c>
      <c r="G147" s="42" t="s">
        <v>8</v>
      </c>
      <c r="H147" s="42">
        <v>223</v>
      </c>
      <c r="I147" s="42">
        <v>86</v>
      </c>
      <c r="J147" s="42">
        <v>393</v>
      </c>
      <c r="K147" s="42">
        <v>197</v>
      </c>
      <c r="L147" s="42">
        <v>197</v>
      </c>
      <c r="M147" s="42">
        <v>0</v>
      </c>
      <c r="N147" s="42" t="s">
        <v>1148</v>
      </c>
      <c r="O147" s="42">
        <v>122</v>
      </c>
      <c r="P147" s="42">
        <v>44</v>
      </c>
      <c r="Q147" s="42">
        <v>0</v>
      </c>
      <c r="R147" s="42">
        <v>208</v>
      </c>
      <c r="S147" s="43">
        <v>1.05</v>
      </c>
      <c r="T147" s="43">
        <v>1.35</v>
      </c>
    </row>
    <row r="148" spans="1:20" x14ac:dyDescent="0.3">
      <c r="Q148"/>
      <c r="R148"/>
      <c r="S148" s="6"/>
      <c r="T148" s="6"/>
    </row>
    <row r="149" spans="1:20" x14ac:dyDescent="0.3">
      <c r="A149" t="s">
        <v>351</v>
      </c>
      <c r="B149" t="s">
        <v>149</v>
      </c>
      <c r="C149" t="s">
        <v>192</v>
      </c>
      <c r="D149" t="s">
        <v>352</v>
      </c>
      <c r="E149" t="s">
        <v>150</v>
      </c>
      <c r="F149" t="s">
        <v>7</v>
      </c>
      <c r="G149" t="s">
        <v>353</v>
      </c>
      <c r="H149" t="s">
        <v>14</v>
      </c>
      <c r="I149" t="s">
        <v>9</v>
      </c>
      <c r="J149" t="s">
        <v>11</v>
      </c>
      <c r="K149" t="s">
        <v>294</v>
      </c>
      <c r="L149" t="s">
        <v>265</v>
      </c>
      <c r="M149" t="s">
        <v>293</v>
      </c>
      <c r="N149" t="s">
        <v>667</v>
      </c>
      <c r="O149" t="s">
        <v>666</v>
      </c>
      <c r="P149" t="s">
        <v>295</v>
      </c>
      <c r="Q149" t="s">
        <v>761</v>
      </c>
      <c r="R149" t="s">
        <v>762</v>
      </c>
      <c r="S149" s="6" t="s">
        <v>53</v>
      </c>
      <c r="T149" s="6" t="s">
        <v>668</v>
      </c>
    </row>
    <row r="150" spans="1:20" x14ac:dyDescent="0.3">
      <c r="A150">
        <v>29</v>
      </c>
      <c r="B150" t="s">
        <v>487</v>
      </c>
      <c r="C150" t="s">
        <v>646</v>
      </c>
      <c r="D150" t="s">
        <v>641</v>
      </c>
      <c r="E150" t="s">
        <v>658</v>
      </c>
      <c r="F150">
        <v>3237</v>
      </c>
      <c r="G150" t="s">
        <v>8</v>
      </c>
      <c r="H150">
        <v>182</v>
      </c>
      <c r="I150">
        <v>142</v>
      </c>
      <c r="J150">
        <v>207</v>
      </c>
      <c r="K150">
        <v>101</v>
      </c>
      <c r="L150">
        <v>281</v>
      </c>
      <c r="M150">
        <v>0</v>
      </c>
      <c r="N150">
        <v>8</v>
      </c>
      <c r="O150">
        <v>80</v>
      </c>
      <c r="P150">
        <v>35</v>
      </c>
      <c r="Q150">
        <v>67</v>
      </c>
      <c r="R150">
        <v>156</v>
      </c>
      <c r="S150" s="6">
        <v>1.2</v>
      </c>
      <c r="T150" s="6">
        <v>1.55</v>
      </c>
    </row>
    <row r="151" spans="1:20" x14ac:dyDescent="0.3">
      <c r="A151">
        <v>30</v>
      </c>
      <c r="B151" t="s">
        <v>488</v>
      </c>
      <c r="C151" t="s">
        <v>646</v>
      </c>
      <c r="D151" t="s">
        <v>641</v>
      </c>
      <c r="E151" t="s">
        <v>658</v>
      </c>
      <c r="F151">
        <v>3237</v>
      </c>
      <c r="G151" t="s">
        <v>8</v>
      </c>
      <c r="H151">
        <v>182</v>
      </c>
      <c r="I151">
        <v>142</v>
      </c>
      <c r="J151">
        <v>207</v>
      </c>
      <c r="K151">
        <v>101</v>
      </c>
      <c r="L151">
        <v>281</v>
      </c>
      <c r="M151">
        <v>0</v>
      </c>
      <c r="N151">
        <v>8</v>
      </c>
      <c r="O151">
        <v>80</v>
      </c>
      <c r="P151">
        <v>35</v>
      </c>
      <c r="Q151">
        <v>82</v>
      </c>
      <c r="R151">
        <v>156</v>
      </c>
      <c r="S151" s="6">
        <v>1.2</v>
      </c>
      <c r="T151" s="6">
        <v>1.55</v>
      </c>
    </row>
    <row r="152" spans="1:20" x14ac:dyDescent="0.3">
      <c r="A152">
        <v>31</v>
      </c>
      <c r="B152" t="s">
        <v>489</v>
      </c>
      <c r="C152" t="s">
        <v>646</v>
      </c>
      <c r="D152" t="s">
        <v>640</v>
      </c>
      <c r="E152" t="s">
        <v>658</v>
      </c>
      <c r="F152">
        <v>3470</v>
      </c>
      <c r="G152" t="s">
        <v>8</v>
      </c>
      <c r="H152">
        <v>181</v>
      </c>
      <c r="I152">
        <v>164</v>
      </c>
      <c r="J152">
        <v>0</v>
      </c>
      <c r="K152">
        <v>90</v>
      </c>
      <c r="L152">
        <v>307</v>
      </c>
      <c r="M152">
        <v>0</v>
      </c>
      <c r="N152">
        <v>9</v>
      </c>
      <c r="O152">
        <v>99</v>
      </c>
      <c r="P152">
        <v>32</v>
      </c>
      <c r="Q152">
        <v>55</v>
      </c>
      <c r="R152">
        <v>163</v>
      </c>
      <c r="S152" s="6">
        <v>1.35</v>
      </c>
      <c r="T152" s="6">
        <v>0.65</v>
      </c>
    </row>
    <row r="153" spans="1:20" x14ac:dyDescent="0.3">
      <c r="A153">
        <v>32</v>
      </c>
      <c r="B153" t="s">
        <v>490</v>
      </c>
      <c r="C153" t="s">
        <v>646</v>
      </c>
      <c r="D153" t="s">
        <v>640</v>
      </c>
      <c r="E153" t="s">
        <v>658</v>
      </c>
      <c r="F153">
        <v>3470</v>
      </c>
      <c r="G153" t="s">
        <v>8</v>
      </c>
      <c r="H153">
        <v>181</v>
      </c>
      <c r="I153">
        <v>164</v>
      </c>
      <c r="J153">
        <v>0</v>
      </c>
      <c r="K153">
        <v>90</v>
      </c>
      <c r="L153">
        <v>307</v>
      </c>
      <c r="M153">
        <v>0</v>
      </c>
      <c r="N153">
        <v>9</v>
      </c>
      <c r="O153">
        <v>95</v>
      </c>
      <c r="P153">
        <v>32</v>
      </c>
      <c r="Q153">
        <v>88</v>
      </c>
      <c r="R153">
        <v>163</v>
      </c>
      <c r="S153" s="6">
        <v>1.35</v>
      </c>
      <c r="T153" s="6">
        <v>0.65</v>
      </c>
    </row>
    <row r="154" spans="1:20" x14ac:dyDescent="0.3">
      <c r="A154">
        <v>33</v>
      </c>
      <c r="B154" t="s">
        <v>491</v>
      </c>
      <c r="C154" t="s">
        <v>646</v>
      </c>
      <c r="D154" t="s">
        <v>639</v>
      </c>
      <c r="E154" t="s">
        <v>658</v>
      </c>
      <c r="F154">
        <v>3604</v>
      </c>
      <c r="G154" t="s">
        <v>8</v>
      </c>
      <c r="H154">
        <v>185</v>
      </c>
      <c r="I154">
        <v>171</v>
      </c>
      <c r="J154">
        <v>0</v>
      </c>
      <c r="K154">
        <v>90</v>
      </c>
      <c r="L154">
        <v>316</v>
      </c>
      <c r="M154">
        <v>0</v>
      </c>
      <c r="N154">
        <v>10</v>
      </c>
      <c r="O154">
        <v>109</v>
      </c>
      <c r="P154">
        <v>32</v>
      </c>
      <c r="Q154">
        <v>33</v>
      </c>
      <c r="R154">
        <v>180</v>
      </c>
      <c r="S154" s="6">
        <v>1.35</v>
      </c>
      <c r="T154" s="6">
        <v>0.65</v>
      </c>
    </row>
    <row r="155" spans="1:20" x14ac:dyDescent="0.3">
      <c r="A155">
        <v>34</v>
      </c>
      <c r="B155" t="s">
        <v>492</v>
      </c>
      <c r="C155" t="s">
        <v>646</v>
      </c>
      <c r="D155" t="s">
        <v>640</v>
      </c>
      <c r="E155" t="s">
        <v>658</v>
      </c>
      <c r="F155">
        <v>3517</v>
      </c>
      <c r="G155" t="s">
        <v>8</v>
      </c>
      <c r="H155">
        <v>179</v>
      </c>
      <c r="I155">
        <v>129</v>
      </c>
      <c r="J155">
        <v>157</v>
      </c>
      <c r="K155">
        <v>95</v>
      </c>
      <c r="L155">
        <v>422</v>
      </c>
      <c r="M155">
        <v>0</v>
      </c>
      <c r="N155">
        <v>9</v>
      </c>
      <c r="O155">
        <v>187</v>
      </c>
      <c r="P155">
        <v>32</v>
      </c>
      <c r="Q155">
        <v>12</v>
      </c>
      <c r="R155">
        <v>173</v>
      </c>
      <c r="S155" s="6">
        <v>1.05</v>
      </c>
      <c r="T155" s="6">
        <v>1.35</v>
      </c>
    </row>
    <row r="156" spans="1:20" x14ac:dyDescent="0.3">
      <c r="A156">
        <v>35</v>
      </c>
      <c r="B156" t="s">
        <v>493</v>
      </c>
      <c r="C156" t="s">
        <v>646</v>
      </c>
      <c r="D156" t="s">
        <v>640</v>
      </c>
      <c r="E156" t="s">
        <v>658</v>
      </c>
      <c r="F156">
        <v>3517</v>
      </c>
      <c r="G156" t="s">
        <v>8</v>
      </c>
      <c r="H156">
        <v>179</v>
      </c>
      <c r="I156">
        <v>129</v>
      </c>
      <c r="J156">
        <v>157</v>
      </c>
      <c r="K156">
        <v>95</v>
      </c>
      <c r="L156">
        <v>422</v>
      </c>
      <c r="M156">
        <v>0</v>
      </c>
      <c r="N156">
        <v>9</v>
      </c>
      <c r="O156">
        <v>187</v>
      </c>
      <c r="P156">
        <v>32</v>
      </c>
      <c r="Q156">
        <v>18</v>
      </c>
      <c r="R156">
        <v>173</v>
      </c>
      <c r="S156" s="6">
        <v>1.05</v>
      </c>
      <c r="T156" s="6">
        <v>1.35</v>
      </c>
    </row>
    <row r="157" spans="1:20" x14ac:dyDescent="0.3">
      <c r="A157">
        <v>36</v>
      </c>
      <c r="B157" t="s">
        <v>358</v>
      </c>
      <c r="C157" t="s">
        <v>646</v>
      </c>
      <c r="D157" t="s">
        <v>642</v>
      </c>
      <c r="E157" t="s">
        <v>658</v>
      </c>
      <c r="F157">
        <v>3755</v>
      </c>
      <c r="G157" t="s">
        <v>8</v>
      </c>
      <c r="H157">
        <v>190</v>
      </c>
      <c r="I157">
        <v>137</v>
      </c>
      <c r="J157">
        <v>168</v>
      </c>
      <c r="K157">
        <v>95</v>
      </c>
      <c r="L157">
        <v>449</v>
      </c>
      <c r="M157">
        <v>0</v>
      </c>
      <c r="N157">
        <v>11</v>
      </c>
      <c r="O157">
        <v>201</v>
      </c>
      <c r="P157">
        <v>32</v>
      </c>
      <c r="Q157">
        <v>85</v>
      </c>
      <c r="R157">
        <v>173</v>
      </c>
      <c r="S157" s="6">
        <v>1.05</v>
      </c>
      <c r="T157" s="6">
        <v>1.35</v>
      </c>
    </row>
    <row r="158" spans="1:20" x14ac:dyDescent="0.3">
      <c r="A158">
        <v>37</v>
      </c>
      <c r="B158" t="s">
        <v>494</v>
      </c>
      <c r="C158" t="s">
        <v>646</v>
      </c>
      <c r="D158" t="s">
        <v>639</v>
      </c>
      <c r="E158" t="s">
        <v>658</v>
      </c>
      <c r="F158">
        <v>4307</v>
      </c>
      <c r="G158" t="s">
        <v>8</v>
      </c>
      <c r="H158">
        <v>189</v>
      </c>
      <c r="I158">
        <v>165</v>
      </c>
      <c r="J158">
        <v>0</v>
      </c>
      <c r="K158">
        <v>92</v>
      </c>
      <c r="L158">
        <v>323</v>
      </c>
      <c r="M158">
        <v>0</v>
      </c>
      <c r="N158">
        <v>10</v>
      </c>
      <c r="O158">
        <v>100</v>
      </c>
      <c r="P158">
        <v>32</v>
      </c>
      <c r="Q158">
        <v>71</v>
      </c>
      <c r="R158">
        <v>168</v>
      </c>
      <c r="S158" s="6">
        <v>1.3</v>
      </c>
      <c r="T158" s="6">
        <v>0.7</v>
      </c>
    </row>
    <row r="159" spans="1:20" x14ac:dyDescent="0.3">
      <c r="A159">
        <v>38</v>
      </c>
      <c r="B159" t="s">
        <v>495</v>
      </c>
      <c r="C159" t="s">
        <v>646</v>
      </c>
      <c r="D159" t="s">
        <v>639</v>
      </c>
      <c r="E159" t="s">
        <v>658</v>
      </c>
      <c r="F159">
        <v>4307</v>
      </c>
      <c r="G159" t="s">
        <v>8</v>
      </c>
      <c r="H159">
        <v>187</v>
      </c>
      <c r="I159">
        <v>168</v>
      </c>
      <c r="J159">
        <v>0</v>
      </c>
      <c r="K159">
        <v>92</v>
      </c>
      <c r="L159">
        <v>323</v>
      </c>
      <c r="M159">
        <v>0</v>
      </c>
      <c r="N159">
        <v>10</v>
      </c>
      <c r="O159">
        <v>100</v>
      </c>
      <c r="P159">
        <v>32</v>
      </c>
      <c r="Q159">
        <v>70</v>
      </c>
      <c r="R159">
        <v>167</v>
      </c>
      <c r="S159" s="6">
        <v>1.3</v>
      </c>
      <c r="T159" s="6">
        <v>0.7</v>
      </c>
    </row>
    <row r="160" spans="1:20" x14ac:dyDescent="0.3">
      <c r="A160">
        <v>104</v>
      </c>
      <c r="B160" t="s">
        <v>378</v>
      </c>
      <c r="C160" t="s">
        <v>647</v>
      </c>
      <c r="D160" t="s">
        <v>641</v>
      </c>
      <c r="E160" t="s">
        <v>658</v>
      </c>
      <c r="F160">
        <v>3246</v>
      </c>
      <c r="G160" t="s">
        <v>8</v>
      </c>
      <c r="H160">
        <v>171</v>
      </c>
      <c r="I160">
        <v>146</v>
      </c>
      <c r="J160">
        <v>270</v>
      </c>
      <c r="K160">
        <v>102</v>
      </c>
      <c r="L160">
        <v>321</v>
      </c>
      <c r="M160">
        <v>0</v>
      </c>
      <c r="N160">
        <v>8</v>
      </c>
      <c r="O160">
        <v>125</v>
      </c>
      <c r="P160">
        <v>32</v>
      </c>
      <c r="Q160">
        <v>44</v>
      </c>
      <c r="R160">
        <v>149</v>
      </c>
      <c r="S160" s="6">
        <v>1.2</v>
      </c>
      <c r="T160" s="6">
        <v>1.6</v>
      </c>
    </row>
    <row r="161" spans="1:20" x14ac:dyDescent="0.3">
      <c r="A161">
        <v>105</v>
      </c>
      <c r="B161" t="s">
        <v>379</v>
      </c>
      <c r="C161" t="s">
        <v>647</v>
      </c>
      <c r="D161" t="s">
        <v>640</v>
      </c>
      <c r="E161" t="s">
        <v>658</v>
      </c>
      <c r="F161">
        <v>2974</v>
      </c>
      <c r="G161" t="s">
        <v>8</v>
      </c>
      <c r="H161">
        <v>175</v>
      </c>
      <c r="I161">
        <v>163</v>
      </c>
      <c r="J161">
        <v>324</v>
      </c>
      <c r="K161">
        <v>97</v>
      </c>
      <c r="L161">
        <v>295</v>
      </c>
      <c r="M161">
        <v>0</v>
      </c>
      <c r="N161">
        <v>9</v>
      </c>
      <c r="O161">
        <v>128</v>
      </c>
      <c r="P161">
        <v>32</v>
      </c>
      <c r="Q161">
        <v>54</v>
      </c>
      <c r="R161">
        <v>152</v>
      </c>
      <c r="S161" s="6">
        <v>1.45</v>
      </c>
      <c r="T161" s="6">
        <v>1.55</v>
      </c>
    </row>
    <row r="162" spans="1:20" x14ac:dyDescent="0.3">
      <c r="A162">
        <v>106</v>
      </c>
      <c r="B162" t="s">
        <v>380</v>
      </c>
      <c r="C162" t="s">
        <v>647</v>
      </c>
      <c r="D162" t="s">
        <v>640</v>
      </c>
      <c r="E162" t="s">
        <v>658</v>
      </c>
      <c r="F162">
        <v>2974</v>
      </c>
      <c r="G162" t="s">
        <v>8</v>
      </c>
      <c r="H162">
        <v>175</v>
      </c>
      <c r="I162">
        <v>163</v>
      </c>
      <c r="J162">
        <v>324</v>
      </c>
      <c r="K162">
        <v>97</v>
      </c>
      <c r="L162">
        <v>295</v>
      </c>
      <c r="M162">
        <v>0</v>
      </c>
      <c r="N162">
        <v>9</v>
      </c>
      <c r="O162">
        <v>128</v>
      </c>
      <c r="P162">
        <v>32</v>
      </c>
      <c r="Q162">
        <v>74</v>
      </c>
      <c r="R162">
        <v>152</v>
      </c>
      <c r="S162" s="6">
        <v>1.45</v>
      </c>
      <c r="T162" s="6">
        <v>1.55</v>
      </c>
    </row>
    <row r="163" spans="1:20" x14ac:dyDescent="0.3">
      <c r="A163">
        <v>111</v>
      </c>
      <c r="B163" t="s">
        <v>496</v>
      </c>
      <c r="C163" t="s">
        <v>647</v>
      </c>
      <c r="D163" t="s">
        <v>639</v>
      </c>
      <c r="E163" t="s">
        <v>658</v>
      </c>
      <c r="F163">
        <v>3796</v>
      </c>
      <c r="G163" t="s">
        <v>8</v>
      </c>
      <c r="H163">
        <v>182</v>
      </c>
      <c r="I163">
        <v>156</v>
      </c>
      <c r="J163">
        <v>295</v>
      </c>
      <c r="K163">
        <v>100</v>
      </c>
      <c r="L163">
        <v>351</v>
      </c>
      <c r="M163">
        <v>0</v>
      </c>
      <c r="N163">
        <v>10</v>
      </c>
      <c r="O163">
        <v>87</v>
      </c>
      <c r="P163">
        <v>32</v>
      </c>
      <c r="Q163">
        <v>78</v>
      </c>
      <c r="R163">
        <v>165</v>
      </c>
      <c r="S163" s="6">
        <v>1.5</v>
      </c>
      <c r="T163" s="6">
        <v>1.5</v>
      </c>
    </row>
    <row r="164" spans="1:20" x14ac:dyDescent="0.3">
      <c r="A164">
        <v>114</v>
      </c>
      <c r="B164" t="s">
        <v>497</v>
      </c>
      <c r="C164" t="s">
        <v>647</v>
      </c>
      <c r="D164" t="s">
        <v>639</v>
      </c>
      <c r="E164" t="s">
        <v>658</v>
      </c>
      <c r="F164">
        <v>4486</v>
      </c>
      <c r="G164" t="s">
        <v>8</v>
      </c>
      <c r="H164">
        <v>176</v>
      </c>
      <c r="I164">
        <v>157</v>
      </c>
      <c r="J164">
        <v>280</v>
      </c>
      <c r="K164">
        <v>100</v>
      </c>
      <c r="L164">
        <v>313</v>
      </c>
      <c r="M164">
        <v>0</v>
      </c>
      <c r="N164">
        <v>10</v>
      </c>
      <c r="O164">
        <v>101</v>
      </c>
      <c r="P164">
        <v>32</v>
      </c>
      <c r="Q164">
        <v>37</v>
      </c>
      <c r="R164">
        <v>165</v>
      </c>
      <c r="S164" s="6">
        <v>1.5</v>
      </c>
      <c r="T164" s="6">
        <v>1.55</v>
      </c>
    </row>
    <row r="165" spans="1:20" x14ac:dyDescent="0.3">
      <c r="A165">
        <v>115</v>
      </c>
      <c r="B165" t="s">
        <v>498</v>
      </c>
      <c r="C165" t="s">
        <v>647</v>
      </c>
      <c r="D165" t="s">
        <v>642</v>
      </c>
      <c r="E165" t="s">
        <v>658</v>
      </c>
      <c r="F165">
        <v>3970</v>
      </c>
      <c r="G165" t="s">
        <v>8</v>
      </c>
      <c r="H165">
        <v>182</v>
      </c>
      <c r="I165">
        <v>179</v>
      </c>
      <c r="J165">
        <v>340</v>
      </c>
      <c r="K165">
        <v>96</v>
      </c>
      <c r="L165">
        <v>293</v>
      </c>
      <c r="M165">
        <v>0</v>
      </c>
      <c r="N165">
        <v>11</v>
      </c>
      <c r="O165">
        <v>144</v>
      </c>
      <c r="P165">
        <v>32</v>
      </c>
      <c r="Q165">
        <v>88</v>
      </c>
      <c r="R165">
        <v>165</v>
      </c>
      <c r="S165" s="6">
        <v>1.5</v>
      </c>
      <c r="T165" s="6">
        <v>1.55</v>
      </c>
    </row>
    <row r="166" spans="1:20" x14ac:dyDescent="0.3">
      <c r="A166">
        <v>116</v>
      </c>
      <c r="B166" t="s">
        <v>499</v>
      </c>
      <c r="C166" t="s">
        <v>647</v>
      </c>
      <c r="D166" t="s">
        <v>640</v>
      </c>
      <c r="E166" t="s">
        <v>658</v>
      </c>
      <c r="F166">
        <v>2830</v>
      </c>
      <c r="G166" t="s">
        <v>8</v>
      </c>
      <c r="H166">
        <v>187</v>
      </c>
      <c r="I166">
        <v>156</v>
      </c>
      <c r="J166">
        <v>270</v>
      </c>
      <c r="K166">
        <v>100</v>
      </c>
      <c r="L166">
        <v>324</v>
      </c>
      <c r="M166">
        <v>0</v>
      </c>
      <c r="N166">
        <v>9</v>
      </c>
      <c r="O166">
        <v>115</v>
      </c>
      <c r="P166">
        <v>32</v>
      </c>
      <c r="Q166">
        <v>69</v>
      </c>
      <c r="R166">
        <v>175</v>
      </c>
      <c r="S166" s="6">
        <v>1.3</v>
      </c>
      <c r="T166" s="6">
        <v>1.55</v>
      </c>
    </row>
    <row r="167" spans="1:20" x14ac:dyDescent="0.3">
      <c r="A167">
        <v>117</v>
      </c>
      <c r="B167" t="s">
        <v>500</v>
      </c>
      <c r="C167" t="s">
        <v>647</v>
      </c>
      <c r="D167" t="s">
        <v>640</v>
      </c>
      <c r="E167" t="s">
        <v>658</v>
      </c>
      <c r="F167">
        <v>2830</v>
      </c>
      <c r="G167" t="s">
        <v>8</v>
      </c>
      <c r="H167">
        <v>187</v>
      </c>
      <c r="I167">
        <v>156</v>
      </c>
      <c r="J167">
        <v>270</v>
      </c>
      <c r="K167">
        <v>100</v>
      </c>
      <c r="L167">
        <v>324</v>
      </c>
      <c r="M167">
        <v>0</v>
      </c>
      <c r="N167">
        <v>9</v>
      </c>
      <c r="O167">
        <v>92</v>
      </c>
      <c r="P167">
        <v>32</v>
      </c>
      <c r="Q167">
        <v>26</v>
      </c>
      <c r="R167">
        <v>175</v>
      </c>
      <c r="S167" s="6">
        <v>1.3</v>
      </c>
      <c r="T167" s="6">
        <v>1.55</v>
      </c>
    </row>
    <row r="168" spans="1:20" x14ac:dyDescent="0.3">
      <c r="A168">
        <v>118</v>
      </c>
      <c r="B168" t="s">
        <v>501</v>
      </c>
      <c r="C168" t="s">
        <v>647</v>
      </c>
      <c r="D168" t="s">
        <v>639</v>
      </c>
      <c r="E168" t="s">
        <v>658</v>
      </c>
      <c r="F168">
        <v>2914</v>
      </c>
      <c r="G168" t="s">
        <v>8</v>
      </c>
      <c r="H168">
        <v>195</v>
      </c>
      <c r="I168">
        <v>162</v>
      </c>
      <c r="J168">
        <v>279</v>
      </c>
      <c r="K168">
        <v>100</v>
      </c>
      <c r="L168">
        <v>333</v>
      </c>
      <c r="M168">
        <v>0</v>
      </c>
      <c r="N168">
        <v>10</v>
      </c>
      <c r="O168">
        <v>109</v>
      </c>
      <c r="P168">
        <v>32</v>
      </c>
      <c r="Q168">
        <v>84</v>
      </c>
      <c r="R168">
        <v>177</v>
      </c>
      <c r="S168" s="6">
        <v>1.35</v>
      </c>
      <c r="T168" s="6">
        <v>1.55</v>
      </c>
    </row>
    <row r="169" spans="1:20" x14ac:dyDescent="0.3">
      <c r="A169">
        <v>179</v>
      </c>
      <c r="B169" t="s">
        <v>502</v>
      </c>
      <c r="C169" t="s">
        <v>648</v>
      </c>
      <c r="D169" t="s">
        <v>639</v>
      </c>
      <c r="E169" t="s">
        <v>658</v>
      </c>
      <c r="F169">
        <v>2177</v>
      </c>
      <c r="G169" t="s">
        <v>8</v>
      </c>
      <c r="H169">
        <v>182</v>
      </c>
      <c r="I169">
        <v>131</v>
      </c>
      <c r="J169">
        <v>276</v>
      </c>
      <c r="K169">
        <v>105</v>
      </c>
      <c r="L169">
        <v>307</v>
      </c>
      <c r="M169">
        <v>0</v>
      </c>
      <c r="N169">
        <v>8</v>
      </c>
      <c r="O169">
        <v>84</v>
      </c>
      <c r="P169">
        <v>35</v>
      </c>
      <c r="Q169">
        <v>53</v>
      </c>
      <c r="R169">
        <v>144</v>
      </c>
      <c r="S169" s="6">
        <v>1.1000000000000001</v>
      </c>
      <c r="T169" s="6">
        <v>1.6</v>
      </c>
    </row>
    <row r="170" spans="1:20" x14ac:dyDescent="0.3">
      <c r="A170">
        <v>182</v>
      </c>
      <c r="B170" t="s">
        <v>503</v>
      </c>
      <c r="C170" t="s">
        <v>648</v>
      </c>
      <c r="D170" t="s">
        <v>641</v>
      </c>
      <c r="E170" t="s">
        <v>658</v>
      </c>
      <c r="F170">
        <v>2891</v>
      </c>
      <c r="G170" t="s">
        <v>8</v>
      </c>
      <c r="H170">
        <v>173</v>
      </c>
      <c r="I170">
        <v>140</v>
      </c>
      <c r="J170">
        <v>279</v>
      </c>
      <c r="K170">
        <v>105</v>
      </c>
      <c r="L170">
        <v>278</v>
      </c>
      <c r="M170">
        <v>0</v>
      </c>
      <c r="N170">
        <v>8</v>
      </c>
      <c r="O170">
        <v>84</v>
      </c>
      <c r="P170">
        <v>36</v>
      </c>
      <c r="Q170">
        <v>36</v>
      </c>
      <c r="R170">
        <v>149</v>
      </c>
      <c r="S170" s="6">
        <v>1.1000000000000001</v>
      </c>
      <c r="T170" s="6">
        <v>1.6</v>
      </c>
    </row>
    <row r="171" spans="1:20" x14ac:dyDescent="0.3">
      <c r="A171">
        <v>183</v>
      </c>
      <c r="B171" t="s">
        <v>504</v>
      </c>
      <c r="C171" t="s">
        <v>648</v>
      </c>
      <c r="D171" t="s">
        <v>640</v>
      </c>
      <c r="E171" t="s">
        <v>658</v>
      </c>
      <c r="F171">
        <v>3214</v>
      </c>
      <c r="G171" t="s">
        <v>8</v>
      </c>
      <c r="H171">
        <v>176</v>
      </c>
      <c r="I171">
        <v>120</v>
      </c>
      <c r="J171">
        <v>220</v>
      </c>
      <c r="K171">
        <v>100</v>
      </c>
      <c r="L171">
        <v>343</v>
      </c>
      <c r="M171">
        <v>0</v>
      </c>
      <c r="N171">
        <v>9</v>
      </c>
      <c r="O171">
        <v>99</v>
      </c>
      <c r="P171">
        <v>36</v>
      </c>
      <c r="Q171">
        <v>33</v>
      </c>
      <c r="R171">
        <v>149</v>
      </c>
      <c r="S171" s="6">
        <v>1.05</v>
      </c>
      <c r="T171" s="6">
        <v>1.4</v>
      </c>
    </row>
    <row r="172" spans="1:20" x14ac:dyDescent="0.3">
      <c r="A172">
        <v>187</v>
      </c>
      <c r="B172" t="s">
        <v>388</v>
      </c>
      <c r="C172" t="s">
        <v>648</v>
      </c>
      <c r="D172" t="s">
        <v>641</v>
      </c>
      <c r="E172" t="s">
        <v>658</v>
      </c>
      <c r="F172">
        <v>2891</v>
      </c>
      <c r="G172" t="s">
        <v>8</v>
      </c>
      <c r="H172">
        <v>173</v>
      </c>
      <c r="I172">
        <v>140</v>
      </c>
      <c r="J172">
        <v>279</v>
      </c>
      <c r="K172">
        <v>105</v>
      </c>
      <c r="L172">
        <v>278</v>
      </c>
      <c r="M172">
        <v>0</v>
      </c>
      <c r="N172">
        <v>8</v>
      </c>
      <c r="O172">
        <v>92</v>
      </c>
      <c r="P172">
        <v>36</v>
      </c>
      <c r="Q172">
        <v>43</v>
      </c>
      <c r="R172">
        <v>149</v>
      </c>
      <c r="S172" s="6">
        <v>1.1000000000000001</v>
      </c>
      <c r="T172" s="6">
        <v>1.6</v>
      </c>
    </row>
    <row r="173" spans="1:20" x14ac:dyDescent="0.3">
      <c r="A173">
        <v>188</v>
      </c>
      <c r="B173" t="s">
        <v>389</v>
      </c>
      <c r="C173" t="s">
        <v>648</v>
      </c>
      <c r="D173" t="s">
        <v>639</v>
      </c>
      <c r="E173" t="s">
        <v>658</v>
      </c>
      <c r="F173">
        <v>4015</v>
      </c>
      <c r="G173" t="s">
        <v>10</v>
      </c>
      <c r="H173">
        <v>189</v>
      </c>
      <c r="I173">
        <v>201</v>
      </c>
      <c r="J173">
        <v>185</v>
      </c>
      <c r="K173">
        <v>82</v>
      </c>
      <c r="L173">
        <v>186</v>
      </c>
      <c r="M173">
        <v>0</v>
      </c>
      <c r="N173">
        <v>11</v>
      </c>
      <c r="O173">
        <v>45</v>
      </c>
      <c r="P173">
        <v>29</v>
      </c>
      <c r="Q173">
        <v>14</v>
      </c>
      <c r="R173">
        <v>153</v>
      </c>
      <c r="S173" s="6">
        <v>1.1000000000000001</v>
      </c>
      <c r="T173" s="6">
        <v>1.6</v>
      </c>
    </row>
    <row r="174" spans="1:20" x14ac:dyDescent="0.3">
      <c r="A174">
        <v>189</v>
      </c>
      <c r="B174" t="s">
        <v>505</v>
      </c>
      <c r="C174" t="s">
        <v>648</v>
      </c>
      <c r="D174" t="s">
        <v>639</v>
      </c>
      <c r="E174" t="s">
        <v>658</v>
      </c>
      <c r="F174">
        <v>4015</v>
      </c>
      <c r="G174" t="s">
        <v>10</v>
      </c>
      <c r="H174">
        <v>189</v>
      </c>
      <c r="I174">
        <v>201</v>
      </c>
      <c r="J174">
        <v>187</v>
      </c>
      <c r="K174">
        <v>82</v>
      </c>
      <c r="L174">
        <v>186</v>
      </c>
      <c r="M174">
        <v>0</v>
      </c>
      <c r="N174">
        <v>11</v>
      </c>
      <c r="O174">
        <v>45</v>
      </c>
      <c r="P174">
        <v>29</v>
      </c>
      <c r="Q174">
        <v>13</v>
      </c>
      <c r="R174">
        <v>153</v>
      </c>
      <c r="S174" s="6">
        <v>1.1000000000000001</v>
      </c>
      <c r="T174" s="6">
        <v>1.6</v>
      </c>
    </row>
    <row r="175" spans="1:20" x14ac:dyDescent="0.3">
      <c r="A175">
        <v>238</v>
      </c>
      <c r="B175" t="s">
        <v>734</v>
      </c>
      <c r="C175" t="s">
        <v>649</v>
      </c>
      <c r="D175" t="s">
        <v>641</v>
      </c>
      <c r="E175" t="s">
        <v>658</v>
      </c>
      <c r="F175">
        <v>3372</v>
      </c>
      <c r="G175" t="s">
        <v>8</v>
      </c>
      <c r="H175">
        <v>175</v>
      </c>
      <c r="I175">
        <v>152</v>
      </c>
      <c r="J175">
        <v>273</v>
      </c>
      <c r="K175">
        <v>100</v>
      </c>
      <c r="L175">
        <v>333</v>
      </c>
      <c r="M175">
        <v>0</v>
      </c>
      <c r="N175">
        <v>8</v>
      </c>
      <c r="O175">
        <v>104</v>
      </c>
      <c r="P175">
        <v>32</v>
      </c>
      <c r="Q175">
        <v>42</v>
      </c>
      <c r="R175">
        <v>157</v>
      </c>
      <c r="S175" s="6">
        <v>1.2</v>
      </c>
      <c r="T175" s="6">
        <v>1.55</v>
      </c>
    </row>
    <row r="176" spans="1:20" x14ac:dyDescent="0.3">
      <c r="A176">
        <v>239</v>
      </c>
      <c r="B176" t="s">
        <v>399</v>
      </c>
      <c r="C176" t="s">
        <v>649</v>
      </c>
      <c r="D176" t="s">
        <v>641</v>
      </c>
      <c r="E176" t="s">
        <v>658</v>
      </c>
      <c r="F176">
        <v>3372</v>
      </c>
      <c r="G176" t="s">
        <v>8</v>
      </c>
      <c r="H176">
        <v>175</v>
      </c>
      <c r="I176">
        <v>152</v>
      </c>
      <c r="J176">
        <v>273</v>
      </c>
      <c r="K176">
        <v>100</v>
      </c>
      <c r="L176">
        <v>333</v>
      </c>
      <c r="M176">
        <v>0</v>
      </c>
      <c r="N176">
        <v>8</v>
      </c>
      <c r="O176">
        <v>87</v>
      </c>
      <c r="P176">
        <v>32</v>
      </c>
      <c r="Q176">
        <v>39</v>
      </c>
      <c r="R176">
        <v>157</v>
      </c>
      <c r="S176" s="6">
        <v>1.2</v>
      </c>
      <c r="T176" s="6">
        <v>1.55</v>
      </c>
    </row>
    <row r="177" spans="1:20" x14ac:dyDescent="0.3">
      <c r="A177">
        <v>240</v>
      </c>
      <c r="B177" t="s">
        <v>735</v>
      </c>
      <c r="C177" t="s">
        <v>649</v>
      </c>
      <c r="D177" t="s">
        <v>641</v>
      </c>
      <c r="E177" t="s">
        <v>658</v>
      </c>
      <c r="F177">
        <v>3372</v>
      </c>
      <c r="G177" t="s">
        <v>8</v>
      </c>
      <c r="H177">
        <v>175</v>
      </c>
      <c r="I177">
        <v>152</v>
      </c>
      <c r="J177">
        <v>273</v>
      </c>
      <c r="K177">
        <v>100</v>
      </c>
      <c r="L177">
        <v>333</v>
      </c>
      <c r="M177">
        <v>0</v>
      </c>
      <c r="N177">
        <v>8</v>
      </c>
      <c r="O177">
        <v>105</v>
      </c>
      <c r="P177">
        <v>32</v>
      </c>
      <c r="Q177">
        <v>62</v>
      </c>
      <c r="R177">
        <v>157</v>
      </c>
      <c r="S177" s="6">
        <v>1.2</v>
      </c>
      <c r="T177" s="6">
        <v>1.55</v>
      </c>
    </row>
    <row r="178" spans="1:20" x14ac:dyDescent="0.3">
      <c r="A178">
        <v>241</v>
      </c>
      <c r="B178" t="s">
        <v>506</v>
      </c>
      <c r="C178" t="s">
        <v>649</v>
      </c>
      <c r="D178" t="s">
        <v>640</v>
      </c>
      <c r="E178" t="s">
        <v>658</v>
      </c>
      <c r="F178">
        <v>3494</v>
      </c>
      <c r="G178" t="s">
        <v>8</v>
      </c>
      <c r="H178">
        <v>185</v>
      </c>
      <c r="I178">
        <v>148</v>
      </c>
      <c r="J178">
        <v>270</v>
      </c>
      <c r="K178">
        <v>102</v>
      </c>
      <c r="L178">
        <v>347</v>
      </c>
      <c r="M178">
        <v>0</v>
      </c>
      <c r="N178">
        <v>9</v>
      </c>
      <c r="O178">
        <v>99</v>
      </c>
      <c r="P178">
        <v>32</v>
      </c>
      <c r="Q178">
        <v>67</v>
      </c>
      <c r="R178">
        <v>163</v>
      </c>
      <c r="S178" s="6">
        <v>1.25</v>
      </c>
      <c r="T178" s="6">
        <v>1.6</v>
      </c>
    </row>
    <row r="179" spans="1:20" x14ac:dyDescent="0.3">
      <c r="A179">
        <v>257</v>
      </c>
      <c r="B179" t="s">
        <v>507</v>
      </c>
      <c r="C179" t="s">
        <v>650</v>
      </c>
      <c r="D179" t="s">
        <v>639</v>
      </c>
      <c r="E179" t="s">
        <v>658</v>
      </c>
      <c r="F179">
        <v>1884</v>
      </c>
      <c r="G179" t="s">
        <v>8</v>
      </c>
      <c r="H179">
        <v>182</v>
      </c>
      <c r="I179">
        <v>120</v>
      </c>
      <c r="J179">
        <v>0</v>
      </c>
      <c r="K179">
        <v>79</v>
      </c>
      <c r="L179">
        <v>347</v>
      </c>
      <c r="M179">
        <v>0</v>
      </c>
      <c r="N179">
        <v>10</v>
      </c>
      <c r="O179">
        <v>55</v>
      </c>
      <c r="P179">
        <v>19</v>
      </c>
      <c r="Q179">
        <v>64</v>
      </c>
      <c r="R179">
        <v>151</v>
      </c>
      <c r="S179" s="6">
        <v>1.3</v>
      </c>
      <c r="T179" s="6">
        <v>1.2</v>
      </c>
    </row>
    <row r="180" spans="1:20" x14ac:dyDescent="0.3">
      <c r="A180">
        <v>258</v>
      </c>
      <c r="B180" t="s">
        <v>400</v>
      </c>
      <c r="C180" t="s">
        <v>650</v>
      </c>
      <c r="D180" t="s">
        <v>639</v>
      </c>
      <c r="E180" t="s">
        <v>658</v>
      </c>
      <c r="F180">
        <v>1982</v>
      </c>
      <c r="G180" t="s">
        <v>8</v>
      </c>
      <c r="H180">
        <v>182</v>
      </c>
      <c r="I180">
        <v>146</v>
      </c>
      <c r="J180">
        <v>234</v>
      </c>
      <c r="K180">
        <v>75</v>
      </c>
      <c r="L180">
        <v>289</v>
      </c>
      <c r="M180">
        <v>0</v>
      </c>
      <c r="N180">
        <v>10</v>
      </c>
      <c r="O180">
        <v>75</v>
      </c>
      <c r="P180">
        <v>23</v>
      </c>
      <c r="Q180">
        <v>51</v>
      </c>
      <c r="R180">
        <v>157</v>
      </c>
      <c r="S180" s="6">
        <v>1.3</v>
      </c>
      <c r="T180" s="6">
        <v>1.55</v>
      </c>
    </row>
    <row r="181" spans="1:20" x14ac:dyDescent="0.3">
      <c r="A181">
        <v>259</v>
      </c>
      <c r="B181" t="s">
        <v>401</v>
      </c>
      <c r="C181" t="s">
        <v>650</v>
      </c>
      <c r="D181" t="s">
        <v>639</v>
      </c>
      <c r="E181" t="s">
        <v>658</v>
      </c>
      <c r="F181">
        <v>1950</v>
      </c>
      <c r="G181" t="s">
        <v>8</v>
      </c>
      <c r="H181">
        <v>182</v>
      </c>
      <c r="I181">
        <v>146</v>
      </c>
      <c r="J181">
        <v>234</v>
      </c>
      <c r="K181">
        <v>72</v>
      </c>
      <c r="L181">
        <v>257</v>
      </c>
      <c r="M181">
        <v>0</v>
      </c>
      <c r="N181">
        <v>10</v>
      </c>
      <c r="O181">
        <v>75</v>
      </c>
      <c r="P181">
        <v>21</v>
      </c>
      <c r="Q181">
        <v>47</v>
      </c>
      <c r="R181">
        <v>159</v>
      </c>
      <c r="S181" s="6">
        <v>1.3</v>
      </c>
      <c r="T181" s="6">
        <v>1.55</v>
      </c>
    </row>
    <row r="182" spans="1:20" x14ac:dyDescent="0.3">
      <c r="A182">
        <v>262</v>
      </c>
      <c r="B182" t="s">
        <v>508</v>
      </c>
      <c r="C182" t="s">
        <v>651</v>
      </c>
      <c r="D182" t="s">
        <v>642</v>
      </c>
      <c r="E182" t="s">
        <v>658</v>
      </c>
      <c r="F182">
        <v>3372</v>
      </c>
      <c r="G182" t="s">
        <v>10</v>
      </c>
      <c r="H182">
        <v>150</v>
      </c>
      <c r="I182">
        <v>104</v>
      </c>
      <c r="J182">
        <v>223</v>
      </c>
      <c r="K182">
        <v>79</v>
      </c>
      <c r="L182">
        <v>160</v>
      </c>
      <c r="M182">
        <v>0</v>
      </c>
      <c r="N182">
        <v>11</v>
      </c>
      <c r="O182">
        <v>57</v>
      </c>
      <c r="P182">
        <v>19</v>
      </c>
      <c r="Q182">
        <v>55</v>
      </c>
      <c r="R182">
        <v>134</v>
      </c>
      <c r="S182" s="6">
        <v>1.3</v>
      </c>
      <c r="T182" s="6">
        <v>1.25</v>
      </c>
    </row>
    <row r="183" spans="1:20" x14ac:dyDescent="0.3">
      <c r="A183">
        <v>303</v>
      </c>
      <c r="B183" t="s">
        <v>509</v>
      </c>
      <c r="C183" t="s">
        <v>646</v>
      </c>
      <c r="D183" t="s">
        <v>641</v>
      </c>
      <c r="E183" t="s">
        <v>658</v>
      </c>
      <c r="F183">
        <v>3237</v>
      </c>
      <c r="G183" t="s">
        <v>8</v>
      </c>
      <c r="H183">
        <v>182</v>
      </c>
      <c r="I183">
        <v>142</v>
      </c>
      <c r="J183">
        <v>207</v>
      </c>
      <c r="K183">
        <v>101</v>
      </c>
      <c r="L183">
        <v>281</v>
      </c>
      <c r="M183">
        <v>0</v>
      </c>
      <c r="N183">
        <v>8</v>
      </c>
      <c r="O183">
        <v>92</v>
      </c>
      <c r="P183">
        <v>35</v>
      </c>
      <c r="Q183">
        <v>69</v>
      </c>
      <c r="R183">
        <v>156</v>
      </c>
      <c r="S183" s="6">
        <v>1.2</v>
      </c>
      <c r="T183" s="6">
        <v>1.55</v>
      </c>
    </row>
    <row r="184" spans="1:20" x14ac:dyDescent="0.3">
      <c r="A184">
        <v>304</v>
      </c>
      <c r="B184" t="s">
        <v>510</v>
      </c>
      <c r="C184" t="s">
        <v>646</v>
      </c>
      <c r="D184" t="s">
        <v>640</v>
      </c>
      <c r="E184" t="s">
        <v>658</v>
      </c>
      <c r="F184">
        <v>3470</v>
      </c>
      <c r="G184" t="s">
        <v>8</v>
      </c>
      <c r="H184">
        <v>181</v>
      </c>
      <c r="I184">
        <v>164</v>
      </c>
      <c r="J184">
        <v>0</v>
      </c>
      <c r="K184">
        <v>90</v>
      </c>
      <c r="L184">
        <v>307</v>
      </c>
      <c r="M184">
        <v>0</v>
      </c>
      <c r="N184">
        <v>9</v>
      </c>
      <c r="O184">
        <v>99</v>
      </c>
      <c r="P184">
        <v>32</v>
      </c>
      <c r="Q184">
        <v>50</v>
      </c>
      <c r="R184">
        <v>163</v>
      </c>
      <c r="S184" s="6">
        <v>1.35</v>
      </c>
      <c r="T184" s="6">
        <v>0.65</v>
      </c>
    </row>
    <row r="185" spans="1:20" x14ac:dyDescent="0.3">
      <c r="A185">
        <v>305</v>
      </c>
      <c r="B185" t="s">
        <v>511</v>
      </c>
      <c r="C185" t="s">
        <v>646</v>
      </c>
      <c r="D185" t="s">
        <v>639</v>
      </c>
      <c r="E185" t="s">
        <v>658</v>
      </c>
      <c r="F185">
        <v>3604</v>
      </c>
      <c r="G185" t="s">
        <v>8</v>
      </c>
      <c r="H185">
        <v>185</v>
      </c>
      <c r="I185">
        <v>171</v>
      </c>
      <c r="J185">
        <v>0</v>
      </c>
      <c r="K185">
        <v>90</v>
      </c>
      <c r="L185">
        <v>316</v>
      </c>
      <c r="M185">
        <v>0</v>
      </c>
      <c r="N185">
        <v>10</v>
      </c>
      <c r="O185">
        <v>101</v>
      </c>
      <c r="P185">
        <v>32</v>
      </c>
      <c r="Q185">
        <v>65</v>
      </c>
      <c r="R185">
        <v>171</v>
      </c>
      <c r="S185" s="6">
        <v>1.35</v>
      </c>
      <c r="T185" s="6">
        <v>0.65</v>
      </c>
    </row>
    <row r="186" spans="1:20" x14ac:dyDescent="0.3">
      <c r="A186">
        <v>308</v>
      </c>
      <c r="B186" t="s">
        <v>407</v>
      </c>
      <c r="C186" t="s">
        <v>648</v>
      </c>
      <c r="D186" t="s">
        <v>640</v>
      </c>
      <c r="E186" t="s">
        <v>658</v>
      </c>
      <c r="F186">
        <v>2540</v>
      </c>
      <c r="G186" t="s">
        <v>8</v>
      </c>
      <c r="H186">
        <v>185</v>
      </c>
      <c r="I186">
        <v>150</v>
      </c>
      <c r="J186">
        <v>326</v>
      </c>
      <c r="K186">
        <v>108</v>
      </c>
      <c r="L186">
        <v>276</v>
      </c>
      <c r="M186">
        <v>0</v>
      </c>
      <c r="N186">
        <v>8</v>
      </c>
      <c r="O186">
        <v>107</v>
      </c>
      <c r="P186">
        <v>35</v>
      </c>
      <c r="Q186">
        <v>42</v>
      </c>
      <c r="R186">
        <v>156</v>
      </c>
      <c r="S186" s="6">
        <v>1.2</v>
      </c>
      <c r="T186" s="6">
        <v>1.65</v>
      </c>
    </row>
    <row r="187" spans="1:20" x14ac:dyDescent="0.3">
      <c r="A187">
        <v>309</v>
      </c>
      <c r="B187" t="s">
        <v>408</v>
      </c>
      <c r="C187" t="s">
        <v>648</v>
      </c>
      <c r="D187" t="s">
        <v>639</v>
      </c>
      <c r="E187" t="s">
        <v>658</v>
      </c>
      <c r="F187">
        <v>2615</v>
      </c>
      <c r="G187" t="s">
        <v>8</v>
      </c>
      <c r="H187">
        <v>192</v>
      </c>
      <c r="I187">
        <v>156</v>
      </c>
      <c r="J187">
        <v>337</v>
      </c>
      <c r="K187">
        <v>108</v>
      </c>
      <c r="L187">
        <v>285</v>
      </c>
      <c r="M187">
        <v>0</v>
      </c>
      <c r="N187">
        <v>10</v>
      </c>
      <c r="O187">
        <v>99</v>
      </c>
      <c r="P187">
        <v>35</v>
      </c>
      <c r="Q187">
        <v>38</v>
      </c>
      <c r="R187">
        <v>156</v>
      </c>
      <c r="S187" s="6">
        <v>1.2</v>
      </c>
      <c r="T187" s="6">
        <v>1.65</v>
      </c>
    </row>
    <row r="188" spans="1:20" x14ac:dyDescent="0.3">
      <c r="A188">
        <v>310</v>
      </c>
      <c r="B188" t="s">
        <v>512</v>
      </c>
      <c r="C188" t="s">
        <v>648</v>
      </c>
      <c r="D188" t="s">
        <v>640</v>
      </c>
      <c r="E188" t="s">
        <v>658</v>
      </c>
      <c r="F188">
        <v>2540</v>
      </c>
      <c r="G188" t="s">
        <v>8</v>
      </c>
      <c r="H188">
        <v>185</v>
      </c>
      <c r="I188">
        <v>151</v>
      </c>
      <c r="J188">
        <v>337</v>
      </c>
      <c r="K188">
        <v>108</v>
      </c>
      <c r="L188">
        <v>286</v>
      </c>
      <c r="M188">
        <v>0</v>
      </c>
      <c r="N188">
        <v>9</v>
      </c>
      <c r="O188">
        <v>104</v>
      </c>
      <c r="P188">
        <v>35</v>
      </c>
      <c r="Q188">
        <v>53</v>
      </c>
      <c r="R188">
        <v>151</v>
      </c>
      <c r="S188" s="6">
        <v>1.2</v>
      </c>
      <c r="T188" s="6">
        <v>1.65</v>
      </c>
    </row>
    <row r="189" spans="1:20" x14ac:dyDescent="0.3">
      <c r="A189">
        <v>321</v>
      </c>
      <c r="B189" t="s">
        <v>513</v>
      </c>
      <c r="C189" t="s">
        <v>648</v>
      </c>
      <c r="D189" t="s">
        <v>639</v>
      </c>
      <c r="E189" t="s">
        <v>658</v>
      </c>
      <c r="F189">
        <v>3159</v>
      </c>
      <c r="G189" t="s">
        <v>8</v>
      </c>
      <c r="H189">
        <v>168</v>
      </c>
      <c r="I189">
        <v>148</v>
      </c>
      <c r="J189">
        <v>353</v>
      </c>
      <c r="K189">
        <v>104</v>
      </c>
      <c r="L189">
        <v>323</v>
      </c>
      <c r="M189">
        <v>0</v>
      </c>
      <c r="N189">
        <v>10</v>
      </c>
      <c r="O189">
        <v>79</v>
      </c>
      <c r="P189">
        <v>35</v>
      </c>
      <c r="Q189">
        <v>21</v>
      </c>
      <c r="R189">
        <v>152</v>
      </c>
      <c r="S189" s="6">
        <v>1</v>
      </c>
      <c r="T189" s="6">
        <v>1.7</v>
      </c>
    </row>
    <row r="190" spans="1:20" x14ac:dyDescent="0.3">
      <c r="A190">
        <v>327</v>
      </c>
      <c r="B190" t="s">
        <v>514</v>
      </c>
      <c r="C190" t="s">
        <v>647</v>
      </c>
      <c r="D190" t="s">
        <v>640</v>
      </c>
      <c r="E190" t="s">
        <v>658</v>
      </c>
      <c r="F190">
        <v>3586</v>
      </c>
      <c r="G190" t="s">
        <v>8</v>
      </c>
      <c r="H190">
        <v>182</v>
      </c>
      <c r="I190">
        <v>159</v>
      </c>
      <c r="J190">
        <v>268</v>
      </c>
      <c r="K190">
        <v>100</v>
      </c>
      <c r="L190">
        <v>255</v>
      </c>
      <c r="M190">
        <v>0</v>
      </c>
      <c r="N190">
        <v>9</v>
      </c>
      <c r="O190">
        <v>117</v>
      </c>
      <c r="P190">
        <v>32</v>
      </c>
      <c r="Q190">
        <v>11</v>
      </c>
      <c r="R190">
        <v>177</v>
      </c>
      <c r="S190" s="6">
        <v>1.4</v>
      </c>
      <c r="T190" s="6">
        <v>1.55</v>
      </c>
    </row>
    <row r="191" spans="1:20" x14ac:dyDescent="0.3">
      <c r="A191">
        <v>328</v>
      </c>
      <c r="B191" t="s">
        <v>515</v>
      </c>
      <c r="C191" t="s">
        <v>647</v>
      </c>
      <c r="D191" t="s">
        <v>640</v>
      </c>
      <c r="E191" t="s">
        <v>658</v>
      </c>
      <c r="F191">
        <v>3636</v>
      </c>
      <c r="G191" t="s">
        <v>8</v>
      </c>
      <c r="H191">
        <v>182</v>
      </c>
      <c r="I191">
        <v>157</v>
      </c>
      <c r="J191">
        <v>269</v>
      </c>
      <c r="K191">
        <v>100</v>
      </c>
      <c r="L191">
        <v>329</v>
      </c>
      <c r="M191">
        <v>0</v>
      </c>
      <c r="N191">
        <v>9</v>
      </c>
      <c r="O191">
        <v>123</v>
      </c>
      <c r="P191">
        <v>32</v>
      </c>
      <c r="Q191">
        <v>67</v>
      </c>
      <c r="R191">
        <v>175</v>
      </c>
      <c r="S191" s="6">
        <v>1.4</v>
      </c>
      <c r="T191" s="6">
        <v>1.55</v>
      </c>
    </row>
    <row r="192" spans="1:20" x14ac:dyDescent="0.3">
      <c r="A192">
        <v>329</v>
      </c>
      <c r="B192" t="s">
        <v>516</v>
      </c>
      <c r="C192" t="s">
        <v>646</v>
      </c>
      <c r="D192" t="s">
        <v>642</v>
      </c>
      <c r="E192" t="s">
        <v>658</v>
      </c>
      <c r="F192">
        <v>4361</v>
      </c>
      <c r="G192" t="s">
        <v>8</v>
      </c>
      <c r="H192">
        <v>193</v>
      </c>
      <c r="I192">
        <v>170</v>
      </c>
      <c r="J192">
        <v>0</v>
      </c>
      <c r="K192">
        <v>92</v>
      </c>
      <c r="L192">
        <v>333</v>
      </c>
      <c r="M192">
        <v>0</v>
      </c>
      <c r="N192">
        <v>11</v>
      </c>
      <c r="O192">
        <v>104</v>
      </c>
      <c r="P192">
        <v>32</v>
      </c>
      <c r="Q192">
        <v>72</v>
      </c>
      <c r="R192">
        <v>168</v>
      </c>
      <c r="S192" s="6">
        <v>1.3</v>
      </c>
      <c r="T192" s="6">
        <v>0.7</v>
      </c>
    </row>
    <row r="193" spans="1:20" x14ac:dyDescent="0.3">
      <c r="A193">
        <v>330</v>
      </c>
      <c r="B193" t="s">
        <v>517</v>
      </c>
      <c r="C193" t="s">
        <v>646</v>
      </c>
      <c r="D193" t="s">
        <v>639</v>
      </c>
      <c r="E193" t="s">
        <v>658</v>
      </c>
      <c r="F193">
        <v>4307</v>
      </c>
      <c r="G193" t="s">
        <v>8</v>
      </c>
      <c r="H193">
        <v>185</v>
      </c>
      <c r="I193">
        <v>157</v>
      </c>
      <c r="J193">
        <v>0</v>
      </c>
      <c r="K193">
        <v>92</v>
      </c>
      <c r="L193">
        <v>321</v>
      </c>
      <c r="M193">
        <v>0</v>
      </c>
      <c r="N193">
        <v>10</v>
      </c>
      <c r="O193">
        <v>100</v>
      </c>
      <c r="P193">
        <v>32</v>
      </c>
      <c r="Q193">
        <v>69</v>
      </c>
      <c r="R193">
        <v>165</v>
      </c>
      <c r="S193" s="6">
        <v>1.3</v>
      </c>
      <c r="T193" s="6">
        <v>0.75</v>
      </c>
    </row>
    <row r="194" spans="1:20" x14ac:dyDescent="0.3">
      <c r="A194">
        <v>335</v>
      </c>
      <c r="B194" t="s">
        <v>518</v>
      </c>
      <c r="C194" t="s">
        <v>647</v>
      </c>
      <c r="D194" t="s">
        <v>639</v>
      </c>
      <c r="E194" t="s">
        <v>658</v>
      </c>
      <c r="F194">
        <v>3231</v>
      </c>
      <c r="G194" t="s">
        <v>8</v>
      </c>
      <c r="H194">
        <v>185</v>
      </c>
      <c r="I194">
        <v>159</v>
      </c>
      <c r="J194">
        <v>324</v>
      </c>
      <c r="K194">
        <v>96</v>
      </c>
      <c r="L194">
        <v>282</v>
      </c>
      <c r="M194">
        <v>0</v>
      </c>
      <c r="N194">
        <v>10</v>
      </c>
      <c r="O194">
        <v>147</v>
      </c>
      <c r="P194">
        <v>32</v>
      </c>
      <c r="Q194">
        <v>89</v>
      </c>
      <c r="R194">
        <v>165</v>
      </c>
      <c r="S194" s="6">
        <v>1.4</v>
      </c>
      <c r="T194" s="6">
        <v>1.5</v>
      </c>
    </row>
    <row r="195" spans="1:20" x14ac:dyDescent="0.3">
      <c r="A195">
        <v>349</v>
      </c>
      <c r="B195" t="s">
        <v>519</v>
      </c>
      <c r="C195" t="s">
        <v>652</v>
      </c>
      <c r="D195" t="s">
        <v>639</v>
      </c>
      <c r="E195" t="s">
        <v>658</v>
      </c>
      <c r="F195">
        <v>3185</v>
      </c>
      <c r="G195" t="s">
        <v>8</v>
      </c>
      <c r="H195">
        <v>173</v>
      </c>
      <c r="I195">
        <v>161</v>
      </c>
      <c r="J195">
        <v>273</v>
      </c>
      <c r="K195">
        <v>117</v>
      </c>
      <c r="L195">
        <v>272</v>
      </c>
      <c r="M195">
        <v>0</v>
      </c>
      <c r="N195">
        <v>10</v>
      </c>
      <c r="O195">
        <v>144</v>
      </c>
      <c r="P195">
        <v>34</v>
      </c>
      <c r="Q195">
        <v>67</v>
      </c>
      <c r="R195">
        <v>175</v>
      </c>
      <c r="S195" s="6">
        <v>1.4</v>
      </c>
      <c r="T195" s="6">
        <v>1.55</v>
      </c>
    </row>
    <row r="196" spans="1:20" x14ac:dyDescent="0.3">
      <c r="A196">
        <v>360</v>
      </c>
      <c r="B196" t="s">
        <v>520</v>
      </c>
      <c r="C196" t="s">
        <v>646</v>
      </c>
      <c r="D196" t="s">
        <v>640</v>
      </c>
      <c r="E196" t="s">
        <v>658</v>
      </c>
      <c r="F196">
        <v>3301</v>
      </c>
      <c r="G196" t="s">
        <v>8</v>
      </c>
      <c r="H196">
        <v>185</v>
      </c>
      <c r="I196">
        <v>146</v>
      </c>
      <c r="J196">
        <v>212</v>
      </c>
      <c r="K196">
        <v>101</v>
      </c>
      <c r="L196">
        <v>295</v>
      </c>
      <c r="M196">
        <v>0</v>
      </c>
      <c r="N196">
        <v>9</v>
      </c>
      <c r="O196">
        <v>82</v>
      </c>
      <c r="P196">
        <v>35</v>
      </c>
      <c r="Q196">
        <v>67</v>
      </c>
      <c r="R196">
        <v>156</v>
      </c>
      <c r="S196" s="6">
        <v>1.25</v>
      </c>
      <c r="T196" s="6">
        <v>1.55</v>
      </c>
    </row>
    <row r="197" spans="1:20" x14ac:dyDescent="0.3">
      <c r="A197">
        <v>361</v>
      </c>
      <c r="B197" t="s">
        <v>413</v>
      </c>
      <c r="C197" t="s">
        <v>647</v>
      </c>
      <c r="D197" t="s">
        <v>640</v>
      </c>
      <c r="E197" t="s">
        <v>658</v>
      </c>
      <c r="F197">
        <v>3688</v>
      </c>
      <c r="G197" t="s">
        <v>8</v>
      </c>
      <c r="H197">
        <v>179</v>
      </c>
      <c r="I197">
        <v>145</v>
      </c>
      <c r="J197">
        <v>285</v>
      </c>
      <c r="K197">
        <v>100</v>
      </c>
      <c r="L197">
        <v>347</v>
      </c>
      <c r="M197">
        <v>0</v>
      </c>
      <c r="N197">
        <v>9</v>
      </c>
      <c r="O197">
        <v>84</v>
      </c>
      <c r="P197">
        <v>32</v>
      </c>
      <c r="Q197">
        <v>78</v>
      </c>
      <c r="R197">
        <v>165</v>
      </c>
      <c r="S197" s="6">
        <v>1.4</v>
      </c>
      <c r="T197" s="6">
        <v>1.25</v>
      </c>
    </row>
    <row r="198" spans="1:20" x14ac:dyDescent="0.3">
      <c r="A198">
        <v>366</v>
      </c>
      <c r="B198" t="s">
        <v>521</v>
      </c>
      <c r="C198" t="s">
        <v>646</v>
      </c>
      <c r="D198" t="s">
        <v>640</v>
      </c>
      <c r="E198" t="s">
        <v>658</v>
      </c>
      <c r="F198">
        <v>3301</v>
      </c>
      <c r="G198" t="s">
        <v>8</v>
      </c>
      <c r="H198">
        <v>185</v>
      </c>
      <c r="I198">
        <v>146</v>
      </c>
      <c r="J198">
        <v>215</v>
      </c>
      <c r="K198">
        <v>101</v>
      </c>
      <c r="L198">
        <v>295</v>
      </c>
      <c r="M198">
        <v>0</v>
      </c>
      <c r="N198">
        <v>9</v>
      </c>
      <c r="O198">
        <v>82</v>
      </c>
      <c r="P198">
        <v>35</v>
      </c>
      <c r="Q198">
        <v>67</v>
      </c>
      <c r="R198"/>
      <c r="S198" s="6">
        <v>1.25</v>
      </c>
      <c r="T198" s="6">
        <v>1.5</v>
      </c>
    </row>
    <row r="199" spans="1:20" x14ac:dyDescent="0.3">
      <c r="A199">
        <v>371</v>
      </c>
      <c r="B199" t="s">
        <v>522</v>
      </c>
      <c r="C199" t="s">
        <v>647</v>
      </c>
      <c r="D199" t="s">
        <v>642</v>
      </c>
      <c r="E199" t="s">
        <v>658</v>
      </c>
      <c r="F199">
        <v>3744</v>
      </c>
      <c r="G199" t="s">
        <v>8</v>
      </c>
      <c r="H199">
        <v>182</v>
      </c>
      <c r="I199">
        <v>151</v>
      </c>
      <c r="J199">
        <v>161</v>
      </c>
      <c r="K199">
        <v>97</v>
      </c>
      <c r="L199">
        <v>385</v>
      </c>
      <c r="M199">
        <v>0</v>
      </c>
      <c r="N199">
        <v>11</v>
      </c>
      <c r="O199">
        <v>164</v>
      </c>
      <c r="P199">
        <v>32</v>
      </c>
      <c r="Q199">
        <v>70</v>
      </c>
      <c r="R199">
        <v>169</v>
      </c>
      <c r="S199" s="6">
        <v>1.3</v>
      </c>
      <c r="T199" s="6">
        <v>1.3</v>
      </c>
    </row>
    <row r="200" spans="1:20" x14ac:dyDescent="0.3">
      <c r="A200">
        <v>372</v>
      </c>
      <c r="B200" t="s">
        <v>523</v>
      </c>
      <c r="C200" t="s">
        <v>647</v>
      </c>
      <c r="D200" t="s">
        <v>640</v>
      </c>
      <c r="E200" t="s">
        <v>658</v>
      </c>
      <c r="F200">
        <v>2981</v>
      </c>
      <c r="G200" t="s">
        <v>8</v>
      </c>
      <c r="H200">
        <v>182</v>
      </c>
      <c r="I200">
        <v>134</v>
      </c>
      <c r="J200">
        <v>0</v>
      </c>
      <c r="K200">
        <v>92</v>
      </c>
      <c r="L200">
        <v>154</v>
      </c>
      <c r="M200">
        <v>0</v>
      </c>
      <c r="N200">
        <v>9</v>
      </c>
      <c r="O200">
        <v>53</v>
      </c>
      <c r="P200">
        <v>29</v>
      </c>
      <c r="Q200">
        <v>24</v>
      </c>
      <c r="R200">
        <v>168</v>
      </c>
      <c r="S200" s="6">
        <v>1.1499999999999999</v>
      </c>
      <c r="T200" s="6">
        <v>0.8</v>
      </c>
    </row>
    <row r="201" spans="1:20" x14ac:dyDescent="0.3">
      <c r="A201">
        <v>373</v>
      </c>
      <c r="B201" t="s">
        <v>524</v>
      </c>
      <c r="C201" t="s">
        <v>647</v>
      </c>
      <c r="D201" t="s">
        <v>640</v>
      </c>
      <c r="E201" t="s">
        <v>658</v>
      </c>
      <c r="F201">
        <v>2789</v>
      </c>
      <c r="G201" t="s">
        <v>8</v>
      </c>
      <c r="H201">
        <v>190</v>
      </c>
      <c r="I201">
        <v>128</v>
      </c>
      <c r="J201">
        <v>0</v>
      </c>
      <c r="K201">
        <v>92</v>
      </c>
      <c r="L201">
        <v>178</v>
      </c>
      <c r="M201">
        <v>0</v>
      </c>
      <c r="N201">
        <v>9</v>
      </c>
      <c r="O201">
        <v>53</v>
      </c>
      <c r="P201">
        <v>29</v>
      </c>
      <c r="Q201">
        <v>45</v>
      </c>
      <c r="R201">
        <v>166</v>
      </c>
      <c r="S201" s="6">
        <v>1.1499999999999999</v>
      </c>
      <c r="T201" s="6">
        <v>0.8</v>
      </c>
    </row>
    <row r="202" spans="1:20" x14ac:dyDescent="0.3">
      <c r="A202">
        <v>3036</v>
      </c>
      <c r="B202" t="s">
        <v>697</v>
      </c>
      <c r="C202" t="s">
        <v>646</v>
      </c>
      <c r="D202" t="s">
        <v>644</v>
      </c>
      <c r="E202" t="s">
        <v>658</v>
      </c>
      <c r="F202">
        <v>3995</v>
      </c>
      <c r="G202" t="s">
        <v>8</v>
      </c>
      <c r="H202">
        <v>210</v>
      </c>
      <c r="I202">
        <v>182</v>
      </c>
      <c r="J202">
        <v>168</v>
      </c>
      <c r="K202">
        <v>95</v>
      </c>
      <c r="L202">
        <v>559</v>
      </c>
      <c r="M202">
        <v>0</v>
      </c>
      <c r="N202">
        <v>11</v>
      </c>
      <c r="O202">
        <v>201</v>
      </c>
      <c r="P202">
        <v>32</v>
      </c>
      <c r="Q202">
        <v>85</v>
      </c>
      <c r="R202">
        <v>173</v>
      </c>
      <c r="S202" s="6">
        <v>1.1499999999999999</v>
      </c>
      <c r="T202" s="6">
        <v>1.35</v>
      </c>
    </row>
    <row r="203" spans="1:20" x14ac:dyDescent="0.3">
      <c r="A203">
        <v>3104</v>
      </c>
      <c r="B203" t="s">
        <v>698</v>
      </c>
      <c r="C203" t="s">
        <v>647</v>
      </c>
      <c r="D203" t="s">
        <v>640</v>
      </c>
      <c r="E203" t="s">
        <v>658</v>
      </c>
      <c r="F203">
        <v>3486</v>
      </c>
      <c r="G203" t="s">
        <v>8</v>
      </c>
      <c r="H203">
        <v>176</v>
      </c>
      <c r="I203">
        <v>196</v>
      </c>
      <c r="J203">
        <v>305</v>
      </c>
      <c r="K203">
        <v>102</v>
      </c>
      <c r="L203">
        <v>321</v>
      </c>
      <c r="M203">
        <v>0</v>
      </c>
      <c r="N203">
        <v>8</v>
      </c>
      <c r="O203">
        <v>125</v>
      </c>
      <c r="P203">
        <v>32</v>
      </c>
      <c r="Q203">
        <v>44</v>
      </c>
      <c r="R203">
        <v>149</v>
      </c>
      <c r="S203" s="6">
        <v>1.35</v>
      </c>
      <c r="T203" s="6">
        <v>1.65</v>
      </c>
    </row>
    <row r="204" spans="1:20" x14ac:dyDescent="0.3">
      <c r="A204">
        <v>3105</v>
      </c>
      <c r="B204" t="s">
        <v>699</v>
      </c>
      <c r="C204" t="s">
        <v>647</v>
      </c>
      <c r="D204" t="s">
        <v>639</v>
      </c>
      <c r="E204" t="s">
        <v>658</v>
      </c>
      <c r="F204">
        <v>3214</v>
      </c>
      <c r="G204" t="s">
        <v>8</v>
      </c>
      <c r="H204">
        <v>180</v>
      </c>
      <c r="I204">
        <v>213</v>
      </c>
      <c r="J204">
        <v>359</v>
      </c>
      <c r="K204">
        <v>97</v>
      </c>
      <c r="L204">
        <v>295</v>
      </c>
      <c r="M204">
        <v>0</v>
      </c>
      <c r="N204">
        <v>9</v>
      </c>
      <c r="O204">
        <v>128</v>
      </c>
      <c r="P204">
        <v>32</v>
      </c>
      <c r="Q204">
        <v>54</v>
      </c>
      <c r="R204">
        <v>152</v>
      </c>
      <c r="S204" s="6">
        <v>1.6</v>
      </c>
      <c r="T204" s="6">
        <v>1.6</v>
      </c>
    </row>
    <row r="205" spans="1:20" x14ac:dyDescent="0.3">
      <c r="A205">
        <v>3106</v>
      </c>
      <c r="B205" t="s">
        <v>700</v>
      </c>
      <c r="C205" t="s">
        <v>647</v>
      </c>
      <c r="D205" t="s">
        <v>639</v>
      </c>
      <c r="E205" t="s">
        <v>658</v>
      </c>
      <c r="F205">
        <v>3214</v>
      </c>
      <c r="G205" t="s">
        <v>8</v>
      </c>
      <c r="H205">
        <v>180</v>
      </c>
      <c r="I205">
        <v>213</v>
      </c>
      <c r="J205">
        <v>359</v>
      </c>
      <c r="K205">
        <v>97</v>
      </c>
      <c r="L205">
        <v>295</v>
      </c>
      <c r="M205">
        <v>0</v>
      </c>
      <c r="N205">
        <v>9</v>
      </c>
      <c r="O205">
        <v>128</v>
      </c>
      <c r="P205">
        <v>32</v>
      </c>
      <c r="Q205">
        <v>74</v>
      </c>
      <c r="R205">
        <v>152</v>
      </c>
      <c r="S205" s="6">
        <v>1.6</v>
      </c>
      <c r="T205" s="6">
        <v>1.6</v>
      </c>
    </row>
    <row r="206" spans="1:20" x14ac:dyDescent="0.3">
      <c r="A206">
        <v>3187</v>
      </c>
      <c r="B206" t="s">
        <v>701</v>
      </c>
      <c r="C206" t="s">
        <v>648</v>
      </c>
      <c r="D206" t="s">
        <v>640</v>
      </c>
      <c r="E206" t="s">
        <v>658</v>
      </c>
      <c r="F206">
        <v>3131</v>
      </c>
      <c r="G206" t="s">
        <v>8</v>
      </c>
      <c r="H206">
        <v>178</v>
      </c>
      <c r="I206">
        <v>160</v>
      </c>
      <c r="J206">
        <v>344</v>
      </c>
      <c r="K206">
        <v>105</v>
      </c>
      <c r="L206">
        <v>278</v>
      </c>
      <c r="M206">
        <v>0</v>
      </c>
      <c r="N206">
        <v>8</v>
      </c>
      <c r="O206">
        <v>92</v>
      </c>
      <c r="P206">
        <v>36</v>
      </c>
      <c r="Q206">
        <v>43</v>
      </c>
      <c r="R206">
        <v>149</v>
      </c>
      <c r="S206" s="6">
        <v>1.1499999999999999</v>
      </c>
      <c r="T206" s="6">
        <v>1.75</v>
      </c>
    </row>
    <row r="207" spans="1:20" x14ac:dyDescent="0.3">
      <c r="A207">
        <v>3239</v>
      </c>
      <c r="B207" t="s">
        <v>703</v>
      </c>
      <c r="C207" t="s">
        <v>649</v>
      </c>
      <c r="D207" t="s">
        <v>640</v>
      </c>
      <c r="E207" t="s">
        <v>658</v>
      </c>
      <c r="F207">
        <v>3612</v>
      </c>
      <c r="G207" t="s">
        <v>8</v>
      </c>
      <c r="H207">
        <v>180</v>
      </c>
      <c r="I207">
        <v>172</v>
      </c>
      <c r="J207">
        <v>318</v>
      </c>
      <c r="K207">
        <v>100</v>
      </c>
      <c r="L207">
        <v>348</v>
      </c>
      <c r="M207">
        <v>0</v>
      </c>
      <c r="N207">
        <v>8</v>
      </c>
      <c r="O207">
        <v>87</v>
      </c>
      <c r="P207">
        <v>32</v>
      </c>
      <c r="Q207">
        <v>39</v>
      </c>
      <c r="R207">
        <v>157</v>
      </c>
      <c r="S207" s="6">
        <v>1.2</v>
      </c>
      <c r="T207" s="6">
        <v>1.7</v>
      </c>
    </row>
    <row r="208" spans="1:20" x14ac:dyDescent="0.3">
      <c r="A208">
        <v>3258</v>
      </c>
      <c r="B208" t="s">
        <v>704</v>
      </c>
      <c r="C208" t="s">
        <v>650</v>
      </c>
      <c r="D208" t="s">
        <v>642</v>
      </c>
      <c r="E208" t="s">
        <v>658</v>
      </c>
      <c r="F208">
        <v>2192</v>
      </c>
      <c r="G208" t="s">
        <v>8</v>
      </c>
      <c r="H208">
        <v>187</v>
      </c>
      <c r="I208">
        <v>201</v>
      </c>
      <c r="J208">
        <v>234</v>
      </c>
      <c r="K208">
        <v>110</v>
      </c>
      <c r="L208">
        <v>304</v>
      </c>
      <c r="M208">
        <v>0</v>
      </c>
      <c r="N208">
        <v>10</v>
      </c>
      <c r="O208">
        <v>75</v>
      </c>
      <c r="P208">
        <v>23</v>
      </c>
      <c r="Q208">
        <v>51</v>
      </c>
      <c r="R208">
        <v>157</v>
      </c>
      <c r="S208" s="6">
        <v>1.45</v>
      </c>
      <c r="T208" s="6">
        <v>1.55</v>
      </c>
    </row>
    <row r="209" spans="1:20" x14ac:dyDescent="0.3">
      <c r="A209">
        <v>3259</v>
      </c>
      <c r="B209" t="s">
        <v>705</v>
      </c>
      <c r="C209" t="s">
        <v>650</v>
      </c>
      <c r="D209" t="s">
        <v>642</v>
      </c>
      <c r="E209" t="s">
        <v>658</v>
      </c>
      <c r="F209">
        <v>2160</v>
      </c>
      <c r="G209" t="s">
        <v>8</v>
      </c>
      <c r="H209">
        <v>187</v>
      </c>
      <c r="I209">
        <v>201</v>
      </c>
      <c r="J209">
        <v>234</v>
      </c>
      <c r="K209">
        <v>107</v>
      </c>
      <c r="L209">
        <v>272</v>
      </c>
      <c r="M209">
        <v>0</v>
      </c>
      <c r="N209">
        <v>10</v>
      </c>
      <c r="O209">
        <v>75</v>
      </c>
      <c r="P209">
        <v>21</v>
      </c>
      <c r="Q209">
        <v>47</v>
      </c>
      <c r="R209">
        <v>159</v>
      </c>
      <c r="S209" s="6">
        <v>1.45</v>
      </c>
      <c r="T209" s="6">
        <v>1.55</v>
      </c>
    </row>
    <row r="210" spans="1:20" x14ac:dyDescent="0.3">
      <c r="A210">
        <v>3308</v>
      </c>
      <c r="B210" t="s">
        <v>706</v>
      </c>
      <c r="C210" t="s">
        <v>648</v>
      </c>
      <c r="D210" t="s">
        <v>639</v>
      </c>
      <c r="E210" t="s">
        <v>658</v>
      </c>
      <c r="F210">
        <v>2780</v>
      </c>
      <c r="G210" t="s">
        <v>8</v>
      </c>
      <c r="H210">
        <v>190</v>
      </c>
      <c r="I210">
        <v>170</v>
      </c>
      <c r="J210">
        <v>391</v>
      </c>
      <c r="K210">
        <v>108</v>
      </c>
      <c r="L210">
        <v>276</v>
      </c>
      <c r="M210">
        <v>0</v>
      </c>
      <c r="N210">
        <v>9</v>
      </c>
      <c r="O210">
        <v>107</v>
      </c>
      <c r="P210">
        <v>35</v>
      </c>
      <c r="Q210">
        <v>42</v>
      </c>
      <c r="R210">
        <v>156</v>
      </c>
      <c r="S210" s="6">
        <v>1.25</v>
      </c>
      <c r="T210" s="6">
        <v>1.8</v>
      </c>
    </row>
    <row r="211" spans="1:20" x14ac:dyDescent="0.3">
      <c r="A211">
        <v>3309</v>
      </c>
      <c r="B211" t="s">
        <v>707</v>
      </c>
      <c r="C211" t="s">
        <v>648</v>
      </c>
      <c r="D211" t="s">
        <v>642</v>
      </c>
      <c r="E211" t="s">
        <v>658</v>
      </c>
      <c r="F211">
        <v>2855</v>
      </c>
      <c r="G211" t="s">
        <v>8</v>
      </c>
      <c r="H211">
        <v>197</v>
      </c>
      <c r="I211">
        <v>176</v>
      </c>
      <c r="J211">
        <v>402</v>
      </c>
      <c r="K211">
        <v>108</v>
      </c>
      <c r="L211">
        <v>300</v>
      </c>
      <c r="M211">
        <v>0</v>
      </c>
      <c r="N211">
        <v>0</v>
      </c>
      <c r="O211">
        <v>99</v>
      </c>
      <c r="P211">
        <v>35</v>
      </c>
      <c r="Q211">
        <v>38</v>
      </c>
      <c r="R211">
        <v>156</v>
      </c>
      <c r="S211" s="6">
        <v>1.25</v>
      </c>
      <c r="T211" s="6">
        <v>1.8</v>
      </c>
    </row>
    <row r="212" spans="1:20" x14ac:dyDescent="0.3">
      <c r="A212">
        <v>3361</v>
      </c>
      <c r="B212" t="s">
        <v>708</v>
      </c>
      <c r="C212" t="s">
        <v>647</v>
      </c>
      <c r="D212" t="s">
        <v>639</v>
      </c>
      <c r="E212" t="s">
        <v>658</v>
      </c>
      <c r="F212">
        <v>3928</v>
      </c>
      <c r="G212" t="s">
        <v>8</v>
      </c>
      <c r="H212">
        <v>194</v>
      </c>
      <c r="I212">
        <v>175</v>
      </c>
      <c r="J212">
        <v>285</v>
      </c>
      <c r="K212">
        <v>100</v>
      </c>
      <c r="L212">
        <v>387</v>
      </c>
      <c r="M212">
        <v>0</v>
      </c>
      <c r="N212">
        <v>9</v>
      </c>
      <c r="O212">
        <v>84</v>
      </c>
      <c r="P212">
        <v>32</v>
      </c>
      <c r="Q212">
        <v>78</v>
      </c>
      <c r="R212">
        <v>165</v>
      </c>
      <c r="S212" s="6">
        <v>1.55</v>
      </c>
      <c r="T212" s="6">
        <v>1.25</v>
      </c>
    </row>
    <row r="213" spans="1:20" x14ac:dyDescent="0.3">
      <c r="A213" t="s">
        <v>331</v>
      </c>
      <c r="B213" t="s">
        <v>617</v>
      </c>
      <c r="C213" t="s">
        <v>654</v>
      </c>
      <c r="D213" t="s">
        <v>639</v>
      </c>
      <c r="E213" t="s">
        <v>658</v>
      </c>
      <c r="F213">
        <v>3430</v>
      </c>
      <c r="G213" t="s">
        <v>8</v>
      </c>
      <c r="H213">
        <v>171</v>
      </c>
      <c r="I213">
        <v>153</v>
      </c>
      <c r="J213">
        <v>289</v>
      </c>
      <c r="K213">
        <v>100</v>
      </c>
      <c r="L213">
        <v>303</v>
      </c>
      <c r="M213">
        <v>0</v>
      </c>
      <c r="N213">
        <v>10</v>
      </c>
      <c r="O213">
        <v>122</v>
      </c>
      <c r="P213">
        <v>31</v>
      </c>
      <c r="Q213">
        <v>73</v>
      </c>
      <c r="R213">
        <v>158</v>
      </c>
      <c r="S213" s="6">
        <v>1.4</v>
      </c>
      <c r="T213" s="6">
        <v>1.5</v>
      </c>
    </row>
    <row r="214" spans="1:20" x14ac:dyDescent="0.3">
      <c r="A214" t="s">
        <v>335</v>
      </c>
      <c r="B214" t="s">
        <v>621</v>
      </c>
      <c r="C214" t="s">
        <v>654</v>
      </c>
      <c r="D214" t="s">
        <v>642</v>
      </c>
      <c r="E214" t="s">
        <v>658</v>
      </c>
      <c r="F214">
        <v>3695</v>
      </c>
      <c r="G214" t="s">
        <v>8</v>
      </c>
      <c r="H214">
        <v>179</v>
      </c>
      <c r="I214">
        <v>167</v>
      </c>
      <c r="J214">
        <v>310</v>
      </c>
      <c r="K214">
        <v>102</v>
      </c>
      <c r="L214">
        <v>313</v>
      </c>
      <c r="M214">
        <v>0</v>
      </c>
      <c r="N214">
        <v>11</v>
      </c>
      <c r="O214">
        <v>128</v>
      </c>
      <c r="P214">
        <v>31</v>
      </c>
      <c r="Q214">
        <v>87</v>
      </c>
      <c r="R214">
        <v>159</v>
      </c>
      <c r="S214" s="6">
        <v>1.45</v>
      </c>
      <c r="T214" s="6">
        <v>1.5</v>
      </c>
    </row>
    <row r="215" spans="1:20" x14ac:dyDescent="0.3">
      <c r="A215" t="s">
        <v>341</v>
      </c>
      <c r="B215" t="s">
        <v>627</v>
      </c>
      <c r="C215" t="s">
        <v>655</v>
      </c>
      <c r="D215" t="s">
        <v>642</v>
      </c>
      <c r="E215" t="s">
        <v>658</v>
      </c>
      <c r="F215">
        <v>4106</v>
      </c>
      <c r="G215" t="s">
        <v>8</v>
      </c>
      <c r="H215">
        <v>170</v>
      </c>
      <c r="I215">
        <v>151</v>
      </c>
      <c r="J215">
        <v>248</v>
      </c>
      <c r="K215">
        <v>88</v>
      </c>
      <c r="L215">
        <v>274</v>
      </c>
      <c r="M215">
        <v>0</v>
      </c>
      <c r="N215">
        <v>11</v>
      </c>
      <c r="O215">
        <v>105</v>
      </c>
      <c r="P215">
        <v>32</v>
      </c>
      <c r="Q215">
        <v>66</v>
      </c>
      <c r="R215">
        <v>160</v>
      </c>
      <c r="S215" s="6">
        <v>1.1000000000000001</v>
      </c>
      <c r="T215" s="6">
        <v>1.4</v>
      </c>
    </row>
    <row r="216" spans="1:20" x14ac:dyDescent="0.3">
      <c r="A216" t="s">
        <v>345</v>
      </c>
      <c r="B216" t="s">
        <v>631</v>
      </c>
      <c r="C216" t="s">
        <v>647</v>
      </c>
      <c r="D216" t="s">
        <v>643</v>
      </c>
      <c r="E216" t="s">
        <v>658</v>
      </c>
      <c r="F216">
        <v>4637</v>
      </c>
      <c r="G216" t="s">
        <v>8</v>
      </c>
      <c r="H216">
        <v>164</v>
      </c>
      <c r="I216">
        <v>172</v>
      </c>
      <c r="J216">
        <v>352</v>
      </c>
      <c r="K216">
        <v>98</v>
      </c>
      <c r="L216">
        <v>363</v>
      </c>
      <c r="M216">
        <v>0</v>
      </c>
      <c r="N216">
        <v>12</v>
      </c>
      <c r="O216">
        <v>152</v>
      </c>
      <c r="P216">
        <v>33</v>
      </c>
      <c r="Q216">
        <v>0</v>
      </c>
      <c r="R216">
        <v>163</v>
      </c>
      <c r="S216" s="6">
        <v>1.5</v>
      </c>
      <c r="T216" s="6">
        <v>1.6</v>
      </c>
    </row>
    <row r="217" spans="1:20" x14ac:dyDescent="0.3">
      <c r="A217">
        <v>3179</v>
      </c>
      <c r="B217" t="s">
        <v>1088</v>
      </c>
      <c r="C217" t="s">
        <v>648</v>
      </c>
      <c r="D217" t="s">
        <v>642</v>
      </c>
      <c r="E217" t="s">
        <v>658</v>
      </c>
      <c r="F217">
        <v>2342</v>
      </c>
      <c r="G217" t="s">
        <v>8</v>
      </c>
      <c r="H217">
        <v>202</v>
      </c>
      <c r="I217">
        <v>161</v>
      </c>
      <c r="J217">
        <v>286</v>
      </c>
      <c r="K217">
        <v>105</v>
      </c>
      <c r="L217">
        <v>332</v>
      </c>
      <c r="M217">
        <v>0</v>
      </c>
      <c r="N217">
        <v>9</v>
      </c>
      <c r="O217">
        <v>84</v>
      </c>
      <c r="P217">
        <v>35</v>
      </c>
      <c r="Q217">
        <v>53</v>
      </c>
      <c r="R217">
        <v>160</v>
      </c>
      <c r="S217" s="6">
        <v>1.25</v>
      </c>
      <c r="T217" s="6">
        <v>1.65</v>
      </c>
    </row>
    <row r="218" spans="1:20" x14ac:dyDescent="0.3">
      <c r="A218" s="42"/>
      <c r="B218" s="42" t="s">
        <v>1146</v>
      </c>
      <c r="C218" s="42" t="s">
        <v>646</v>
      </c>
      <c r="D218" s="42" t="s">
        <v>643</v>
      </c>
      <c r="E218" s="42" t="s">
        <v>658</v>
      </c>
      <c r="F218" s="42">
        <v>5257</v>
      </c>
      <c r="G218" s="42" t="s">
        <v>8</v>
      </c>
      <c r="H218" s="42">
        <v>156</v>
      </c>
      <c r="I218" s="42">
        <v>178</v>
      </c>
      <c r="J218" s="42">
        <v>0</v>
      </c>
      <c r="K218" s="42">
        <v>97</v>
      </c>
      <c r="L218" s="42">
        <v>365</v>
      </c>
      <c r="M218" s="42">
        <v>0</v>
      </c>
      <c r="N218" s="42" t="s">
        <v>1148</v>
      </c>
      <c r="O218" s="42">
        <v>154</v>
      </c>
      <c r="P218" s="42">
        <v>33</v>
      </c>
      <c r="Q218" s="42">
        <v>0</v>
      </c>
      <c r="R218" s="42">
        <v>157</v>
      </c>
      <c r="S218" s="43">
        <v>1.45</v>
      </c>
      <c r="T218" s="43">
        <v>0.65</v>
      </c>
    </row>
    <row r="219" spans="1:20" x14ac:dyDescent="0.3">
      <c r="Q219"/>
      <c r="R219"/>
      <c r="S219" s="6"/>
      <c r="T219" s="6"/>
    </row>
    <row r="220" spans="1:20" x14ac:dyDescent="0.3">
      <c r="A220" t="s">
        <v>351</v>
      </c>
      <c r="B220" t="s">
        <v>149</v>
      </c>
      <c r="C220" t="s">
        <v>192</v>
      </c>
      <c r="D220" t="s">
        <v>352</v>
      </c>
      <c r="E220" t="s">
        <v>150</v>
      </c>
      <c r="F220" t="s">
        <v>7</v>
      </c>
      <c r="G220" t="s">
        <v>353</v>
      </c>
      <c r="H220" t="s">
        <v>14</v>
      </c>
      <c r="I220" t="s">
        <v>9</v>
      </c>
      <c r="J220" t="s">
        <v>11</v>
      </c>
      <c r="K220" t="s">
        <v>294</v>
      </c>
      <c r="L220" t="s">
        <v>265</v>
      </c>
      <c r="M220" t="s">
        <v>293</v>
      </c>
      <c r="N220" t="s">
        <v>667</v>
      </c>
      <c r="O220" t="s">
        <v>666</v>
      </c>
      <c r="P220" t="s">
        <v>295</v>
      </c>
      <c r="Q220" t="s">
        <v>761</v>
      </c>
      <c r="R220" t="s">
        <v>762</v>
      </c>
      <c r="S220" s="6" t="s">
        <v>53</v>
      </c>
      <c r="T220" s="6" t="s">
        <v>668</v>
      </c>
    </row>
    <row r="221" spans="1:20" x14ac:dyDescent="0.3">
      <c r="A221">
        <v>39</v>
      </c>
      <c r="B221" t="s">
        <v>525</v>
      </c>
      <c r="C221" t="s">
        <v>646</v>
      </c>
      <c r="D221" t="s">
        <v>641</v>
      </c>
      <c r="E221" t="s">
        <v>659</v>
      </c>
      <c r="F221">
        <v>3290</v>
      </c>
      <c r="G221" t="s">
        <v>8</v>
      </c>
      <c r="H221">
        <v>160</v>
      </c>
      <c r="I221">
        <v>232</v>
      </c>
      <c r="J221">
        <v>0</v>
      </c>
      <c r="K221">
        <v>55</v>
      </c>
      <c r="L221">
        <v>198</v>
      </c>
      <c r="M221">
        <v>0</v>
      </c>
      <c r="N221">
        <v>9</v>
      </c>
      <c r="O221">
        <v>0</v>
      </c>
      <c r="P221">
        <v>26</v>
      </c>
      <c r="Q221">
        <v>75</v>
      </c>
      <c r="R221">
        <v>122</v>
      </c>
      <c r="S221" s="6">
        <v>1.2</v>
      </c>
      <c r="T221" s="6">
        <v>0.45</v>
      </c>
    </row>
    <row r="222" spans="1:20" x14ac:dyDescent="0.3">
      <c r="A222">
        <v>40</v>
      </c>
      <c r="B222" t="s">
        <v>526</v>
      </c>
      <c r="C222" t="s">
        <v>646</v>
      </c>
      <c r="D222" t="s">
        <v>641</v>
      </c>
      <c r="E222" t="s">
        <v>659</v>
      </c>
      <c r="F222">
        <v>3290</v>
      </c>
      <c r="G222" t="s">
        <v>8</v>
      </c>
      <c r="H222">
        <v>160</v>
      </c>
      <c r="I222">
        <v>232</v>
      </c>
      <c r="J222">
        <v>0</v>
      </c>
      <c r="K222">
        <v>55</v>
      </c>
      <c r="L222">
        <v>198</v>
      </c>
      <c r="M222">
        <v>0</v>
      </c>
      <c r="N222">
        <v>9</v>
      </c>
      <c r="O222">
        <v>0</v>
      </c>
      <c r="P222">
        <v>26</v>
      </c>
      <c r="Q222">
        <v>71</v>
      </c>
      <c r="R222">
        <v>122</v>
      </c>
      <c r="S222" s="6">
        <v>1.2</v>
      </c>
      <c r="T222" s="6">
        <v>0.45</v>
      </c>
    </row>
    <row r="223" spans="1:20" x14ac:dyDescent="0.3">
      <c r="A223">
        <v>41</v>
      </c>
      <c r="B223" t="s">
        <v>527</v>
      </c>
      <c r="C223" t="s">
        <v>646</v>
      </c>
      <c r="D223" t="s">
        <v>640</v>
      </c>
      <c r="E223" t="s">
        <v>659</v>
      </c>
      <c r="F223">
        <v>3346</v>
      </c>
      <c r="G223" t="s">
        <v>8</v>
      </c>
      <c r="H223">
        <v>167</v>
      </c>
      <c r="I223">
        <v>240</v>
      </c>
      <c r="J223">
        <v>0</v>
      </c>
      <c r="K223">
        <v>53</v>
      </c>
      <c r="L223">
        <v>204</v>
      </c>
      <c r="M223">
        <v>0</v>
      </c>
      <c r="N223">
        <v>10</v>
      </c>
      <c r="O223">
        <v>0</v>
      </c>
      <c r="P223">
        <v>26</v>
      </c>
      <c r="Q223">
        <v>27</v>
      </c>
      <c r="R223">
        <v>125</v>
      </c>
      <c r="S223" s="6">
        <v>1.2</v>
      </c>
      <c r="T223" s="6">
        <v>0.55000000000000004</v>
      </c>
    </row>
    <row r="224" spans="1:20" x14ac:dyDescent="0.3">
      <c r="A224">
        <v>42</v>
      </c>
      <c r="B224" t="s">
        <v>528</v>
      </c>
      <c r="C224" t="s">
        <v>646</v>
      </c>
      <c r="D224" t="s">
        <v>640</v>
      </c>
      <c r="E224" t="s">
        <v>659</v>
      </c>
      <c r="F224">
        <v>3393</v>
      </c>
      <c r="G224" t="s">
        <v>8</v>
      </c>
      <c r="H224">
        <v>167</v>
      </c>
      <c r="I224">
        <v>240</v>
      </c>
      <c r="J224">
        <v>0</v>
      </c>
      <c r="K224">
        <v>53</v>
      </c>
      <c r="L224">
        <v>204</v>
      </c>
      <c r="M224">
        <v>0</v>
      </c>
      <c r="N224">
        <v>10</v>
      </c>
      <c r="O224">
        <v>0</v>
      </c>
      <c r="P224">
        <v>26</v>
      </c>
      <c r="Q224">
        <v>32</v>
      </c>
      <c r="R224">
        <v>125</v>
      </c>
      <c r="S224" s="6">
        <v>1.2</v>
      </c>
      <c r="T224" s="6">
        <v>0.55000000000000004</v>
      </c>
    </row>
    <row r="225" spans="1:20" x14ac:dyDescent="0.3">
      <c r="A225">
        <v>43</v>
      </c>
      <c r="B225" t="s">
        <v>529</v>
      </c>
      <c r="C225" t="s">
        <v>646</v>
      </c>
      <c r="D225" t="s">
        <v>639</v>
      </c>
      <c r="E225" t="s">
        <v>659</v>
      </c>
      <c r="F225">
        <v>3445</v>
      </c>
      <c r="G225" t="s">
        <v>8</v>
      </c>
      <c r="H225">
        <v>171</v>
      </c>
      <c r="I225">
        <v>246</v>
      </c>
      <c r="J225">
        <v>0</v>
      </c>
      <c r="K225">
        <v>53</v>
      </c>
      <c r="L225">
        <v>210</v>
      </c>
      <c r="M225">
        <v>0</v>
      </c>
      <c r="N225">
        <v>11</v>
      </c>
      <c r="O225">
        <v>0</v>
      </c>
      <c r="P225">
        <v>26</v>
      </c>
      <c r="Q225">
        <v>49</v>
      </c>
      <c r="R225">
        <v>125</v>
      </c>
      <c r="S225" s="6">
        <v>1.2</v>
      </c>
      <c r="T225" s="6">
        <v>0.55000000000000004</v>
      </c>
    </row>
    <row r="226" spans="1:20" x14ac:dyDescent="0.3">
      <c r="A226">
        <v>44</v>
      </c>
      <c r="B226" t="s">
        <v>359</v>
      </c>
      <c r="C226" t="s">
        <v>646</v>
      </c>
      <c r="D226" t="s">
        <v>640</v>
      </c>
      <c r="E226" t="s">
        <v>659</v>
      </c>
      <c r="F226">
        <v>4565</v>
      </c>
      <c r="G226" t="s">
        <v>10</v>
      </c>
      <c r="H226">
        <v>170</v>
      </c>
      <c r="I226">
        <v>204</v>
      </c>
      <c r="J226">
        <v>0</v>
      </c>
      <c r="K226">
        <v>58</v>
      </c>
      <c r="L226">
        <v>245</v>
      </c>
      <c r="M226">
        <v>0</v>
      </c>
      <c r="N226">
        <v>10</v>
      </c>
      <c r="O226">
        <v>0</v>
      </c>
      <c r="P226">
        <v>26</v>
      </c>
      <c r="Q226">
        <v>78</v>
      </c>
      <c r="R226">
        <v>129</v>
      </c>
      <c r="S226" s="6">
        <v>1.1000000000000001</v>
      </c>
      <c r="T226" s="6">
        <v>0.6</v>
      </c>
    </row>
    <row r="227" spans="1:20" x14ac:dyDescent="0.3">
      <c r="A227">
        <v>45</v>
      </c>
      <c r="B227" t="s">
        <v>530</v>
      </c>
      <c r="C227" t="s">
        <v>646</v>
      </c>
      <c r="D227" t="s">
        <v>639</v>
      </c>
      <c r="E227" t="s">
        <v>659</v>
      </c>
      <c r="F227">
        <v>4734</v>
      </c>
      <c r="G227" t="s">
        <v>10</v>
      </c>
      <c r="H227">
        <v>174</v>
      </c>
      <c r="I227">
        <v>210</v>
      </c>
      <c r="J227">
        <v>0</v>
      </c>
      <c r="K227">
        <v>58</v>
      </c>
      <c r="L227">
        <v>252</v>
      </c>
      <c r="M227">
        <v>0</v>
      </c>
      <c r="N227">
        <v>11</v>
      </c>
      <c r="O227">
        <v>0</v>
      </c>
      <c r="P227">
        <v>26</v>
      </c>
      <c r="Q227">
        <v>23</v>
      </c>
      <c r="R227">
        <v>129</v>
      </c>
      <c r="S227" s="6">
        <v>1.1000000000000001</v>
      </c>
      <c r="T227" s="6">
        <v>0.6</v>
      </c>
    </row>
    <row r="228" spans="1:20" x14ac:dyDescent="0.3">
      <c r="A228">
        <v>46</v>
      </c>
      <c r="B228" t="s">
        <v>531</v>
      </c>
      <c r="C228" t="s">
        <v>646</v>
      </c>
      <c r="D228" t="s">
        <v>639</v>
      </c>
      <c r="E228" t="s">
        <v>659</v>
      </c>
      <c r="F228">
        <v>3881</v>
      </c>
      <c r="G228" t="s">
        <v>10</v>
      </c>
      <c r="H228">
        <v>161</v>
      </c>
      <c r="I228">
        <v>218</v>
      </c>
      <c r="J228">
        <v>0</v>
      </c>
      <c r="K228">
        <v>57</v>
      </c>
      <c r="L228">
        <v>226</v>
      </c>
      <c r="M228">
        <v>0</v>
      </c>
      <c r="N228">
        <v>11</v>
      </c>
      <c r="O228">
        <v>0</v>
      </c>
      <c r="P228">
        <v>26</v>
      </c>
      <c r="Q228">
        <v>15</v>
      </c>
      <c r="R228">
        <v>126</v>
      </c>
      <c r="S228" s="6">
        <v>1.1499999999999999</v>
      </c>
      <c r="T228" s="6">
        <v>0.6</v>
      </c>
    </row>
    <row r="229" spans="1:20" x14ac:dyDescent="0.3">
      <c r="A229">
        <v>47</v>
      </c>
      <c r="B229" t="s">
        <v>532</v>
      </c>
      <c r="C229" t="s">
        <v>646</v>
      </c>
      <c r="D229" t="s">
        <v>639</v>
      </c>
      <c r="E229" t="s">
        <v>659</v>
      </c>
      <c r="F229">
        <v>4015</v>
      </c>
      <c r="G229" t="s">
        <v>10</v>
      </c>
      <c r="H229">
        <v>161</v>
      </c>
      <c r="I229">
        <v>218</v>
      </c>
      <c r="J229">
        <v>0</v>
      </c>
      <c r="K229">
        <v>57</v>
      </c>
      <c r="L229">
        <v>230</v>
      </c>
      <c r="M229">
        <v>0</v>
      </c>
      <c r="N229">
        <v>11</v>
      </c>
      <c r="O229">
        <v>0</v>
      </c>
      <c r="P229">
        <v>26</v>
      </c>
      <c r="Q229">
        <v>9</v>
      </c>
      <c r="R229">
        <v>129</v>
      </c>
      <c r="S229" s="6">
        <v>1.1499999999999999</v>
      </c>
      <c r="T229" s="6">
        <v>0.6</v>
      </c>
    </row>
    <row r="230" spans="1:20" x14ac:dyDescent="0.3">
      <c r="A230">
        <v>48</v>
      </c>
      <c r="B230" t="s">
        <v>533</v>
      </c>
      <c r="C230" t="s">
        <v>646</v>
      </c>
      <c r="D230" t="s">
        <v>639</v>
      </c>
      <c r="E230" t="s">
        <v>659</v>
      </c>
      <c r="F230">
        <v>4015</v>
      </c>
      <c r="G230" t="s">
        <v>10</v>
      </c>
      <c r="H230">
        <v>161</v>
      </c>
      <c r="I230">
        <v>218</v>
      </c>
      <c r="J230">
        <v>0</v>
      </c>
      <c r="K230">
        <v>57</v>
      </c>
      <c r="L230">
        <v>230</v>
      </c>
      <c r="M230">
        <v>0</v>
      </c>
      <c r="N230">
        <v>11</v>
      </c>
      <c r="O230">
        <v>0</v>
      </c>
      <c r="P230">
        <v>26</v>
      </c>
      <c r="Q230">
        <v>12</v>
      </c>
      <c r="R230">
        <v>126</v>
      </c>
      <c r="S230" s="6">
        <v>1.1499999999999999</v>
      </c>
      <c r="T230" s="6">
        <v>0.6</v>
      </c>
    </row>
    <row r="231" spans="1:20" x14ac:dyDescent="0.3">
      <c r="A231">
        <v>49</v>
      </c>
      <c r="B231" t="s">
        <v>534</v>
      </c>
      <c r="C231" t="s">
        <v>646</v>
      </c>
      <c r="D231" t="s">
        <v>639</v>
      </c>
      <c r="E231" t="s">
        <v>659</v>
      </c>
      <c r="F231">
        <v>3709</v>
      </c>
      <c r="G231" t="s">
        <v>8</v>
      </c>
      <c r="H231">
        <v>179</v>
      </c>
      <c r="I231">
        <v>267</v>
      </c>
      <c r="J231">
        <v>0</v>
      </c>
      <c r="K231">
        <v>50</v>
      </c>
      <c r="L231">
        <v>222</v>
      </c>
      <c r="M231">
        <v>0</v>
      </c>
      <c r="N231">
        <v>11</v>
      </c>
      <c r="O231">
        <v>0</v>
      </c>
      <c r="P231">
        <v>26</v>
      </c>
      <c r="Q231">
        <v>70</v>
      </c>
      <c r="R231">
        <v>135</v>
      </c>
      <c r="S231" s="6">
        <v>1.3</v>
      </c>
      <c r="T231" s="6">
        <v>0.55000000000000004</v>
      </c>
    </row>
    <row r="232" spans="1:20" x14ac:dyDescent="0.3">
      <c r="A232">
        <v>119</v>
      </c>
      <c r="B232" t="s">
        <v>535</v>
      </c>
      <c r="C232" t="s">
        <v>647</v>
      </c>
      <c r="D232" t="s">
        <v>639</v>
      </c>
      <c r="E232" t="s">
        <v>659</v>
      </c>
      <c r="F232">
        <v>3561</v>
      </c>
      <c r="G232" t="s">
        <v>8</v>
      </c>
      <c r="H232">
        <v>165</v>
      </c>
      <c r="I232">
        <v>223</v>
      </c>
      <c r="J232">
        <v>223</v>
      </c>
      <c r="K232">
        <v>67</v>
      </c>
      <c r="L232">
        <v>212</v>
      </c>
      <c r="M232">
        <v>0</v>
      </c>
      <c r="N232">
        <v>11</v>
      </c>
      <c r="O232">
        <v>0</v>
      </c>
      <c r="P232">
        <v>25</v>
      </c>
      <c r="Q232">
        <v>62</v>
      </c>
      <c r="R232">
        <v>120</v>
      </c>
      <c r="S232" s="6">
        <v>1.45</v>
      </c>
      <c r="T232" s="6">
        <v>1.6</v>
      </c>
    </row>
    <row r="233" spans="1:20" x14ac:dyDescent="0.3">
      <c r="A233">
        <v>120</v>
      </c>
      <c r="B233" t="s">
        <v>536</v>
      </c>
      <c r="C233" t="s">
        <v>647</v>
      </c>
      <c r="D233" t="s">
        <v>640</v>
      </c>
      <c r="E233" t="s">
        <v>659</v>
      </c>
      <c r="F233">
        <v>3461</v>
      </c>
      <c r="G233" t="s">
        <v>8</v>
      </c>
      <c r="H233">
        <v>160</v>
      </c>
      <c r="I233">
        <v>218</v>
      </c>
      <c r="J233">
        <v>215</v>
      </c>
      <c r="K233">
        <v>67</v>
      </c>
      <c r="L233">
        <v>208</v>
      </c>
      <c r="M233">
        <v>0</v>
      </c>
      <c r="N233">
        <v>10</v>
      </c>
      <c r="O233">
        <v>0</v>
      </c>
      <c r="P233">
        <v>25</v>
      </c>
      <c r="Q233">
        <v>75</v>
      </c>
      <c r="R233">
        <v>120</v>
      </c>
      <c r="S233" s="6">
        <v>1.45</v>
      </c>
      <c r="T233" s="6">
        <v>1.6</v>
      </c>
    </row>
    <row r="234" spans="1:20" x14ac:dyDescent="0.3">
      <c r="A234">
        <v>121</v>
      </c>
      <c r="B234" t="s">
        <v>537</v>
      </c>
      <c r="C234" t="s">
        <v>647</v>
      </c>
      <c r="D234" t="s">
        <v>640</v>
      </c>
      <c r="E234" t="s">
        <v>659</v>
      </c>
      <c r="F234">
        <v>3508</v>
      </c>
      <c r="G234" t="s">
        <v>8</v>
      </c>
      <c r="H234">
        <v>160</v>
      </c>
      <c r="I234">
        <v>218</v>
      </c>
      <c r="J234">
        <v>215</v>
      </c>
      <c r="K234">
        <v>65</v>
      </c>
      <c r="L234">
        <v>208</v>
      </c>
      <c r="M234">
        <v>0</v>
      </c>
      <c r="N234">
        <v>10</v>
      </c>
      <c r="O234">
        <v>0</v>
      </c>
      <c r="P234">
        <v>25</v>
      </c>
      <c r="Q234">
        <v>71</v>
      </c>
      <c r="R234">
        <v>120</v>
      </c>
      <c r="S234" s="6">
        <v>1.45</v>
      </c>
      <c r="T234" s="6">
        <v>1.6</v>
      </c>
    </row>
    <row r="235" spans="1:20" x14ac:dyDescent="0.3">
      <c r="A235">
        <v>122</v>
      </c>
      <c r="B235" t="s">
        <v>381</v>
      </c>
      <c r="C235" t="s">
        <v>647</v>
      </c>
      <c r="D235" t="s">
        <v>640</v>
      </c>
      <c r="E235" t="s">
        <v>659</v>
      </c>
      <c r="F235">
        <v>3474</v>
      </c>
      <c r="G235" t="s">
        <v>8</v>
      </c>
      <c r="H235">
        <v>160</v>
      </c>
      <c r="I235">
        <v>218</v>
      </c>
      <c r="J235">
        <v>215</v>
      </c>
      <c r="K235">
        <v>65</v>
      </c>
      <c r="L235">
        <v>208</v>
      </c>
      <c r="M235">
        <v>0</v>
      </c>
      <c r="N235">
        <v>10</v>
      </c>
      <c r="O235">
        <v>0</v>
      </c>
      <c r="P235">
        <v>25</v>
      </c>
      <c r="Q235">
        <v>72</v>
      </c>
      <c r="R235">
        <v>120</v>
      </c>
      <c r="S235" s="6">
        <v>1.45</v>
      </c>
      <c r="T235" s="6">
        <v>1.6</v>
      </c>
    </row>
    <row r="236" spans="1:20" x14ac:dyDescent="0.3">
      <c r="A236">
        <v>123</v>
      </c>
      <c r="B236" t="s">
        <v>538</v>
      </c>
      <c r="C236" t="s">
        <v>647</v>
      </c>
      <c r="D236" t="s">
        <v>640</v>
      </c>
      <c r="E236" t="s">
        <v>659</v>
      </c>
      <c r="F236">
        <v>4621</v>
      </c>
      <c r="G236" t="s">
        <v>10</v>
      </c>
      <c r="H236">
        <v>160</v>
      </c>
      <c r="I236">
        <v>178</v>
      </c>
      <c r="J236">
        <v>141</v>
      </c>
      <c r="K236">
        <v>68</v>
      </c>
      <c r="L236">
        <v>241</v>
      </c>
      <c r="M236">
        <v>0</v>
      </c>
      <c r="N236">
        <v>10</v>
      </c>
      <c r="O236">
        <v>0</v>
      </c>
      <c r="P236">
        <v>25</v>
      </c>
      <c r="Q236">
        <v>69</v>
      </c>
      <c r="R236">
        <v>120</v>
      </c>
      <c r="S236" s="6">
        <v>1.25</v>
      </c>
      <c r="T236" s="6">
        <v>1.6</v>
      </c>
    </row>
    <row r="237" spans="1:20" x14ac:dyDescent="0.3">
      <c r="A237">
        <v>124</v>
      </c>
      <c r="B237" t="s">
        <v>539</v>
      </c>
      <c r="C237" t="s">
        <v>647</v>
      </c>
      <c r="D237" t="s">
        <v>639</v>
      </c>
      <c r="E237" t="s">
        <v>659</v>
      </c>
      <c r="F237">
        <v>4755</v>
      </c>
      <c r="G237" t="s">
        <v>10</v>
      </c>
      <c r="H237">
        <v>165</v>
      </c>
      <c r="I237">
        <v>182</v>
      </c>
      <c r="J237">
        <v>245</v>
      </c>
      <c r="K237">
        <v>68</v>
      </c>
      <c r="L237">
        <v>249</v>
      </c>
      <c r="M237">
        <v>0</v>
      </c>
      <c r="N237">
        <v>10</v>
      </c>
      <c r="O237">
        <v>0</v>
      </c>
      <c r="P237">
        <v>25</v>
      </c>
      <c r="Q237">
        <v>33</v>
      </c>
      <c r="R237">
        <v>120</v>
      </c>
      <c r="S237" s="6">
        <v>1.25</v>
      </c>
      <c r="T237" s="6">
        <v>1.5</v>
      </c>
    </row>
    <row r="238" spans="1:20" x14ac:dyDescent="0.3">
      <c r="A238">
        <v>125</v>
      </c>
      <c r="B238" t="s">
        <v>382</v>
      </c>
      <c r="C238" t="s">
        <v>647</v>
      </c>
      <c r="D238" t="s">
        <v>639</v>
      </c>
      <c r="E238" t="s">
        <v>659</v>
      </c>
      <c r="F238">
        <v>3676</v>
      </c>
      <c r="G238" t="s">
        <v>10</v>
      </c>
      <c r="H238">
        <v>176</v>
      </c>
      <c r="I238">
        <v>226</v>
      </c>
      <c r="J238">
        <v>193</v>
      </c>
      <c r="K238">
        <v>72</v>
      </c>
      <c r="L238">
        <v>243</v>
      </c>
      <c r="M238">
        <v>0</v>
      </c>
      <c r="N238">
        <v>11</v>
      </c>
      <c r="O238">
        <v>0</v>
      </c>
      <c r="P238">
        <v>25</v>
      </c>
      <c r="Q238">
        <v>15</v>
      </c>
      <c r="R238">
        <v>134</v>
      </c>
      <c r="S238" s="6">
        <v>1.4</v>
      </c>
      <c r="T238" s="6">
        <v>1.65</v>
      </c>
    </row>
    <row r="239" spans="1:20" x14ac:dyDescent="0.3">
      <c r="A239">
        <v>126</v>
      </c>
      <c r="B239" t="s">
        <v>383</v>
      </c>
      <c r="C239" t="s">
        <v>647</v>
      </c>
      <c r="D239" t="s">
        <v>639</v>
      </c>
      <c r="E239" t="s">
        <v>659</v>
      </c>
      <c r="F239">
        <v>3705</v>
      </c>
      <c r="G239" t="s">
        <v>10</v>
      </c>
      <c r="H239">
        <v>176</v>
      </c>
      <c r="I239">
        <v>226</v>
      </c>
      <c r="J239">
        <v>193</v>
      </c>
      <c r="K239">
        <v>72</v>
      </c>
      <c r="L239">
        <v>243</v>
      </c>
      <c r="M239">
        <v>0</v>
      </c>
      <c r="N239">
        <v>11</v>
      </c>
      <c r="O239">
        <v>0</v>
      </c>
      <c r="P239">
        <v>25</v>
      </c>
      <c r="Q239">
        <v>49</v>
      </c>
      <c r="R239">
        <v>129</v>
      </c>
      <c r="S239" s="6">
        <v>1.4</v>
      </c>
      <c r="T239" s="6">
        <v>1.65</v>
      </c>
    </row>
    <row r="240" spans="1:20" x14ac:dyDescent="0.3">
      <c r="A240">
        <v>190</v>
      </c>
      <c r="B240" t="s">
        <v>390</v>
      </c>
      <c r="C240" t="s">
        <v>648</v>
      </c>
      <c r="D240" t="s">
        <v>641</v>
      </c>
      <c r="E240" t="s">
        <v>659</v>
      </c>
      <c r="F240">
        <v>3439</v>
      </c>
      <c r="G240" t="s">
        <v>10</v>
      </c>
      <c r="H240">
        <v>163</v>
      </c>
      <c r="I240">
        <v>215</v>
      </c>
      <c r="J240">
        <v>190</v>
      </c>
      <c r="K240">
        <v>75</v>
      </c>
      <c r="L240">
        <v>161</v>
      </c>
      <c r="M240">
        <v>0</v>
      </c>
      <c r="N240">
        <v>9</v>
      </c>
      <c r="O240">
        <v>0</v>
      </c>
      <c r="P240">
        <v>31</v>
      </c>
      <c r="Q240">
        <v>34</v>
      </c>
      <c r="R240">
        <v>114</v>
      </c>
      <c r="S240" s="6">
        <v>1.25</v>
      </c>
      <c r="T240" s="6">
        <v>1.7</v>
      </c>
    </row>
    <row r="241" spans="1:20" x14ac:dyDescent="0.3">
      <c r="A241">
        <v>191</v>
      </c>
      <c r="B241" t="s">
        <v>391</v>
      </c>
      <c r="C241" t="s">
        <v>648</v>
      </c>
      <c r="D241" t="s">
        <v>641</v>
      </c>
      <c r="E241" t="s">
        <v>659</v>
      </c>
      <c r="F241">
        <v>3439</v>
      </c>
      <c r="G241" t="s">
        <v>10</v>
      </c>
      <c r="H241">
        <v>163</v>
      </c>
      <c r="I241">
        <v>215</v>
      </c>
      <c r="J241">
        <v>190</v>
      </c>
      <c r="K241">
        <v>75</v>
      </c>
      <c r="L241">
        <v>161</v>
      </c>
      <c r="M241">
        <v>0</v>
      </c>
      <c r="N241">
        <v>9</v>
      </c>
      <c r="O241">
        <v>0</v>
      </c>
      <c r="P241">
        <v>31</v>
      </c>
      <c r="Q241">
        <v>34</v>
      </c>
      <c r="R241">
        <v>114</v>
      </c>
      <c r="S241" s="6">
        <v>1.25</v>
      </c>
      <c r="T241" s="6">
        <v>1.7</v>
      </c>
    </row>
    <row r="242" spans="1:20" x14ac:dyDescent="0.3">
      <c r="A242">
        <v>192</v>
      </c>
      <c r="B242" t="s">
        <v>540</v>
      </c>
      <c r="C242" t="s">
        <v>648</v>
      </c>
      <c r="D242" t="s">
        <v>641</v>
      </c>
      <c r="E242" t="s">
        <v>659</v>
      </c>
      <c r="F242">
        <v>3527</v>
      </c>
      <c r="G242" t="s">
        <v>10</v>
      </c>
      <c r="H242">
        <v>163</v>
      </c>
      <c r="I242">
        <v>215</v>
      </c>
      <c r="J242">
        <v>190</v>
      </c>
      <c r="K242">
        <v>76</v>
      </c>
      <c r="L242">
        <v>167</v>
      </c>
      <c r="M242">
        <v>0</v>
      </c>
      <c r="N242">
        <v>9</v>
      </c>
      <c r="O242">
        <v>0</v>
      </c>
      <c r="P242">
        <v>32</v>
      </c>
      <c r="Q242">
        <v>52</v>
      </c>
      <c r="R242">
        <v>114</v>
      </c>
      <c r="S242" s="6">
        <v>1.3</v>
      </c>
      <c r="T242" s="6">
        <v>1.65</v>
      </c>
    </row>
    <row r="243" spans="1:20" x14ac:dyDescent="0.3">
      <c r="A243">
        <v>193</v>
      </c>
      <c r="B243" t="s">
        <v>541</v>
      </c>
      <c r="C243" t="s">
        <v>648</v>
      </c>
      <c r="D243" t="s">
        <v>641</v>
      </c>
      <c r="E243" t="s">
        <v>659</v>
      </c>
      <c r="F243">
        <v>3527</v>
      </c>
      <c r="G243" t="s">
        <v>10</v>
      </c>
      <c r="H243">
        <v>163</v>
      </c>
      <c r="I243">
        <v>215</v>
      </c>
      <c r="J243">
        <v>190</v>
      </c>
      <c r="K243">
        <v>76</v>
      </c>
      <c r="L243">
        <v>167</v>
      </c>
      <c r="M243">
        <v>0</v>
      </c>
      <c r="N243">
        <v>9</v>
      </c>
      <c r="O243">
        <v>0</v>
      </c>
      <c r="P243">
        <v>32</v>
      </c>
      <c r="Q243">
        <v>65</v>
      </c>
      <c r="R243">
        <v>114</v>
      </c>
      <c r="S243" s="6">
        <v>1.3</v>
      </c>
      <c r="T243" s="6">
        <v>1.65</v>
      </c>
    </row>
    <row r="244" spans="1:20" x14ac:dyDescent="0.3">
      <c r="A244">
        <v>196</v>
      </c>
      <c r="B244" t="s">
        <v>542</v>
      </c>
      <c r="C244" t="s">
        <v>648</v>
      </c>
      <c r="D244" t="s">
        <v>640</v>
      </c>
      <c r="E244" t="s">
        <v>659</v>
      </c>
      <c r="F244">
        <v>5220</v>
      </c>
      <c r="G244" t="s">
        <v>10</v>
      </c>
      <c r="H244">
        <v>163</v>
      </c>
      <c r="I244">
        <v>196</v>
      </c>
      <c r="J244">
        <v>150</v>
      </c>
      <c r="K244">
        <v>78</v>
      </c>
      <c r="L244">
        <v>193</v>
      </c>
      <c r="M244">
        <v>0</v>
      </c>
      <c r="N244">
        <v>10</v>
      </c>
      <c r="O244">
        <v>0</v>
      </c>
      <c r="P244">
        <v>32</v>
      </c>
      <c r="Q244">
        <v>62</v>
      </c>
      <c r="R244">
        <v>128</v>
      </c>
      <c r="S244" s="6">
        <v>1.3</v>
      </c>
      <c r="T244" s="6">
        <v>1.65</v>
      </c>
    </row>
    <row r="245" spans="1:20" x14ac:dyDescent="0.3">
      <c r="A245">
        <v>197</v>
      </c>
      <c r="B245" t="s">
        <v>543</v>
      </c>
      <c r="C245" t="s">
        <v>648</v>
      </c>
      <c r="D245" t="s">
        <v>640</v>
      </c>
      <c r="E245" t="s">
        <v>659</v>
      </c>
      <c r="F245">
        <v>5220</v>
      </c>
      <c r="G245" t="s">
        <v>10</v>
      </c>
      <c r="H245">
        <v>163</v>
      </c>
      <c r="I245">
        <v>196</v>
      </c>
      <c r="J245">
        <v>150</v>
      </c>
      <c r="K245">
        <v>78</v>
      </c>
      <c r="L245">
        <v>193</v>
      </c>
      <c r="M245">
        <v>0</v>
      </c>
      <c r="N245">
        <v>10</v>
      </c>
      <c r="O245">
        <v>0</v>
      </c>
      <c r="P245">
        <v>32</v>
      </c>
      <c r="Q245">
        <v>58</v>
      </c>
      <c r="R245">
        <v>128</v>
      </c>
      <c r="S245" s="6">
        <v>1.3</v>
      </c>
      <c r="T245" s="6">
        <v>1.65</v>
      </c>
    </row>
    <row r="246" spans="1:20" x14ac:dyDescent="0.3">
      <c r="A246">
        <v>198</v>
      </c>
      <c r="B246" t="s">
        <v>544</v>
      </c>
      <c r="C246" t="s">
        <v>648</v>
      </c>
      <c r="D246" t="s">
        <v>639</v>
      </c>
      <c r="E246" t="s">
        <v>659</v>
      </c>
      <c r="F246">
        <v>4162</v>
      </c>
      <c r="G246" t="s">
        <v>10</v>
      </c>
      <c r="H246">
        <v>168</v>
      </c>
      <c r="I246">
        <v>234</v>
      </c>
      <c r="J246">
        <v>223</v>
      </c>
      <c r="K246">
        <v>75</v>
      </c>
      <c r="L246">
        <v>171</v>
      </c>
      <c r="M246">
        <v>0</v>
      </c>
      <c r="N246">
        <v>11</v>
      </c>
      <c r="O246">
        <v>0</v>
      </c>
      <c r="P246">
        <v>28</v>
      </c>
      <c r="Q246">
        <v>60</v>
      </c>
      <c r="R246">
        <v>125</v>
      </c>
      <c r="S246" s="6">
        <v>1.3</v>
      </c>
      <c r="T246" s="6">
        <v>1.65</v>
      </c>
    </row>
    <row r="247" spans="1:20" x14ac:dyDescent="0.3">
      <c r="A247">
        <v>200</v>
      </c>
      <c r="B247" t="s">
        <v>545</v>
      </c>
      <c r="C247" t="s">
        <v>648</v>
      </c>
      <c r="D247" t="s">
        <v>642</v>
      </c>
      <c r="E247" t="s">
        <v>659</v>
      </c>
      <c r="F247">
        <v>4295</v>
      </c>
      <c r="G247" t="s">
        <v>10</v>
      </c>
      <c r="H247">
        <v>175</v>
      </c>
      <c r="I247">
        <v>270</v>
      </c>
      <c r="J247">
        <v>245</v>
      </c>
      <c r="K247">
        <v>79</v>
      </c>
      <c r="L247">
        <v>178</v>
      </c>
      <c r="M247">
        <v>0</v>
      </c>
      <c r="N247">
        <v>12</v>
      </c>
      <c r="O247">
        <v>0</v>
      </c>
      <c r="P247">
        <v>31</v>
      </c>
      <c r="Q247">
        <v>65</v>
      </c>
      <c r="R247">
        <v>138</v>
      </c>
      <c r="S247" s="6">
        <v>1.25</v>
      </c>
      <c r="T247" s="6">
        <v>1.75</v>
      </c>
    </row>
    <row r="248" spans="1:20" x14ac:dyDescent="0.3">
      <c r="A248">
        <v>201</v>
      </c>
      <c r="B248" t="s">
        <v>546</v>
      </c>
      <c r="C248" t="s">
        <v>648</v>
      </c>
      <c r="D248" t="s">
        <v>642</v>
      </c>
      <c r="E248" t="s">
        <v>659</v>
      </c>
      <c r="F248">
        <v>4295</v>
      </c>
      <c r="G248" t="s">
        <v>10</v>
      </c>
      <c r="H248">
        <v>175</v>
      </c>
      <c r="I248">
        <v>270</v>
      </c>
      <c r="J248">
        <v>245</v>
      </c>
      <c r="K248">
        <v>79</v>
      </c>
      <c r="L248">
        <v>178</v>
      </c>
      <c r="M248">
        <v>0</v>
      </c>
      <c r="N248">
        <v>12</v>
      </c>
      <c r="O248">
        <v>0</v>
      </c>
      <c r="P248">
        <v>31</v>
      </c>
      <c r="Q248">
        <v>48</v>
      </c>
      <c r="R248">
        <v>138</v>
      </c>
      <c r="S248" s="6">
        <v>1.35</v>
      </c>
      <c r="T248" s="6">
        <v>1.7</v>
      </c>
    </row>
    <row r="249" spans="1:20" x14ac:dyDescent="0.3">
      <c r="A249">
        <v>202</v>
      </c>
      <c r="B249" t="s">
        <v>547</v>
      </c>
      <c r="C249" t="s">
        <v>648</v>
      </c>
      <c r="D249" t="s">
        <v>642</v>
      </c>
      <c r="E249" t="s">
        <v>659</v>
      </c>
      <c r="F249">
        <v>4295</v>
      </c>
      <c r="G249" t="s">
        <v>10</v>
      </c>
      <c r="H249">
        <v>175</v>
      </c>
      <c r="I249">
        <v>270</v>
      </c>
      <c r="J249">
        <v>245</v>
      </c>
      <c r="K249">
        <v>79</v>
      </c>
      <c r="L249">
        <v>178</v>
      </c>
      <c r="M249">
        <v>0</v>
      </c>
      <c r="N249">
        <v>12</v>
      </c>
      <c r="O249">
        <v>0</v>
      </c>
      <c r="P249">
        <v>31</v>
      </c>
      <c r="Q249">
        <v>48</v>
      </c>
      <c r="R249">
        <v>138</v>
      </c>
      <c r="S249" s="6">
        <v>1.25</v>
      </c>
      <c r="T249" s="6">
        <v>1.7</v>
      </c>
    </row>
    <row r="250" spans="1:20" x14ac:dyDescent="0.3">
      <c r="A250">
        <v>203</v>
      </c>
      <c r="B250" t="s">
        <v>548</v>
      </c>
      <c r="C250" t="s">
        <v>648</v>
      </c>
      <c r="D250" t="s">
        <v>642</v>
      </c>
      <c r="E250" t="s">
        <v>659</v>
      </c>
      <c r="F250">
        <v>4295</v>
      </c>
      <c r="G250" t="s">
        <v>10</v>
      </c>
      <c r="H250">
        <v>175</v>
      </c>
      <c r="I250">
        <v>261</v>
      </c>
      <c r="J250">
        <v>221</v>
      </c>
      <c r="K250">
        <v>79</v>
      </c>
      <c r="L250">
        <v>178</v>
      </c>
      <c r="M250">
        <v>0</v>
      </c>
      <c r="N250">
        <v>12</v>
      </c>
      <c r="O250">
        <v>0</v>
      </c>
      <c r="P250">
        <v>31</v>
      </c>
      <c r="Q250">
        <v>50</v>
      </c>
      <c r="R250">
        <v>138</v>
      </c>
      <c r="S250" s="6">
        <v>1.25</v>
      </c>
      <c r="T250" s="6">
        <v>1.3</v>
      </c>
    </row>
    <row r="251" spans="1:20" x14ac:dyDescent="0.3">
      <c r="A251">
        <v>242</v>
      </c>
      <c r="B251" t="s">
        <v>549</v>
      </c>
      <c r="C251" t="s">
        <v>649</v>
      </c>
      <c r="D251" t="s">
        <v>639</v>
      </c>
      <c r="E251" t="s">
        <v>659</v>
      </c>
      <c r="F251">
        <v>4970</v>
      </c>
      <c r="G251" t="s">
        <v>10</v>
      </c>
      <c r="H251">
        <v>176</v>
      </c>
      <c r="I251">
        <v>251</v>
      </c>
      <c r="J251">
        <v>190</v>
      </c>
      <c r="K251">
        <v>61</v>
      </c>
      <c r="L251">
        <v>189</v>
      </c>
      <c r="M251">
        <v>0</v>
      </c>
      <c r="N251">
        <v>11</v>
      </c>
      <c r="O251">
        <v>0</v>
      </c>
      <c r="P251">
        <v>25</v>
      </c>
      <c r="Q251">
        <v>66</v>
      </c>
      <c r="R251">
        <v>132</v>
      </c>
      <c r="S251" s="6">
        <v>1.3</v>
      </c>
      <c r="T251" s="6">
        <v>1.6</v>
      </c>
    </row>
    <row r="252" spans="1:20" x14ac:dyDescent="0.3">
      <c r="A252">
        <v>244</v>
      </c>
      <c r="B252" t="s">
        <v>550</v>
      </c>
      <c r="C252" t="s">
        <v>649</v>
      </c>
      <c r="D252" t="s">
        <v>642</v>
      </c>
      <c r="E252" t="s">
        <v>659</v>
      </c>
      <c r="F252">
        <v>6252</v>
      </c>
      <c r="G252" t="s">
        <v>10</v>
      </c>
      <c r="H252">
        <v>182</v>
      </c>
      <c r="I252">
        <v>226</v>
      </c>
      <c r="J252">
        <v>153</v>
      </c>
      <c r="K252">
        <v>62</v>
      </c>
      <c r="L252">
        <v>205</v>
      </c>
      <c r="M252">
        <v>0</v>
      </c>
      <c r="N252">
        <v>12</v>
      </c>
      <c r="O252">
        <v>0</v>
      </c>
      <c r="P252">
        <v>25</v>
      </c>
      <c r="Q252">
        <v>78</v>
      </c>
      <c r="R252">
        <v>132</v>
      </c>
      <c r="S252" s="6">
        <v>1.25</v>
      </c>
      <c r="T252" s="6">
        <v>1.6</v>
      </c>
    </row>
    <row r="253" spans="1:20" x14ac:dyDescent="0.3">
      <c r="A253">
        <v>245</v>
      </c>
      <c r="B253" t="s">
        <v>551</v>
      </c>
      <c r="C253" t="s">
        <v>649</v>
      </c>
      <c r="D253" t="s">
        <v>639</v>
      </c>
      <c r="E253" t="s">
        <v>659</v>
      </c>
      <c r="F253">
        <v>4018</v>
      </c>
      <c r="G253" t="s">
        <v>10</v>
      </c>
      <c r="H253">
        <v>176</v>
      </c>
      <c r="I253">
        <v>301</v>
      </c>
      <c r="J253">
        <v>220</v>
      </c>
      <c r="K253">
        <v>53</v>
      </c>
      <c r="L253">
        <v>154</v>
      </c>
      <c r="M253">
        <v>0</v>
      </c>
      <c r="N253">
        <v>11</v>
      </c>
      <c r="O253">
        <v>0</v>
      </c>
      <c r="P253">
        <v>22</v>
      </c>
      <c r="Q253">
        <v>72</v>
      </c>
      <c r="R253">
        <v>135</v>
      </c>
      <c r="S253" s="6">
        <v>1.4</v>
      </c>
      <c r="T253" s="6">
        <v>1.3</v>
      </c>
    </row>
    <row r="254" spans="1:20" x14ac:dyDescent="0.3">
      <c r="A254">
        <v>246</v>
      </c>
      <c r="B254" t="s">
        <v>552</v>
      </c>
      <c r="C254" t="s">
        <v>649</v>
      </c>
      <c r="D254" t="s">
        <v>639</v>
      </c>
      <c r="E254" t="s">
        <v>659</v>
      </c>
      <c r="F254">
        <v>4361</v>
      </c>
      <c r="G254" t="s">
        <v>10</v>
      </c>
      <c r="H254">
        <v>174</v>
      </c>
      <c r="I254">
        <v>298</v>
      </c>
      <c r="J254">
        <v>216</v>
      </c>
      <c r="K254">
        <v>54</v>
      </c>
      <c r="L254">
        <v>154</v>
      </c>
      <c r="M254">
        <v>0</v>
      </c>
      <c r="N254">
        <v>11</v>
      </c>
      <c r="O254">
        <v>0</v>
      </c>
      <c r="P254">
        <v>22</v>
      </c>
      <c r="Q254">
        <v>36</v>
      </c>
      <c r="R254">
        <v>129</v>
      </c>
      <c r="S254" s="6">
        <v>1.4</v>
      </c>
      <c r="T254" s="6">
        <v>1.3</v>
      </c>
    </row>
    <row r="255" spans="1:20" x14ac:dyDescent="0.3">
      <c r="A255">
        <v>337</v>
      </c>
      <c r="B255" t="s">
        <v>553</v>
      </c>
      <c r="C255" t="s">
        <v>647</v>
      </c>
      <c r="D255" t="s">
        <v>640</v>
      </c>
      <c r="E255" t="s">
        <v>659</v>
      </c>
      <c r="F255">
        <v>3461</v>
      </c>
      <c r="G255" t="s">
        <v>8</v>
      </c>
      <c r="H255">
        <v>160</v>
      </c>
      <c r="I255">
        <v>203</v>
      </c>
      <c r="J255">
        <v>215</v>
      </c>
      <c r="K255">
        <v>71</v>
      </c>
      <c r="L255">
        <v>255</v>
      </c>
      <c r="M255">
        <v>0</v>
      </c>
      <c r="N255">
        <v>10</v>
      </c>
      <c r="O255">
        <v>0</v>
      </c>
      <c r="P255">
        <v>25</v>
      </c>
      <c r="Q255">
        <v>68</v>
      </c>
      <c r="R255">
        <v>120</v>
      </c>
      <c r="S255" s="6">
        <v>1.45</v>
      </c>
      <c r="T255" s="6">
        <v>1.6</v>
      </c>
    </row>
    <row r="256" spans="1:20" x14ac:dyDescent="0.3">
      <c r="A256">
        <v>364</v>
      </c>
      <c r="B256" t="s">
        <v>554</v>
      </c>
      <c r="C256" t="s">
        <v>646</v>
      </c>
      <c r="D256" t="s">
        <v>642</v>
      </c>
      <c r="E256" t="s">
        <v>659</v>
      </c>
      <c r="F256">
        <v>4152</v>
      </c>
      <c r="G256" t="s">
        <v>10</v>
      </c>
      <c r="H256">
        <v>182</v>
      </c>
      <c r="I256">
        <v>258</v>
      </c>
      <c r="J256">
        <v>0</v>
      </c>
      <c r="K256">
        <v>57</v>
      </c>
      <c r="L256">
        <v>248</v>
      </c>
      <c r="M256">
        <v>0</v>
      </c>
      <c r="N256">
        <v>12</v>
      </c>
      <c r="O256">
        <v>0</v>
      </c>
      <c r="P256">
        <v>26</v>
      </c>
      <c r="Q256">
        <v>76</v>
      </c>
      <c r="R256">
        <v>131</v>
      </c>
      <c r="S256" s="6">
        <v>1.25</v>
      </c>
      <c r="T256" s="6">
        <v>0.7</v>
      </c>
    </row>
    <row r="257" spans="1:20" x14ac:dyDescent="0.3">
      <c r="A257">
        <v>3044</v>
      </c>
      <c r="B257" t="s">
        <v>691</v>
      </c>
      <c r="C257" t="s">
        <v>646</v>
      </c>
      <c r="D257" t="s">
        <v>639</v>
      </c>
      <c r="E257" t="s">
        <v>659</v>
      </c>
      <c r="F257">
        <v>5355</v>
      </c>
      <c r="G257" t="s">
        <v>10</v>
      </c>
      <c r="H257">
        <v>170</v>
      </c>
      <c r="I257">
        <v>234</v>
      </c>
      <c r="J257">
        <v>0</v>
      </c>
      <c r="K257">
        <v>78</v>
      </c>
      <c r="L257">
        <v>260</v>
      </c>
      <c r="M257">
        <v>0</v>
      </c>
      <c r="N257">
        <v>10</v>
      </c>
      <c r="O257">
        <v>0</v>
      </c>
      <c r="P257">
        <v>26</v>
      </c>
      <c r="Q257">
        <v>78</v>
      </c>
      <c r="R257">
        <v>129</v>
      </c>
      <c r="S257" s="6">
        <v>1.1499999999999999</v>
      </c>
      <c r="T257" s="6">
        <v>0.65</v>
      </c>
    </row>
    <row r="258" spans="1:20" x14ac:dyDescent="0.3">
      <c r="A258">
        <v>3122</v>
      </c>
      <c r="B258" t="s">
        <v>692</v>
      </c>
      <c r="C258" t="s">
        <v>647</v>
      </c>
      <c r="D258" t="s">
        <v>639</v>
      </c>
      <c r="E258" t="s">
        <v>659</v>
      </c>
      <c r="F258">
        <v>3754</v>
      </c>
      <c r="G258" t="s">
        <v>8</v>
      </c>
      <c r="H258">
        <v>165</v>
      </c>
      <c r="I258">
        <v>273</v>
      </c>
      <c r="J258">
        <v>245</v>
      </c>
      <c r="K258">
        <v>65</v>
      </c>
      <c r="L258">
        <v>208</v>
      </c>
      <c r="M258">
        <v>0</v>
      </c>
      <c r="N258">
        <v>10</v>
      </c>
      <c r="O258">
        <v>0</v>
      </c>
      <c r="P258">
        <v>25</v>
      </c>
      <c r="Q258">
        <v>72</v>
      </c>
      <c r="R258">
        <v>120</v>
      </c>
      <c r="S258" s="6">
        <v>1.6</v>
      </c>
      <c r="T258" s="6">
        <v>1.65</v>
      </c>
    </row>
    <row r="259" spans="1:20" x14ac:dyDescent="0.3">
      <c r="A259">
        <v>3125</v>
      </c>
      <c r="B259" t="s">
        <v>693</v>
      </c>
      <c r="C259" t="s">
        <v>647</v>
      </c>
      <c r="D259" t="s">
        <v>642</v>
      </c>
      <c r="E259" t="s">
        <v>659</v>
      </c>
      <c r="F259">
        <v>3916</v>
      </c>
      <c r="G259" t="s">
        <v>10</v>
      </c>
      <c r="H259">
        <v>191</v>
      </c>
      <c r="I259">
        <v>286</v>
      </c>
      <c r="J259">
        <v>193</v>
      </c>
      <c r="K259">
        <v>92</v>
      </c>
      <c r="L259">
        <v>258</v>
      </c>
      <c r="M259">
        <v>0</v>
      </c>
      <c r="N259">
        <v>11</v>
      </c>
      <c r="O259">
        <v>0</v>
      </c>
      <c r="P259">
        <v>25</v>
      </c>
      <c r="Q259">
        <v>15</v>
      </c>
      <c r="R259">
        <v>134</v>
      </c>
      <c r="S259" s="6">
        <v>1.55</v>
      </c>
      <c r="T259" s="6">
        <v>1.65</v>
      </c>
    </row>
    <row r="260" spans="1:20" x14ac:dyDescent="0.3">
      <c r="A260">
        <v>3126</v>
      </c>
      <c r="B260" t="s">
        <v>694</v>
      </c>
      <c r="C260" t="s">
        <v>647</v>
      </c>
      <c r="D260" t="s">
        <v>642</v>
      </c>
      <c r="E260" t="s">
        <v>659</v>
      </c>
      <c r="F260">
        <v>3945</v>
      </c>
      <c r="G260" t="s">
        <v>10</v>
      </c>
      <c r="H260">
        <v>191</v>
      </c>
      <c r="I260">
        <v>266</v>
      </c>
      <c r="J260">
        <v>193</v>
      </c>
      <c r="K260">
        <v>72</v>
      </c>
      <c r="L260">
        <v>258</v>
      </c>
      <c r="M260">
        <v>0</v>
      </c>
      <c r="N260">
        <v>11</v>
      </c>
      <c r="O260">
        <v>0</v>
      </c>
      <c r="P260">
        <v>25</v>
      </c>
      <c r="Q260">
        <v>49</v>
      </c>
      <c r="R260">
        <v>129</v>
      </c>
      <c r="S260" s="6">
        <v>1.45</v>
      </c>
      <c r="T260" s="6">
        <v>1.65</v>
      </c>
    </row>
    <row r="261" spans="1:20" x14ac:dyDescent="0.3">
      <c r="A261">
        <v>3190</v>
      </c>
      <c r="B261" t="s">
        <v>695</v>
      </c>
      <c r="C261" t="s">
        <v>648</v>
      </c>
      <c r="D261" t="s">
        <v>640</v>
      </c>
      <c r="E261" t="s">
        <v>659</v>
      </c>
      <c r="F261">
        <v>3719</v>
      </c>
      <c r="G261" t="s">
        <v>10</v>
      </c>
      <c r="H261">
        <v>168</v>
      </c>
      <c r="I261">
        <v>245</v>
      </c>
      <c r="J261">
        <v>235</v>
      </c>
      <c r="K261">
        <v>75</v>
      </c>
      <c r="L261">
        <v>176</v>
      </c>
      <c r="M261">
        <v>0</v>
      </c>
      <c r="N261">
        <v>9</v>
      </c>
      <c r="O261">
        <v>0</v>
      </c>
      <c r="P261">
        <v>31</v>
      </c>
      <c r="Q261">
        <v>34</v>
      </c>
      <c r="R261">
        <v>114</v>
      </c>
      <c r="S261" s="6">
        <v>1.3</v>
      </c>
      <c r="T261" s="6">
        <v>1.8</v>
      </c>
    </row>
    <row r="262" spans="1:20" x14ac:dyDescent="0.3">
      <c r="A262">
        <v>3191</v>
      </c>
      <c r="B262" t="s">
        <v>696</v>
      </c>
      <c r="C262" t="s">
        <v>648</v>
      </c>
      <c r="D262" t="s">
        <v>640</v>
      </c>
      <c r="E262" t="s">
        <v>659</v>
      </c>
      <c r="F262">
        <v>3719</v>
      </c>
      <c r="G262" t="s">
        <v>10</v>
      </c>
      <c r="H262">
        <v>168</v>
      </c>
      <c r="I262">
        <v>245</v>
      </c>
      <c r="J262">
        <v>235</v>
      </c>
      <c r="K262">
        <v>75</v>
      </c>
      <c r="L262">
        <v>176</v>
      </c>
      <c r="M262">
        <v>0</v>
      </c>
      <c r="N262">
        <v>9</v>
      </c>
      <c r="O262">
        <v>0</v>
      </c>
      <c r="P262">
        <v>31</v>
      </c>
      <c r="Q262">
        <v>34</v>
      </c>
      <c r="R262">
        <v>114</v>
      </c>
      <c r="S262" s="6">
        <v>1.3</v>
      </c>
      <c r="T262" s="6">
        <v>1.8</v>
      </c>
    </row>
    <row r="263" spans="1:20" x14ac:dyDescent="0.3">
      <c r="A263" t="s">
        <v>332</v>
      </c>
      <c r="B263" t="s">
        <v>618</v>
      </c>
      <c r="C263" t="s">
        <v>654</v>
      </c>
      <c r="D263" t="s">
        <v>639</v>
      </c>
      <c r="E263" t="s">
        <v>659</v>
      </c>
      <c r="F263">
        <v>3828</v>
      </c>
      <c r="G263" t="s">
        <v>10</v>
      </c>
      <c r="H263">
        <v>165</v>
      </c>
      <c r="I263">
        <v>237</v>
      </c>
      <c r="J263">
        <v>199</v>
      </c>
      <c r="K263">
        <v>65</v>
      </c>
      <c r="L263">
        <v>178</v>
      </c>
      <c r="M263">
        <v>0</v>
      </c>
      <c r="N263">
        <v>11</v>
      </c>
      <c r="O263">
        <v>0</v>
      </c>
      <c r="P263">
        <v>27</v>
      </c>
      <c r="Q263">
        <v>83</v>
      </c>
      <c r="R263">
        <v>129</v>
      </c>
      <c r="S263" s="6">
        <v>1.25</v>
      </c>
      <c r="T263" s="6">
        <v>1.65</v>
      </c>
    </row>
    <row r="264" spans="1:20" x14ac:dyDescent="0.3">
      <c r="A264" t="s">
        <v>336</v>
      </c>
      <c r="B264" t="s">
        <v>622</v>
      </c>
      <c r="C264" t="s">
        <v>654</v>
      </c>
      <c r="D264" t="s">
        <v>642</v>
      </c>
      <c r="E264" t="s">
        <v>659</v>
      </c>
      <c r="F264">
        <v>4062</v>
      </c>
      <c r="G264" t="s">
        <v>10</v>
      </c>
      <c r="H264">
        <v>170</v>
      </c>
      <c r="I264">
        <v>251</v>
      </c>
      <c r="J264">
        <v>218</v>
      </c>
      <c r="K264">
        <v>68</v>
      </c>
      <c r="L264">
        <v>193</v>
      </c>
      <c r="M264">
        <v>0</v>
      </c>
      <c r="N264">
        <v>12</v>
      </c>
      <c r="O264">
        <v>0</v>
      </c>
      <c r="P264">
        <v>27</v>
      </c>
      <c r="Q264">
        <v>83</v>
      </c>
      <c r="R264">
        <v>129</v>
      </c>
      <c r="S264" s="6">
        <v>1.3</v>
      </c>
      <c r="T264" s="6">
        <v>1.65</v>
      </c>
    </row>
    <row r="265" spans="1:20" x14ac:dyDescent="0.3">
      <c r="A265" t="s">
        <v>339</v>
      </c>
      <c r="B265" t="s">
        <v>625</v>
      </c>
      <c r="C265" t="s">
        <v>655</v>
      </c>
      <c r="D265" t="s">
        <v>642</v>
      </c>
      <c r="E265" t="s">
        <v>659</v>
      </c>
      <c r="F265">
        <v>4138</v>
      </c>
      <c r="G265" t="s">
        <v>10</v>
      </c>
      <c r="H265">
        <v>161</v>
      </c>
      <c r="I265">
        <v>237</v>
      </c>
      <c r="J265">
        <v>198</v>
      </c>
      <c r="K265">
        <v>54</v>
      </c>
      <c r="L265">
        <v>175</v>
      </c>
      <c r="M265">
        <v>0</v>
      </c>
      <c r="N265">
        <v>12</v>
      </c>
      <c r="O265">
        <v>0</v>
      </c>
      <c r="P265">
        <v>28</v>
      </c>
      <c r="Q265">
        <v>90</v>
      </c>
      <c r="R265">
        <v>131</v>
      </c>
      <c r="S265" s="6">
        <v>1.1000000000000001</v>
      </c>
      <c r="T265" s="6">
        <v>1.05</v>
      </c>
    </row>
    <row r="266" spans="1:20" x14ac:dyDescent="0.3">
      <c r="A266" t="s">
        <v>347</v>
      </c>
      <c r="B266" t="s">
        <v>633</v>
      </c>
      <c r="C266" t="s">
        <v>648</v>
      </c>
      <c r="D266" t="s">
        <v>643</v>
      </c>
      <c r="E266" t="s">
        <v>659</v>
      </c>
      <c r="F266">
        <v>4793</v>
      </c>
      <c r="G266" t="s">
        <v>10</v>
      </c>
      <c r="H266">
        <v>187</v>
      </c>
      <c r="I266">
        <v>270</v>
      </c>
      <c r="J266">
        <v>289</v>
      </c>
      <c r="K266">
        <v>86</v>
      </c>
      <c r="L266">
        <v>194</v>
      </c>
      <c r="M266">
        <v>0</v>
      </c>
      <c r="N266">
        <v>13</v>
      </c>
      <c r="O266">
        <v>0</v>
      </c>
      <c r="P266">
        <v>28</v>
      </c>
      <c r="Q266">
        <v>0</v>
      </c>
      <c r="R266">
        <v>140</v>
      </c>
      <c r="S266" s="6">
        <v>1.4</v>
      </c>
      <c r="T266" s="6">
        <v>1.85</v>
      </c>
    </row>
    <row r="267" spans="1:20" x14ac:dyDescent="0.3">
      <c r="A267" t="s">
        <v>349</v>
      </c>
      <c r="B267" t="s">
        <v>635</v>
      </c>
      <c r="C267" t="s">
        <v>649</v>
      </c>
      <c r="D267" t="s">
        <v>643</v>
      </c>
      <c r="E267" t="s">
        <v>659</v>
      </c>
      <c r="F267">
        <v>5920</v>
      </c>
      <c r="G267" t="s">
        <v>10</v>
      </c>
      <c r="H267">
        <v>171</v>
      </c>
      <c r="I267">
        <v>283</v>
      </c>
      <c r="J267">
        <v>215</v>
      </c>
      <c r="K267">
        <v>78</v>
      </c>
      <c r="L267">
        <v>233</v>
      </c>
      <c r="M267">
        <v>0</v>
      </c>
      <c r="N267">
        <v>13</v>
      </c>
      <c r="O267">
        <v>0</v>
      </c>
      <c r="P267">
        <v>26</v>
      </c>
      <c r="Q267">
        <v>0</v>
      </c>
      <c r="R267">
        <v>129</v>
      </c>
      <c r="S267" s="6">
        <v>1.3</v>
      </c>
      <c r="T267" s="6">
        <v>1.1000000000000001</v>
      </c>
    </row>
    <row r="268" spans="1:20" x14ac:dyDescent="0.3">
      <c r="A268" t="s">
        <v>350</v>
      </c>
      <c r="B268" t="s">
        <v>636</v>
      </c>
      <c r="C268" t="s">
        <v>652</v>
      </c>
      <c r="D268" t="s">
        <v>643</v>
      </c>
      <c r="E268" t="s">
        <v>659</v>
      </c>
      <c r="F268">
        <v>5363</v>
      </c>
      <c r="G268" t="s">
        <v>10</v>
      </c>
      <c r="H268">
        <v>190</v>
      </c>
      <c r="I268">
        <v>276</v>
      </c>
      <c r="J268">
        <v>226</v>
      </c>
      <c r="K268">
        <v>80</v>
      </c>
      <c r="L268">
        <v>248</v>
      </c>
      <c r="M268">
        <v>0</v>
      </c>
      <c r="N268">
        <v>13</v>
      </c>
      <c r="O268">
        <v>0</v>
      </c>
      <c r="P268">
        <v>26</v>
      </c>
      <c r="Q268">
        <v>0</v>
      </c>
      <c r="R268">
        <v>141</v>
      </c>
      <c r="S268" s="6">
        <v>1.3</v>
      </c>
      <c r="T268" s="6">
        <v>1.2</v>
      </c>
    </row>
    <row r="269" spans="1:20" x14ac:dyDescent="0.3">
      <c r="A269">
        <v>3188</v>
      </c>
      <c r="B269" t="s">
        <v>702</v>
      </c>
      <c r="C269" t="s">
        <v>648</v>
      </c>
      <c r="D269" t="s">
        <v>642</v>
      </c>
      <c r="E269" t="s">
        <v>184</v>
      </c>
      <c r="F269">
        <v>4623</v>
      </c>
      <c r="G269" t="s">
        <v>10</v>
      </c>
      <c r="H269">
        <v>188</v>
      </c>
      <c r="I269">
        <v>264</v>
      </c>
      <c r="J269">
        <v>202</v>
      </c>
      <c r="K269">
        <v>80</v>
      </c>
      <c r="L269">
        <v>233</v>
      </c>
      <c r="M269">
        <v>0</v>
      </c>
      <c r="N269">
        <v>11</v>
      </c>
      <c r="O269">
        <v>0</v>
      </c>
      <c r="P269">
        <v>28</v>
      </c>
      <c r="Q269">
        <v>14</v>
      </c>
      <c r="R269">
        <v>153</v>
      </c>
      <c r="S269" s="6">
        <v>1.25</v>
      </c>
      <c r="T269" s="6">
        <v>1.6</v>
      </c>
    </row>
    <row r="270" spans="1:20" x14ac:dyDescent="0.3">
      <c r="B270" t="s">
        <v>1084</v>
      </c>
      <c r="C270" t="s">
        <v>648</v>
      </c>
      <c r="D270" t="s">
        <v>639</v>
      </c>
      <c r="E270" t="s">
        <v>184</v>
      </c>
      <c r="F270">
        <v>4176</v>
      </c>
      <c r="G270" t="s">
        <v>10</v>
      </c>
      <c r="H270">
        <v>179</v>
      </c>
      <c r="I270">
        <v>237</v>
      </c>
      <c r="J270">
        <v>212</v>
      </c>
      <c r="K270">
        <v>80</v>
      </c>
      <c r="L270">
        <v>209</v>
      </c>
      <c r="M270">
        <v>0</v>
      </c>
      <c r="N270">
        <v>11</v>
      </c>
      <c r="O270">
        <v>0</v>
      </c>
      <c r="P270">
        <v>28</v>
      </c>
      <c r="Q270">
        <v>15</v>
      </c>
      <c r="R270">
        <v>129</v>
      </c>
      <c r="S270" s="6">
        <v>1.35</v>
      </c>
      <c r="T270" s="6">
        <v>1.45</v>
      </c>
    </row>
    <row r="271" spans="1:20" x14ac:dyDescent="0.3">
      <c r="A271" s="42"/>
      <c r="B271" s="42" t="s">
        <v>1143</v>
      </c>
      <c r="C271" s="42" t="s">
        <v>648</v>
      </c>
      <c r="D271" s="42" t="s">
        <v>643</v>
      </c>
      <c r="E271" s="42" t="s">
        <v>1149</v>
      </c>
      <c r="F271" s="42">
        <v>7541</v>
      </c>
      <c r="G271" t="s">
        <v>10</v>
      </c>
      <c r="H271" s="42">
        <v>170</v>
      </c>
      <c r="I271" s="42">
        <v>307</v>
      </c>
      <c r="J271" s="42">
        <v>0</v>
      </c>
      <c r="K271" s="42">
        <v>50</v>
      </c>
      <c r="L271" s="42">
        <v>226</v>
      </c>
      <c r="M271" s="42">
        <v>0</v>
      </c>
      <c r="N271" s="42" t="s">
        <v>1148</v>
      </c>
      <c r="O271" s="42">
        <v>0</v>
      </c>
      <c r="P271" s="42">
        <v>27</v>
      </c>
      <c r="Q271" s="42">
        <v>0</v>
      </c>
      <c r="R271" s="42">
        <v>123</v>
      </c>
      <c r="S271" s="43">
        <v>1</v>
      </c>
      <c r="T271" s="43">
        <v>0.6</v>
      </c>
    </row>
    <row r="272" spans="1:20" x14ac:dyDescent="0.3">
      <c r="Q272"/>
      <c r="R272"/>
      <c r="S272" s="6"/>
      <c r="T272" s="6"/>
    </row>
    <row r="273" spans="1:24" x14ac:dyDescent="0.3">
      <c r="A273" t="s">
        <v>351</v>
      </c>
      <c r="B273" t="s">
        <v>149</v>
      </c>
      <c r="C273" t="s">
        <v>192</v>
      </c>
      <c r="D273" t="s">
        <v>352</v>
      </c>
      <c r="E273" t="s">
        <v>150</v>
      </c>
      <c r="F273" t="s">
        <v>7</v>
      </c>
      <c r="G273" t="s">
        <v>353</v>
      </c>
      <c r="H273" t="s">
        <v>14</v>
      </c>
      <c r="I273" t="s">
        <v>9</v>
      </c>
      <c r="J273" t="s">
        <v>11</v>
      </c>
      <c r="K273" t="s">
        <v>294</v>
      </c>
      <c r="L273" t="s">
        <v>265</v>
      </c>
      <c r="M273" t="s">
        <v>293</v>
      </c>
      <c r="N273" t="s">
        <v>667</v>
      </c>
      <c r="O273" t="s">
        <v>666</v>
      </c>
      <c r="P273" t="s">
        <v>295</v>
      </c>
      <c r="Q273" t="s">
        <v>761</v>
      </c>
      <c r="R273" t="s">
        <v>762</v>
      </c>
      <c r="S273" s="6" t="s">
        <v>53</v>
      </c>
      <c r="T273" s="6" t="s">
        <v>668</v>
      </c>
      <c r="U273" s="6" t="s">
        <v>752</v>
      </c>
      <c r="V273" s="30" t="s">
        <v>753</v>
      </c>
      <c r="W273" s="30" t="s">
        <v>754</v>
      </c>
      <c r="X273" s="30" t="s">
        <v>750</v>
      </c>
    </row>
    <row r="274" spans="1:24" x14ac:dyDescent="0.3">
      <c r="A274">
        <v>52</v>
      </c>
      <c r="B274" t="s">
        <v>360</v>
      </c>
      <c r="C274" t="s">
        <v>646</v>
      </c>
      <c r="D274" t="s">
        <v>641</v>
      </c>
      <c r="E274" t="s">
        <v>660</v>
      </c>
      <c r="F274">
        <v>6974</v>
      </c>
      <c r="G274" t="s">
        <v>12</v>
      </c>
      <c r="H274">
        <v>132</v>
      </c>
      <c r="I274">
        <v>378</v>
      </c>
      <c r="J274">
        <v>0</v>
      </c>
      <c r="K274">
        <v>26</v>
      </c>
      <c r="L274">
        <v>202</v>
      </c>
      <c r="M274">
        <v>0</v>
      </c>
      <c r="N274">
        <v>12</v>
      </c>
      <c r="O274">
        <v>0</v>
      </c>
      <c r="P274">
        <v>20</v>
      </c>
      <c r="Q274">
        <v>75</v>
      </c>
      <c r="R274">
        <v>70</v>
      </c>
      <c r="S274" s="6">
        <v>1.3</v>
      </c>
      <c r="T274" s="6">
        <v>2</v>
      </c>
      <c r="U274" s="6" t="s">
        <v>756</v>
      </c>
      <c r="V274" t="s">
        <v>756</v>
      </c>
      <c r="W274" t="s">
        <v>756</v>
      </c>
      <c r="X274" t="s">
        <v>756</v>
      </c>
    </row>
    <row r="275" spans="1:24" x14ac:dyDescent="0.3">
      <c r="A275">
        <v>53</v>
      </c>
      <c r="B275" t="s">
        <v>362</v>
      </c>
      <c r="C275" t="s">
        <v>646</v>
      </c>
      <c r="D275" t="s">
        <v>641</v>
      </c>
      <c r="E275" t="s">
        <v>660</v>
      </c>
      <c r="F275">
        <v>6956</v>
      </c>
      <c r="G275" t="s">
        <v>12</v>
      </c>
      <c r="H275">
        <v>132</v>
      </c>
      <c r="I275">
        <v>378</v>
      </c>
      <c r="J275">
        <v>0</v>
      </c>
      <c r="K275">
        <v>26</v>
      </c>
      <c r="L275">
        <v>202</v>
      </c>
      <c r="M275">
        <v>0</v>
      </c>
      <c r="N275">
        <v>12</v>
      </c>
      <c r="O275">
        <v>0</v>
      </c>
      <c r="P275">
        <v>20</v>
      </c>
      <c r="Q275">
        <v>38</v>
      </c>
      <c r="R275">
        <v>70</v>
      </c>
      <c r="S275" s="6">
        <v>1.3</v>
      </c>
      <c r="T275" s="6">
        <v>2</v>
      </c>
      <c r="U275" s="6" t="s">
        <v>756</v>
      </c>
      <c r="V275" t="s">
        <v>756</v>
      </c>
      <c r="W275" t="s">
        <v>756</v>
      </c>
      <c r="X275" t="s">
        <v>756</v>
      </c>
    </row>
    <row r="276" spans="1:24" x14ac:dyDescent="0.3">
      <c r="A276">
        <v>54</v>
      </c>
      <c r="B276" t="s">
        <v>555</v>
      </c>
      <c r="C276" t="s">
        <v>646</v>
      </c>
      <c r="D276" t="s">
        <v>640</v>
      </c>
      <c r="E276" t="s">
        <v>660</v>
      </c>
      <c r="F276">
        <v>7194</v>
      </c>
      <c r="G276" t="s">
        <v>12</v>
      </c>
      <c r="H276">
        <v>137</v>
      </c>
      <c r="I276">
        <v>390</v>
      </c>
      <c r="J276">
        <v>0</v>
      </c>
      <c r="K276">
        <v>27</v>
      </c>
      <c r="L276">
        <v>212</v>
      </c>
      <c r="M276">
        <v>0</v>
      </c>
      <c r="N276">
        <v>13</v>
      </c>
      <c r="O276">
        <v>0</v>
      </c>
      <c r="P276">
        <v>21</v>
      </c>
      <c r="Q276">
        <v>72</v>
      </c>
      <c r="R276">
        <v>72</v>
      </c>
      <c r="S276" s="6">
        <v>1.3</v>
      </c>
      <c r="T276" s="6">
        <v>2</v>
      </c>
      <c r="U276" s="6" t="s">
        <v>756</v>
      </c>
      <c r="V276" t="s">
        <v>756</v>
      </c>
      <c r="W276" t="s">
        <v>756</v>
      </c>
      <c r="X276" t="s">
        <v>756</v>
      </c>
    </row>
    <row r="277" spans="1:24" x14ac:dyDescent="0.3">
      <c r="A277">
        <v>55</v>
      </c>
      <c r="B277" t="s">
        <v>556</v>
      </c>
      <c r="C277" t="s">
        <v>646</v>
      </c>
      <c r="D277" t="s">
        <v>639</v>
      </c>
      <c r="E277" t="s">
        <v>660</v>
      </c>
      <c r="F277">
        <v>7137</v>
      </c>
      <c r="G277" t="s">
        <v>12</v>
      </c>
      <c r="H277">
        <v>139</v>
      </c>
      <c r="I277">
        <v>399</v>
      </c>
      <c r="J277">
        <v>0</v>
      </c>
      <c r="K277">
        <v>27</v>
      </c>
      <c r="L277">
        <v>219</v>
      </c>
      <c r="M277">
        <v>0</v>
      </c>
      <c r="N277">
        <v>14</v>
      </c>
      <c r="O277">
        <v>0</v>
      </c>
      <c r="P277">
        <v>21</v>
      </c>
      <c r="Q277">
        <v>17</v>
      </c>
      <c r="R277">
        <v>72</v>
      </c>
      <c r="S277" s="6">
        <v>1.3</v>
      </c>
      <c r="T277" s="6">
        <v>2</v>
      </c>
      <c r="U277" s="6" t="s">
        <v>756</v>
      </c>
      <c r="V277" t="s">
        <v>756</v>
      </c>
      <c r="W277" t="s">
        <v>756</v>
      </c>
      <c r="X277" t="s">
        <v>756</v>
      </c>
    </row>
    <row r="278" spans="1:24" x14ac:dyDescent="0.3">
      <c r="A278">
        <v>58</v>
      </c>
      <c r="B278" t="s">
        <v>557</v>
      </c>
      <c r="C278" t="s">
        <v>646</v>
      </c>
      <c r="D278" t="s">
        <v>640</v>
      </c>
      <c r="E278" t="s">
        <v>660</v>
      </c>
      <c r="F278">
        <v>7385</v>
      </c>
      <c r="G278" t="s">
        <v>12</v>
      </c>
      <c r="H278">
        <v>139</v>
      </c>
      <c r="I278">
        <v>391</v>
      </c>
      <c r="J278">
        <v>0</v>
      </c>
      <c r="K278">
        <v>28</v>
      </c>
      <c r="L278">
        <v>211</v>
      </c>
      <c r="M278">
        <v>0</v>
      </c>
      <c r="N278">
        <v>13</v>
      </c>
      <c r="O278">
        <v>0</v>
      </c>
      <c r="P278">
        <v>21</v>
      </c>
      <c r="Q278">
        <v>51</v>
      </c>
      <c r="R278">
        <v>71</v>
      </c>
      <c r="S278" s="6">
        <v>1.3</v>
      </c>
      <c r="T278" s="6">
        <v>2</v>
      </c>
      <c r="U278" s="6" t="s">
        <v>756</v>
      </c>
      <c r="V278" t="s">
        <v>756</v>
      </c>
      <c r="W278" t="s">
        <v>756</v>
      </c>
      <c r="X278" t="s">
        <v>756</v>
      </c>
    </row>
    <row r="279" spans="1:24" x14ac:dyDescent="0.3">
      <c r="A279">
        <v>59</v>
      </c>
      <c r="B279" t="s">
        <v>558</v>
      </c>
      <c r="C279" t="s">
        <v>646</v>
      </c>
      <c r="D279" t="s">
        <v>640</v>
      </c>
      <c r="E279" t="s">
        <v>660</v>
      </c>
      <c r="F279">
        <v>7385</v>
      </c>
      <c r="G279" t="s">
        <v>12</v>
      </c>
      <c r="H279">
        <v>139</v>
      </c>
      <c r="I279">
        <v>391</v>
      </c>
      <c r="J279">
        <v>0</v>
      </c>
      <c r="K279">
        <v>28</v>
      </c>
      <c r="L279">
        <v>211</v>
      </c>
      <c r="M279">
        <v>0</v>
      </c>
      <c r="N279">
        <v>13</v>
      </c>
      <c r="O279">
        <v>0</v>
      </c>
      <c r="P279">
        <v>21</v>
      </c>
      <c r="Q279">
        <v>36</v>
      </c>
      <c r="R279">
        <v>71</v>
      </c>
      <c r="S279" s="6">
        <v>1.3</v>
      </c>
      <c r="T279" s="6">
        <v>2</v>
      </c>
      <c r="U279" s="6" t="s">
        <v>756</v>
      </c>
      <c r="V279" t="s">
        <v>756</v>
      </c>
      <c r="W279" t="s">
        <v>756</v>
      </c>
      <c r="X279" t="s">
        <v>756</v>
      </c>
    </row>
    <row r="280" spans="1:24" x14ac:dyDescent="0.3">
      <c r="A280">
        <v>60</v>
      </c>
      <c r="B280" t="s">
        <v>559</v>
      </c>
      <c r="C280" t="s">
        <v>646</v>
      </c>
      <c r="D280" t="s">
        <v>639</v>
      </c>
      <c r="E280" t="s">
        <v>660</v>
      </c>
      <c r="F280">
        <v>7456</v>
      </c>
      <c r="G280" t="s">
        <v>12</v>
      </c>
      <c r="H280">
        <v>149</v>
      </c>
      <c r="I280">
        <v>409</v>
      </c>
      <c r="J280">
        <v>0</v>
      </c>
      <c r="K280">
        <v>30</v>
      </c>
      <c r="L280">
        <v>216</v>
      </c>
      <c r="M280">
        <v>0</v>
      </c>
      <c r="N280">
        <v>14</v>
      </c>
      <c r="O280">
        <v>0</v>
      </c>
      <c r="P280">
        <v>21</v>
      </c>
      <c r="Q280">
        <v>67</v>
      </c>
      <c r="R280">
        <v>71</v>
      </c>
      <c r="S280" s="6">
        <v>1.3</v>
      </c>
      <c r="T280" s="6">
        <v>2</v>
      </c>
      <c r="U280" s="6" t="s">
        <v>756</v>
      </c>
      <c r="V280" t="s">
        <v>756</v>
      </c>
      <c r="W280" t="s">
        <v>756</v>
      </c>
      <c r="X280" t="s">
        <v>756</v>
      </c>
    </row>
    <row r="281" spans="1:24" x14ac:dyDescent="0.3">
      <c r="A281">
        <v>61</v>
      </c>
      <c r="B281" t="s">
        <v>560</v>
      </c>
      <c r="C281" t="s">
        <v>646</v>
      </c>
      <c r="D281" t="s">
        <v>639</v>
      </c>
      <c r="E281" t="s">
        <v>660</v>
      </c>
      <c r="F281">
        <v>7514</v>
      </c>
      <c r="G281" t="s">
        <v>12</v>
      </c>
      <c r="H281">
        <v>146</v>
      </c>
      <c r="I281">
        <v>405</v>
      </c>
      <c r="J281">
        <v>0</v>
      </c>
      <c r="K281">
        <v>30</v>
      </c>
      <c r="L281">
        <v>216</v>
      </c>
      <c r="M281">
        <v>0</v>
      </c>
      <c r="N281">
        <v>14</v>
      </c>
      <c r="O281">
        <v>0</v>
      </c>
      <c r="P281">
        <v>21</v>
      </c>
      <c r="Q281">
        <v>70</v>
      </c>
      <c r="R281">
        <v>66</v>
      </c>
      <c r="S281" s="6">
        <v>1.3</v>
      </c>
      <c r="T281" s="6">
        <v>2</v>
      </c>
      <c r="U281" s="6" t="s">
        <v>756</v>
      </c>
      <c r="V281" t="s">
        <v>756</v>
      </c>
      <c r="W281" t="s">
        <v>756</v>
      </c>
      <c r="X281" t="s">
        <v>756</v>
      </c>
    </row>
    <row r="282" spans="1:24" x14ac:dyDescent="0.3">
      <c r="A282">
        <v>62</v>
      </c>
      <c r="B282" t="s">
        <v>561</v>
      </c>
      <c r="C282" t="s">
        <v>646</v>
      </c>
      <c r="D282" t="s">
        <v>639</v>
      </c>
      <c r="E282" t="s">
        <v>660</v>
      </c>
      <c r="F282">
        <v>7456</v>
      </c>
      <c r="G282" t="s">
        <v>12</v>
      </c>
      <c r="H282">
        <v>149</v>
      </c>
      <c r="I282">
        <v>409</v>
      </c>
      <c r="J282">
        <v>0</v>
      </c>
      <c r="K282">
        <v>11</v>
      </c>
      <c r="L282">
        <v>216</v>
      </c>
      <c r="M282">
        <v>0</v>
      </c>
      <c r="N282">
        <v>14</v>
      </c>
      <c r="O282">
        <v>0</v>
      </c>
      <c r="P282">
        <v>21</v>
      </c>
      <c r="Q282">
        <v>61</v>
      </c>
      <c r="R282">
        <v>72</v>
      </c>
      <c r="S282" s="6">
        <v>1.3</v>
      </c>
      <c r="T282" s="6">
        <v>2</v>
      </c>
      <c r="U282" s="6" t="s">
        <v>756</v>
      </c>
      <c r="V282" t="s">
        <v>756</v>
      </c>
      <c r="W282" t="s">
        <v>756</v>
      </c>
      <c r="X282" t="s">
        <v>756</v>
      </c>
    </row>
    <row r="283" spans="1:24" x14ac:dyDescent="0.3">
      <c r="A283">
        <v>63</v>
      </c>
      <c r="B283" t="s">
        <v>562</v>
      </c>
      <c r="C283" t="s">
        <v>646</v>
      </c>
      <c r="D283" t="s">
        <v>642</v>
      </c>
      <c r="E283" t="s">
        <v>660</v>
      </c>
      <c r="F283">
        <v>7852</v>
      </c>
      <c r="G283" t="s">
        <v>12</v>
      </c>
      <c r="H283">
        <v>159</v>
      </c>
      <c r="I283">
        <v>421</v>
      </c>
      <c r="J283">
        <v>0</v>
      </c>
      <c r="K283">
        <v>33</v>
      </c>
      <c r="L283">
        <v>400</v>
      </c>
      <c r="M283">
        <v>0</v>
      </c>
      <c r="N283">
        <v>15</v>
      </c>
      <c r="O283">
        <v>0</v>
      </c>
      <c r="P283">
        <v>28</v>
      </c>
      <c r="Q283">
        <v>81</v>
      </c>
      <c r="R283">
        <v>72</v>
      </c>
      <c r="S283" s="6">
        <v>1.3</v>
      </c>
      <c r="T283" s="6">
        <v>2</v>
      </c>
      <c r="U283" s="6" t="s">
        <v>756</v>
      </c>
      <c r="V283" t="s">
        <v>756</v>
      </c>
      <c r="W283" t="s">
        <v>756</v>
      </c>
      <c r="X283" t="s">
        <v>756</v>
      </c>
    </row>
    <row r="284" spans="1:24" x14ac:dyDescent="0.3">
      <c r="A284">
        <v>64</v>
      </c>
      <c r="B284" t="s">
        <v>563</v>
      </c>
      <c r="C284" t="s">
        <v>646</v>
      </c>
      <c r="D284" t="s">
        <v>642</v>
      </c>
      <c r="E284" t="s">
        <v>660</v>
      </c>
      <c r="F284">
        <v>8080</v>
      </c>
      <c r="G284" t="s">
        <v>12</v>
      </c>
      <c r="H284">
        <v>159</v>
      </c>
      <c r="I284">
        <v>421</v>
      </c>
      <c r="J284">
        <v>0</v>
      </c>
      <c r="K284">
        <v>33</v>
      </c>
      <c r="L284">
        <v>400</v>
      </c>
      <c r="M284">
        <v>0</v>
      </c>
      <c r="N284">
        <v>15</v>
      </c>
      <c r="O284">
        <v>0</v>
      </c>
      <c r="P284">
        <v>28</v>
      </c>
      <c r="Q284">
        <v>89</v>
      </c>
      <c r="R284">
        <v>72</v>
      </c>
      <c r="S284" s="6">
        <v>1.3</v>
      </c>
      <c r="T284" s="6">
        <v>2</v>
      </c>
      <c r="U284" s="6" t="s">
        <v>756</v>
      </c>
      <c r="V284" t="s">
        <v>756</v>
      </c>
      <c r="W284" t="s">
        <v>756</v>
      </c>
      <c r="X284" t="s">
        <v>756</v>
      </c>
    </row>
    <row r="285" spans="1:24" x14ac:dyDescent="0.3">
      <c r="A285">
        <v>65</v>
      </c>
      <c r="B285" t="s">
        <v>564</v>
      </c>
      <c r="C285" t="s">
        <v>646</v>
      </c>
      <c r="D285" t="s">
        <v>642</v>
      </c>
      <c r="E285" t="s">
        <v>660</v>
      </c>
      <c r="F285">
        <v>8031</v>
      </c>
      <c r="G285" t="s">
        <v>12</v>
      </c>
      <c r="H285">
        <v>159</v>
      </c>
      <c r="I285">
        <v>414</v>
      </c>
      <c r="J285">
        <v>0</v>
      </c>
      <c r="K285">
        <v>33</v>
      </c>
      <c r="L285">
        <v>400</v>
      </c>
      <c r="M285">
        <v>0</v>
      </c>
      <c r="N285">
        <v>15</v>
      </c>
      <c r="O285">
        <v>0</v>
      </c>
      <c r="P285">
        <v>27</v>
      </c>
      <c r="Q285">
        <v>76</v>
      </c>
      <c r="R285">
        <v>73</v>
      </c>
      <c r="S285" s="6">
        <v>1.3</v>
      </c>
      <c r="T285" s="6">
        <v>2</v>
      </c>
      <c r="U285" s="6" t="s">
        <v>756</v>
      </c>
      <c r="V285" t="s">
        <v>756</v>
      </c>
      <c r="W285" t="s">
        <v>756</v>
      </c>
      <c r="X285" t="s">
        <v>756</v>
      </c>
    </row>
    <row r="286" spans="1:24" x14ac:dyDescent="0.3">
      <c r="A286">
        <v>127</v>
      </c>
      <c r="B286" t="s">
        <v>577</v>
      </c>
      <c r="C286" t="s">
        <v>647</v>
      </c>
      <c r="D286" t="s">
        <v>639</v>
      </c>
      <c r="E286" t="s">
        <v>660</v>
      </c>
      <c r="F286">
        <v>6207</v>
      </c>
      <c r="G286" t="s">
        <v>10</v>
      </c>
      <c r="H286">
        <v>156</v>
      </c>
      <c r="I286">
        <v>376</v>
      </c>
      <c r="J286">
        <v>0</v>
      </c>
      <c r="K286">
        <v>37</v>
      </c>
      <c r="L286">
        <v>276</v>
      </c>
      <c r="M286">
        <v>0</v>
      </c>
      <c r="N286">
        <v>13</v>
      </c>
      <c r="O286">
        <v>0</v>
      </c>
      <c r="P286">
        <v>32</v>
      </c>
      <c r="Q286">
        <v>85</v>
      </c>
      <c r="R286">
        <v>74</v>
      </c>
      <c r="S286" s="6">
        <v>1.35</v>
      </c>
      <c r="T286" s="6">
        <v>1.5</v>
      </c>
      <c r="U286" s="6" t="s">
        <v>756</v>
      </c>
      <c r="V286" t="s">
        <v>756</v>
      </c>
      <c r="W286" t="s">
        <v>756</v>
      </c>
      <c r="X286" t="s">
        <v>756</v>
      </c>
    </row>
    <row r="287" spans="1:24" x14ac:dyDescent="0.3">
      <c r="A287">
        <v>128</v>
      </c>
      <c r="B287" t="s">
        <v>578</v>
      </c>
      <c r="C287" t="s">
        <v>647</v>
      </c>
      <c r="D287" t="s">
        <v>640</v>
      </c>
      <c r="E287" t="s">
        <v>660</v>
      </c>
      <c r="F287">
        <v>6032</v>
      </c>
      <c r="G287" t="s">
        <v>10</v>
      </c>
      <c r="H287">
        <v>152</v>
      </c>
      <c r="I287">
        <v>354</v>
      </c>
      <c r="J287">
        <v>0</v>
      </c>
      <c r="K287">
        <v>35</v>
      </c>
      <c r="L287">
        <v>268</v>
      </c>
      <c r="M287">
        <v>0</v>
      </c>
      <c r="N287">
        <v>12</v>
      </c>
      <c r="O287">
        <v>0</v>
      </c>
      <c r="P287">
        <v>31</v>
      </c>
      <c r="Q287">
        <v>28</v>
      </c>
      <c r="R287">
        <v>70</v>
      </c>
      <c r="S287" s="6">
        <v>1.35</v>
      </c>
      <c r="T287" s="6">
        <v>1.5</v>
      </c>
      <c r="U287" s="6" t="s">
        <v>756</v>
      </c>
      <c r="V287" t="s">
        <v>756</v>
      </c>
      <c r="W287" t="s">
        <v>756</v>
      </c>
      <c r="X287" t="s">
        <v>756</v>
      </c>
    </row>
    <row r="288" spans="1:24" x14ac:dyDescent="0.3">
      <c r="A288">
        <v>129</v>
      </c>
      <c r="B288" t="s">
        <v>579</v>
      </c>
      <c r="C288" t="s">
        <v>647</v>
      </c>
      <c r="D288" t="s">
        <v>642</v>
      </c>
      <c r="E288" t="s">
        <v>660</v>
      </c>
      <c r="F288">
        <v>8445</v>
      </c>
      <c r="G288" t="s">
        <v>10</v>
      </c>
      <c r="H288">
        <v>159</v>
      </c>
      <c r="I288">
        <v>343</v>
      </c>
      <c r="J288">
        <v>0</v>
      </c>
      <c r="K288">
        <v>37</v>
      </c>
      <c r="L288">
        <v>323</v>
      </c>
      <c r="M288">
        <v>0</v>
      </c>
      <c r="N288">
        <v>14</v>
      </c>
      <c r="O288">
        <v>0</v>
      </c>
      <c r="P288">
        <v>31</v>
      </c>
      <c r="Q288">
        <v>38</v>
      </c>
      <c r="R288">
        <v>70</v>
      </c>
      <c r="S288" s="6">
        <v>1.4</v>
      </c>
      <c r="T288" s="6">
        <v>1.5</v>
      </c>
      <c r="U288" s="6" t="s">
        <v>756</v>
      </c>
      <c r="V288" t="s">
        <v>756</v>
      </c>
      <c r="W288" t="s">
        <v>756</v>
      </c>
      <c r="X288" t="s">
        <v>756</v>
      </c>
    </row>
    <row r="289" spans="1:24" x14ac:dyDescent="0.3">
      <c r="A289">
        <v>130</v>
      </c>
      <c r="B289" t="s">
        <v>565</v>
      </c>
      <c r="C289" t="s">
        <v>647</v>
      </c>
      <c r="D289" t="s">
        <v>639</v>
      </c>
      <c r="E289" t="s">
        <v>660</v>
      </c>
      <c r="F289">
        <v>7512</v>
      </c>
      <c r="G289" t="s">
        <v>12</v>
      </c>
      <c r="H289">
        <v>145</v>
      </c>
      <c r="I289">
        <v>403</v>
      </c>
      <c r="J289">
        <v>0</v>
      </c>
      <c r="K289">
        <v>33</v>
      </c>
      <c r="L289">
        <v>212</v>
      </c>
      <c r="M289">
        <v>0</v>
      </c>
      <c r="N289">
        <v>14</v>
      </c>
      <c r="O289">
        <v>0</v>
      </c>
      <c r="P289">
        <v>24</v>
      </c>
      <c r="Q289">
        <v>25</v>
      </c>
      <c r="R289">
        <v>70</v>
      </c>
      <c r="S289" s="6">
        <v>1.3</v>
      </c>
      <c r="T289" s="6">
        <v>2</v>
      </c>
      <c r="U289" s="6" t="s">
        <v>756</v>
      </c>
      <c r="V289" t="s">
        <v>756</v>
      </c>
      <c r="W289" t="s">
        <v>756</v>
      </c>
      <c r="X289" t="s">
        <v>756</v>
      </c>
    </row>
    <row r="290" spans="1:24" x14ac:dyDescent="0.3">
      <c r="A290">
        <v>131</v>
      </c>
      <c r="B290" t="s">
        <v>384</v>
      </c>
      <c r="C290" t="s">
        <v>647</v>
      </c>
      <c r="D290" t="s">
        <v>642</v>
      </c>
      <c r="E290" t="s">
        <v>660</v>
      </c>
      <c r="F290">
        <v>7783</v>
      </c>
      <c r="G290" t="s">
        <v>12</v>
      </c>
      <c r="H290">
        <v>159</v>
      </c>
      <c r="I290">
        <v>426</v>
      </c>
      <c r="J290">
        <v>0</v>
      </c>
      <c r="K290">
        <v>33</v>
      </c>
      <c r="L290">
        <v>220</v>
      </c>
      <c r="M290">
        <v>0</v>
      </c>
      <c r="N290">
        <v>15</v>
      </c>
      <c r="O290">
        <v>0</v>
      </c>
      <c r="P290">
        <v>24</v>
      </c>
      <c r="Q290">
        <v>90</v>
      </c>
      <c r="R290">
        <v>77</v>
      </c>
      <c r="S290" s="6">
        <v>1.3</v>
      </c>
      <c r="T290" s="6">
        <v>2</v>
      </c>
      <c r="U290" s="6" t="s">
        <v>756</v>
      </c>
      <c r="V290" t="s">
        <v>756</v>
      </c>
      <c r="W290" t="s">
        <v>756</v>
      </c>
      <c r="X290" t="s">
        <v>756</v>
      </c>
    </row>
    <row r="291" spans="1:24" x14ac:dyDescent="0.3">
      <c r="A291">
        <v>132</v>
      </c>
      <c r="B291" t="s">
        <v>566</v>
      </c>
      <c r="C291" t="s">
        <v>647</v>
      </c>
      <c r="D291" t="s">
        <v>639</v>
      </c>
      <c r="E291" t="s">
        <v>660</v>
      </c>
      <c r="F291">
        <v>7654</v>
      </c>
      <c r="G291" t="s">
        <v>12</v>
      </c>
      <c r="H291">
        <v>149</v>
      </c>
      <c r="I291">
        <v>407</v>
      </c>
      <c r="J291">
        <v>0</v>
      </c>
      <c r="K291">
        <v>33</v>
      </c>
      <c r="L291">
        <v>219</v>
      </c>
      <c r="M291">
        <v>0</v>
      </c>
      <c r="N291">
        <v>14</v>
      </c>
      <c r="O291">
        <v>0</v>
      </c>
      <c r="P291">
        <v>23</v>
      </c>
      <c r="Q291">
        <v>66</v>
      </c>
      <c r="R291">
        <v>72</v>
      </c>
      <c r="S291" s="6">
        <v>1.3</v>
      </c>
      <c r="T291" s="6">
        <v>2</v>
      </c>
      <c r="U291" s="6" t="s">
        <v>756</v>
      </c>
      <c r="V291" t="s">
        <v>756</v>
      </c>
      <c r="W291" t="s">
        <v>756</v>
      </c>
      <c r="X291" t="s">
        <v>756</v>
      </c>
    </row>
    <row r="292" spans="1:24" x14ac:dyDescent="0.3">
      <c r="A292">
        <v>133</v>
      </c>
      <c r="B292" t="s">
        <v>567</v>
      </c>
      <c r="C292" t="s">
        <v>647</v>
      </c>
      <c r="D292" t="s">
        <v>639</v>
      </c>
      <c r="E292" t="s">
        <v>660</v>
      </c>
      <c r="F292">
        <v>7630</v>
      </c>
      <c r="G292" t="s">
        <v>12</v>
      </c>
      <c r="H292">
        <v>149</v>
      </c>
      <c r="I292">
        <v>407</v>
      </c>
      <c r="J292">
        <v>0</v>
      </c>
      <c r="K292">
        <v>31</v>
      </c>
      <c r="L292">
        <v>219</v>
      </c>
      <c r="M292">
        <v>0</v>
      </c>
      <c r="N292">
        <v>14</v>
      </c>
      <c r="O292">
        <v>0</v>
      </c>
      <c r="P292">
        <v>23</v>
      </c>
      <c r="Q292">
        <v>81</v>
      </c>
      <c r="R292">
        <v>72</v>
      </c>
      <c r="S292" s="6">
        <v>1.3</v>
      </c>
      <c r="T292" s="6">
        <v>2</v>
      </c>
      <c r="U292" s="6" t="s">
        <v>756</v>
      </c>
      <c r="V292" t="s">
        <v>756</v>
      </c>
      <c r="W292" t="s">
        <v>756</v>
      </c>
      <c r="X292" t="s">
        <v>756</v>
      </c>
    </row>
    <row r="293" spans="1:24" x14ac:dyDescent="0.3">
      <c r="A293">
        <v>135</v>
      </c>
      <c r="B293" t="s">
        <v>568</v>
      </c>
      <c r="C293" t="s">
        <v>647</v>
      </c>
      <c r="D293" t="s">
        <v>642</v>
      </c>
      <c r="E293" t="s">
        <v>660</v>
      </c>
      <c r="F293">
        <v>7967</v>
      </c>
      <c r="G293" t="s">
        <v>12</v>
      </c>
      <c r="H293">
        <v>156</v>
      </c>
      <c r="I293">
        <v>422</v>
      </c>
      <c r="J293">
        <v>0</v>
      </c>
      <c r="K293">
        <v>35</v>
      </c>
      <c r="L293">
        <v>230</v>
      </c>
      <c r="M293">
        <v>0</v>
      </c>
      <c r="N293">
        <v>15</v>
      </c>
      <c r="O293">
        <v>0</v>
      </c>
      <c r="P293">
        <v>28</v>
      </c>
      <c r="Q293">
        <v>19</v>
      </c>
      <c r="R293">
        <v>71</v>
      </c>
      <c r="S293" s="6">
        <v>1.35</v>
      </c>
      <c r="T293" s="6">
        <v>2</v>
      </c>
      <c r="U293" s="6" t="s">
        <v>756</v>
      </c>
      <c r="V293" t="s">
        <v>756</v>
      </c>
      <c r="W293" t="s">
        <v>756</v>
      </c>
      <c r="X293" t="s">
        <v>756</v>
      </c>
    </row>
    <row r="294" spans="1:24" x14ac:dyDescent="0.3">
      <c r="A294">
        <v>136</v>
      </c>
      <c r="B294" t="s">
        <v>569</v>
      </c>
      <c r="C294" t="s">
        <v>647</v>
      </c>
      <c r="D294" t="s">
        <v>642</v>
      </c>
      <c r="E294" t="s">
        <v>660</v>
      </c>
      <c r="F294">
        <v>7967</v>
      </c>
      <c r="G294" t="s">
        <v>12</v>
      </c>
      <c r="H294">
        <v>153</v>
      </c>
      <c r="I294">
        <v>421</v>
      </c>
      <c r="J294">
        <v>0</v>
      </c>
      <c r="K294">
        <v>35</v>
      </c>
      <c r="L294">
        <v>225</v>
      </c>
      <c r="M294">
        <v>0</v>
      </c>
      <c r="N294">
        <v>15</v>
      </c>
      <c r="O294">
        <v>0</v>
      </c>
      <c r="P294">
        <v>28</v>
      </c>
      <c r="Q294">
        <v>73</v>
      </c>
      <c r="R294">
        <v>72</v>
      </c>
      <c r="S294" s="6">
        <v>1.35</v>
      </c>
      <c r="T294" s="6">
        <v>2</v>
      </c>
      <c r="U294" s="6" t="s">
        <v>756</v>
      </c>
      <c r="V294" t="s">
        <v>756</v>
      </c>
      <c r="W294" t="s">
        <v>756</v>
      </c>
      <c r="X294" t="s">
        <v>756</v>
      </c>
    </row>
    <row r="295" spans="1:24" x14ac:dyDescent="0.3">
      <c r="A295">
        <v>149</v>
      </c>
      <c r="B295" t="s">
        <v>588</v>
      </c>
      <c r="C295" t="s">
        <v>647</v>
      </c>
      <c r="D295" t="s">
        <v>639</v>
      </c>
      <c r="E295" t="s">
        <v>660</v>
      </c>
      <c r="F295">
        <v>3642</v>
      </c>
      <c r="G295" t="s">
        <v>8</v>
      </c>
      <c r="H295">
        <v>145</v>
      </c>
      <c r="I295">
        <v>282</v>
      </c>
      <c r="J295">
        <v>0</v>
      </c>
      <c r="K295">
        <v>61</v>
      </c>
      <c r="L295">
        <v>171</v>
      </c>
      <c r="M295">
        <v>0</v>
      </c>
      <c r="N295">
        <v>10</v>
      </c>
      <c r="O295">
        <v>0</v>
      </c>
      <c r="P295">
        <v>12</v>
      </c>
      <c r="Q295">
        <v>91</v>
      </c>
      <c r="R295">
        <v>83</v>
      </c>
      <c r="S295" s="6">
        <v>1.2</v>
      </c>
      <c r="T295" s="6">
        <v>2</v>
      </c>
      <c r="U295" s="6" t="s">
        <v>756</v>
      </c>
      <c r="V295" t="s">
        <v>756</v>
      </c>
      <c r="W295" t="s">
        <v>756</v>
      </c>
      <c r="X295" t="s">
        <v>756</v>
      </c>
    </row>
    <row r="296" spans="1:24" x14ac:dyDescent="0.3">
      <c r="A296">
        <v>150</v>
      </c>
      <c r="B296" t="s">
        <v>589</v>
      </c>
      <c r="C296" t="s">
        <v>647</v>
      </c>
      <c r="D296" t="s">
        <v>639</v>
      </c>
      <c r="E296" t="s">
        <v>660</v>
      </c>
      <c r="F296">
        <v>3642</v>
      </c>
      <c r="G296" t="s">
        <v>8</v>
      </c>
      <c r="H296">
        <v>145</v>
      </c>
      <c r="I296">
        <v>282</v>
      </c>
      <c r="J296">
        <v>0</v>
      </c>
      <c r="K296">
        <v>61</v>
      </c>
      <c r="L296">
        <v>171</v>
      </c>
      <c r="M296">
        <v>0</v>
      </c>
      <c r="N296">
        <v>10</v>
      </c>
      <c r="O296">
        <v>0</v>
      </c>
      <c r="P296">
        <v>12</v>
      </c>
      <c r="Q296">
        <v>19</v>
      </c>
      <c r="R296">
        <v>83</v>
      </c>
      <c r="S296" s="6">
        <v>1.2</v>
      </c>
      <c r="T296" s="6">
        <v>2</v>
      </c>
      <c r="U296" s="6" t="s">
        <v>756</v>
      </c>
      <c r="V296" t="s">
        <v>756</v>
      </c>
      <c r="W296" t="s">
        <v>756</v>
      </c>
      <c r="X296" t="s">
        <v>756</v>
      </c>
    </row>
    <row r="297" spans="1:24" x14ac:dyDescent="0.3">
      <c r="A297">
        <v>204</v>
      </c>
      <c r="B297" t="s">
        <v>580</v>
      </c>
      <c r="C297" t="s">
        <v>648</v>
      </c>
      <c r="D297" t="s">
        <v>639</v>
      </c>
      <c r="E297" t="s">
        <v>660</v>
      </c>
      <c r="F297">
        <v>6604</v>
      </c>
      <c r="G297" t="s">
        <v>10</v>
      </c>
      <c r="H297">
        <v>159</v>
      </c>
      <c r="I297">
        <v>367</v>
      </c>
      <c r="J297">
        <v>0</v>
      </c>
      <c r="K297">
        <v>37</v>
      </c>
      <c r="L297">
        <v>273</v>
      </c>
      <c r="M297">
        <v>0</v>
      </c>
      <c r="N297">
        <v>14</v>
      </c>
      <c r="O297">
        <v>0</v>
      </c>
      <c r="P297">
        <v>30</v>
      </c>
      <c r="Q297">
        <v>43</v>
      </c>
      <c r="R297">
        <v>72</v>
      </c>
      <c r="S297" s="6">
        <v>1.35</v>
      </c>
      <c r="T297" s="6">
        <v>1.5</v>
      </c>
      <c r="U297" s="6" t="s">
        <v>756</v>
      </c>
      <c r="V297" t="s">
        <v>756</v>
      </c>
      <c r="W297" t="s">
        <v>756</v>
      </c>
      <c r="X297" t="s">
        <v>756</v>
      </c>
    </row>
    <row r="298" spans="1:24" x14ac:dyDescent="0.3">
      <c r="A298">
        <v>205</v>
      </c>
      <c r="B298" t="s">
        <v>581</v>
      </c>
      <c r="C298" t="s">
        <v>648</v>
      </c>
      <c r="D298" t="s">
        <v>639</v>
      </c>
      <c r="E298" t="s">
        <v>660</v>
      </c>
      <c r="F298">
        <v>6604</v>
      </c>
      <c r="G298" t="s">
        <v>10</v>
      </c>
      <c r="H298">
        <v>160</v>
      </c>
      <c r="I298">
        <v>367</v>
      </c>
      <c r="J298">
        <v>0</v>
      </c>
      <c r="K298">
        <v>37</v>
      </c>
      <c r="L298">
        <v>273</v>
      </c>
      <c r="M298">
        <v>0</v>
      </c>
      <c r="N298">
        <v>14</v>
      </c>
      <c r="O298">
        <v>0</v>
      </c>
      <c r="P298">
        <v>30</v>
      </c>
      <c r="Q298">
        <v>37</v>
      </c>
      <c r="R298">
        <v>70</v>
      </c>
      <c r="S298" s="6">
        <v>1.35</v>
      </c>
      <c r="T298" s="6">
        <v>1.5</v>
      </c>
      <c r="U298" s="6" t="s">
        <v>756</v>
      </c>
      <c r="V298" t="s">
        <v>756</v>
      </c>
      <c r="W298" t="s">
        <v>756</v>
      </c>
      <c r="X298" t="s">
        <v>756</v>
      </c>
    </row>
    <row r="299" spans="1:24" x14ac:dyDescent="0.3">
      <c r="A299">
        <v>206</v>
      </c>
      <c r="B299" t="s">
        <v>582</v>
      </c>
      <c r="C299" t="s">
        <v>648</v>
      </c>
      <c r="D299" t="s">
        <v>639</v>
      </c>
      <c r="E299" t="s">
        <v>660</v>
      </c>
      <c r="F299">
        <v>6604</v>
      </c>
      <c r="G299" t="s">
        <v>10</v>
      </c>
      <c r="H299">
        <v>159</v>
      </c>
      <c r="I299">
        <v>360</v>
      </c>
      <c r="J299">
        <v>0</v>
      </c>
      <c r="K299">
        <v>37</v>
      </c>
      <c r="L299">
        <v>273</v>
      </c>
      <c r="M299">
        <v>0</v>
      </c>
      <c r="N299">
        <v>14</v>
      </c>
      <c r="O299">
        <v>0</v>
      </c>
      <c r="P299">
        <v>30</v>
      </c>
      <c r="Q299">
        <v>47</v>
      </c>
      <c r="R299">
        <v>70</v>
      </c>
      <c r="S299" s="6">
        <v>1.45</v>
      </c>
      <c r="T299" s="6">
        <v>1.5</v>
      </c>
      <c r="U299" s="6" t="s">
        <v>756</v>
      </c>
      <c r="V299" t="s">
        <v>756</v>
      </c>
      <c r="W299" t="s">
        <v>756</v>
      </c>
      <c r="X299" t="s">
        <v>756</v>
      </c>
    </row>
    <row r="300" spans="1:24" x14ac:dyDescent="0.3">
      <c r="A300">
        <v>207</v>
      </c>
      <c r="B300" t="s">
        <v>583</v>
      </c>
      <c r="C300" t="s">
        <v>648</v>
      </c>
      <c r="D300" t="s">
        <v>639</v>
      </c>
      <c r="E300" t="s">
        <v>660</v>
      </c>
      <c r="F300">
        <v>6604</v>
      </c>
      <c r="G300" t="s">
        <v>10</v>
      </c>
      <c r="H300">
        <v>160</v>
      </c>
      <c r="I300">
        <v>367</v>
      </c>
      <c r="J300">
        <v>0</v>
      </c>
      <c r="K300">
        <v>37</v>
      </c>
      <c r="L300">
        <v>273</v>
      </c>
      <c r="M300">
        <v>0</v>
      </c>
      <c r="N300">
        <v>14</v>
      </c>
      <c r="O300">
        <v>0</v>
      </c>
      <c r="P300">
        <v>30</v>
      </c>
      <c r="Q300">
        <v>37</v>
      </c>
      <c r="R300">
        <v>70</v>
      </c>
      <c r="S300" s="6">
        <v>1.45</v>
      </c>
      <c r="T300" s="6">
        <v>1.5</v>
      </c>
      <c r="U300" s="6" t="s">
        <v>756</v>
      </c>
      <c r="V300" t="s">
        <v>756</v>
      </c>
      <c r="W300" t="s">
        <v>756</v>
      </c>
      <c r="X300" t="s">
        <v>756</v>
      </c>
    </row>
    <row r="301" spans="1:24" x14ac:dyDescent="0.3">
      <c r="A301">
        <v>208</v>
      </c>
      <c r="B301" t="s">
        <v>392</v>
      </c>
      <c r="C301" t="s">
        <v>648</v>
      </c>
      <c r="D301" t="s">
        <v>640</v>
      </c>
      <c r="E301" t="s">
        <v>660</v>
      </c>
      <c r="F301">
        <v>6916</v>
      </c>
      <c r="G301" t="s">
        <v>12</v>
      </c>
      <c r="H301">
        <v>142</v>
      </c>
      <c r="I301">
        <v>416</v>
      </c>
      <c r="J301">
        <v>0</v>
      </c>
      <c r="K301">
        <v>31</v>
      </c>
      <c r="L301">
        <v>222</v>
      </c>
      <c r="M301">
        <v>0</v>
      </c>
      <c r="N301">
        <v>0</v>
      </c>
      <c r="O301">
        <v>0</v>
      </c>
      <c r="P301">
        <v>23</v>
      </c>
      <c r="Q301">
        <v>13</v>
      </c>
      <c r="R301">
        <v>68</v>
      </c>
      <c r="S301" s="6">
        <v>1.45</v>
      </c>
      <c r="T301" s="6">
        <v>2</v>
      </c>
      <c r="U301" s="6" t="s">
        <v>756</v>
      </c>
      <c r="V301" t="s">
        <v>756</v>
      </c>
      <c r="W301" t="s">
        <v>756</v>
      </c>
      <c r="X301" t="s">
        <v>756</v>
      </c>
    </row>
    <row r="302" spans="1:24" x14ac:dyDescent="0.3">
      <c r="A302">
        <v>209</v>
      </c>
      <c r="B302" t="s">
        <v>393</v>
      </c>
      <c r="C302" t="s">
        <v>648</v>
      </c>
      <c r="D302" t="s">
        <v>640</v>
      </c>
      <c r="E302" t="s">
        <v>660</v>
      </c>
      <c r="F302">
        <v>7307</v>
      </c>
      <c r="G302" t="s">
        <v>12</v>
      </c>
      <c r="H302">
        <v>142</v>
      </c>
      <c r="I302">
        <v>416</v>
      </c>
      <c r="J302">
        <v>0</v>
      </c>
      <c r="K302">
        <v>31</v>
      </c>
      <c r="L302">
        <v>222</v>
      </c>
      <c r="M302">
        <v>0</v>
      </c>
      <c r="N302">
        <v>13</v>
      </c>
      <c r="O302">
        <v>0</v>
      </c>
      <c r="P302">
        <v>23</v>
      </c>
      <c r="Q302">
        <v>14</v>
      </c>
      <c r="R302">
        <v>68</v>
      </c>
      <c r="S302" s="6">
        <v>1.45</v>
      </c>
      <c r="T302" s="6">
        <v>2</v>
      </c>
      <c r="U302" s="6" t="s">
        <v>756</v>
      </c>
      <c r="V302" t="s">
        <v>756</v>
      </c>
      <c r="W302" t="s">
        <v>756</v>
      </c>
      <c r="X302" t="s">
        <v>756</v>
      </c>
    </row>
    <row r="303" spans="1:24" x14ac:dyDescent="0.3">
      <c r="A303">
        <v>210</v>
      </c>
      <c r="B303" t="s">
        <v>394</v>
      </c>
      <c r="C303" t="s">
        <v>648</v>
      </c>
      <c r="D303" t="s">
        <v>640</v>
      </c>
      <c r="E303" t="s">
        <v>660</v>
      </c>
      <c r="F303">
        <v>7124</v>
      </c>
      <c r="G303" t="s">
        <v>12</v>
      </c>
      <c r="H303">
        <v>141</v>
      </c>
      <c r="I303">
        <v>398</v>
      </c>
      <c r="J303">
        <v>0</v>
      </c>
      <c r="K303">
        <v>31</v>
      </c>
      <c r="L303">
        <v>229</v>
      </c>
      <c r="M303">
        <v>0</v>
      </c>
      <c r="N303">
        <v>13</v>
      </c>
      <c r="O303">
        <v>0</v>
      </c>
      <c r="P303">
        <v>23</v>
      </c>
      <c r="Q303">
        <v>60</v>
      </c>
      <c r="R303">
        <v>72</v>
      </c>
      <c r="S303" s="6">
        <v>1.4</v>
      </c>
      <c r="T303" s="6">
        <v>2</v>
      </c>
      <c r="U303" s="6" t="s">
        <v>756</v>
      </c>
      <c r="V303" t="s">
        <v>756</v>
      </c>
      <c r="W303" t="s">
        <v>756</v>
      </c>
      <c r="X303" t="s">
        <v>756</v>
      </c>
    </row>
    <row r="304" spans="1:24" x14ac:dyDescent="0.3">
      <c r="A304">
        <v>211</v>
      </c>
      <c r="B304" t="s">
        <v>395</v>
      </c>
      <c r="C304" t="s">
        <v>648</v>
      </c>
      <c r="D304" t="s">
        <v>640</v>
      </c>
      <c r="E304" t="s">
        <v>660</v>
      </c>
      <c r="F304">
        <v>7124</v>
      </c>
      <c r="G304" t="s">
        <v>12</v>
      </c>
      <c r="H304">
        <v>141</v>
      </c>
      <c r="I304">
        <v>398</v>
      </c>
      <c r="J304">
        <v>0</v>
      </c>
      <c r="K304">
        <v>31</v>
      </c>
      <c r="L304">
        <v>229</v>
      </c>
      <c r="M304">
        <v>0</v>
      </c>
      <c r="N304">
        <v>13</v>
      </c>
      <c r="O304">
        <v>0</v>
      </c>
      <c r="P304">
        <v>23</v>
      </c>
      <c r="Q304">
        <v>60</v>
      </c>
      <c r="R304">
        <v>72</v>
      </c>
      <c r="S304" s="6">
        <v>1.35</v>
      </c>
      <c r="T304" s="6">
        <v>1.8</v>
      </c>
      <c r="U304" s="6" t="s">
        <v>756</v>
      </c>
      <c r="V304" t="s">
        <v>756</v>
      </c>
      <c r="W304" t="s">
        <v>756</v>
      </c>
      <c r="X304" t="s">
        <v>756</v>
      </c>
    </row>
    <row r="305" spans="1:24" x14ac:dyDescent="0.3">
      <c r="A305">
        <v>212</v>
      </c>
      <c r="B305" t="s">
        <v>570</v>
      </c>
      <c r="C305" t="s">
        <v>648</v>
      </c>
      <c r="D305" t="s">
        <v>642</v>
      </c>
      <c r="E305" t="s">
        <v>660</v>
      </c>
      <c r="F305">
        <v>8117</v>
      </c>
      <c r="G305" t="s">
        <v>12</v>
      </c>
      <c r="H305">
        <v>146</v>
      </c>
      <c r="I305">
        <v>419</v>
      </c>
      <c r="J305">
        <v>0</v>
      </c>
      <c r="K305">
        <v>37</v>
      </c>
      <c r="L305">
        <v>182</v>
      </c>
      <c r="M305">
        <v>0</v>
      </c>
      <c r="N305">
        <v>15</v>
      </c>
      <c r="O305">
        <v>0</v>
      </c>
      <c r="P305">
        <v>25</v>
      </c>
      <c r="Q305">
        <v>71</v>
      </c>
      <c r="R305">
        <v>72</v>
      </c>
      <c r="S305" s="6">
        <v>1.35</v>
      </c>
      <c r="T305" s="6">
        <v>2.1</v>
      </c>
      <c r="U305" s="6" t="s">
        <v>756</v>
      </c>
      <c r="V305" t="s">
        <v>756</v>
      </c>
      <c r="W305" t="s">
        <v>756</v>
      </c>
      <c r="X305" t="s">
        <v>756</v>
      </c>
    </row>
    <row r="306" spans="1:24" x14ac:dyDescent="0.3">
      <c r="A306">
        <v>213</v>
      </c>
      <c r="B306" t="s">
        <v>571</v>
      </c>
      <c r="C306" t="s">
        <v>648</v>
      </c>
      <c r="D306" t="s">
        <v>639</v>
      </c>
      <c r="E306" t="s">
        <v>660</v>
      </c>
      <c r="F306">
        <v>7896</v>
      </c>
      <c r="G306" t="s">
        <v>12</v>
      </c>
      <c r="H306">
        <v>145</v>
      </c>
      <c r="I306">
        <v>409</v>
      </c>
      <c r="J306">
        <v>0</v>
      </c>
      <c r="K306">
        <v>34</v>
      </c>
      <c r="L306">
        <v>185</v>
      </c>
      <c r="M306">
        <v>0</v>
      </c>
      <c r="N306">
        <v>14</v>
      </c>
      <c r="O306">
        <v>0</v>
      </c>
      <c r="P306">
        <v>25</v>
      </c>
      <c r="Q306">
        <v>34</v>
      </c>
      <c r="R306">
        <v>73</v>
      </c>
      <c r="S306" s="6">
        <v>1.3</v>
      </c>
      <c r="T306" s="6">
        <v>2.1</v>
      </c>
      <c r="U306" s="6" t="s">
        <v>756</v>
      </c>
      <c r="V306" t="s">
        <v>756</v>
      </c>
      <c r="W306" t="s">
        <v>756</v>
      </c>
      <c r="X306" t="s">
        <v>756</v>
      </c>
    </row>
    <row r="307" spans="1:24" x14ac:dyDescent="0.3">
      <c r="A307">
        <v>248</v>
      </c>
      <c r="B307" t="s">
        <v>584</v>
      </c>
      <c r="C307" t="s">
        <v>649</v>
      </c>
      <c r="D307" t="s">
        <v>639</v>
      </c>
      <c r="E307" t="s">
        <v>660</v>
      </c>
      <c r="F307">
        <v>7455</v>
      </c>
      <c r="G307" t="s">
        <v>10</v>
      </c>
      <c r="H307">
        <v>157</v>
      </c>
      <c r="I307">
        <v>366</v>
      </c>
      <c r="J307">
        <v>154</v>
      </c>
      <c r="K307">
        <v>38</v>
      </c>
      <c r="L307">
        <v>248</v>
      </c>
      <c r="M307">
        <v>0</v>
      </c>
      <c r="N307">
        <v>13</v>
      </c>
      <c r="O307">
        <v>0</v>
      </c>
      <c r="P307">
        <v>31</v>
      </c>
      <c r="Q307">
        <v>43</v>
      </c>
      <c r="R307">
        <v>68</v>
      </c>
      <c r="S307" s="6">
        <v>1.35</v>
      </c>
      <c r="T307" s="6">
        <v>1.5</v>
      </c>
      <c r="U307" s="6" t="s">
        <v>756</v>
      </c>
      <c r="V307" t="s">
        <v>756</v>
      </c>
      <c r="W307" t="s">
        <v>756</v>
      </c>
      <c r="X307" t="s">
        <v>756</v>
      </c>
    </row>
    <row r="308" spans="1:24" x14ac:dyDescent="0.3">
      <c r="A308">
        <v>249</v>
      </c>
      <c r="B308" t="s">
        <v>585</v>
      </c>
      <c r="C308" t="s">
        <v>649</v>
      </c>
      <c r="D308" t="s">
        <v>639</v>
      </c>
      <c r="E308" t="s">
        <v>660</v>
      </c>
      <c r="F308">
        <v>7455</v>
      </c>
      <c r="G308" t="s">
        <v>10</v>
      </c>
      <c r="H308">
        <v>157</v>
      </c>
      <c r="I308">
        <v>366</v>
      </c>
      <c r="J308">
        <v>154</v>
      </c>
      <c r="K308">
        <v>38</v>
      </c>
      <c r="L308">
        <v>248</v>
      </c>
      <c r="M308">
        <v>0</v>
      </c>
      <c r="N308">
        <v>13</v>
      </c>
      <c r="O308">
        <v>0</v>
      </c>
      <c r="P308">
        <v>31</v>
      </c>
      <c r="Q308">
        <v>64</v>
      </c>
      <c r="R308">
        <v>68</v>
      </c>
      <c r="S308" s="6">
        <v>1.35</v>
      </c>
      <c r="T308" s="6">
        <v>1.5</v>
      </c>
      <c r="U308" s="6" t="s">
        <v>756</v>
      </c>
      <c r="V308" t="s">
        <v>756</v>
      </c>
      <c r="W308" t="s">
        <v>756</v>
      </c>
      <c r="X308" t="s">
        <v>756</v>
      </c>
    </row>
    <row r="309" spans="1:24" x14ac:dyDescent="0.3">
      <c r="A309">
        <v>251</v>
      </c>
      <c r="B309" t="s">
        <v>572</v>
      </c>
      <c r="C309" t="s">
        <v>649</v>
      </c>
      <c r="D309" t="s">
        <v>642</v>
      </c>
      <c r="E309" t="s">
        <v>660</v>
      </c>
      <c r="F309">
        <v>8401</v>
      </c>
      <c r="G309" t="s">
        <v>12</v>
      </c>
      <c r="H309">
        <v>150</v>
      </c>
      <c r="I309">
        <v>423</v>
      </c>
      <c r="J309">
        <v>217</v>
      </c>
      <c r="K309">
        <v>33</v>
      </c>
      <c r="L309">
        <v>208</v>
      </c>
      <c r="M309">
        <v>0</v>
      </c>
      <c r="N309">
        <v>15</v>
      </c>
      <c r="O309">
        <v>0</v>
      </c>
      <c r="P309">
        <v>30</v>
      </c>
      <c r="Q309">
        <v>45</v>
      </c>
      <c r="R309">
        <v>69</v>
      </c>
      <c r="S309" s="6">
        <v>1.3</v>
      </c>
      <c r="T309" s="6">
        <v>2</v>
      </c>
      <c r="U309" s="6" t="s">
        <v>756</v>
      </c>
      <c r="V309" t="s">
        <v>756</v>
      </c>
      <c r="W309" t="s">
        <v>756</v>
      </c>
      <c r="X309" t="s">
        <v>756</v>
      </c>
    </row>
    <row r="310" spans="1:24" x14ac:dyDescent="0.3">
      <c r="A310">
        <v>320</v>
      </c>
      <c r="B310" t="s">
        <v>573</v>
      </c>
      <c r="C310" t="s">
        <v>648</v>
      </c>
      <c r="D310" t="s">
        <v>642</v>
      </c>
      <c r="E310" t="s">
        <v>660</v>
      </c>
      <c r="F310">
        <v>5372</v>
      </c>
      <c r="G310" t="s">
        <v>12</v>
      </c>
      <c r="H310">
        <v>163</v>
      </c>
      <c r="I310">
        <v>334</v>
      </c>
      <c r="J310">
        <v>0</v>
      </c>
      <c r="K310">
        <v>25</v>
      </c>
      <c r="L310">
        <v>172</v>
      </c>
      <c r="M310">
        <v>0</v>
      </c>
      <c r="N310">
        <v>14</v>
      </c>
      <c r="O310">
        <v>0</v>
      </c>
      <c r="P310">
        <v>18</v>
      </c>
      <c r="Q310">
        <v>95</v>
      </c>
      <c r="R310">
        <v>74</v>
      </c>
      <c r="S310" s="6">
        <v>1.3</v>
      </c>
      <c r="T310" s="6">
        <v>1.5</v>
      </c>
      <c r="U310" s="6" t="s">
        <v>756</v>
      </c>
      <c r="V310" t="s">
        <v>756</v>
      </c>
      <c r="W310" t="s">
        <v>756</v>
      </c>
      <c r="X310" t="s">
        <v>756</v>
      </c>
    </row>
    <row r="311" spans="1:24" x14ac:dyDescent="0.3">
      <c r="A311">
        <v>336</v>
      </c>
      <c r="B311" t="s">
        <v>590</v>
      </c>
      <c r="C311" t="s">
        <v>647</v>
      </c>
      <c r="D311" t="s">
        <v>639</v>
      </c>
      <c r="E311" t="s">
        <v>660</v>
      </c>
      <c r="F311">
        <v>3777</v>
      </c>
      <c r="G311" t="s">
        <v>8</v>
      </c>
      <c r="H311">
        <v>148</v>
      </c>
      <c r="I311">
        <v>286</v>
      </c>
      <c r="J311">
        <v>0</v>
      </c>
      <c r="K311">
        <v>61</v>
      </c>
      <c r="L311">
        <v>182</v>
      </c>
      <c r="M311">
        <v>0</v>
      </c>
      <c r="N311">
        <v>10</v>
      </c>
      <c r="O311">
        <v>0</v>
      </c>
      <c r="P311">
        <v>12</v>
      </c>
      <c r="Q311">
        <v>38</v>
      </c>
      <c r="R311">
        <v>84</v>
      </c>
      <c r="S311" s="6">
        <v>1.2</v>
      </c>
      <c r="T311" s="6">
        <v>2.0499999999999998</v>
      </c>
      <c r="U311" s="6" t="s">
        <v>756</v>
      </c>
      <c r="V311" t="s">
        <v>756</v>
      </c>
      <c r="W311" t="s">
        <v>756</v>
      </c>
      <c r="X311" t="s">
        <v>756</v>
      </c>
    </row>
    <row r="312" spans="1:24" x14ac:dyDescent="0.3">
      <c r="A312">
        <v>352</v>
      </c>
      <c r="B312" t="s">
        <v>586</v>
      </c>
      <c r="C312" t="s">
        <v>653</v>
      </c>
      <c r="D312" t="s">
        <v>639</v>
      </c>
      <c r="E312" t="s">
        <v>660</v>
      </c>
      <c r="F312">
        <v>6788</v>
      </c>
      <c r="G312" t="s">
        <v>10</v>
      </c>
      <c r="H312">
        <v>163</v>
      </c>
      <c r="I312">
        <v>357</v>
      </c>
      <c r="J312">
        <v>0</v>
      </c>
      <c r="K312">
        <v>41</v>
      </c>
      <c r="L312">
        <v>227</v>
      </c>
      <c r="M312">
        <v>0</v>
      </c>
      <c r="N312">
        <v>13</v>
      </c>
      <c r="O312">
        <v>0</v>
      </c>
      <c r="P312">
        <v>31</v>
      </c>
      <c r="Q312">
        <v>35</v>
      </c>
      <c r="R312">
        <v>73</v>
      </c>
      <c r="S312" s="6">
        <v>1.7</v>
      </c>
      <c r="T312" s="6">
        <v>1.5</v>
      </c>
      <c r="U312" s="6" t="s">
        <v>756</v>
      </c>
      <c r="V312" t="s">
        <v>756</v>
      </c>
      <c r="W312" t="s">
        <v>756</v>
      </c>
      <c r="X312" t="s">
        <v>756</v>
      </c>
    </row>
    <row r="313" spans="1:24" x14ac:dyDescent="0.3">
      <c r="A313">
        <v>353</v>
      </c>
      <c r="B313" t="s">
        <v>574</v>
      </c>
      <c r="C313" t="s">
        <v>653</v>
      </c>
      <c r="D313" t="s">
        <v>642</v>
      </c>
      <c r="E313" t="s">
        <v>660</v>
      </c>
      <c r="F313">
        <v>8036</v>
      </c>
      <c r="G313" t="s">
        <v>12</v>
      </c>
      <c r="H313">
        <v>179</v>
      </c>
      <c r="I313">
        <v>419</v>
      </c>
      <c r="J313">
        <v>0</v>
      </c>
      <c r="K313">
        <v>42</v>
      </c>
      <c r="L313">
        <v>241</v>
      </c>
      <c r="M313">
        <v>0</v>
      </c>
      <c r="N313">
        <v>15</v>
      </c>
      <c r="O313">
        <v>0</v>
      </c>
      <c r="P313">
        <v>32</v>
      </c>
      <c r="Q313">
        <v>17</v>
      </c>
      <c r="R313">
        <v>68</v>
      </c>
      <c r="S313" s="6">
        <v>1.6</v>
      </c>
      <c r="T313" s="6">
        <v>2</v>
      </c>
      <c r="U313" s="6" t="s">
        <v>756</v>
      </c>
      <c r="V313" t="s">
        <v>756</v>
      </c>
      <c r="W313" t="s">
        <v>756</v>
      </c>
      <c r="X313" t="s">
        <v>756</v>
      </c>
    </row>
    <row r="314" spans="1:24" x14ac:dyDescent="0.3">
      <c r="A314">
        <v>354</v>
      </c>
      <c r="B314" t="s">
        <v>575</v>
      </c>
      <c r="C314" t="s">
        <v>646</v>
      </c>
      <c r="D314" t="s">
        <v>642</v>
      </c>
      <c r="E314" t="s">
        <v>660</v>
      </c>
      <c r="F314">
        <v>7783</v>
      </c>
      <c r="G314" t="s">
        <v>12</v>
      </c>
      <c r="H314">
        <v>156</v>
      </c>
      <c r="I314">
        <v>414</v>
      </c>
      <c r="J314">
        <v>0</v>
      </c>
      <c r="K314">
        <v>33</v>
      </c>
      <c r="L314">
        <v>400</v>
      </c>
      <c r="M314">
        <v>0</v>
      </c>
      <c r="N314">
        <v>15</v>
      </c>
      <c r="O314">
        <v>0</v>
      </c>
      <c r="P314">
        <v>27</v>
      </c>
      <c r="Q314">
        <v>82</v>
      </c>
      <c r="R314">
        <v>76</v>
      </c>
      <c r="S314" s="6">
        <v>1.3</v>
      </c>
      <c r="T314" s="6">
        <v>2</v>
      </c>
      <c r="U314" s="6" t="s">
        <v>756</v>
      </c>
      <c r="V314" t="s">
        <v>756</v>
      </c>
      <c r="W314" t="s">
        <v>756</v>
      </c>
      <c r="X314" t="s">
        <v>756</v>
      </c>
    </row>
    <row r="315" spans="1:24" x14ac:dyDescent="0.3">
      <c r="A315">
        <v>367</v>
      </c>
      <c r="B315" t="s">
        <v>587</v>
      </c>
      <c r="C315" t="s">
        <v>648</v>
      </c>
      <c r="D315" t="s">
        <v>642</v>
      </c>
      <c r="E315" t="s">
        <v>660</v>
      </c>
      <c r="F315">
        <v>7654</v>
      </c>
      <c r="G315" t="s">
        <v>10</v>
      </c>
      <c r="H315">
        <v>148</v>
      </c>
      <c r="I315">
        <v>421</v>
      </c>
      <c r="J315">
        <v>213</v>
      </c>
      <c r="K315">
        <v>41</v>
      </c>
      <c r="L315">
        <v>187</v>
      </c>
      <c r="M315">
        <v>0</v>
      </c>
      <c r="N315">
        <v>15</v>
      </c>
      <c r="O315">
        <v>0</v>
      </c>
      <c r="P315">
        <v>30</v>
      </c>
      <c r="Q315">
        <v>23</v>
      </c>
      <c r="R315">
        <v>68</v>
      </c>
      <c r="S315" s="6">
        <v>1.35</v>
      </c>
      <c r="T315" s="6">
        <v>1.8</v>
      </c>
      <c r="U315" s="6" t="s">
        <v>756</v>
      </c>
      <c r="V315" t="s">
        <v>756</v>
      </c>
      <c r="W315" t="s">
        <v>756</v>
      </c>
      <c r="X315" t="s">
        <v>756</v>
      </c>
    </row>
    <row r="316" spans="1:24" x14ac:dyDescent="0.3">
      <c r="A316">
        <v>368</v>
      </c>
      <c r="B316" t="s">
        <v>576</v>
      </c>
      <c r="C316" t="s">
        <v>648</v>
      </c>
      <c r="D316" t="s">
        <v>642</v>
      </c>
      <c r="E316" t="s">
        <v>660</v>
      </c>
      <c r="F316">
        <v>8303</v>
      </c>
      <c r="G316" t="s">
        <v>12</v>
      </c>
      <c r="H316">
        <v>149</v>
      </c>
      <c r="I316">
        <v>423</v>
      </c>
      <c r="J316">
        <v>217</v>
      </c>
      <c r="K316">
        <v>39</v>
      </c>
      <c r="L316">
        <v>187</v>
      </c>
      <c r="M316">
        <v>0</v>
      </c>
      <c r="N316">
        <v>15</v>
      </c>
      <c r="O316">
        <v>0</v>
      </c>
      <c r="P316">
        <v>26</v>
      </c>
      <c r="Q316">
        <v>42</v>
      </c>
      <c r="R316">
        <v>71</v>
      </c>
      <c r="S316" s="6">
        <v>1.35</v>
      </c>
      <c r="T316" s="6">
        <v>2</v>
      </c>
      <c r="U316" s="6" t="s">
        <v>756</v>
      </c>
      <c r="V316" t="s">
        <v>756</v>
      </c>
      <c r="W316" t="s">
        <v>756</v>
      </c>
      <c r="X316" t="s">
        <v>756</v>
      </c>
    </row>
    <row r="317" spans="1:24" x14ac:dyDescent="0.3">
      <c r="A317">
        <v>3052</v>
      </c>
      <c r="B317" t="s">
        <v>684</v>
      </c>
      <c r="C317" t="s">
        <v>646</v>
      </c>
      <c r="D317" t="s">
        <v>640</v>
      </c>
      <c r="E317" t="s">
        <v>660</v>
      </c>
      <c r="F317">
        <v>7214</v>
      </c>
      <c r="G317" t="s">
        <v>12</v>
      </c>
      <c r="H317">
        <v>152</v>
      </c>
      <c r="I317">
        <v>388</v>
      </c>
      <c r="J317">
        <v>0</v>
      </c>
      <c r="K317">
        <v>26</v>
      </c>
      <c r="L317">
        <v>242</v>
      </c>
      <c r="M317">
        <v>0</v>
      </c>
      <c r="N317">
        <v>12</v>
      </c>
      <c r="O317">
        <v>0</v>
      </c>
      <c r="P317">
        <v>20</v>
      </c>
      <c r="Q317">
        <v>75</v>
      </c>
      <c r="R317">
        <v>70</v>
      </c>
      <c r="S317" s="6">
        <v>1.35</v>
      </c>
      <c r="T317" s="6">
        <v>2.15</v>
      </c>
      <c r="U317" s="6" t="s">
        <v>756</v>
      </c>
      <c r="V317" t="s">
        <v>756</v>
      </c>
      <c r="W317" t="s">
        <v>756</v>
      </c>
      <c r="X317" t="s">
        <v>756</v>
      </c>
    </row>
    <row r="318" spans="1:24" x14ac:dyDescent="0.3">
      <c r="A318">
        <v>3053</v>
      </c>
      <c r="B318" t="s">
        <v>685</v>
      </c>
      <c r="C318" t="s">
        <v>646</v>
      </c>
      <c r="D318" t="s">
        <v>640</v>
      </c>
      <c r="E318" t="s">
        <v>660</v>
      </c>
      <c r="F318">
        <v>7196</v>
      </c>
      <c r="G318" t="s">
        <v>12</v>
      </c>
      <c r="H318">
        <v>152</v>
      </c>
      <c r="I318">
        <v>388</v>
      </c>
      <c r="J318">
        <v>0</v>
      </c>
      <c r="K318">
        <v>26</v>
      </c>
      <c r="L318">
        <v>247</v>
      </c>
      <c r="M318">
        <v>0</v>
      </c>
      <c r="N318">
        <v>12</v>
      </c>
      <c r="O318">
        <v>0</v>
      </c>
      <c r="P318">
        <v>20</v>
      </c>
      <c r="Q318">
        <v>38</v>
      </c>
      <c r="R318">
        <v>70</v>
      </c>
      <c r="S318" s="6">
        <v>1.35</v>
      </c>
      <c r="T318" s="6">
        <v>2.15</v>
      </c>
      <c r="U318" s="6" t="s">
        <v>756</v>
      </c>
      <c r="V318" t="s">
        <v>756</v>
      </c>
      <c r="W318" t="s">
        <v>756</v>
      </c>
      <c r="X318" t="s">
        <v>756</v>
      </c>
    </row>
    <row r="319" spans="1:24" x14ac:dyDescent="0.3">
      <c r="A319">
        <v>3131</v>
      </c>
      <c r="B319" t="s">
        <v>686</v>
      </c>
      <c r="C319" t="s">
        <v>647</v>
      </c>
      <c r="D319" t="s">
        <v>644</v>
      </c>
      <c r="E319" t="s">
        <v>660</v>
      </c>
      <c r="F319">
        <v>8023</v>
      </c>
      <c r="G319" t="s">
        <v>12</v>
      </c>
      <c r="H319">
        <v>179</v>
      </c>
      <c r="I319">
        <v>446</v>
      </c>
      <c r="J319">
        <v>0</v>
      </c>
      <c r="K319">
        <v>33</v>
      </c>
      <c r="L319">
        <v>290</v>
      </c>
      <c r="M319">
        <v>0</v>
      </c>
      <c r="N319">
        <v>15</v>
      </c>
      <c r="O319">
        <v>97</v>
      </c>
      <c r="P319">
        <v>24</v>
      </c>
      <c r="Q319">
        <v>90</v>
      </c>
      <c r="R319">
        <v>100</v>
      </c>
      <c r="S319" s="6">
        <v>1.4</v>
      </c>
      <c r="T319" s="6">
        <v>2</v>
      </c>
      <c r="U319" s="6" t="s">
        <v>756</v>
      </c>
      <c r="V319" t="s">
        <v>756</v>
      </c>
      <c r="W319" t="s">
        <v>756</v>
      </c>
      <c r="X319" t="s">
        <v>756</v>
      </c>
    </row>
    <row r="320" spans="1:24" x14ac:dyDescent="0.3">
      <c r="A320">
        <v>3208</v>
      </c>
      <c r="B320" t="s">
        <v>687</v>
      </c>
      <c r="C320" t="s">
        <v>648</v>
      </c>
      <c r="D320" t="s">
        <v>639</v>
      </c>
      <c r="E320" t="s">
        <v>1043</v>
      </c>
      <c r="F320">
        <v>7266</v>
      </c>
      <c r="G320" t="s">
        <v>12</v>
      </c>
      <c r="H320">
        <v>134</v>
      </c>
      <c r="I320">
        <v>390</v>
      </c>
      <c r="J320">
        <v>0</v>
      </c>
      <c r="K320">
        <v>31</v>
      </c>
      <c r="L320">
        <v>303</v>
      </c>
      <c r="M320">
        <v>202</v>
      </c>
      <c r="N320">
        <v>13</v>
      </c>
      <c r="O320">
        <v>0</v>
      </c>
      <c r="P320">
        <v>23</v>
      </c>
      <c r="Q320">
        <v>13</v>
      </c>
      <c r="R320">
        <v>68</v>
      </c>
      <c r="S320" s="6">
        <v>1.65</v>
      </c>
      <c r="T320" s="6">
        <v>2</v>
      </c>
      <c r="U320" s="6" t="s">
        <v>756</v>
      </c>
      <c r="V320" t="s">
        <v>106</v>
      </c>
      <c r="W320" t="s">
        <v>756</v>
      </c>
      <c r="X320">
        <v>3</v>
      </c>
    </row>
    <row r="321" spans="1:27" x14ac:dyDescent="0.3">
      <c r="A321">
        <v>3209</v>
      </c>
      <c r="B321" t="s">
        <v>688</v>
      </c>
      <c r="C321" t="s">
        <v>648</v>
      </c>
      <c r="D321" t="s">
        <v>639</v>
      </c>
      <c r="E321" t="s">
        <v>1043</v>
      </c>
      <c r="F321">
        <v>7657</v>
      </c>
      <c r="G321" t="s">
        <v>12</v>
      </c>
      <c r="H321">
        <v>134</v>
      </c>
      <c r="I321">
        <v>390</v>
      </c>
      <c r="J321">
        <v>0</v>
      </c>
      <c r="K321">
        <v>31</v>
      </c>
      <c r="L321">
        <v>303</v>
      </c>
      <c r="M321">
        <v>202</v>
      </c>
      <c r="N321">
        <v>13</v>
      </c>
      <c r="O321">
        <v>0</v>
      </c>
      <c r="P321">
        <v>23</v>
      </c>
      <c r="Q321">
        <v>14</v>
      </c>
      <c r="R321">
        <v>68</v>
      </c>
      <c r="S321" s="6">
        <v>1.65</v>
      </c>
      <c r="T321" s="6">
        <v>2</v>
      </c>
      <c r="U321" s="6" t="s">
        <v>756</v>
      </c>
      <c r="V321" t="s">
        <v>106</v>
      </c>
      <c r="W321" t="s">
        <v>756</v>
      </c>
      <c r="X321">
        <v>3</v>
      </c>
    </row>
    <row r="322" spans="1:27" x14ac:dyDescent="0.3">
      <c r="A322">
        <v>3210</v>
      </c>
      <c r="B322" t="s">
        <v>689</v>
      </c>
      <c r="C322" t="s">
        <v>648</v>
      </c>
      <c r="D322" t="s">
        <v>639</v>
      </c>
      <c r="E322" t="s">
        <v>1043</v>
      </c>
      <c r="F322">
        <v>7243</v>
      </c>
      <c r="G322" t="s">
        <v>12</v>
      </c>
      <c r="H322">
        <v>132</v>
      </c>
      <c r="I322">
        <v>389</v>
      </c>
      <c r="J322">
        <v>0</v>
      </c>
      <c r="K322">
        <v>31</v>
      </c>
      <c r="L322">
        <v>373</v>
      </c>
      <c r="M322">
        <v>275</v>
      </c>
      <c r="N322">
        <v>13</v>
      </c>
      <c r="O322">
        <v>0</v>
      </c>
      <c r="P322">
        <v>23</v>
      </c>
      <c r="Q322">
        <v>60</v>
      </c>
      <c r="R322">
        <v>72</v>
      </c>
      <c r="S322" s="6">
        <v>1.8</v>
      </c>
      <c r="T322" s="6">
        <v>1.8</v>
      </c>
      <c r="U322" s="6" t="s">
        <v>756</v>
      </c>
      <c r="V322" t="s">
        <v>106</v>
      </c>
      <c r="W322" t="s">
        <v>756</v>
      </c>
      <c r="X322">
        <v>3</v>
      </c>
    </row>
    <row r="323" spans="1:27" x14ac:dyDescent="0.3">
      <c r="A323">
        <v>3211</v>
      </c>
      <c r="B323" t="s">
        <v>690</v>
      </c>
      <c r="C323" t="s">
        <v>648</v>
      </c>
      <c r="D323" t="s">
        <v>639</v>
      </c>
      <c r="E323" t="s">
        <v>1043</v>
      </c>
      <c r="F323">
        <v>7243</v>
      </c>
      <c r="G323" t="s">
        <v>12</v>
      </c>
      <c r="H323">
        <v>132</v>
      </c>
      <c r="I323">
        <v>389</v>
      </c>
      <c r="J323">
        <v>0</v>
      </c>
      <c r="K323">
        <v>31</v>
      </c>
      <c r="L323">
        <v>373</v>
      </c>
      <c r="M323">
        <v>275</v>
      </c>
      <c r="N323">
        <v>13</v>
      </c>
      <c r="O323">
        <v>0</v>
      </c>
      <c r="P323">
        <v>23</v>
      </c>
      <c r="Q323">
        <v>60</v>
      </c>
      <c r="R323">
        <v>72</v>
      </c>
      <c r="S323" s="6">
        <v>1.75</v>
      </c>
      <c r="T323" s="6">
        <v>2</v>
      </c>
      <c r="U323" s="6" t="s">
        <v>756</v>
      </c>
      <c r="V323" t="s">
        <v>106</v>
      </c>
      <c r="W323" t="s">
        <v>756</v>
      </c>
      <c r="X323">
        <v>3</v>
      </c>
    </row>
    <row r="324" spans="1:27" x14ac:dyDescent="0.3">
      <c r="A324" t="s">
        <v>346</v>
      </c>
      <c r="B324" t="s">
        <v>632</v>
      </c>
      <c r="C324" t="s">
        <v>647</v>
      </c>
      <c r="D324" t="s">
        <v>643</v>
      </c>
      <c r="E324" t="s">
        <v>660</v>
      </c>
      <c r="F324">
        <v>7967</v>
      </c>
      <c r="G324" t="s">
        <v>12</v>
      </c>
      <c r="H324">
        <v>168</v>
      </c>
      <c r="I324">
        <v>423</v>
      </c>
      <c r="J324">
        <v>0</v>
      </c>
      <c r="K324">
        <v>35</v>
      </c>
      <c r="L324">
        <v>230</v>
      </c>
      <c r="M324">
        <v>0</v>
      </c>
      <c r="N324">
        <v>16</v>
      </c>
      <c r="O324">
        <v>0</v>
      </c>
      <c r="P324">
        <v>28</v>
      </c>
      <c r="Q324">
        <v>0</v>
      </c>
      <c r="R324">
        <v>68</v>
      </c>
      <c r="S324" s="6">
        <v>1.45</v>
      </c>
      <c r="T324" s="6">
        <v>2.1</v>
      </c>
      <c r="U324" s="6" t="s">
        <v>756</v>
      </c>
      <c r="V324" s="6" t="s">
        <v>756</v>
      </c>
      <c r="W324" t="s">
        <v>756</v>
      </c>
      <c r="X324" t="s">
        <v>756</v>
      </c>
    </row>
    <row r="325" spans="1:27" x14ac:dyDescent="0.3">
      <c r="A325" t="s">
        <v>348</v>
      </c>
      <c r="B325" t="s">
        <v>634</v>
      </c>
      <c r="C325" t="s">
        <v>648</v>
      </c>
      <c r="D325" t="s">
        <v>643</v>
      </c>
      <c r="E325" t="s">
        <v>660</v>
      </c>
      <c r="F325">
        <v>8607</v>
      </c>
      <c r="G325" t="s">
        <v>12</v>
      </c>
      <c r="H325">
        <v>146</v>
      </c>
      <c r="I325">
        <v>428</v>
      </c>
      <c r="J325">
        <v>0</v>
      </c>
      <c r="K325">
        <v>37</v>
      </c>
      <c r="L325">
        <v>237</v>
      </c>
      <c r="M325">
        <v>0</v>
      </c>
      <c r="N325">
        <v>16</v>
      </c>
      <c r="O325">
        <v>0</v>
      </c>
      <c r="P325">
        <v>28</v>
      </c>
      <c r="Q325">
        <v>0</v>
      </c>
      <c r="R325">
        <v>68</v>
      </c>
      <c r="S325" s="6">
        <v>1.4</v>
      </c>
      <c r="T325" s="6">
        <v>2.1</v>
      </c>
      <c r="U325" s="6" t="s">
        <v>756</v>
      </c>
      <c r="V325" s="6" t="s">
        <v>756</v>
      </c>
      <c r="W325" t="s">
        <v>756</v>
      </c>
      <c r="X325" t="s">
        <v>756</v>
      </c>
    </row>
    <row r="326" spans="1:27" x14ac:dyDescent="0.3">
      <c r="A326" s="42"/>
      <c r="B326" s="42" t="s">
        <v>1145</v>
      </c>
      <c r="C326" s="42" t="s">
        <v>653</v>
      </c>
      <c r="D326" t="s">
        <v>643</v>
      </c>
      <c r="E326" t="s">
        <v>660</v>
      </c>
      <c r="F326" s="42">
        <v>7863</v>
      </c>
      <c r="G326" t="s">
        <v>12</v>
      </c>
      <c r="H326" s="42">
        <v>168</v>
      </c>
      <c r="I326" s="42">
        <v>430</v>
      </c>
      <c r="J326" s="42">
        <v>0</v>
      </c>
      <c r="K326" s="42">
        <v>36</v>
      </c>
      <c r="L326" s="42">
        <v>241</v>
      </c>
      <c r="M326">
        <v>0</v>
      </c>
      <c r="N326" t="s">
        <v>1148</v>
      </c>
      <c r="O326">
        <v>0</v>
      </c>
      <c r="P326" s="42">
        <v>32</v>
      </c>
      <c r="Q326" s="42">
        <v>0</v>
      </c>
      <c r="R326" s="42">
        <v>71</v>
      </c>
      <c r="S326" s="43">
        <v>1.8</v>
      </c>
      <c r="T326" s="43">
        <v>2</v>
      </c>
      <c r="U326" s="6" t="s">
        <v>756</v>
      </c>
      <c r="V326" s="6" t="s">
        <v>756</v>
      </c>
      <c r="W326" t="s">
        <v>756</v>
      </c>
      <c r="X326" t="s">
        <v>756</v>
      </c>
    </row>
    <row r="327" spans="1:27" x14ac:dyDescent="0.3">
      <c r="A327" s="42"/>
      <c r="B327" s="42" t="s">
        <v>1142</v>
      </c>
      <c r="C327" s="42" t="s">
        <v>646</v>
      </c>
      <c r="D327" t="s">
        <v>643</v>
      </c>
      <c r="E327" t="s">
        <v>660</v>
      </c>
      <c r="F327" s="42">
        <v>8297</v>
      </c>
      <c r="G327" t="s">
        <v>12</v>
      </c>
      <c r="H327" s="42">
        <v>163</v>
      </c>
      <c r="I327" s="42">
        <v>436</v>
      </c>
      <c r="J327" s="42">
        <v>0</v>
      </c>
      <c r="K327" s="42">
        <v>30</v>
      </c>
      <c r="L327" s="42">
        <v>409</v>
      </c>
      <c r="M327">
        <v>0</v>
      </c>
      <c r="N327" t="s">
        <v>1148</v>
      </c>
      <c r="O327">
        <v>0</v>
      </c>
      <c r="P327" s="42">
        <v>33</v>
      </c>
      <c r="Q327" s="42">
        <v>0</v>
      </c>
      <c r="R327" s="42">
        <v>73</v>
      </c>
      <c r="S327" s="43">
        <v>1.65</v>
      </c>
      <c r="T327" s="43">
        <v>2</v>
      </c>
      <c r="U327" s="6" t="s">
        <v>756</v>
      </c>
      <c r="V327" s="6" t="s">
        <v>756</v>
      </c>
      <c r="W327" t="s">
        <v>756</v>
      </c>
      <c r="X327" t="s">
        <v>756</v>
      </c>
    </row>
    <row r="328" spans="1:27" x14ac:dyDescent="0.3">
      <c r="A328" s="42"/>
      <c r="B328" s="42" t="s">
        <v>1141</v>
      </c>
      <c r="C328" s="42" t="s">
        <v>649</v>
      </c>
      <c r="D328" s="42" t="s">
        <v>1147</v>
      </c>
      <c r="E328" t="s">
        <v>660</v>
      </c>
      <c r="F328" s="42">
        <v>9886</v>
      </c>
      <c r="G328" t="s">
        <v>12</v>
      </c>
      <c r="H328" s="42">
        <v>157</v>
      </c>
      <c r="I328" s="42">
        <v>449</v>
      </c>
      <c r="J328" s="42">
        <v>0</v>
      </c>
      <c r="K328" s="42">
        <v>27</v>
      </c>
      <c r="L328" s="42">
        <v>241</v>
      </c>
      <c r="M328">
        <v>0</v>
      </c>
      <c r="N328" t="s">
        <v>1148</v>
      </c>
      <c r="O328">
        <v>0</v>
      </c>
      <c r="P328" s="42">
        <v>30</v>
      </c>
      <c r="Q328" s="42">
        <v>0</v>
      </c>
      <c r="R328" s="42">
        <v>65</v>
      </c>
      <c r="S328" s="43">
        <v>1.6</v>
      </c>
      <c r="T328" s="43">
        <v>2.2000000000000002</v>
      </c>
      <c r="U328" s="6" t="s">
        <v>756</v>
      </c>
      <c r="V328" s="6" t="s">
        <v>756</v>
      </c>
      <c r="W328" t="s">
        <v>756</v>
      </c>
      <c r="X328" t="s">
        <v>756</v>
      </c>
    </row>
    <row r="329" spans="1:27" x14ac:dyDescent="0.3">
      <c r="Q329"/>
      <c r="R329"/>
    </row>
    <row r="330" spans="1:27" x14ac:dyDescent="0.3">
      <c r="A330" t="s">
        <v>351</v>
      </c>
      <c r="B330" t="s">
        <v>149</v>
      </c>
      <c r="C330" t="s">
        <v>192</v>
      </c>
      <c r="D330" t="s">
        <v>352</v>
      </c>
      <c r="E330" t="s">
        <v>150</v>
      </c>
      <c r="F330" t="s">
        <v>7</v>
      </c>
      <c r="G330" t="s">
        <v>353</v>
      </c>
      <c r="H330" t="s">
        <v>14</v>
      </c>
      <c r="I330" t="s">
        <v>9</v>
      </c>
      <c r="J330" t="s">
        <v>11</v>
      </c>
      <c r="K330" t="s">
        <v>294</v>
      </c>
      <c r="L330" t="s">
        <v>265</v>
      </c>
      <c r="M330" t="s">
        <v>293</v>
      </c>
      <c r="N330" t="s">
        <v>667</v>
      </c>
      <c r="O330" t="s">
        <v>666</v>
      </c>
      <c r="P330" t="s">
        <v>295</v>
      </c>
      <c r="Q330" t="s">
        <v>761</v>
      </c>
      <c r="R330" t="s">
        <v>762</v>
      </c>
      <c r="S330" s="6" t="s">
        <v>53</v>
      </c>
      <c r="T330" s="6" t="s">
        <v>668</v>
      </c>
      <c r="U330" s="6" t="s">
        <v>733</v>
      </c>
      <c r="V330" t="s">
        <v>749</v>
      </c>
      <c r="W330" t="s">
        <v>750</v>
      </c>
      <c r="X330" t="s">
        <v>751</v>
      </c>
      <c r="Y330" t="s">
        <v>752</v>
      </c>
      <c r="Z330" t="s">
        <v>753</v>
      </c>
      <c r="AA330" t="s">
        <v>754</v>
      </c>
    </row>
    <row r="331" spans="1:27" x14ac:dyDescent="0.3">
      <c r="A331">
        <v>73</v>
      </c>
      <c r="B331" t="s">
        <v>591</v>
      </c>
      <c r="C331" t="s">
        <v>646</v>
      </c>
      <c r="D331" t="s">
        <v>639</v>
      </c>
      <c r="E331" t="s">
        <v>368</v>
      </c>
      <c r="F331">
        <v>6912</v>
      </c>
      <c r="G331" t="s">
        <v>10</v>
      </c>
      <c r="H331">
        <v>110</v>
      </c>
      <c r="I331">
        <v>0</v>
      </c>
      <c r="J331">
        <v>0</v>
      </c>
      <c r="K331">
        <v>57</v>
      </c>
      <c r="L331">
        <v>303</v>
      </c>
      <c r="M331">
        <v>397</v>
      </c>
      <c r="N331">
        <v>12</v>
      </c>
      <c r="O331">
        <v>0</v>
      </c>
      <c r="P331">
        <v>33</v>
      </c>
      <c r="Q331">
        <v>35</v>
      </c>
      <c r="R331">
        <v>95</v>
      </c>
      <c r="S331" s="6">
        <v>1.2</v>
      </c>
      <c r="T331" s="6">
        <v>1.3</v>
      </c>
      <c r="U331" s="6">
        <v>1.3</v>
      </c>
      <c r="V331">
        <v>2</v>
      </c>
      <c r="W331">
        <v>3</v>
      </c>
      <c r="X331">
        <v>3</v>
      </c>
      <c r="Y331" t="s">
        <v>755</v>
      </c>
      <c r="Z331" t="s">
        <v>106</v>
      </c>
      <c r="AA331" t="s">
        <v>106</v>
      </c>
    </row>
    <row r="332" spans="1:27" x14ac:dyDescent="0.3">
      <c r="A332">
        <v>74</v>
      </c>
      <c r="B332" t="s">
        <v>367</v>
      </c>
      <c r="C332" t="s">
        <v>646</v>
      </c>
      <c r="D332" t="s">
        <v>639</v>
      </c>
      <c r="E332" t="s">
        <v>368</v>
      </c>
      <c r="F332">
        <v>6912</v>
      </c>
      <c r="G332" t="s">
        <v>10</v>
      </c>
      <c r="H332">
        <v>110</v>
      </c>
      <c r="I332">
        <v>0</v>
      </c>
      <c r="J332">
        <v>0</v>
      </c>
      <c r="K332">
        <v>57</v>
      </c>
      <c r="L332">
        <v>303</v>
      </c>
      <c r="M332">
        <v>397</v>
      </c>
      <c r="N332">
        <v>12</v>
      </c>
      <c r="O332">
        <v>0</v>
      </c>
      <c r="P332">
        <v>33</v>
      </c>
      <c r="Q332">
        <v>66</v>
      </c>
      <c r="R332">
        <v>95</v>
      </c>
      <c r="S332" s="6">
        <v>1.2</v>
      </c>
      <c r="T332" s="6">
        <v>1.3</v>
      </c>
      <c r="U332" s="6">
        <v>1.3</v>
      </c>
      <c r="V332">
        <v>2</v>
      </c>
      <c r="W332">
        <v>3</v>
      </c>
      <c r="X332">
        <v>3</v>
      </c>
      <c r="Y332" t="s">
        <v>755</v>
      </c>
      <c r="Z332" t="s">
        <v>106</v>
      </c>
      <c r="AA332" t="s">
        <v>106</v>
      </c>
    </row>
    <row r="333" spans="1:27" x14ac:dyDescent="0.3">
      <c r="A333">
        <v>76</v>
      </c>
      <c r="B333" t="s">
        <v>592</v>
      </c>
      <c r="C333" t="s">
        <v>646</v>
      </c>
      <c r="D333" t="s">
        <v>639</v>
      </c>
      <c r="E333" t="s">
        <v>368</v>
      </c>
      <c r="F333">
        <v>5797</v>
      </c>
      <c r="G333" t="s">
        <v>10</v>
      </c>
      <c r="H333">
        <v>121</v>
      </c>
      <c r="I333">
        <v>0</v>
      </c>
      <c r="J333">
        <v>0</v>
      </c>
      <c r="K333">
        <v>54</v>
      </c>
      <c r="L333">
        <v>317</v>
      </c>
      <c r="M333">
        <v>395</v>
      </c>
      <c r="N333">
        <v>12</v>
      </c>
      <c r="O333">
        <v>0</v>
      </c>
      <c r="P333">
        <v>32</v>
      </c>
      <c r="Q333">
        <v>39</v>
      </c>
      <c r="R333">
        <v>99</v>
      </c>
      <c r="S333" s="6">
        <v>1.25</v>
      </c>
      <c r="T333" s="6">
        <v>1.25</v>
      </c>
      <c r="U333" s="6">
        <v>1.25</v>
      </c>
      <c r="V333">
        <v>3</v>
      </c>
      <c r="W333">
        <v>3</v>
      </c>
      <c r="X333">
        <v>2</v>
      </c>
      <c r="Y333" t="s">
        <v>755</v>
      </c>
      <c r="Z333" t="s">
        <v>106</v>
      </c>
      <c r="AA333" t="s">
        <v>107</v>
      </c>
    </row>
    <row r="334" spans="1:27" x14ac:dyDescent="0.3">
      <c r="A334">
        <v>77</v>
      </c>
      <c r="B334" t="s">
        <v>593</v>
      </c>
      <c r="C334" t="s">
        <v>646</v>
      </c>
      <c r="D334" t="s">
        <v>642</v>
      </c>
      <c r="E334" t="s">
        <v>368</v>
      </c>
      <c r="F334">
        <v>6193</v>
      </c>
      <c r="G334" t="s">
        <v>10</v>
      </c>
      <c r="H334">
        <v>132</v>
      </c>
      <c r="I334">
        <v>0</v>
      </c>
      <c r="J334">
        <v>0</v>
      </c>
      <c r="K334">
        <v>62</v>
      </c>
      <c r="L334">
        <v>329</v>
      </c>
      <c r="M334">
        <v>429</v>
      </c>
      <c r="N334">
        <v>13</v>
      </c>
      <c r="O334">
        <v>0</v>
      </c>
      <c r="P334">
        <v>32</v>
      </c>
      <c r="Q334">
        <v>93</v>
      </c>
      <c r="R334">
        <v>110</v>
      </c>
      <c r="S334" s="6">
        <v>1.25</v>
      </c>
      <c r="T334" s="6">
        <v>1.25</v>
      </c>
      <c r="U334" s="6">
        <v>1.25</v>
      </c>
      <c r="V334">
        <v>3</v>
      </c>
      <c r="W334">
        <v>3</v>
      </c>
      <c r="X334">
        <v>2</v>
      </c>
      <c r="Y334" t="s">
        <v>755</v>
      </c>
      <c r="Z334" t="s">
        <v>106</v>
      </c>
      <c r="AA334" t="s">
        <v>107</v>
      </c>
    </row>
    <row r="335" spans="1:27" x14ac:dyDescent="0.3">
      <c r="A335">
        <v>78</v>
      </c>
      <c r="B335" t="s">
        <v>594</v>
      </c>
      <c r="C335" t="s">
        <v>646</v>
      </c>
      <c r="D335" t="s">
        <v>639</v>
      </c>
      <c r="E335" t="s">
        <v>368</v>
      </c>
      <c r="F335">
        <v>5823</v>
      </c>
      <c r="G335" t="s">
        <v>10</v>
      </c>
      <c r="H335">
        <v>121</v>
      </c>
      <c r="I335">
        <v>0</v>
      </c>
      <c r="J335">
        <v>0</v>
      </c>
      <c r="K335">
        <v>54</v>
      </c>
      <c r="L335">
        <v>307</v>
      </c>
      <c r="M335">
        <v>401</v>
      </c>
      <c r="N335">
        <v>12</v>
      </c>
      <c r="O335">
        <v>0</v>
      </c>
      <c r="P335">
        <v>32</v>
      </c>
      <c r="Q335">
        <v>15</v>
      </c>
      <c r="R335">
        <v>99</v>
      </c>
      <c r="S335" s="6">
        <v>1.25</v>
      </c>
      <c r="T335" s="6">
        <v>1.25</v>
      </c>
      <c r="U335" s="6">
        <v>1.25</v>
      </c>
      <c r="V335">
        <v>3</v>
      </c>
      <c r="W335">
        <v>3</v>
      </c>
      <c r="X335">
        <v>2</v>
      </c>
      <c r="Y335" t="s">
        <v>755</v>
      </c>
      <c r="Z335" t="s">
        <v>106</v>
      </c>
      <c r="AA335" t="s">
        <v>107</v>
      </c>
    </row>
    <row r="336" spans="1:27" x14ac:dyDescent="0.3">
      <c r="A336">
        <v>79</v>
      </c>
      <c r="B336" t="s">
        <v>595</v>
      </c>
      <c r="C336" t="s">
        <v>646</v>
      </c>
      <c r="D336" t="s">
        <v>640</v>
      </c>
      <c r="E336" t="s">
        <v>368</v>
      </c>
      <c r="F336">
        <v>4219</v>
      </c>
      <c r="G336" t="s">
        <v>10</v>
      </c>
      <c r="H336">
        <v>102</v>
      </c>
      <c r="I336">
        <v>0</v>
      </c>
      <c r="J336">
        <v>0</v>
      </c>
      <c r="K336">
        <v>31</v>
      </c>
      <c r="L336">
        <v>238</v>
      </c>
      <c r="M336">
        <v>292</v>
      </c>
      <c r="N336">
        <v>11</v>
      </c>
      <c r="O336">
        <v>0</v>
      </c>
      <c r="P336">
        <v>29</v>
      </c>
      <c r="Q336">
        <v>20</v>
      </c>
      <c r="R336">
        <v>91</v>
      </c>
      <c r="S336" s="6">
        <v>1.25</v>
      </c>
      <c r="T336" s="6">
        <v>1.25</v>
      </c>
      <c r="U336" s="6">
        <v>1.25</v>
      </c>
      <c r="V336">
        <v>3</v>
      </c>
      <c r="W336">
        <v>3</v>
      </c>
      <c r="X336">
        <v>2</v>
      </c>
      <c r="Y336" t="s">
        <v>755</v>
      </c>
      <c r="Z336" t="s">
        <v>106</v>
      </c>
      <c r="AA336" t="s">
        <v>107</v>
      </c>
    </row>
    <row r="337" spans="1:27" x14ac:dyDescent="0.3">
      <c r="A337">
        <v>144</v>
      </c>
      <c r="B337" t="s">
        <v>596</v>
      </c>
      <c r="C337" t="s">
        <v>647</v>
      </c>
      <c r="D337" t="s">
        <v>639</v>
      </c>
      <c r="E337" t="s">
        <v>368</v>
      </c>
      <c r="F337">
        <v>6107</v>
      </c>
      <c r="G337" t="s">
        <v>10</v>
      </c>
      <c r="H337">
        <v>117</v>
      </c>
      <c r="I337">
        <v>0</v>
      </c>
      <c r="J337">
        <v>0</v>
      </c>
      <c r="K337">
        <v>53</v>
      </c>
      <c r="L337">
        <v>307</v>
      </c>
      <c r="M337">
        <v>400</v>
      </c>
      <c r="N337">
        <v>12</v>
      </c>
      <c r="O337">
        <v>0</v>
      </c>
      <c r="P337">
        <v>31</v>
      </c>
      <c r="Q337">
        <v>87</v>
      </c>
      <c r="R337">
        <v>105</v>
      </c>
      <c r="S337" s="6">
        <v>1.4</v>
      </c>
      <c r="T337" s="6">
        <v>1.4</v>
      </c>
      <c r="U337" s="6">
        <v>0.8</v>
      </c>
      <c r="V337">
        <v>3</v>
      </c>
      <c r="W337">
        <v>3</v>
      </c>
      <c r="X337">
        <v>2</v>
      </c>
      <c r="Y337" t="s">
        <v>107</v>
      </c>
      <c r="Z337" t="s">
        <v>107</v>
      </c>
      <c r="AA337" t="s">
        <v>106</v>
      </c>
    </row>
    <row r="338" spans="1:27" x14ac:dyDescent="0.3">
      <c r="A338">
        <v>145</v>
      </c>
      <c r="B338" t="s">
        <v>597</v>
      </c>
      <c r="C338" t="s">
        <v>647</v>
      </c>
      <c r="D338" t="s">
        <v>642</v>
      </c>
      <c r="E338" t="s">
        <v>368</v>
      </c>
      <c r="F338">
        <v>6561</v>
      </c>
      <c r="G338" t="s">
        <v>12</v>
      </c>
      <c r="H338">
        <v>117</v>
      </c>
      <c r="I338">
        <v>0</v>
      </c>
      <c r="J338">
        <v>0</v>
      </c>
      <c r="K338">
        <v>53</v>
      </c>
      <c r="L338">
        <v>296</v>
      </c>
      <c r="M338">
        <v>400</v>
      </c>
      <c r="N338">
        <v>13</v>
      </c>
      <c r="O338">
        <v>0</v>
      </c>
      <c r="P338">
        <v>30</v>
      </c>
      <c r="Q338">
        <v>44</v>
      </c>
      <c r="R338">
        <v>93</v>
      </c>
      <c r="S338" s="6">
        <v>1.35</v>
      </c>
      <c r="T338" s="6">
        <v>1.35</v>
      </c>
      <c r="U338" s="6">
        <v>1.1000000000000001</v>
      </c>
      <c r="V338">
        <v>3</v>
      </c>
      <c r="W338">
        <v>3</v>
      </c>
      <c r="X338">
        <v>2</v>
      </c>
      <c r="Y338" t="s">
        <v>755</v>
      </c>
      <c r="Z338" t="s">
        <v>755</v>
      </c>
      <c r="AA338" t="s">
        <v>107</v>
      </c>
    </row>
    <row r="339" spans="1:27" x14ac:dyDescent="0.3">
      <c r="A339">
        <v>146</v>
      </c>
      <c r="B339" t="s">
        <v>598</v>
      </c>
      <c r="C339" t="s">
        <v>647</v>
      </c>
      <c r="D339" t="s">
        <v>642</v>
      </c>
      <c r="E339" t="s">
        <v>368</v>
      </c>
      <c r="F339">
        <v>6262</v>
      </c>
      <c r="G339" t="s">
        <v>12</v>
      </c>
      <c r="H339">
        <v>104</v>
      </c>
      <c r="I339">
        <v>0</v>
      </c>
      <c r="J339">
        <v>0</v>
      </c>
      <c r="K339">
        <v>53</v>
      </c>
      <c r="L339">
        <v>289</v>
      </c>
      <c r="M339">
        <v>410</v>
      </c>
      <c r="N339">
        <v>13</v>
      </c>
      <c r="O339">
        <v>0</v>
      </c>
      <c r="P339">
        <v>30</v>
      </c>
      <c r="Q339">
        <v>82</v>
      </c>
      <c r="R339">
        <v>92</v>
      </c>
      <c r="S339" s="6">
        <v>1.2</v>
      </c>
      <c r="T339" s="6">
        <v>1.3</v>
      </c>
      <c r="U339" s="6">
        <v>1.3</v>
      </c>
      <c r="V339">
        <v>2</v>
      </c>
      <c r="W339">
        <v>3</v>
      </c>
      <c r="X339">
        <v>3</v>
      </c>
      <c r="Y339" t="s">
        <v>755</v>
      </c>
      <c r="Z339" t="s">
        <v>106</v>
      </c>
      <c r="AA339" t="s">
        <v>107</v>
      </c>
    </row>
    <row r="340" spans="1:27" x14ac:dyDescent="0.3">
      <c r="A340">
        <v>148</v>
      </c>
      <c r="B340" t="s">
        <v>599</v>
      </c>
      <c r="C340" t="s">
        <v>647</v>
      </c>
      <c r="D340" t="s">
        <v>639</v>
      </c>
      <c r="E340" t="s">
        <v>368</v>
      </c>
      <c r="F340">
        <v>6313</v>
      </c>
      <c r="G340" t="s">
        <v>10</v>
      </c>
      <c r="H340">
        <v>109</v>
      </c>
      <c r="I340">
        <v>0</v>
      </c>
      <c r="J340">
        <v>0</v>
      </c>
      <c r="K340">
        <v>51</v>
      </c>
      <c r="L340">
        <v>292</v>
      </c>
      <c r="M340">
        <v>360</v>
      </c>
      <c r="N340">
        <v>12</v>
      </c>
      <c r="O340">
        <v>0</v>
      </c>
      <c r="P340">
        <v>30</v>
      </c>
      <c r="Q340">
        <v>32</v>
      </c>
      <c r="R340">
        <v>91</v>
      </c>
      <c r="S340" s="6">
        <v>1.4</v>
      </c>
      <c r="T340" s="6">
        <v>1.1499999999999999</v>
      </c>
      <c r="U340" s="6">
        <v>1.1499999999999999</v>
      </c>
      <c r="V340">
        <v>3</v>
      </c>
      <c r="W340">
        <v>2</v>
      </c>
      <c r="X340">
        <v>2</v>
      </c>
      <c r="Y340" t="s">
        <v>755</v>
      </c>
      <c r="Z340" t="s">
        <v>107</v>
      </c>
      <c r="AA340" t="s">
        <v>107</v>
      </c>
    </row>
    <row r="341" spans="1:27" x14ac:dyDescent="0.3">
      <c r="A341">
        <v>224</v>
      </c>
      <c r="B341" t="s">
        <v>600</v>
      </c>
      <c r="C341" t="s">
        <v>648</v>
      </c>
      <c r="D341" t="s">
        <v>642</v>
      </c>
      <c r="E341" t="s">
        <v>368</v>
      </c>
      <c r="F341">
        <v>6588</v>
      </c>
      <c r="G341" t="s">
        <v>10</v>
      </c>
      <c r="H341">
        <v>131</v>
      </c>
      <c r="I341">
        <v>0</v>
      </c>
      <c r="J341">
        <v>0</v>
      </c>
      <c r="K341">
        <v>54</v>
      </c>
      <c r="L341">
        <v>323</v>
      </c>
      <c r="M341">
        <v>409</v>
      </c>
      <c r="N341">
        <v>13</v>
      </c>
      <c r="O341">
        <v>0</v>
      </c>
      <c r="P341">
        <v>31</v>
      </c>
      <c r="Q341">
        <v>42</v>
      </c>
      <c r="R341">
        <v>92</v>
      </c>
      <c r="S341" s="6">
        <v>1.25</v>
      </c>
      <c r="T341" s="6">
        <v>1.25</v>
      </c>
      <c r="U341" s="6">
        <v>1.25</v>
      </c>
      <c r="V341">
        <v>3</v>
      </c>
      <c r="W341">
        <v>2</v>
      </c>
      <c r="X341">
        <v>3</v>
      </c>
      <c r="Y341" t="s">
        <v>755</v>
      </c>
      <c r="Z341" t="s">
        <v>106</v>
      </c>
      <c r="AA341" t="s">
        <v>107</v>
      </c>
    </row>
    <row r="342" spans="1:27" x14ac:dyDescent="0.3">
      <c r="A342">
        <v>225</v>
      </c>
      <c r="B342" t="s">
        <v>601</v>
      </c>
      <c r="C342" t="s">
        <v>648</v>
      </c>
      <c r="D342" t="s">
        <v>642</v>
      </c>
      <c r="E342" t="s">
        <v>368</v>
      </c>
      <c r="F342">
        <v>6771</v>
      </c>
      <c r="G342" t="s">
        <v>10</v>
      </c>
      <c r="H342">
        <v>131</v>
      </c>
      <c r="I342">
        <v>0</v>
      </c>
      <c r="J342">
        <v>0</v>
      </c>
      <c r="K342">
        <v>49</v>
      </c>
      <c r="L342">
        <v>323</v>
      </c>
      <c r="M342">
        <v>408</v>
      </c>
      <c r="N342">
        <v>13</v>
      </c>
      <c r="O342">
        <v>0</v>
      </c>
      <c r="P342">
        <v>28</v>
      </c>
      <c r="Q342">
        <v>42</v>
      </c>
      <c r="R342">
        <v>92</v>
      </c>
      <c r="S342" s="6">
        <v>1.1000000000000001</v>
      </c>
      <c r="T342" s="6">
        <v>1.1000000000000001</v>
      </c>
      <c r="U342" s="6">
        <v>1.5</v>
      </c>
      <c r="V342">
        <v>3</v>
      </c>
      <c r="W342">
        <v>2</v>
      </c>
      <c r="X342">
        <v>3</v>
      </c>
      <c r="Y342" t="s">
        <v>755</v>
      </c>
      <c r="Z342" t="s">
        <v>106</v>
      </c>
      <c r="AA342" t="s">
        <v>107</v>
      </c>
    </row>
    <row r="343" spans="1:27" x14ac:dyDescent="0.3">
      <c r="A343">
        <v>226</v>
      </c>
      <c r="B343" t="s">
        <v>397</v>
      </c>
      <c r="C343" t="s">
        <v>648</v>
      </c>
      <c r="D343" t="s">
        <v>639</v>
      </c>
      <c r="E343" t="s">
        <v>368</v>
      </c>
      <c r="F343">
        <v>5246</v>
      </c>
      <c r="G343" t="s">
        <v>10</v>
      </c>
      <c r="H343">
        <v>121</v>
      </c>
      <c r="I343">
        <v>0</v>
      </c>
      <c r="J343">
        <v>0</v>
      </c>
      <c r="K343">
        <v>56</v>
      </c>
      <c r="L343">
        <v>313</v>
      </c>
      <c r="M343">
        <v>390</v>
      </c>
      <c r="N343">
        <v>12</v>
      </c>
      <c r="O343">
        <v>0</v>
      </c>
      <c r="P343">
        <v>34</v>
      </c>
      <c r="Q343">
        <v>36</v>
      </c>
      <c r="R343">
        <v>87</v>
      </c>
      <c r="S343" s="6">
        <v>1.1000000000000001</v>
      </c>
      <c r="T343" s="6">
        <v>1.5</v>
      </c>
      <c r="U343" s="6">
        <v>1.1000000000000001</v>
      </c>
      <c r="V343">
        <v>3</v>
      </c>
      <c r="W343">
        <v>3</v>
      </c>
      <c r="X343">
        <v>2</v>
      </c>
      <c r="Y343" t="s">
        <v>755</v>
      </c>
      <c r="Z343" t="s">
        <v>106</v>
      </c>
      <c r="AA343" t="s">
        <v>107</v>
      </c>
    </row>
    <row r="344" spans="1:27" x14ac:dyDescent="0.3">
      <c r="A344">
        <v>227</v>
      </c>
      <c r="B344" t="s">
        <v>398</v>
      </c>
      <c r="C344" t="s">
        <v>648</v>
      </c>
      <c r="D344" t="s">
        <v>639</v>
      </c>
      <c r="E344" t="s">
        <v>368</v>
      </c>
      <c r="F344">
        <v>5468</v>
      </c>
      <c r="G344" t="s">
        <v>10</v>
      </c>
      <c r="H344">
        <v>121</v>
      </c>
      <c r="I344">
        <v>0</v>
      </c>
      <c r="J344">
        <v>0</v>
      </c>
      <c r="K344">
        <v>56</v>
      </c>
      <c r="L344">
        <v>311</v>
      </c>
      <c r="M344">
        <v>391</v>
      </c>
      <c r="N344">
        <v>12</v>
      </c>
      <c r="O344">
        <v>0</v>
      </c>
      <c r="P344">
        <v>34</v>
      </c>
      <c r="Q344">
        <v>36</v>
      </c>
      <c r="R344">
        <v>87</v>
      </c>
      <c r="S344" s="6">
        <v>1.1000000000000001</v>
      </c>
      <c r="T344" s="6">
        <v>1.1000000000000001</v>
      </c>
      <c r="U344" s="6">
        <v>1.5</v>
      </c>
      <c r="V344">
        <v>3</v>
      </c>
      <c r="W344">
        <v>2</v>
      </c>
      <c r="X344">
        <v>3</v>
      </c>
      <c r="Y344" t="s">
        <v>755</v>
      </c>
      <c r="Z344" t="s">
        <v>106</v>
      </c>
      <c r="AA344" t="s">
        <v>107</v>
      </c>
    </row>
    <row r="345" spans="1:27" x14ac:dyDescent="0.3">
      <c r="A345">
        <v>228</v>
      </c>
      <c r="B345" t="s">
        <v>602</v>
      </c>
      <c r="C345" t="s">
        <v>648</v>
      </c>
      <c r="D345" t="s">
        <v>642</v>
      </c>
      <c r="E345" t="s">
        <v>368</v>
      </c>
      <c r="F345">
        <v>6729</v>
      </c>
      <c r="G345" t="s">
        <v>10</v>
      </c>
      <c r="H345">
        <v>120</v>
      </c>
      <c r="I345">
        <v>0</v>
      </c>
      <c r="J345">
        <v>0</v>
      </c>
      <c r="K345">
        <v>56</v>
      </c>
      <c r="L345">
        <v>349</v>
      </c>
      <c r="M345">
        <v>412</v>
      </c>
      <c r="N345">
        <v>13</v>
      </c>
      <c r="O345">
        <v>0</v>
      </c>
      <c r="P345">
        <v>34</v>
      </c>
      <c r="Q345">
        <v>49</v>
      </c>
      <c r="R345">
        <v>90</v>
      </c>
      <c r="S345" s="6">
        <v>1.1000000000000001</v>
      </c>
      <c r="T345" s="6">
        <v>1.1000000000000001</v>
      </c>
      <c r="U345" s="6">
        <v>1.5</v>
      </c>
      <c r="V345">
        <v>2</v>
      </c>
      <c r="W345">
        <v>2</v>
      </c>
      <c r="X345">
        <v>4</v>
      </c>
      <c r="Y345" t="s">
        <v>755</v>
      </c>
      <c r="Z345" t="s">
        <v>106</v>
      </c>
      <c r="AA345" t="s">
        <v>107</v>
      </c>
    </row>
    <row r="346" spans="1:27" x14ac:dyDescent="0.3">
      <c r="A346">
        <v>229</v>
      </c>
      <c r="B346" t="s">
        <v>603</v>
      </c>
      <c r="C346" t="s">
        <v>648</v>
      </c>
      <c r="D346" t="s">
        <v>642</v>
      </c>
      <c r="E346" t="s">
        <v>368</v>
      </c>
      <c r="F346">
        <v>7193</v>
      </c>
      <c r="G346" t="s">
        <v>10</v>
      </c>
      <c r="H346">
        <v>120</v>
      </c>
      <c r="I346">
        <v>0</v>
      </c>
      <c r="J346">
        <v>0</v>
      </c>
      <c r="K346">
        <v>57</v>
      </c>
      <c r="L346">
        <v>323</v>
      </c>
      <c r="M346">
        <v>414</v>
      </c>
      <c r="N346">
        <v>13</v>
      </c>
      <c r="O346">
        <v>0</v>
      </c>
      <c r="P346">
        <v>34</v>
      </c>
      <c r="Q346">
        <v>73</v>
      </c>
      <c r="R346">
        <v>90</v>
      </c>
      <c r="S346" s="6">
        <v>1.3</v>
      </c>
      <c r="T346" s="6">
        <v>1.25</v>
      </c>
      <c r="U346" s="6">
        <v>1.25</v>
      </c>
      <c r="V346">
        <v>2</v>
      </c>
      <c r="W346">
        <v>3</v>
      </c>
      <c r="X346">
        <v>3</v>
      </c>
      <c r="Y346" t="s">
        <v>755</v>
      </c>
      <c r="Z346" t="s">
        <v>106</v>
      </c>
      <c r="AA346" t="s">
        <v>107</v>
      </c>
    </row>
    <row r="347" spans="1:27" x14ac:dyDescent="0.3">
      <c r="A347">
        <v>230</v>
      </c>
      <c r="B347" t="s">
        <v>604</v>
      </c>
      <c r="C347" t="s">
        <v>648</v>
      </c>
      <c r="D347" t="s">
        <v>642</v>
      </c>
      <c r="E347" t="s">
        <v>368</v>
      </c>
      <c r="F347">
        <v>7310</v>
      </c>
      <c r="G347" t="s">
        <v>12</v>
      </c>
      <c r="H347">
        <v>120</v>
      </c>
      <c r="I347">
        <v>0</v>
      </c>
      <c r="J347">
        <v>0</v>
      </c>
      <c r="K347">
        <v>54</v>
      </c>
      <c r="L347">
        <v>319</v>
      </c>
      <c r="M347">
        <v>399</v>
      </c>
      <c r="N347">
        <v>13</v>
      </c>
      <c r="O347">
        <v>0</v>
      </c>
      <c r="P347">
        <v>33</v>
      </c>
      <c r="Q347">
        <v>36</v>
      </c>
      <c r="R347">
        <v>84</v>
      </c>
      <c r="S347" s="6">
        <v>1.2</v>
      </c>
      <c r="T347" s="6">
        <v>1.3</v>
      </c>
      <c r="U347" s="6">
        <v>1.4</v>
      </c>
      <c r="V347">
        <v>2</v>
      </c>
      <c r="W347">
        <v>3</v>
      </c>
      <c r="X347">
        <v>3</v>
      </c>
      <c r="Y347" t="s">
        <v>755</v>
      </c>
      <c r="Z347" t="s">
        <v>106</v>
      </c>
      <c r="AA347" t="s">
        <v>107</v>
      </c>
    </row>
    <row r="348" spans="1:27" x14ac:dyDescent="0.3">
      <c r="A348">
        <v>252</v>
      </c>
      <c r="B348" t="s">
        <v>605</v>
      </c>
      <c r="C348" t="s">
        <v>649</v>
      </c>
      <c r="D348" t="s">
        <v>642</v>
      </c>
      <c r="E348" t="s">
        <v>368</v>
      </c>
      <c r="F348">
        <v>7488</v>
      </c>
      <c r="G348" t="s">
        <v>10</v>
      </c>
      <c r="H348">
        <v>115</v>
      </c>
      <c r="I348">
        <v>0</v>
      </c>
      <c r="J348">
        <v>0</v>
      </c>
      <c r="K348">
        <v>50</v>
      </c>
      <c r="L348">
        <v>319</v>
      </c>
      <c r="M348">
        <v>400</v>
      </c>
      <c r="N348">
        <v>13</v>
      </c>
      <c r="O348">
        <v>0</v>
      </c>
      <c r="P348">
        <v>33</v>
      </c>
      <c r="Q348">
        <v>45</v>
      </c>
      <c r="R348">
        <v>90</v>
      </c>
      <c r="S348" s="6">
        <v>1.2</v>
      </c>
      <c r="T348" s="6">
        <v>1.3</v>
      </c>
      <c r="U348" s="6">
        <v>1.3</v>
      </c>
      <c r="V348">
        <v>2</v>
      </c>
      <c r="W348">
        <v>3</v>
      </c>
      <c r="X348">
        <v>3</v>
      </c>
      <c r="Y348" t="s">
        <v>755</v>
      </c>
      <c r="Z348" t="s">
        <v>106</v>
      </c>
      <c r="AA348" t="s">
        <v>106</v>
      </c>
    </row>
    <row r="349" spans="1:27" x14ac:dyDescent="0.3">
      <c r="A349">
        <v>357</v>
      </c>
      <c r="B349" t="s">
        <v>606</v>
      </c>
      <c r="C349" t="s">
        <v>646</v>
      </c>
      <c r="D349" t="s">
        <v>642</v>
      </c>
      <c r="E349" t="s">
        <v>368</v>
      </c>
      <c r="F349">
        <v>6647</v>
      </c>
      <c r="G349" t="s">
        <v>10</v>
      </c>
      <c r="H349">
        <v>131</v>
      </c>
      <c r="I349">
        <v>0</v>
      </c>
      <c r="J349">
        <v>0</v>
      </c>
      <c r="K349">
        <v>54</v>
      </c>
      <c r="L349">
        <v>331</v>
      </c>
      <c r="M349">
        <v>433</v>
      </c>
      <c r="N349">
        <v>13</v>
      </c>
      <c r="O349">
        <v>0</v>
      </c>
      <c r="P349">
        <v>33</v>
      </c>
      <c r="Q349">
        <v>90</v>
      </c>
      <c r="R349">
        <v>91</v>
      </c>
      <c r="S349" s="6">
        <v>1.4</v>
      </c>
      <c r="T349" s="6">
        <v>1.3</v>
      </c>
      <c r="U349" s="6">
        <v>1.2</v>
      </c>
      <c r="V349">
        <v>3</v>
      </c>
      <c r="W349">
        <v>3</v>
      </c>
      <c r="X349">
        <v>2</v>
      </c>
      <c r="Y349" t="s">
        <v>755</v>
      </c>
      <c r="Z349" t="s">
        <v>106</v>
      </c>
      <c r="AA349" t="s">
        <v>107</v>
      </c>
    </row>
    <row r="350" spans="1:27" x14ac:dyDescent="0.3">
      <c r="A350" t="s">
        <v>334</v>
      </c>
      <c r="B350" t="s">
        <v>620</v>
      </c>
      <c r="C350" t="s">
        <v>654</v>
      </c>
      <c r="D350" t="s">
        <v>639</v>
      </c>
      <c r="E350" t="s">
        <v>368</v>
      </c>
      <c r="F350">
        <v>5523</v>
      </c>
      <c r="G350" t="s">
        <v>10</v>
      </c>
      <c r="H350">
        <v>112</v>
      </c>
      <c r="I350">
        <v>0</v>
      </c>
      <c r="J350">
        <v>0</v>
      </c>
      <c r="K350">
        <v>48</v>
      </c>
      <c r="L350">
        <v>288</v>
      </c>
      <c r="M350">
        <v>377</v>
      </c>
      <c r="N350">
        <v>12</v>
      </c>
      <c r="O350">
        <v>0</v>
      </c>
      <c r="P350">
        <v>28</v>
      </c>
      <c r="Q350">
        <v>93</v>
      </c>
      <c r="R350">
        <v>89</v>
      </c>
      <c r="S350" s="6">
        <v>1.2</v>
      </c>
      <c r="T350" s="6">
        <v>1.25</v>
      </c>
      <c r="U350" s="6">
        <v>1.25</v>
      </c>
      <c r="V350">
        <v>3</v>
      </c>
      <c r="W350">
        <v>2</v>
      </c>
      <c r="X350">
        <v>2</v>
      </c>
      <c r="Y350" t="s">
        <v>755</v>
      </c>
      <c r="Z350" t="s">
        <v>106</v>
      </c>
      <c r="AA350" t="s">
        <v>106</v>
      </c>
    </row>
    <row r="351" spans="1:27" x14ac:dyDescent="0.3">
      <c r="A351" t="s">
        <v>338</v>
      </c>
      <c r="B351" t="s">
        <v>624</v>
      </c>
      <c r="C351" t="s">
        <v>654</v>
      </c>
      <c r="D351" t="s">
        <v>642</v>
      </c>
      <c r="E351" t="s">
        <v>368</v>
      </c>
      <c r="F351">
        <v>5781</v>
      </c>
      <c r="G351" t="s">
        <v>10</v>
      </c>
      <c r="H351">
        <v>115</v>
      </c>
      <c r="I351">
        <v>0</v>
      </c>
      <c r="J351">
        <v>0</v>
      </c>
      <c r="K351">
        <v>55</v>
      </c>
      <c r="L351">
        <v>298</v>
      </c>
      <c r="M351">
        <v>395</v>
      </c>
      <c r="N351">
        <v>13</v>
      </c>
      <c r="O351">
        <v>0</v>
      </c>
      <c r="P351">
        <v>28</v>
      </c>
      <c r="Q351">
        <v>95</v>
      </c>
      <c r="R351">
        <v>89</v>
      </c>
      <c r="S351" s="6">
        <v>1.2</v>
      </c>
      <c r="T351" s="6">
        <v>1.25</v>
      </c>
      <c r="U351" s="6">
        <v>1.25</v>
      </c>
      <c r="V351">
        <v>3</v>
      </c>
      <c r="W351">
        <v>2</v>
      </c>
      <c r="X351">
        <v>2</v>
      </c>
      <c r="Y351" t="s">
        <v>755</v>
      </c>
      <c r="Z351" t="s">
        <v>106</v>
      </c>
      <c r="AA351" t="s">
        <v>106</v>
      </c>
    </row>
    <row r="352" spans="1:27" x14ac:dyDescent="0.3">
      <c r="A352" t="s">
        <v>344</v>
      </c>
      <c r="B352" t="s">
        <v>630</v>
      </c>
      <c r="C352" t="s">
        <v>655</v>
      </c>
      <c r="D352" t="s">
        <v>639</v>
      </c>
      <c r="E352" t="s">
        <v>368</v>
      </c>
      <c r="F352">
        <v>5126</v>
      </c>
      <c r="G352" t="s">
        <v>10</v>
      </c>
      <c r="H352">
        <v>95</v>
      </c>
      <c r="I352">
        <v>0</v>
      </c>
      <c r="J352">
        <v>0</v>
      </c>
      <c r="K352">
        <v>54</v>
      </c>
      <c r="L352">
        <v>266</v>
      </c>
      <c r="M352">
        <v>337</v>
      </c>
      <c r="N352">
        <v>12</v>
      </c>
      <c r="O352">
        <v>0</v>
      </c>
      <c r="P352">
        <v>32</v>
      </c>
      <c r="Q352">
        <v>43</v>
      </c>
      <c r="R352">
        <v>82</v>
      </c>
      <c r="S352" s="6">
        <v>1.05</v>
      </c>
      <c r="T352" s="6">
        <v>1.05</v>
      </c>
      <c r="U352" s="6">
        <v>1.05</v>
      </c>
      <c r="V352">
        <v>2</v>
      </c>
      <c r="W352">
        <v>3</v>
      </c>
      <c r="X352">
        <v>3</v>
      </c>
      <c r="Y352" t="s">
        <v>755</v>
      </c>
      <c r="Z352" t="s">
        <v>107</v>
      </c>
      <c r="AA352" t="s">
        <v>107</v>
      </c>
    </row>
    <row r="353" spans="1:27" x14ac:dyDescent="0.3">
      <c r="A353">
        <v>3074</v>
      </c>
      <c r="B353" t="s">
        <v>679</v>
      </c>
      <c r="C353" t="s">
        <v>646</v>
      </c>
      <c r="D353" t="s">
        <v>642</v>
      </c>
      <c r="E353" t="s">
        <v>368</v>
      </c>
      <c r="F353">
        <v>7122</v>
      </c>
      <c r="G353" t="s">
        <v>10</v>
      </c>
      <c r="H353">
        <v>130</v>
      </c>
      <c r="I353">
        <v>0</v>
      </c>
      <c r="J353">
        <v>0</v>
      </c>
      <c r="K353">
        <v>57</v>
      </c>
      <c r="L353">
        <v>353</v>
      </c>
      <c r="M353">
        <v>442</v>
      </c>
      <c r="N353">
        <v>12</v>
      </c>
      <c r="O353">
        <v>0</v>
      </c>
      <c r="P353">
        <v>33</v>
      </c>
      <c r="Q353">
        <v>66</v>
      </c>
      <c r="R353">
        <v>95</v>
      </c>
      <c r="S353" s="6">
        <v>1.25</v>
      </c>
      <c r="T353" s="6">
        <v>1.4</v>
      </c>
      <c r="U353" s="6">
        <v>1.4</v>
      </c>
      <c r="V353">
        <v>2</v>
      </c>
      <c r="W353">
        <v>3</v>
      </c>
      <c r="X353">
        <v>3</v>
      </c>
      <c r="Y353" t="s">
        <v>755</v>
      </c>
      <c r="Z353" t="s">
        <v>106</v>
      </c>
      <c r="AA353" t="s">
        <v>106</v>
      </c>
    </row>
    <row r="354" spans="1:27" x14ac:dyDescent="0.3">
      <c r="A354">
        <v>3226</v>
      </c>
      <c r="B354" t="s">
        <v>682</v>
      </c>
      <c r="C354" t="s">
        <v>648</v>
      </c>
      <c r="D354" t="s">
        <v>642</v>
      </c>
      <c r="E354" t="s">
        <v>368</v>
      </c>
      <c r="F354">
        <v>5426</v>
      </c>
      <c r="G354" t="s">
        <v>10</v>
      </c>
      <c r="H354">
        <v>141</v>
      </c>
      <c r="I354">
        <v>0</v>
      </c>
      <c r="J354">
        <v>0</v>
      </c>
      <c r="K354">
        <v>66</v>
      </c>
      <c r="L354">
        <v>363</v>
      </c>
      <c r="M354">
        <v>425</v>
      </c>
      <c r="N354">
        <v>12</v>
      </c>
      <c r="O354">
        <v>0</v>
      </c>
      <c r="P354">
        <v>34</v>
      </c>
      <c r="Q354">
        <v>36</v>
      </c>
      <c r="R354">
        <v>87</v>
      </c>
      <c r="S354" s="6">
        <v>1.25</v>
      </c>
      <c r="T354" s="6">
        <v>1.5</v>
      </c>
      <c r="U354" s="6">
        <v>1.1499999999999999</v>
      </c>
      <c r="V354">
        <v>3</v>
      </c>
      <c r="W354">
        <v>3</v>
      </c>
      <c r="X354">
        <v>2</v>
      </c>
      <c r="Y354" t="s">
        <v>755</v>
      </c>
      <c r="Z354" t="s">
        <v>106</v>
      </c>
      <c r="AA354" t="s">
        <v>107</v>
      </c>
    </row>
    <row r="355" spans="1:27" x14ac:dyDescent="0.3">
      <c r="A355">
        <v>3227</v>
      </c>
      <c r="B355" t="s">
        <v>683</v>
      </c>
      <c r="C355" t="s">
        <v>648</v>
      </c>
      <c r="D355" t="s">
        <v>642</v>
      </c>
      <c r="E355" t="s">
        <v>368</v>
      </c>
      <c r="F355">
        <v>5678</v>
      </c>
      <c r="G355" t="s">
        <v>10</v>
      </c>
      <c r="H355">
        <v>141</v>
      </c>
      <c r="I355">
        <v>0</v>
      </c>
      <c r="J355">
        <v>0</v>
      </c>
      <c r="K355">
        <v>66</v>
      </c>
      <c r="L355">
        <v>361</v>
      </c>
      <c r="M355">
        <v>426</v>
      </c>
      <c r="N355">
        <v>12</v>
      </c>
      <c r="O355">
        <v>0</v>
      </c>
      <c r="P355">
        <v>34</v>
      </c>
      <c r="Q355">
        <v>36</v>
      </c>
      <c r="R355">
        <v>87</v>
      </c>
      <c r="S355" s="6">
        <v>1.25</v>
      </c>
      <c r="T355" s="6">
        <v>1.1499999999999999</v>
      </c>
      <c r="U355" s="6">
        <v>1.5</v>
      </c>
      <c r="V355">
        <v>3</v>
      </c>
      <c r="W355">
        <v>2</v>
      </c>
      <c r="X355">
        <v>3</v>
      </c>
      <c r="Y355" t="s">
        <v>755</v>
      </c>
      <c r="Z355" t="s">
        <v>106</v>
      </c>
      <c r="AA355" t="s">
        <v>107</v>
      </c>
    </row>
    <row r="356" spans="1:27" x14ac:dyDescent="0.3">
      <c r="A356">
        <v>378</v>
      </c>
      <c r="B356" t="s">
        <v>978</v>
      </c>
      <c r="C356" t="s">
        <v>646</v>
      </c>
      <c r="D356" t="s">
        <v>642</v>
      </c>
      <c r="E356" t="s">
        <v>368</v>
      </c>
      <c r="F356">
        <v>6647</v>
      </c>
      <c r="G356" t="s">
        <v>10</v>
      </c>
      <c r="H356">
        <v>131</v>
      </c>
      <c r="I356">
        <v>0</v>
      </c>
      <c r="J356">
        <v>0</v>
      </c>
      <c r="K356">
        <v>54</v>
      </c>
      <c r="L356">
        <v>331</v>
      </c>
      <c r="M356">
        <v>430</v>
      </c>
      <c r="N356">
        <v>13</v>
      </c>
      <c r="O356">
        <v>0</v>
      </c>
      <c r="P356">
        <v>33</v>
      </c>
      <c r="Q356">
        <v>83</v>
      </c>
      <c r="R356">
        <v>91</v>
      </c>
      <c r="S356" s="6">
        <v>1.4</v>
      </c>
      <c r="T356" s="6">
        <v>1.3</v>
      </c>
      <c r="U356" s="6">
        <v>1.1499999999999999</v>
      </c>
      <c r="V356">
        <v>3</v>
      </c>
      <c r="W356">
        <v>3</v>
      </c>
      <c r="X356">
        <v>2</v>
      </c>
      <c r="Y356" t="s">
        <v>755</v>
      </c>
      <c r="Z356" t="s">
        <v>106</v>
      </c>
      <c r="AA356" t="s">
        <v>107</v>
      </c>
    </row>
    <row r="357" spans="1:27" x14ac:dyDescent="0.3">
      <c r="B357" t="s">
        <v>1074</v>
      </c>
      <c r="C357" t="s">
        <v>646</v>
      </c>
      <c r="D357" t="s">
        <v>642</v>
      </c>
      <c r="E357" t="s">
        <v>368</v>
      </c>
      <c r="F357">
        <v>6610</v>
      </c>
      <c r="G357" t="s">
        <v>10</v>
      </c>
      <c r="H357">
        <v>131</v>
      </c>
      <c r="I357">
        <v>0</v>
      </c>
      <c r="J357">
        <v>0</v>
      </c>
      <c r="K357">
        <v>54</v>
      </c>
      <c r="L357">
        <v>309</v>
      </c>
      <c r="M357">
        <v>425</v>
      </c>
      <c r="N357">
        <v>13</v>
      </c>
      <c r="O357">
        <v>0</v>
      </c>
      <c r="P357">
        <v>33</v>
      </c>
      <c r="Q357">
        <v>35</v>
      </c>
      <c r="R357">
        <v>82</v>
      </c>
      <c r="S357" s="6">
        <v>1.4</v>
      </c>
      <c r="T357" s="6">
        <v>1.3</v>
      </c>
      <c r="U357" s="6">
        <v>1.1499999999999999</v>
      </c>
      <c r="V357">
        <v>3</v>
      </c>
      <c r="W357">
        <v>3</v>
      </c>
      <c r="X357">
        <v>2</v>
      </c>
      <c r="Y357" t="s">
        <v>755</v>
      </c>
      <c r="Z357" t="s">
        <v>106</v>
      </c>
      <c r="AA357" t="s">
        <v>107</v>
      </c>
    </row>
    <row r="358" spans="1:27" x14ac:dyDescent="0.3">
      <c r="Q358"/>
      <c r="R358"/>
    </row>
    <row r="359" spans="1:27" x14ac:dyDescent="0.3">
      <c r="A359" t="s">
        <v>351</v>
      </c>
      <c r="B359" t="s">
        <v>149</v>
      </c>
      <c r="C359" t="s">
        <v>192</v>
      </c>
      <c r="D359" t="s">
        <v>352</v>
      </c>
      <c r="E359" t="s">
        <v>150</v>
      </c>
      <c r="F359" t="s">
        <v>7</v>
      </c>
      <c r="G359" t="s">
        <v>353</v>
      </c>
      <c r="H359" t="s">
        <v>14</v>
      </c>
      <c r="I359" t="s">
        <v>9</v>
      </c>
      <c r="J359" t="s">
        <v>11</v>
      </c>
      <c r="K359" t="s">
        <v>294</v>
      </c>
      <c r="L359" t="s">
        <v>265</v>
      </c>
      <c r="M359" t="s">
        <v>293</v>
      </c>
      <c r="N359" t="s">
        <v>667</v>
      </c>
      <c r="O359" t="s">
        <v>666</v>
      </c>
      <c r="P359" t="s">
        <v>295</v>
      </c>
      <c r="Q359" t="s">
        <v>761</v>
      </c>
      <c r="R359" t="s">
        <v>762</v>
      </c>
      <c r="S359" s="6" t="s">
        <v>53</v>
      </c>
      <c r="T359" s="6" t="s">
        <v>668</v>
      </c>
      <c r="U359" s="6" t="s">
        <v>733</v>
      </c>
      <c r="V359" t="s">
        <v>749</v>
      </c>
      <c r="W359" t="s">
        <v>750</v>
      </c>
      <c r="X359" t="s">
        <v>751</v>
      </c>
      <c r="Y359" t="s">
        <v>752</v>
      </c>
      <c r="Z359" t="s">
        <v>753</v>
      </c>
      <c r="AA359" t="s">
        <v>754</v>
      </c>
    </row>
    <row r="360" spans="1:27" x14ac:dyDescent="0.3">
      <c r="A360">
        <v>70</v>
      </c>
      <c r="B360" t="s">
        <v>363</v>
      </c>
      <c r="C360" t="s">
        <v>646</v>
      </c>
      <c r="D360" t="s">
        <v>640</v>
      </c>
      <c r="E360" t="s">
        <v>364</v>
      </c>
      <c r="F360">
        <v>4691</v>
      </c>
      <c r="G360" t="s">
        <v>10</v>
      </c>
      <c r="H360">
        <v>182</v>
      </c>
      <c r="I360">
        <v>0</v>
      </c>
      <c r="J360">
        <v>0</v>
      </c>
      <c r="K360">
        <v>66</v>
      </c>
      <c r="L360">
        <v>257</v>
      </c>
      <c r="M360">
        <v>280</v>
      </c>
      <c r="N360">
        <v>10</v>
      </c>
      <c r="O360">
        <v>100</v>
      </c>
      <c r="P360">
        <v>16</v>
      </c>
      <c r="Q360">
        <v>68</v>
      </c>
      <c r="R360">
        <v>88</v>
      </c>
      <c r="S360" s="6">
        <v>1.3</v>
      </c>
      <c r="T360" s="6">
        <v>1.3</v>
      </c>
      <c r="U360" s="6">
        <v>0.8</v>
      </c>
      <c r="V360">
        <v>3</v>
      </c>
      <c r="W360">
        <v>3</v>
      </c>
      <c r="X360">
        <v>0</v>
      </c>
      <c r="Y360" t="s">
        <v>755</v>
      </c>
      <c r="Z360" t="s">
        <v>106</v>
      </c>
      <c r="AA360" t="s">
        <v>265</v>
      </c>
    </row>
    <row r="361" spans="1:27" x14ac:dyDescent="0.3">
      <c r="A361">
        <v>71</v>
      </c>
      <c r="B361" t="s">
        <v>365</v>
      </c>
      <c r="C361" t="s">
        <v>646</v>
      </c>
      <c r="D361" t="s">
        <v>641</v>
      </c>
      <c r="E361" t="s">
        <v>364</v>
      </c>
      <c r="F361">
        <v>3953</v>
      </c>
      <c r="G361" t="s">
        <v>10</v>
      </c>
      <c r="H361">
        <v>179</v>
      </c>
      <c r="I361">
        <v>0</v>
      </c>
      <c r="J361">
        <v>0</v>
      </c>
      <c r="K361">
        <v>67</v>
      </c>
      <c r="L361">
        <v>252</v>
      </c>
      <c r="M361">
        <v>279</v>
      </c>
      <c r="N361">
        <v>9</v>
      </c>
      <c r="O361">
        <v>148</v>
      </c>
      <c r="P361">
        <v>18</v>
      </c>
      <c r="Q361">
        <v>78</v>
      </c>
      <c r="R361">
        <v>88</v>
      </c>
      <c r="S361" s="6">
        <v>1.3</v>
      </c>
      <c r="T361" s="6">
        <v>1.3</v>
      </c>
      <c r="U361" s="6">
        <v>0.8</v>
      </c>
      <c r="V361">
        <v>3</v>
      </c>
      <c r="W361">
        <v>3</v>
      </c>
      <c r="X361">
        <v>0</v>
      </c>
      <c r="Y361" t="s">
        <v>755</v>
      </c>
      <c r="Z361" t="s">
        <v>106</v>
      </c>
      <c r="AA361" t="s">
        <v>265</v>
      </c>
    </row>
    <row r="362" spans="1:27" x14ac:dyDescent="0.3">
      <c r="A362">
        <v>72</v>
      </c>
      <c r="B362" t="s">
        <v>366</v>
      </c>
      <c r="C362" t="s">
        <v>646</v>
      </c>
      <c r="D362" t="s">
        <v>641</v>
      </c>
      <c r="E362" t="s">
        <v>364</v>
      </c>
      <c r="F362">
        <v>4460</v>
      </c>
      <c r="G362" t="s">
        <v>10</v>
      </c>
      <c r="H362">
        <v>123</v>
      </c>
      <c r="I362">
        <v>0</v>
      </c>
      <c r="J362">
        <v>0</v>
      </c>
      <c r="K362">
        <v>80</v>
      </c>
      <c r="L362">
        <v>245</v>
      </c>
      <c r="M362">
        <v>204</v>
      </c>
      <c r="N362">
        <v>9</v>
      </c>
      <c r="O362">
        <v>95</v>
      </c>
      <c r="P362">
        <v>15</v>
      </c>
      <c r="Q362">
        <v>32</v>
      </c>
      <c r="R362">
        <v>83</v>
      </c>
      <c r="S362" s="6">
        <v>1.3</v>
      </c>
      <c r="T362" s="6">
        <v>1.3</v>
      </c>
      <c r="U362" s="6">
        <v>0.8</v>
      </c>
      <c r="V362">
        <v>3</v>
      </c>
      <c r="W362">
        <v>3</v>
      </c>
      <c r="X362">
        <v>2</v>
      </c>
      <c r="Y362" t="s">
        <v>755</v>
      </c>
      <c r="Z362" t="s">
        <v>755</v>
      </c>
      <c r="AA362" t="s">
        <v>106</v>
      </c>
    </row>
    <row r="363" spans="1:27" x14ac:dyDescent="0.3">
      <c r="A363">
        <v>75</v>
      </c>
      <c r="B363" t="s">
        <v>369</v>
      </c>
      <c r="C363" t="s">
        <v>646</v>
      </c>
      <c r="D363" t="s">
        <v>641</v>
      </c>
      <c r="E363" t="s">
        <v>364</v>
      </c>
      <c r="F363">
        <v>4779</v>
      </c>
      <c r="G363" t="s">
        <v>10</v>
      </c>
      <c r="H363">
        <v>131</v>
      </c>
      <c r="I363">
        <v>0</v>
      </c>
      <c r="J363">
        <v>0</v>
      </c>
      <c r="K363">
        <v>73</v>
      </c>
      <c r="L363">
        <v>248</v>
      </c>
      <c r="M363">
        <v>240</v>
      </c>
      <c r="N363">
        <v>9</v>
      </c>
      <c r="O363">
        <v>107</v>
      </c>
      <c r="P363">
        <v>29</v>
      </c>
      <c r="Q363">
        <v>71</v>
      </c>
      <c r="R363">
        <v>92</v>
      </c>
      <c r="S363" s="6">
        <v>1</v>
      </c>
      <c r="T363" s="6">
        <v>1.3</v>
      </c>
      <c r="U363" s="6">
        <v>1.3</v>
      </c>
      <c r="V363">
        <v>2</v>
      </c>
      <c r="W363">
        <v>3</v>
      </c>
      <c r="X363">
        <v>3</v>
      </c>
      <c r="Y363" t="s">
        <v>107</v>
      </c>
      <c r="Z363" t="s">
        <v>106</v>
      </c>
      <c r="AA363" t="s">
        <v>106</v>
      </c>
    </row>
    <row r="364" spans="1:27" x14ac:dyDescent="0.3">
      <c r="A364">
        <v>140</v>
      </c>
      <c r="B364" t="s">
        <v>607</v>
      </c>
      <c r="C364" t="s">
        <v>647</v>
      </c>
      <c r="D364" t="s">
        <v>641</v>
      </c>
      <c r="E364" t="s">
        <v>364</v>
      </c>
      <c r="F364">
        <v>4157</v>
      </c>
      <c r="G364" t="s">
        <v>10</v>
      </c>
      <c r="H364">
        <v>173</v>
      </c>
      <c r="I364">
        <v>0</v>
      </c>
      <c r="J364">
        <v>0</v>
      </c>
      <c r="K364">
        <v>66</v>
      </c>
      <c r="L364">
        <v>247</v>
      </c>
      <c r="M364">
        <v>280</v>
      </c>
      <c r="N364">
        <v>9</v>
      </c>
      <c r="O364">
        <v>104</v>
      </c>
      <c r="P364">
        <v>25</v>
      </c>
      <c r="Q364">
        <v>41</v>
      </c>
      <c r="R364">
        <v>83</v>
      </c>
      <c r="S364" s="6">
        <v>1.3</v>
      </c>
      <c r="T364" s="6">
        <v>1.3</v>
      </c>
      <c r="U364" s="6">
        <v>0.8</v>
      </c>
      <c r="V364">
        <v>3</v>
      </c>
      <c r="W364">
        <v>3</v>
      </c>
      <c r="X364">
        <v>0</v>
      </c>
      <c r="Y364" t="s">
        <v>107</v>
      </c>
      <c r="Z364" t="s">
        <v>107</v>
      </c>
      <c r="AA364" t="s">
        <v>265</v>
      </c>
    </row>
    <row r="365" spans="1:27" x14ac:dyDescent="0.3">
      <c r="A365">
        <v>142</v>
      </c>
      <c r="B365" t="s">
        <v>131</v>
      </c>
      <c r="C365" t="s">
        <v>647</v>
      </c>
      <c r="D365" t="s">
        <v>639</v>
      </c>
      <c r="E365" t="s">
        <v>364</v>
      </c>
      <c r="F365">
        <v>5337</v>
      </c>
      <c r="G365" t="s">
        <v>10</v>
      </c>
      <c r="H365">
        <v>181</v>
      </c>
      <c r="I365">
        <v>0</v>
      </c>
      <c r="J365">
        <v>0</v>
      </c>
      <c r="K365">
        <v>66</v>
      </c>
      <c r="L365">
        <v>268</v>
      </c>
      <c r="M365">
        <v>307</v>
      </c>
      <c r="N365">
        <v>11</v>
      </c>
      <c r="O365">
        <v>109</v>
      </c>
      <c r="P365">
        <v>24</v>
      </c>
      <c r="Q365">
        <v>78</v>
      </c>
      <c r="R365">
        <v>86</v>
      </c>
      <c r="S365" s="6">
        <v>1.3</v>
      </c>
      <c r="T365" s="6">
        <v>1.3</v>
      </c>
      <c r="U365" s="6">
        <v>0.8</v>
      </c>
      <c r="V365">
        <v>3</v>
      </c>
      <c r="W365">
        <v>3</v>
      </c>
      <c r="X365">
        <v>0</v>
      </c>
      <c r="Y365" t="s">
        <v>755</v>
      </c>
      <c r="Z365" t="s">
        <v>107</v>
      </c>
      <c r="AA365" t="s">
        <v>265</v>
      </c>
    </row>
    <row r="366" spans="1:27" x14ac:dyDescent="0.3">
      <c r="A366">
        <v>218</v>
      </c>
      <c r="B366" t="s">
        <v>608</v>
      </c>
      <c r="C366" t="s">
        <v>648</v>
      </c>
      <c r="D366" t="s">
        <v>640</v>
      </c>
      <c r="E366" t="s">
        <v>364</v>
      </c>
      <c r="F366">
        <v>5204</v>
      </c>
      <c r="G366" t="s">
        <v>10</v>
      </c>
      <c r="H366">
        <v>157</v>
      </c>
      <c r="I366">
        <v>0</v>
      </c>
      <c r="J366">
        <v>0</v>
      </c>
      <c r="K366">
        <v>68</v>
      </c>
      <c r="L366">
        <v>247</v>
      </c>
      <c r="M366">
        <v>279</v>
      </c>
      <c r="N366">
        <v>11</v>
      </c>
      <c r="O366">
        <v>80</v>
      </c>
      <c r="P366">
        <v>25</v>
      </c>
      <c r="Q366">
        <v>43</v>
      </c>
      <c r="R366">
        <v>80</v>
      </c>
      <c r="S366" s="6">
        <v>1</v>
      </c>
      <c r="T366" s="6">
        <v>1.1000000000000001</v>
      </c>
      <c r="U366" s="6">
        <v>1.2</v>
      </c>
      <c r="V366">
        <v>2</v>
      </c>
      <c r="W366">
        <v>3</v>
      </c>
      <c r="X366">
        <v>2</v>
      </c>
      <c r="Y366" t="s">
        <v>755</v>
      </c>
      <c r="Z366" t="s">
        <v>106</v>
      </c>
      <c r="AA366" t="s">
        <v>107</v>
      </c>
    </row>
    <row r="367" spans="1:27" x14ac:dyDescent="0.3">
      <c r="A367">
        <v>219</v>
      </c>
      <c r="B367" t="s">
        <v>609</v>
      </c>
      <c r="C367" t="s">
        <v>648</v>
      </c>
      <c r="D367" t="s">
        <v>640</v>
      </c>
      <c r="E367" t="s">
        <v>364</v>
      </c>
      <c r="F367">
        <v>5204</v>
      </c>
      <c r="G367" t="s">
        <v>10</v>
      </c>
      <c r="H367">
        <v>157</v>
      </c>
      <c r="I367">
        <v>0</v>
      </c>
      <c r="J367">
        <v>0</v>
      </c>
      <c r="K367">
        <v>68</v>
      </c>
      <c r="L367">
        <v>247</v>
      </c>
      <c r="M367">
        <v>279</v>
      </c>
      <c r="N367">
        <v>11</v>
      </c>
      <c r="O367">
        <v>79</v>
      </c>
      <c r="P367">
        <v>25</v>
      </c>
      <c r="Q367">
        <v>80</v>
      </c>
      <c r="R367">
        <v>80</v>
      </c>
      <c r="S367" s="6">
        <v>1</v>
      </c>
      <c r="T367" s="6">
        <v>1.1000000000000001</v>
      </c>
      <c r="U367" s="6">
        <v>1.2</v>
      </c>
      <c r="V367">
        <v>2</v>
      </c>
      <c r="W367">
        <v>3</v>
      </c>
      <c r="X367">
        <v>2</v>
      </c>
      <c r="Y367" t="s">
        <v>755</v>
      </c>
      <c r="Z367" t="s">
        <v>106</v>
      </c>
      <c r="AA367" t="s">
        <v>107</v>
      </c>
    </row>
    <row r="368" spans="1:27" x14ac:dyDescent="0.3">
      <c r="A368">
        <v>220</v>
      </c>
      <c r="B368" t="s">
        <v>610</v>
      </c>
      <c r="C368" t="s">
        <v>648</v>
      </c>
      <c r="D368" t="s">
        <v>639</v>
      </c>
      <c r="E368" t="s">
        <v>364</v>
      </c>
      <c r="F368">
        <v>3621</v>
      </c>
      <c r="G368" t="s">
        <v>10</v>
      </c>
      <c r="H368">
        <v>176</v>
      </c>
      <c r="I368">
        <v>0</v>
      </c>
      <c r="J368">
        <v>0</v>
      </c>
      <c r="K368">
        <v>66</v>
      </c>
      <c r="L368">
        <v>257</v>
      </c>
      <c r="M368">
        <v>286</v>
      </c>
      <c r="N368">
        <v>11</v>
      </c>
      <c r="O368">
        <v>92</v>
      </c>
      <c r="P368">
        <v>25</v>
      </c>
      <c r="Q368">
        <v>79</v>
      </c>
      <c r="R368">
        <v>83</v>
      </c>
      <c r="S368" s="6">
        <v>1</v>
      </c>
      <c r="T368" s="6">
        <v>1.3</v>
      </c>
      <c r="U368" s="6">
        <v>1.3</v>
      </c>
      <c r="V368">
        <v>0</v>
      </c>
      <c r="W368">
        <v>3</v>
      </c>
      <c r="X368">
        <v>3</v>
      </c>
      <c r="Y368" t="s">
        <v>174</v>
      </c>
      <c r="Z368" t="s">
        <v>755</v>
      </c>
      <c r="AA368" t="s">
        <v>107</v>
      </c>
    </row>
    <row r="369" spans="1:27" x14ac:dyDescent="0.3">
      <c r="A369">
        <v>222</v>
      </c>
      <c r="B369" t="s">
        <v>396</v>
      </c>
      <c r="C369" t="s">
        <v>648</v>
      </c>
      <c r="D369" t="s">
        <v>640</v>
      </c>
      <c r="E369" t="s">
        <v>364</v>
      </c>
      <c r="F369">
        <v>4283</v>
      </c>
      <c r="G369" t="s">
        <v>10</v>
      </c>
      <c r="H369">
        <v>178</v>
      </c>
      <c r="I369">
        <v>0</v>
      </c>
      <c r="J369">
        <v>0</v>
      </c>
      <c r="K369">
        <v>70</v>
      </c>
      <c r="L369">
        <v>248</v>
      </c>
      <c r="M369">
        <v>279</v>
      </c>
      <c r="N369">
        <v>10</v>
      </c>
      <c r="O369">
        <v>84</v>
      </c>
      <c r="P369">
        <v>28</v>
      </c>
      <c r="Q369">
        <v>24</v>
      </c>
      <c r="R369">
        <v>80</v>
      </c>
      <c r="S369" s="6">
        <v>1.3</v>
      </c>
      <c r="T369" s="6">
        <v>1.3</v>
      </c>
      <c r="U369" s="6">
        <v>0.8</v>
      </c>
      <c r="V369">
        <v>3</v>
      </c>
      <c r="W369">
        <v>3</v>
      </c>
      <c r="X369">
        <v>0</v>
      </c>
      <c r="Y369" t="s">
        <v>106</v>
      </c>
      <c r="Z369" t="s">
        <v>107</v>
      </c>
      <c r="AA369" t="s">
        <v>265</v>
      </c>
    </row>
    <row r="370" spans="1:27" x14ac:dyDescent="0.3">
      <c r="A370">
        <v>223</v>
      </c>
      <c r="B370" t="s">
        <v>611</v>
      </c>
      <c r="C370" t="s">
        <v>648</v>
      </c>
      <c r="D370" t="s">
        <v>639</v>
      </c>
      <c r="E370" t="s">
        <v>364</v>
      </c>
      <c r="F370">
        <v>4278</v>
      </c>
      <c r="G370" t="s">
        <v>10</v>
      </c>
      <c r="H370">
        <v>179</v>
      </c>
      <c r="I370">
        <v>0</v>
      </c>
      <c r="J370">
        <v>0</v>
      </c>
      <c r="K370">
        <v>82</v>
      </c>
      <c r="L370">
        <v>252</v>
      </c>
      <c r="M370">
        <v>347</v>
      </c>
      <c r="N370">
        <v>11</v>
      </c>
      <c r="O370">
        <v>72</v>
      </c>
      <c r="P370">
        <v>28</v>
      </c>
      <c r="Q370">
        <v>42</v>
      </c>
      <c r="R370">
        <v>89</v>
      </c>
      <c r="S370" s="6">
        <v>1.3</v>
      </c>
      <c r="T370" s="6">
        <v>1.45</v>
      </c>
      <c r="U370" s="6">
        <v>0.8</v>
      </c>
      <c r="V370">
        <v>3</v>
      </c>
      <c r="W370">
        <v>3</v>
      </c>
      <c r="X370">
        <v>0</v>
      </c>
      <c r="Y370" t="s">
        <v>755</v>
      </c>
      <c r="Z370" t="s">
        <v>107</v>
      </c>
      <c r="AA370" t="s">
        <v>265</v>
      </c>
    </row>
    <row r="371" spans="1:27" x14ac:dyDescent="0.3">
      <c r="A371">
        <v>356</v>
      </c>
      <c r="B371" t="s">
        <v>612</v>
      </c>
      <c r="C371" t="s">
        <v>647</v>
      </c>
      <c r="D371" t="s">
        <v>642</v>
      </c>
      <c r="E371" t="s">
        <v>364</v>
      </c>
      <c r="F371">
        <v>6626</v>
      </c>
      <c r="G371" t="s">
        <v>10</v>
      </c>
      <c r="H371">
        <v>160</v>
      </c>
      <c r="I371">
        <v>0</v>
      </c>
      <c r="J371">
        <v>0</v>
      </c>
      <c r="K371">
        <v>70</v>
      </c>
      <c r="L371">
        <v>268</v>
      </c>
      <c r="M371">
        <v>421</v>
      </c>
      <c r="N371">
        <v>13</v>
      </c>
      <c r="O371">
        <v>126</v>
      </c>
      <c r="P371">
        <v>28</v>
      </c>
      <c r="Q371">
        <v>73</v>
      </c>
      <c r="R371">
        <v>98</v>
      </c>
      <c r="S371" s="6">
        <v>1.25</v>
      </c>
      <c r="T371" s="6">
        <v>1.2</v>
      </c>
      <c r="U371" s="6">
        <v>1.4</v>
      </c>
      <c r="V371">
        <v>2</v>
      </c>
      <c r="W371">
        <v>2</v>
      </c>
      <c r="X371">
        <v>4</v>
      </c>
      <c r="Y371" t="s">
        <v>755</v>
      </c>
      <c r="Z371" t="s">
        <v>755</v>
      </c>
      <c r="AA371" t="s">
        <v>107</v>
      </c>
    </row>
    <row r="372" spans="1:27" x14ac:dyDescent="0.3">
      <c r="A372">
        <v>376</v>
      </c>
      <c r="B372" t="s">
        <v>613</v>
      </c>
      <c r="C372" t="s">
        <v>647</v>
      </c>
      <c r="D372" t="s">
        <v>639</v>
      </c>
      <c r="E372" t="s">
        <v>364</v>
      </c>
      <c r="F372">
        <v>4707</v>
      </c>
      <c r="G372" t="s">
        <v>10</v>
      </c>
      <c r="H372">
        <v>185</v>
      </c>
      <c r="I372">
        <v>0</v>
      </c>
      <c r="J372">
        <v>0</v>
      </c>
      <c r="K372">
        <v>62</v>
      </c>
      <c r="L372">
        <v>257</v>
      </c>
      <c r="M372">
        <v>299</v>
      </c>
      <c r="N372">
        <v>11</v>
      </c>
      <c r="O372">
        <v>144</v>
      </c>
      <c r="P372">
        <v>18</v>
      </c>
      <c r="Q372">
        <v>82</v>
      </c>
      <c r="R372">
        <v>86</v>
      </c>
      <c r="S372" s="6">
        <v>1.3</v>
      </c>
      <c r="T372" s="6">
        <v>1.45</v>
      </c>
      <c r="U372" s="6">
        <v>0.8</v>
      </c>
      <c r="V372">
        <v>3</v>
      </c>
      <c r="W372">
        <v>3</v>
      </c>
      <c r="X372">
        <v>0</v>
      </c>
      <c r="Y372" t="s">
        <v>755</v>
      </c>
      <c r="Z372" t="s">
        <v>107</v>
      </c>
      <c r="AA372" t="s">
        <v>265</v>
      </c>
    </row>
    <row r="373" spans="1:27" x14ac:dyDescent="0.3">
      <c r="A373">
        <v>3070</v>
      </c>
      <c r="B373" t="s">
        <v>676</v>
      </c>
      <c r="C373" t="s">
        <v>646</v>
      </c>
      <c r="D373" t="s">
        <v>639</v>
      </c>
      <c r="E373" t="s">
        <v>364</v>
      </c>
      <c r="F373">
        <v>4901</v>
      </c>
      <c r="G373" t="s">
        <v>10</v>
      </c>
      <c r="H373">
        <v>187</v>
      </c>
      <c r="I373">
        <v>0</v>
      </c>
      <c r="J373">
        <v>0</v>
      </c>
      <c r="K373">
        <v>66</v>
      </c>
      <c r="L373">
        <v>292</v>
      </c>
      <c r="M373">
        <v>340</v>
      </c>
      <c r="N373">
        <v>10</v>
      </c>
      <c r="O373">
        <v>100</v>
      </c>
      <c r="P373">
        <v>16</v>
      </c>
      <c r="Q373">
        <v>68</v>
      </c>
      <c r="R373">
        <v>88</v>
      </c>
      <c r="S373" s="6">
        <v>1.45</v>
      </c>
      <c r="T373" s="6">
        <v>1.3</v>
      </c>
      <c r="U373" s="6">
        <v>0.85</v>
      </c>
      <c r="V373">
        <v>3</v>
      </c>
      <c r="W373">
        <v>3</v>
      </c>
      <c r="X373">
        <v>0</v>
      </c>
      <c r="Y373" t="s">
        <v>755</v>
      </c>
      <c r="Z373" t="s">
        <v>106</v>
      </c>
      <c r="AA373" t="s">
        <v>265</v>
      </c>
    </row>
    <row r="374" spans="1:27" x14ac:dyDescent="0.3">
      <c r="A374">
        <v>3071</v>
      </c>
      <c r="B374" t="s">
        <v>677</v>
      </c>
      <c r="C374" t="s">
        <v>646</v>
      </c>
      <c r="D374" t="s">
        <v>640</v>
      </c>
      <c r="E374" t="s">
        <v>364</v>
      </c>
      <c r="F374">
        <v>4163</v>
      </c>
      <c r="G374" t="s">
        <v>10</v>
      </c>
      <c r="H374">
        <v>184</v>
      </c>
      <c r="I374">
        <v>0</v>
      </c>
      <c r="J374">
        <v>0</v>
      </c>
      <c r="K374">
        <v>67</v>
      </c>
      <c r="L374">
        <v>287</v>
      </c>
      <c r="M374">
        <v>339</v>
      </c>
      <c r="N374">
        <v>9</v>
      </c>
      <c r="O374">
        <v>148</v>
      </c>
      <c r="P374">
        <v>18</v>
      </c>
      <c r="Q374">
        <v>78</v>
      </c>
      <c r="R374">
        <v>88</v>
      </c>
      <c r="S374" s="6">
        <v>1.3</v>
      </c>
      <c r="T374" s="6">
        <v>1.45</v>
      </c>
      <c r="U374" s="6">
        <v>0.85</v>
      </c>
      <c r="V374">
        <v>3</v>
      </c>
      <c r="W374">
        <v>3</v>
      </c>
      <c r="X374">
        <v>0</v>
      </c>
      <c r="Y374" t="s">
        <v>755</v>
      </c>
      <c r="Z374" t="s">
        <v>106</v>
      </c>
      <c r="AA374" t="s">
        <v>265</v>
      </c>
    </row>
    <row r="375" spans="1:27" x14ac:dyDescent="0.3">
      <c r="A375">
        <v>3072</v>
      </c>
      <c r="B375" t="s">
        <v>678</v>
      </c>
      <c r="C375" t="s">
        <v>646</v>
      </c>
      <c r="D375" t="s">
        <v>640</v>
      </c>
      <c r="E375" t="s">
        <v>364</v>
      </c>
      <c r="F375">
        <v>4700</v>
      </c>
      <c r="G375" t="s">
        <v>10</v>
      </c>
      <c r="H375">
        <v>128</v>
      </c>
      <c r="I375">
        <v>0</v>
      </c>
      <c r="J375">
        <v>0</v>
      </c>
      <c r="K375">
        <v>80</v>
      </c>
      <c r="L375">
        <v>280</v>
      </c>
      <c r="M375">
        <v>264</v>
      </c>
      <c r="N375">
        <v>9</v>
      </c>
      <c r="O375">
        <v>95</v>
      </c>
      <c r="P375">
        <v>15</v>
      </c>
      <c r="Q375">
        <v>32</v>
      </c>
      <c r="R375">
        <v>83</v>
      </c>
      <c r="S375" s="6">
        <v>1.45</v>
      </c>
      <c r="T375" s="6">
        <v>1.45</v>
      </c>
      <c r="U375" s="6">
        <v>0.85</v>
      </c>
      <c r="V375">
        <v>3</v>
      </c>
      <c r="W375">
        <v>3</v>
      </c>
      <c r="X375">
        <v>2</v>
      </c>
      <c r="Y375" t="s">
        <v>755</v>
      </c>
      <c r="Z375" t="s">
        <v>755</v>
      </c>
      <c r="AA375" t="s">
        <v>106</v>
      </c>
    </row>
    <row r="376" spans="1:27" x14ac:dyDescent="0.3">
      <c r="A376">
        <v>3075</v>
      </c>
      <c r="B376" t="s">
        <v>680</v>
      </c>
      <c r="C376" t="s">
        <v>646</v>
      </c>
      <c r="D376" t="s">
        <v>640</v>
      </c>
      <c r="E376" t="s">
        <v>364</v>
      </c>
      <c r="F376">
        <v>5019</v>
      </c>
      <c r="G376" t="s">
        <v>10</v>
      </c>
      <c r="H376">
        <v>136</v>
      </c>
      <c r="I376">
        <v>0</v>
      </c>
      <c r="J376">
        <v>0</v>
      </c>
      <c r="K376">
        <v>73</v>
      </c>
      <c r="L376">
        <v>283</v>
      </c>
      <c r="M376">
        <v>300</v>
      </c>
      <c r="N376">
        <v>9</v>
      </c>
      <c r="O376">
        <v>107</v>
      </c>
      <c r="P376">
        <v>29</v>
      </c>
      <c r="Q376">
        <v>71</v>
      </c>
      <c r="R376">
        <v>92</v>
      </c>
      <c r="S376" s="6">
        <v>1.05</v>
      </c>
      <c r="T376" s="6">
        <v>1.45</v>
      </c>
      <c r="U376" s="6">
        <v>1.45</v>
      </c>
      <c r="V376">
        <v>2</v>
      </c>
      <c r="W376">
        <v>3</v>
      </c>
      <c r="X376">
        <v>3</v>
      </c>
      <c r="Y376" t="s">
        <v>107</v>
      </c>
      <c r="Z376" t="s">
        <v>106</v>
      </c>
      <c r="AA376" t="s">
        <v>106</v>
      </c>
    </row>
    <row r="377" spans="1:27" x14ac:dyDescent="0.3">
      <c r="A377">
        <v>3222</v>
      </c>
      <c r="B377" t="s">
        <v>681</v>
      </c>
      <c r="C377" t="s">
        <v>648</v>
      </c>
      <c r="D377" t="s">
        <v>639</v>
      </c>
      <c r="E377" t="s">
        <v>364</v>
      </c>
      <c r="F377">
        <v>4523</v>
      </c>
      <c r="G377" t="s">
        <v>10</v>
      </c>
      <c r="H377">
        <v>183</v>
      </c>
      <c r="I377">
        <v>0</v>
      </c>
      <c r="J377">
        <v>0</v>
      </c>
      <c r="K377">
        <v>70</v>
      </c>
      <c r="L377">
        <v>283</v>
      </c>
      <c r="M377">
        <v>339</v>
      </c>
      <c r="N377">
        <v>10</v>
      </c>
      <c r="O377">
        <v>84</v>
      </c>
      <c r="P377">
        <v>28</v>
      </c>
      <c r="Q377">
        <v>24</v>
      </c>
      <c r="R377">
        <v>80</v>
      </c>
      <c r="S377" s="6">
        <v>1.45</v>
      </c>
      <c r="T377" s="6">
        <v>1.35</v>
      </c>
      <c r="U377" s="6">
        <v>0.8</v>
      </c>
      <c r="V377">
        <v>3</v>
      </c>
      <c r="W377">
        <v>3</v>
      </c>
      <c r="X377">
        <v>0</v>
      </c>
      <c r="Y377" t="s">
        <v>106</v>
      </c>
      <c r="Z377" t="s">
        <v>107</v>
      </c>
      <c r="AA377" t="s">
        <v>265</v>
      </c>
    </row>
    <row r="378" spans="1:27" x14ac:dyDescent="0.3">
      <c r="A378" t="s">
        <v>342</v>
      </c>
      <c r="B378" t="s">
        <v>628</v>
      </c>
      <c r="C378" t="s">
        <v>655</v>
      </c>
      <c r="D378" t="s">
        <v>639</v>
      </c>
      <c r="E378" t="s">
        <v>364</v>
      </c>
      <c r="F378">
        <v>4472</v>
      </c>
      <c r="G378" t="s">
        <v>8</v>
      </c>
      <c r="H378">
        <v>156</v>
      </c>
      <c r="I378">
        <v>0</v>
      </c>
      <c r="J378">
        <v>0</v>
      </c>
      <c r="K378">
        <v>53</v>
      </c>
      <c r="L378">
        <v>255</v>
      </c>
      <c r="M378">
        <v>237</v>
      </c>
      <c r="N378">
        <v>11</v>
      </c>
      <c r="O378">
        <v>72</v>
      </c>
      <c r="P378">
        <v>26</v>
      </c>
      <c r="Q378">
        <v>69</v>
      </c>
      <c r="R378">
        <v>77</v>
      </c>
      <c r="S378" s="6">
        <v>1.3</v>
      </c>
      <c r="T378" s="6">
        <v>1.25</v>
      </c>
      <c r="U378" s="6">
        <v>0.8</v>
      </c>
      <c r="V378">
        <v>3</v>
      </c>
      <c r="W378">
        <v>3</v>
      </c>
      <c r="X378">
        <v>0</v>
      </c>
      <c r="Y378" t="s">
        <v>755</v>
      </c>
      <c r="Z378" t="s">
        <v>106</v>
      </c>
      <c r="AA378" t="s">
        <v>265</v>
      </c>
    </row>
    <row r="379" spans="1:27" x14ac:dyDescent="0.3">
      <c r="A379" t="s">
        <v>343</v>
      </c>
      <c r="B379" t="s">
        <v>629</v>
      </c>
      <c r="C379" t="s">
        <v>655</v>
      </c>
      <c r="D379" t="s">
        <v>639</v>
      </c>
      <c r="E379" t="s">
        <v>364</v>
      </c>
      <c r="F379">
        <v>4472</v>
      </c>
      <c r="G379" t="s">
        <v>8</v>
      </c>
      <c r="H379">
        <v>156</v>
      </c>
      <c r="I379">
        <v>0</v>
      </c>
      <c r="J379">
        <v>0</v>
      </c>
      <c r="K379">
        <v>53</v>
      </c>
      <c r="L379">
        <v>255</v>
      </c>
      <c r="M379">
        <v>237</v>
      </c>
      <c r="N379">
        <v>11</v>
      </c>
      <c r="O379">
        <v>72</v>
      </c>
      <c r="P379">
        <v>26</v>
      </c>
      <c r="Q379">
        <v>96</v>
      </c>
      <c r="R379">
        <v>77</v>
      </c>
      <c r="S379" s="6">
        <v>1.3</v>
      </c>
      <c r="T379" s="6">
        <v>1.25</v>
      </c>
      <c r="U379" s="6">
        <v>0.8</v>
      </c>
      <c r="V379">
        <v>3</v>
      </c>
      <c r="W379">
        <v>3</v>
      </c>
      <c r="X379">
        <v>0</v>
      </c>
      <c r="Y379" t="s">
        <v>755</v>
      </c>
      <c r="Z379" t="s">
        <v>107</v>
      </c>
      <c r="AA379" t="s">
        <v>265</v>
      </c>
    </row>
    <row r="380" spans="1:27" x14ac:dyDescent="0.3">
      <c r="A380">
        <v>377</v>
      </c>
      <c r="B380" t="s">
        <v>977</v>
      </c>
      <c r="C380" t="s">
        <v>646</v>
      </c>
      <c r="D380" t="s">
        <v>639</v>
      </c>
      <c r="E380" t="s">
        <v>364</v>
      </c>
      <c r="F380">
        <v>4796</v>
      </c>
      <c r="G380" t="s">
        <v>10</v>
      </c>
      <c r="H380">
        <v>182</v>
      </c>
      <c r="I380">
        <v>0</v>
      </c>
      <c r="J380">
        <v>0</v>
      </c>
      <c r="K380">
        <v>83</v>
      </c>
      <c r="L380">
        <v>268</v>
      </c>
      <c r="M380">
        <v>310</v>
      </c>
      <c r="N380">
        <v>11</v>
      </c>
      <c r="O380">
        <v>109</v>
      </c>
      <c r="P380">
        <v>31</v>
      </c>
      <c r="Q380">
        <v>78</v>
      </c>
      <c r="R380">
        <v>89</v>
      </c>
      <c r="S380" s="6">
        <v>1.3</v>
      </c>
      <c r="T380" s="6">
        <v>1.45</v>
      </c>
      <c r="U380" s="6">
        <v>0.8</v>
      </c>
      <c r="V380">
        <v>3</v>
      </c>
      <c r="W380">
        <v>3</v>
      </c>
      <c r="X380">
        <v>0</v>
      </c>
      <c r="Y380" t="s">
        <v>755</v>
      </c>
      <c r="Z380" t="s">
        <v>107</v>
      </c>
      <c r="AA380" t="s">
        <v>265</v>
      </c>
    </row>
    <row r="381" spans="1:27" x14ac:dyDescent="0.3">
      <c r="Q381"/>
      <c r="R381"/>
    </row>
    <row r="382" spans="1:27" x14ac:dyDescent="0.3">
      <c r="A382" t="s">
        <v>351</v>
      </c>
      <c r="B382" t="s">
        <v>149</v>
      </c>
      <c r="C382" t="s">
        <v>192</v>
      </c>
      <c r="D382" t="s">
        <v>352</v>
      </c>
      <c r="E382" t="s">
        <v>150</v>
      </c>
      <c r="F382" t="s">
        <v>7</v>
      </c>
      <c r="G382" t="s">
        <v>353</v>
      </c>
      <c r="H382" t="s">
        <v>14</v>
      </c>
      <c r="I382" t="s">
        <v>9</v>
      </c>
      <c r="J382" t="s">
        <v>11</v>
      </c>
      <c r="K382" t="s">
        <v>294</v>
      </c>
      <c r="L382" t="s">
        <v>265</v>
      </c>
      <c r="M382" t="s">
        <v>293</v>
      </c>
      <c r="N382" t="s">
        <v>667</v>
      </c>
      <c r="O382" t="s">
        <v>666</v>
      </c>
      <c r="P382" t="s">
        <v>295</v>
      </c>
      <c r="Q382" t="s">
        <v>761</v>
      </c>
      <c r="R382" t="s">
        <v>762</v>
      </c>
      <c r="S382" s="30" t="s">
        <v>1114</v>
      </c>
      <c r="T382" s="30" t="s">
        <v>53</v>
      </c>
      <c r="U382" s="30" t="s">
        <v>668</v>
      </c>
      <c r="V382" s="30" t="s">
        <v>733</v>
      </c>
    </row>
    <row r="383" spans="1:27" x14ac:dyDescent="0.3">
      <c r="A383">
        <v>338</v>
      </c>
      <c r="B383" t="s">
        <v>665</v>
      </c>
      <c r="C383" t="s">
        <v>648</v>
      </c>
      <c r="D383" t="s">
        <v>642</v>
      </c>
      <c r="E383" t="s">
        <v>188</v>
      </c>
      <c r="F383">
        <v>2165</v>
      </c>
      <c r="G383" t="s">
        <v>8</v>
      </c>
      <c r="H383">
        <v>110</v>
      </c>
      <c r="I383">
        <v>59</v>
      </c>
      <c r="J383">
        <v>549</v>
      </c>
      <c r="K383">
        <v>45</v>
      </c>
      <c r="L383">
        <v>0</v>
      </c>
      <c r="M383">
        <v>0</v>
      </c>
      <c r="N383">
        <v>7</v>
      </c>
      <c r="O383">
        <v>0</v>
      </c>
      <c r="P383">
        <v>18</v>
      </c>
      <c r="Q383">
        <v>19</v>
      </c>
      <c r="R383">
        <v>175</v>
      </c>
      <c r="S383">
        <v>200</v>
      </c>
      <c r="T383" s="6">
        <v>1.35</v>
      </c>
      <c r="U383" s="6">
        <v>1.1499999999999999</v>
      </c>
      <c r="V383">
        <v>0.8</v>
      </c>
    </row>
    <row r="384" spans="1:27" x14ac:dyDescent="0.3">
      <c r="A384">
        <v>339</v>
      </c>
      <c r="B384" t="s">
        <v>662</v>
      </c>
      <c r="C384" t="s">
        <v>648</v>
      </c>
      <c r="D384" t="s">
        <v>639</v>
      </c>
      <c r="E384" t="s">
        <v>188</v>
      </c>
      <c r="F384">
        <v>2067</v>
      </c>
      <c r="G384" t="s">
        <v>8</v>
      </c>
      <c r="H384">
        <v>109</v>
      </c>
      <c r="I384">
        <v>61</v>
      </c>
      <c r="J384">
        <v>520</v>
      </c>
      <c r="K384">
        <v>45</v>
      </c>
      <c r="L384">
        <v>0</v>
      </c>
      <c r="M384">
        <v>0</v>
      </c>
      <c r="N384">
        <v>6</v>
      </c>
      <c r="O384">
        <v>0</v>
      </c>
      <c r="P384">
        <v>18</v>
      </c>
      <c r="Q384">
        <v>26</v>
      </c>
      <c r="R384">
        <v>169</v>
      </c>
      <c r="S384">
        <v>258</v>
      </c>
      <c r="T384" s="6">
        <v>1.3</v>
      </c>
      <c r="U384" s="6">
        <v>1.1499999999999999</v>
      </c>
      <c r="V384">
        <v>0.85</v>
      </c>
    </row>
    <row r="385" spans="1:28" x14ac:dyDescent="0.3">
      <c r="A385">
        <v>340</v>
      </c>
      <c r="B385" t="s">
        <v>663</v>
      </c>
      <c r="C385" t="s">
        <v>648</v>
      </c>
      <c r="D385" t="s">
        <v>639</v>
      </c>
      <c r="E385" t="s">
        <v>188</v>
      </c>
      <c r="F385">
        <v>2080</v>
      </c>
      <c r="G385" t="s">
        <v>8</v>
      </c>
      <c r="H385">
        <v>79</v>
      </c>
      <c r="I385">
        <v>59</v>
      </c>
      <c r="J385">
        <v>503</v>
      </c>
      <c r="K385">
        <v>37</v>
      </c>
      <c r="L385">
        <v>0</v>
      </c>
      <c r="M385">
        <v>0</v>
      </c>
      <c r="N385">
        <v>6</v>
      </c>
      <c r="O385">
        <v>0</v>
      </c>
      <c r="P385">
        <v>14</v>
      </c>
      <c r="Q385">
        <v>58</v>
      </c>
      <c r="R385">
        <v>173</v>
      </c>
      <c r="S385">
        <v>268</v>
      </c>
      <c r="T385" s="6">
        <v>1.2</v>
      </c>
      <c r="U385" s="6">
        <v>1.1499999999999999</v>
      </c>
      <c r="V385">
        <v>0.85</v>
      </c>
    </row>
    <row r="386" spans="1:28" x14ac:dyDescent="0.3">
      <c r="A386">
        <v>341</v>
      </c>
      <c r="B386" t="s">
        <v>326</v>
      </c>
      <c r="C386" t="s">
        <v>649</v>
      </c>
      <c r="D386" t="s">
        <v>642</v>
      </c>
      <c r="E386" t="s">
        <v>188</v>
      </c>
      <c r="F386">
        <v>1309</v>
      </c>
      <c r="G386" t="s">
        <v>8</v>
      </c>
      <c r="H386">
        <v>109</v>
      </c>
      <c r="I386">
        <v>50</v>
      </c>
      <c r="J386">
        <v>555</v>
      </c>
      <c r="K386">
        <v>37</v>
      </c>
      <c r="L386">
        <v>0</v>
      </c>
      <c r="M386">
        <v>0</v>
      </c>
      <c r="N386">
        <v>7</v>
      </c>
      <c r="O386">
        <v>0</v>
      </c>
      <c r="P386">
        <v>14</v>
      </c>
      <c r="Q386">
        <v>23</v>
      </c>
      <c r="R386">
        <v>179</v>
      </c>
      <c r="S386">
        <v>188</v>
      </c>
      <c r="T386" s="6">
        <v>1.3</v>
      </c>
      <c r="U386" s="6">
        <v>1.25</v>
      </c>
      <c r="V386">
        <v>0.85</v>
      </c>
    </row>
    <row r="387" spans="1:28" x14ac:dyDescent="0.3">
      <c r="A387">
        <v>342</v>
      </c>
      <c r="B387" t="s">
        <v>661</v>
      </c>
      <c r="C387" t="s">
        <v>646</v>
      </c>
      <c r="D387" t="s">
        <v>639</v>
      </c>
      <c r="E387" t="s">
        <v>188</v>
      </c>
      <c r="F387">
        <v>1692</v>
      </c>
      <c r="G387" t="s">
        <v>8</v>
      </c>
      <c r="H387">
        <v>90</v>
      </c>
      <c r="I387">
        <v>71</v>
      </c>
      <c r="J387">
        <v>503</v>
      </c>
      <c r="K387">
        <v>41</v>
      </c>
      <c r="L387">
        <v>0</v>
      </c>
      <c r="M387">
        <v>0</v>
      </c>
      <c r="N387">
        <v>6</v>
      </c>
      <c r="O387">
        <v>0</v>
      </c>
      <c r="P387">
        <v>16</v>
      </c>
      <c r="Q387">
        <v>68</v>
      </c>
      <c r="R387">
        <v>183</v>
      </c>
      <c r="S387">
        <v>283</v>
      </c>
      <c r="T387" s="6">
        <v>1.25</v>
      </c>
      <c r="U387" s="6">
        <v>1.2</v>
      </c>
      <c r="V387">
        <v>0.9</v>
      </c>
    </row>
    <row r="388" spans="1:28" x14ac:dyDescent="0.3">
      <c r="A388">
        <v>343</v>
      </c>
      <c r="B388" t="s">
        <v>327</v>
      </c>
      <c r="C388" t="s">
        <v>649</v>
      </c>
      <c r="D388" t="s">
        <v>642</v>
      </c>
      <c r="E388" t="s">
        <v>188</v>
      </c>
      <c r="F388">
        <v>1297</v>
      </c>
      <c r="G388" t="s">
        <v>8</v>
      </c>
      <c r="H388">
        <v>110</v>
      </c>
      <c r="I388">
        <v>48</v>
      </c>
      <c r="J388">
        <v>530</v>
      </c>
      <c r="K388">
        <v>37</v>
      </c>
      <c r="L388">
        <v>0</v>
      </c>
      <c r="M388">
        <v>0</v>
      </c>
      <c r="N388">
        <v>7</v>
      </c>
      <c r="O388">
        <v>0</v>
      </c>
      <c r="P388">
        <v>14</v>
      </c>
      <c r="Q388">
        <v>32</v>
      </c>
      <c r="R388">
        <v>183</v>
      </c>
      <c r="S388">
        <v>193</v>
      </c>
      <c r="T388" s="6">
        <v>1.25</v>
      </c>
      <c r="U388" s="6">
        <v>1.25</v>
      </c>
      <c r="V388">
        <v>0.85</v>
      </c>
    </row>
    <row r="389" spans="1:28" x14ac:dyDescent="0.3">
      <c r="A389">
        <v>344</v>
      </c>
      <c r="B389" t="s">
        <v>328</v>
      </c>
      <c r="C389" t="s">
        <v>649</v>
      </c>
      <c r="D389" t="s">
        <v>639</v>
      </c>
      <c r="E389" t="s">
        <v>188</v>
      </c>
      <c r="F389">
        <v>1261</v>
      </c>
      <c r="G389" t="s">
        <v>8</v>
      </c>
      <c r="H389">
        <v>84</v>
      </c>
      <c r="I389">
        <v>44</v>
      </c>
      <c r="J389">
        <v>499</v>
      </c>
      <c r="K389">
        <v>37</v>
      </c>
      <c r="L389">
        <v>0</v>
      </c>
      <c r="M389">
        <v>0</v>
      </c>
      <c r="N389">
        <v>6</v>
      </c>
      <c r="O389">
        <v>0</v>
      </c>
      <c r="P389">
        <v>14</v>
      </c>
      <c r="Q389">
        <v>18</v>
      </c>
      <c r="R389">
        <v>171</v>
      </c>
      <c r="S389">
        <v>188</v>
      </c>
      <c r="T389" s="6">
        <v>1.35</v>
      </c>
      <c r="U389" s="6">
        <v>1.1499999999999999</v>
      </c>
      <c r="V389">
        <v>0.8</v>
      </c>
    </row>
    <row r="390" spans="1:28" x14ac:dyDescent="0.3">
      <c r="A390">
        <v>350</v>
      </c>
      <c r="B390" t="s">
        <v>664</v>
      </c>
      <c r="C390" t="s">
        <v>652</v>
      </c>
      <c r="D390" t="s">
        <v>642</v>
      </c>
      <c r="E390" t="s">
        <v>188</v>
      </c>
      <c r="F390">
        <v>2819</v>
      </c>
      <c r="G390" t="s">
        <v>8</v>
      </c>
      <c r="H390">
        <v>76</v>
      </c>
      <c r="I390">
        <v>139</v>
      </c>
      <c r="J390">
        <v>509</v>
      </c>
      <c r="K390">
        <v>22</v>
      </c>
      <c r="L390">
        <v>0</v>
      </c>
      <c r="M390">
        <v>0</v>
      </c>
      <c r="N390">
        <v>6</v>
      </c>
      <c r="O390">
        <v>0</v>
      </c>
      <c r="P390">
        <v>14</v>
      </c>
      <c r="Q390">
        <v>60</v>
      </c>
      <c r="R390">
        <v>168</v>
      </c>
      <c r="S390">
        <v>180</v>
      </c>
      <c r="T390" s="6">
        <v>1.1499999999999999</v>
      </c>
      <c r="U390" s="6">
        <v>1.2</v>
      </c>
      <c r="V390">
        <v>1.2</v>
      </c>
    </row>
    <row r="391" spans="1:28" x14ac:dyDescent="0.3">
      <c r="A391">
        <v>358</v>
      </c>
      <c r="B391" t="s">
        <v>765</v>
      </c>
      <c r="C391" t="s">
        <v>646</v>
      </c>
      <c r="D391" t="s">
        <v>642</v>
      </c>
      <c r="E391" t="s">
        <v>188</v>
      </c>
      <c r="F391">
        <v>1924</v>
      </c>
      <c r="G391" t="s">
        <v>8</v>
      </c>
      <c r="H391">
        <v>95</v>
      </c>
      <c r="I391">
        <v>61</v>
      </c>
      <c r="J391">
        <v>526</v>
      </c>
      <c r="K391">
        <v>41</v>
      </c>
      <c r="L391">
        <v>0</v>
      </c>
      <c r="M391">
        <v>0</v>
      </c>
      <c r="N391">
        <v>8</v>
      </c>
      <c r="O391">
        <v>0</v>
      </c>
      <c r="P391">
        <v>16</v>
      </c>
      <c r="Q391">
        <v>79</v>
      </c>
      <c r="R391">
        <v>198</v>
      </c>
      <c r="S391">
        <v>243</v>
      </c>
      <c r="T391" s="6">
        <v>1.3</v>
      </c>
      <c r="U391" s="6">
        <v>1.2</v>
      </c>
      <c r="V391">
        <v>0.9</v>
      </c>
    </row>
    <row r="392" spans="1:28" x14ac:dyDescent="0.3">
      <c r="Q392"/>
      <c r="R392"/>
    </row>
    <row r="393" spans="1:28" x14ac:dyDescent="0.3">
      <c r="A393" t="s">
        <v>351</v>
      </c>
      <c r="B393" t="s">
        <v>149</v>
      </c>
      <c r="C393" s="36" t="s">
        <v>192</v>
      </c>
      <c r="D393" s="37" t="s">
        <v>352</v>
      </c>
      <c r="E393" s="37" t="s">
        <v>150</v>
      </c>
      <c r="F393" s="37" t="s">
        <v>7</v>
      </c>
      <c r="G393" s="37" t="s">
        <v>353</v>
      </c>
      <c r="H393" s="37" t="s">
        <v>14</v>
      </c>
      <c r="I393" s="37" t="s">
        <v>9</v>
      </c>
      <c r="J393" s="37" t="s">
        <v>11</v>
      </c>
      <c r="K393" s="37" t="s">
        <v>294</v>
      </c>
      <c r="L393" s="37" t="s">
        <v>265</v>
      </c>
      <c r="M393" s="37" t="s">
        <v>293</v>
      </c>
      <c r="N393" s="37" t="s">
        <v>667</v>
      </c>
      <c r="O393" s="37" t="s">
        <v>666</v>
      </c>
      <c r="P393" s="37" t="s">
        <v>295</v>
      </c>
      <c r="Q393" s="37" t="s">
        <v>761</v>
      </c>
      <c r="R393" s="37" t="s">
        <v>762</v>
      </c>
      <c r="S393" s="38" t="s">
        <v>1114</v>
      </c>
      <c r="T393" s="38" t="s">
        <v>53</v>
      </c>
      <c r="U393" s="38" t="s">
        <v>668</v>
      </c>
      <c r="V393" s="38" t="s">
        <v>733</v>
      </c>
      <c r="W393" s="38" t="s">
        <v>749</v>
      </c>
      <c r="X393" s="38" t="s">
        <v>750</v>
      </c>
      <c r="Y393" s="38" t="s">
        <v>751</v>
      </c>
      <c r="Z393" s="38" t="s">
        <v>752</v>
      </c>
      <c r="AA393" s="38" t="s">
        <v>753</v>
      </c>
      <c r="AB393" s="38" t="s">
        <v>754</v>
      </c>
    </row>
    <row r="394" spans="1:28" x14ac:dyDescent="0.3">
      <c r="B394" t="s">
        <v>1083</v>
      </c>
      <c r="C394" s="35" t="s">
        <v>648</v>
      </c>
      <c r="D394" s="26" t="s">
        <v>642</v>
      </c>
      <c r="E394" s="26" t="s">
        <v>1090</v>
      </c>
      <c r="F394" s="26">
        <v>2657</v>
      </c>
      <c r="G394" s="26" t="s">
        <v>8</v>
      </c>
      <c r="H394" s="26">
        <v>109</v>
      </c>
      <c r="I394" s="26">
        <v>59</v>
      </c>
      <c r="J394" s="26">
        <v>514</v>
      </c>
      <c r="K394" s="26">
        <v>36</v>
      </c>
      <c r="L394" s="26">
        <v>0</v>
      </c>
      <c r="M394" s="26">
        <v>252</v>
      </c>
      <c r="N394" s="26">
        <v>8</v>
      </c>
      <c r="O394" s="26">
        <v>0</v>
      </c>
      <c r="P394" s="26">
        <v>13</v>
      </c>
      <c r="Q394" s="26">
        <v>20</v>
      </c>
      <c r="R394" s="26">
        <v>172</v>
      </c>
      <c r="S394" s="39">
        <v>2.38</v>
      </c>
      <c r="T394" s="39">
        <v>1.35</v>
      </c>
      <c r="U394" s="39">
        <v>1.1499999999999999</v>
      </c>
      <c r="V394" s="39">
        <v>1.5</v>
      </c>
      <c r="W394" s="40">
        <v>0</v>
      </c>
      <c r="X394" s="40">
        <v>0</v>
      </c>
      <c r="Y394" s="40">
        <v>2</v>
      </c>
      <c r="Z394" s="40" t="s">
        <v>11</v>
      </c>
      <c r="AA394" s="40" t="s">
        <v>11</v>
      </c>
      <c r="AB394" s="40" t="s">
        <v>106</v>
      </c>
    </row>
    <row r="396" spans="1:28" x14ac:dyDescent="0.3">
      <c r="A396" t="s">
        <v>738</v>
      </c>
      <c r="B396" t="s">
        <v>150</v>
      </c>
      <c r="D396" t="s">
        <v>149</v>
      </c>
      <c r="E396" t="s">
        <v>17</v>
      </c>
      <c r="F396" t="s">
        <v>762</v>
      </c>
      <c r="G396" t="s">
        <v>192</v>
      </c>
    </row>
    <row r="397" spans="1:28" x14ac:dyDescent="0.3">
      <c r="A397" t="s">
        <v>157</v>
      </c>
      <c r="B397" t="s">
        <v>355</v>
      </c>
      <c r="D397" t="s">
        <v>414</v>
      </c>
      <c r="E397">
        <v>100</v>
      </c>
      <c r="F397">
        <v>119</v>
      </c>
      <c r="G397" t="s">
        <v>763</v>
      </c>
    </row>
    <row r="398" spans="1:28" x14ac:dyDescent="0.3">
      <c r="A398" t="s">
        <v>174</v>
      </c>
      <c r="B398" t="s">
        <v>671</v>
      </c>
      <c r="D398" t="s">
        <v>415</v>
      </c>
      <c r="E398">
        <v>100</v>
      </c>
      <c r="F398">
        <v>119</v>
      </c>
      <c r="G398" t="s">
        <v>763</v>
      </c>
    </row>
    <row r="399" spans="1:28" x14ac:dyDescent="0.3">
      <c r="A399" t="s">
        <v>184</v>
      </c>
      <c r="B399" t="s">
        <v>672</v>
      </c>
      <c r="D399" t="s">
        <v>354</v>
      </c>
      <c r="E399" t="s">
        <v>1015</v>
      </c>
      <c r="F399">
        <v>188</v>
      </c>
      <c r="G399" t="s">
        <v>764</v>
      </c>
    </row>
    <row r="400" spans="1:28" x14ac:dyDescent="0.3">
      <c r="A400" t="s">
        <v>189</v>
      </c>
      <c r="B400" t="s">
        <v>361</v>
      </c>
      <c r="D400" t="s">
        <v>356</v>
      </c>
      <c r="E400">
        <v>63</v>
      </c>
      <c r="F400">
        <v>188</v>
      </c>
      <c r="G400" t="s">
        <v>764</v>
      </c>
    </row>
    <row r="401" spans="1:18" x14ac:dyDescent="0.3">
      <c r="A401" t="s">
        <v>364</v>
      </c>
      <c r="B401" t="s">
        <v>673</v>
      </c>
      <c r="D401" t="s">
        <v>416</v>
      </c>
      <c r="E401">
        <v>72</v>
      </c>
      <c r="F401">
        <v>199</v>
      </c>
      <c r="G401" t="s">
        <v>764</v>
      </c>
    </row>
    <row r="402" spans="1:18" x14ac:dyDescent="0.3">
      <c r="A402" t="s">
        <v>368</v>
      </c>
      <c r="B402" t="s">
        <v>669</v>
      </c>
      <c r="D402" t="s">
        <v>417</v>
      </c>
      <c r="E402">
        <v>72</v>
      </c>
      <c r="F402">
        <v>199</v>
      </c>
      <c r="G402" t="s">
        <v>764</v>
      </c>
    </row>
    <row r="403" spans="1:18" x14ac:dyDescent="0.3">
      <c r="A403" t="s">
        <v>188</v>
      </c>
      <c r="B403" t="s">
        <v>670</v>
      </c>
      <c r="D403" t="s">
        <v>418</v>
      </c>
      <c r="E403">
        <v>69</v>
      </c>
      <c r="F403">
        <v>199</v>
      </c>
      <c r="G403" t="s">
        <v>764</v>
      </c>
    </row>
    <row r="404" spans="1:18" x14ac:dyDescent="0.3">
      <c r="A404" t="s">
        <v>1090</v>
      </c>
      <c r="B404" t="s">
        <v>1091</v>
      </c>
      <c r="D404" t="s">
        <v>419</v>
      </c>
      <c r="E404">
        <v>69</v>
      </c>
      <c r="F404">
        <v>199</v>
      </c>
      <c r="G404" t="s">
        <v>764</v>
      </c>
    </row>
    <row r="405" spans="1:18" x14ac:dyDescent="0.3">
      <c r="A405" t="s">
        <v>615</v>
      </c>
      <c r="B405" t="s">
        <v>674</v>
      </c>
      <c r="D405" t="s">
        <v>420</v>
      </c>
      <c r="E405">
        <v>73</v>
      </c>
      <c r="F405">
        <v>194</v>
      </c>
      <c r="G405" t="s">
        <v>764</v>
      </c>
    </row>
    <row r="406" spans="1:18" x14ac:dyDescent="0.3">
      <c r="A406" s="42" t="s">
        <v>1149</v>
      </c>
      <c r="B406" s="42" t="s">
        <v>672</v>
      </c>
      <c r="D406" t="s">
        <v>421</v>
      </c>
      <c r="E406">
        <v>82</v>
      </c>
      <c r="F406">
        <v>213</v>
      </c>
      <c r="G406" t="s">
        <v>764</v>
      </c>
    </row>
    <row r="407" spans="1:18" x14ac:dyDescent="0.3">
      <c r="D407" s="42" t="s">
        <v>422</v>
      </c>
      <c r="E407" s="42">
        <v>65</v>
      </c>
      <c r="F407" s="42">
        <v>203</v>
      </c>
      <c r="G407" s="42" t="s">
        <v>764</v>
      </c>
    </row>
    <row r="408" spans="1:18" x14ac:dyDescent="0.3">
      <c r="A408" t="s">
        <v>149</v>
      </c>
      <c r="B408" t="s">
        <v>150</v>
      </c>
      <c r="D408" s="42" t="s">
        <v>423</v>
      </c>
      <c r="E408" s="42">
        <v>62</v>
      </c>
      <c r="F408" s="42">
        <v>203</v>
      </c>
      <c r="G408" s="42" t="s">
        <v>764</v>
      </c>
      <c r="O408" s="6"/>
      <c r="P408" s="6"/>
      <c r="Q408"/>
      <c r="R408"/>
    </row>
    <row r="409" spans="1:18" x14ac:dyDescent="0.3">
      <c r="A409" t="s">
        <v>414</v>
      </c>
      <c r="B409" t="s">
        <v>157</v>
      </c>
      <c r="D409" s="42" t="s">
        <v>424</v>
      </c>
      <c r="E409" s="42">
        <v>67</v>
      </c>
      <c r="F409" s="42">
        <v>203</v>
      </c>
      <c r="G409" s="42" t="s">
        <v>764</v>
      </c>
      <c r="O409" s="6"/>
      <c r="P409" s="6"/>
      <c r="Q409"/>
      <c r="R409"/>
    </row>
    <row r="410" spans="1:18" x14ac:dyDescent="0.3">
      <c r="A410" t="s">
        <v>415</v>
      </c>
      <c r="B410" t="s">
        <v>157</v>
      </c>
      <c r="D410" s="42" t="s">
        <v>425</v>
      </c>
      <c r="E410" s="42">
        <v>20</v>
      </c>
      <c r="F410" s="42">
        <v>203</v>
      </c>
      <c r="G410" s="42" t="s">
        <v>764</v>
      </c>
      <c r="O410" s="6"/>
      <c r="P410" s="6"/>
      <c r="Q410"/>
      <c r="R410"/>
    </row>
    <row r="411" spans="1:18" x14ac:dyDescent="0.3">
      <c r="A411" t="s">
        <v>354</v>
      </c>
      <c r="B411" t="s">
        <v>157</v>
      </c>
      <c r="D411" s="42" t="s">
        <v>426</v>
      </c>
      <c r="E411" s="42">
        <v>72</v>
      </c>
      <c r="F411" s="42">
        <v>189</v>
      </c>
      <c r="G411" s="42" t="s">
        <v>764</v>
      </c>
      <c r="O411" s="6"/>
      <c r="P411" s="6"/>
      <c r="Q411"/>
      <c r="R411"/>
    </row>
    <row r="412" spans="1:18" x14ac:dyDescent="0.3">
      <c r="A412" t="s">
        <v>356</v>
      </c>
      <c r="B412" t="s">
        <v>157</v>
      </c>
      <c r="D412" s="42" t="s">
        <v>317</v>
      </c>
      <c r="E412" s="42">
        <v>18</v>
      </c>
      <c r="F412" s="42">
        <v>210</v>
      </c>
      <c r="G412" s="42" t="s">
        <v>764</v>
      </c>
      <c r="O412" s="6"/>
      <c r="P412" s="6"/>
      <c r="Q412"/>
      <c r="R412"/>
    </row>
    <row r="413" spans="1:18" x14ac:dyDescent="0.3">
      <c r="A413" t="s">
        <v>416</v>
      </c>
      <c r="B413" t="s">
        <v>157</v>
      </c>
      <c r="D413" s="42" t="s">
        <v>427</v>
      </c>
      <c r="E413" s="42">
        <v>45</v>
      </c>
      <c r="F413" s="42">
        <v>183</v>
      </c>
      <c r="G413" s="42" t="s">
        <v>764</v>
      </c>
      <c r="O413" s="6"/>
      <c r="P413" s="6"/>
      <c r="Q413"/>
      <c r="R413"/>
    </row>
    <row r="414" spans="1:18" x14ac:dyDescent="0.3">
      <c r="A414" t="s">
        <v>417</v>
      </c>
      <c r="B414" t="s">
        <v>157</v>
      </c>
      <c r="D414" s="42" t="s">
        <v>357</v>
      </c>
      <c r="E414" s="42">
        <v>47</v>
      </c>
      <c r="F414" s="42">
        <v>183</v>
      </c>
      <c r="G414" s="42" t="s">
        <v>764</v>
      </c>
      <c r="O414" s="6"/>
      <c r="P414" s="6"/>
      <c r="Q414"/>
      <c r="R414"/>
    </row>
    <row r="415" spans="1:18" x14ac:dyDescent="0.3">
      <c r="A415" t="s">
        <v>418</v>
      </c>
      <c r="B415" t="s">
        <v>157</v>
      </c>
      <c r="D415" s="42" t="s">
        <v>428</v>
      </c>
      <c r="E415" s="42">
        <v>75</v>
      </c>
      <c r="F415" s="42">
        <v>199</v>
      </c>
      <c r="G415" s="42" t="s">
        <v>764</v>
      </c>
      <c r="O415" s="6"/>
      <c r="P415" s="6"/>
      <c r="Q415"/>
      <c r="R415"/>
    </row>
    <row r="416" spans="1:18" x14ac:dyDescent="0.3">
      <c r="A416" t="s">
        <v>419</v>
      </c>
      <c r="B416" t="s">
        <v>157</v>
      </c>
      <c r="D416" s="42" t="s">
        <v>402</v>
      </c>
      <c r="E416" s="42">
        <v>70</v>
      </c>
      <c r="F416" s="42">
        <v>189</v>
      </c>
      <c r="G416" s="42" t="s">
        <v>764</v>
      </c>
      <c r="O416" s="6"/>
      <c r="P416" s="6"/>
      <c r="Q416"/>
      <c r="R416"/>
    </row>
    <row r="417" spans="1:18" x14ac:dyDescent="0.3">
      <c r="A417" t="s">
        <v>420</v>
      </c>
      <c r="B417" t="s">
        <v>157</v>
      </c>
      <c r="D417" s="42" t="s">
        <v>465</v>
      </c>
      <c r="E417" s="42">
        <v>80</v>
      </c>
      <c r="F417" s="42">
        <v>203</v>
      </c>
      <c r="G417" s="42" t="s">
        <v>764</v>
      </c>
      <c r="O417" s="6"/>
      <c r="P417" s="6"/>
      <c r="Q417"/>
      <c r="R417"/>
    </row>
    <row r="418" spans="1:18" x14ac:dyDescent="0.3">
      <c r="A418" t="s">
        <v>421</v>
      </c>
      <c r="B418" t="s">
        <v>157</v>
      </c>
      <c r="D418" s="42" t="s">
        <v>466</v>
      </c>
      <c r="E418" s="42">
        <v>81</v>
      </c>
      <c r="F418" s="42">
        <v>203</v>
      </c>
      <c r="G418" s="42" t="s">
        <v>764</v>
      </c>
      <c r="O418" s="6"/>
      <c r="P418" s="6"/>
      <c r="Q418"/>
      <c r="R418"/>
    </row>
    <row r="419" spans="1:18" x14ac:dyDescent="0.3">
      <c r="A419" t="s">
        <v>422</v>
      </c>
      <c r="B419" t="s">
        <v>157</v>
      </c>
      <c r="D419" s="42" t="s">
        <v>406</v>
      </c>
      <c r="E419" s="42">
        <v>80</v>
      </c>
      <c r="F419" s="42">
        <v>203</v>
      </c>
      <c r="G419" s="42" t="s">
        <v>764</v>
      </c>
      <c r="O419" s="6"/>
      <c r="P419" s="6"/>
      <c r="Q419"/>
      <c r="R419"/>
    </row>
    <row r="420" spans="1:18" x14ac:dyDescent="0.3">
      <c r="A420" t="s">
        <v>423</v>
      </c>
      <c r="B420" t="s">
        <v>157</v>
      </c>
      <c r="D420" s="42" t="s">
        <v>728</v>
      </c>
      <c r="E420" s="42">
        <v>80</v>
      </c>
      <c r="F420" s="42">
        <v>203</v>
      </c>
      <c r="G420" s="42" t="s">
        <v>764</v>
      </c>
      <c r="O420" s="6"/>
      <c r="P420" s="6"/>
      <c r="Q420"/>
      <c r="R420"/>
    </row>
    <row r="421" spans="1:18" x14ac:dyDescent="0.3">
      <c r="A421" t="s">
        <v>424</v>
      </c>
      <c r="B421" t="s">
        <v>157</v>
      </c>
      <c r="D421" s="42" t="s">
        <v>478</v>
      </c>
      <c r="E421" s="42">
        <v>34</v>
      </c>
      <c r="F421" s="42">
        <v>205</v>
      </c>
      <c r="G421" s="42" t="s">
        <v>764</v>
      </c>
      <c r="O421" s="6"/>
      <c r="P421" s="6"/>
      <c r="Q421"/>
      <c r="R421"/>
    </row>
    <row r="422" spans="1:18" x14ac:dyDescent="0.3">
      <c r="A422" t="s">
        <v>425</v>
      </c>
      <c r="B422" t="s">
        <v>157</v>
      </c>
      <c r="D422" s="42" t="s">
        <v>480</v>
      </c>
      <c r="E422" s="42">
        <v>68</v>
      </c>
      <c r="F422" s="42">
        <v>189</v>
      </c>
      <c r="G422" s="42" t="s">
        <v>764</v>
      </c>
      <c r="O422" s="6"/>
      <c r="P422" s="6"/>
      <c r="Q422"/>
      <c r="R422"/>
    </row>
    <row r="423" spans="1:18" x14ac:dyDescent="0.3">
      <c r="A423" t="s">
        <v>426</v>
      </c>
      <c r="B423" t="s">
        <v>157</v>
      </c>
      <c r="D423" s="42" t="s">
        <v>481</v>
      </c>
      <c r="E423" s="42">
        <v>75</v>
      </c>
      <c r="F423" s="42">
        <v>189</v>
      </c>
      <c r="G423" s="42" t="s">
        <v>764</v>
      </c>
      <c r="O423" s="6"/>
      <c r="P423" s="6"/>
      <c r="Q423"/>
      <c r="R423"/>
    </row>
    <row r="424" spans="1:18" x14ac:dyDescent="0.3">
      <c r="A424" t="s">
        <v>317</v>
      </c>
      <c r="B424" t="s">
        <v>157</v>
      </c>
      <c r="D424" s="42" t="s">
        <v>487</v>
      </c>
      <c r="E424" s="42">
        <v>67</v>
      </c>
      <c r="F424" s="42">
        <v>156</v>
      </c>
      <c r="G424" s="42" t="s">
        <v>764</v>
      </c>
      <c r="O424" s="6"/>
      <c r="P424" s="6"/>
      <c r="Q424"/>
      <c r="R424"/>
    </row>
    <row r="425" spans="1:18" x14ac:dyDescent="0.3">
      <c r="A425" t="s">
        <v>427</v>
      </c>
      <c r="B425" t="s">
        <v>157</v>
      </c>
      <c r="D425" s="42" t="s">
        <v>488</v>
      </c>
      <c r="E425" s="42">
        <v>82</v>
      </c>
      <c r="F425" s="42">
        <v>156</v>
      </c>
      <c r="G425" s="42" t="s">
        <v>764</v>
      </c>
      <c r="O425" s="6"/>
      <c r="P425" s="6"/>
      <c r="Q425"/>
      <c r="R425"/>
    </row>
    <row r="426" spans="1:18" x14ac:dyDescent="0.3">
      <c r="A426" t="s">
        <v>357</v>
      </c>
      <c r="B426" t="s">
        <v>157</v>
      </c>
      <c r="D426" s="42" t="s">
        <v>489</v>
      </c>
      <c r="E426" s="42">
        <v>55</v>
      </c>
      <c r="F426" s="42">
        <v>163</v>
      </c>
      <c r="G426" s="42" t="s">
        <v>764</v>
      </c>
      <c r="O426" s="6"/>
      <c r="P426" s="6"/>
      <c r="Q426"/>
      <c r="R426"/>
    </row>
    <row r="427" spans="1:18" x14ac:dyDescent="0.3">
      <c r="A427" t="s">
        <v>428</v>
      </c>
      <c r="B427" t="s">
        <v>157</v>
      </c>
      <c r="D427" s="42" t="s">
        <v>490</v>
      </c>
      <c r="E427" s="42">
        <v>88</v>
      </c>
      <c r="F427" s="42">
        <v>163</v>
      </c>
      <c r="G427" s="42" t="s">
        <v>764</v>
      </c>
      <c r="O427" s="6"/>
      <c r="P427" s="6"/>
      <c r="Q427"/>
      <c r="R427"/>
    </row>
    <row r="428" spans="1:18" x14ac:dyDescent="0.3">
      <c r="A428" t="s">
        <v>429</v>
      </c>
      <c r="B428" t="s">
        <v>157</v>
      </c>
      <c r="D428" s="42" t="s">
        <v>491</v>
      </c>
      <c r="E428" s="42">
        <v>33</v>
      </c>
      <c r="F428" s="42">
        <v>180</v>
      </c>
      <c r="G428" s="42" t="s">
        <v>764</v>
      </c>
      <c r="O428" s="6"/>
      <c r="P428" s="6"/>
      <c r="Q428"/>
      <c r="R428"/>
    </row>
    <row r="429" spans="1:18" x14ac:dyDescent="0.3">
      <c r="A429" t="s">
        <v>370</v>
      </c>
      <c r="B429" t="s">
        <v>157</v>
      </c>
      <c r="D429" s="42" t="s">
        <v>492</v>
      </c>
      <c r="E429" s="42">
        <v>12</v>
      </c>
      <c r="F429" s="42">
        <v>173</v>
      </c>
      <c r="G429" s="42" t="s">
        <v>764</v>
      </c>
      <c r="O429" s="6"/>
      <c r="P429" s="6"/>
      <c r="Q429"/>
      <c r="R429"/>
    </row>
    <row r="430" spans="1:18" x14ac:dyDescent="0.3">
      <c r="A430" t="s">
        <v>371</v>
      </c>
      <c r="B430" t="s">
        <v>157</v>
      </c>
      <c r="D430" s="42" t="s">
        <v>493</v>
      </c>
      <c r="E430" s="42">
        <v>18</v>
      </c>
      <c r="F430" s="42">
        <v>173</v>
      </c>
      <c r="G430" s="42" t="s">
        <v>764</v>
      </c>
      <c r="O430" s="6"/>
      <c r="P430" s="6"/>
      <c r="Q430"/>
      <c r="R430"/>
    </row>
    <row r="431" spans="1:18" x14ac:dyDescent="0.3">
      <c r="A431" t="s">
        <v>430</v>
      </c>
      <c r="B431" t="s">
        <v>157</v>
      </c>
      <c r="D431" s="42" t="s">
        <v>358</v>
      </c>
      <c r="E431" s="42">
        <v>85</v>
      </c>
      <c r="F431" s="42">
        <v>173</v>
      </c>
      <c r="G431" s="42" t="s">
        <v>764</v>
      </c>
      <c r="O431" s="6"/>
      <c r="P431" s="6"/>
      <c r="Q431"/>
      <c r="R431"/>
    </row>
    <row r="432" spans="1:18" x14ac:dyDescent="0.3">
      <c r="A432" t="s">
        <v>431</v>
      </c>
      <c r="B432" t="s">
        <v>157</v>
      </c>
      <c r="D432" s="42" t="s">
        <v>494</v>
      </c>
      <c r="E432" s="42">
        <v>71</v>
      </c>
      <c r="F432" s="42">
        <v>168</v>
      </c>
      <c r="G432" s="42" t="s">
        <v>764</v>
      </c>
      <c r="O432" s="6"/>
      <c r="P432" s="6"/>
      <c r="Q432"/>
      <c r="R432"/>
    </row>
    <row r="433" spans="1:18" x14ac:dyDescent="0.3">
      <c r="A433" t="s">
        <v>372</v>
      </c>
      <c r="B433" t="s">
        <v>157</v>
      </c>
      <c r="D433" s="42" t="s">
        <v>495</v>
      </c>
      <c r="E433" s="42">
        <v>70</v>
      </c>
      <c r="F433" s="42">
        <v>167</v>
      </c>
      <c r="G433" s="42" t="s">
        <v>764</v>
      </c>
      <c r="O433" s="6"/>
      <c r="P433" s="6"/>
      <c r="Q433"/>
      <c r="R433"/>
    </row>
    <row r="434" spans="1:18" x14ac:dyDescent="0.3">
      <c r="A434" t="s">
        <v>373</v>
      </c>
      <c r="B434" t="s">
        <v>157</v>
      </c>
      <c r="D434" s="42" t="s">
        <v>509</v>
      </c>
      <c r="E434" s="42">
        <v>69</v>
      </c>
      <c r="F434" s="42">
        <v>156</v>
      </c>
      <c r="G434" s="42" t="s">
        <v>764</v>
      </c>
      <c r="O434" s="6"/>
      <c r="P434" s="6"/>
      <c r="Q434"/>
      <c r="R434"/>
    </row>
    <row r="435" spans="1:18" x14ac:dyDescent="0.3">
      <c r="A435" t="s">
        <v>374</v>
      </c>
      <c r="B435" t="s">
        <v>157</v>
      </c>
      <c r="D435" s="42" t="s">
        <v>510</v>
      </c>
      <c r="E435" s="42">
        <v>50</v>
      </c>
      <c r="F435" s="42">
        <v>163</v>
      </c>
      <c r="G435" s="42" t="s">
        <v>764</v>
      </c>
      <c r="O435" s="6"/>
      <c r="P435" s="6"/>
      <c r="Q435"/>
      <c r="R435"/>
    </row>
    <row r="436" spans="1:18" x14ac:dyDescent="0.3">
      <c r="A436" t="s">
        <v>375</v>
      </c>
      <c r="B436" t="s">
        <v>157</v>
      </c>
      <c r="D436" s="42" t="s">
        <v>511</v>
      </c>
      <c r="E436" s="42">
        <v>65</v>
      </c>
      <c r="F436" s="42">
        <v>171</v>
      </c>
      <c r="G436" s="42" t="s">
        <v>764</v>
      </c>
      <c r="O436" s="6"/>
      <c r="P436" s="6"/>
      <c r="Q436"/>
      <c r="R436"/>
    </row>
    <row r="437" spans="1:18" x14ac:dyDescent="0.3">
      <c r="A437" t="s">
        <v>376</v>
      </c>
      <c r="B437" t="s">
        <v>157</v>
      </c>
      <c r="D437" s="42" t="s">
        <v>516</v>
      </c>
      <c r="E437" s="42">
        <v>72</v>
      </c>
      <c r="F437" s="42">
        <v>168</v>
      </c>
      <c r="G437" s="42" t="s">
        <v>764</v>
      </c>
      <c r="O437" s="6"/>
      <c r="P437" s="6"/>
      <c r="Q437"/>
      <c r="R437"/>
    </row>
    <row r="438" spans="1:18" x14ac:dyDescent="0.3">
      <c r="A438" t="s">
        <v>432</v>
      </c>
      <c r="B438" t="s">
        <v>157</v>
      </c>
      <c r="D438" s="42" t="s">
        <v>517</v>
      </c>
      <c r="E438" s="42">
        <v>69</v>
      </c>
      <c r="F438" s="42">
        <v>165</v>
      </c>
      <c r="G438" s="42" t="s">
        <v>764</v>
      </c>
      <c r="O438" s="6"/>
      <c r="P438" s="6"/>
      <c r="Q438"/>
      <c r="R438"/>
    </row>
    <row r="439" spans="1:18" x14ac:dyDescent="0.3">
      <c r="A439" t="s">
        <v>433</v>
      </c>
      <c r="B439" t="s">
        <v>157</v>
      </c>
      <c r="D439" s="42" t="s">
        <v>525</v>
      </c>
      <c r="E439" s="42">
        <v>75</v>
      </c>
      <c r="F439" s="42">
        <v>122</v>
      </c>
      <c r="G439" s="42" t="s">
        <v>764</v>
      </c>
      <c r="O439" s="6"/>
      <c r="P439" s="6"/>
      <c r="Q439"/>
      <c r="R439"/>
    </row>
    <row r="440" spans="1:18" x14ac:dyDescent="0.3">
      <c r="A440" t="s">
        <v>377</v>
      </c>
      <c r="B440" t="s">
        <v>157</v>
      </c>
      <c r="D440" s="42" t="s">
        <v>526</v>
      </c>
      <c r="E440" s="42">
        <v>71</v>
      </c>
      <c r="F440" s="42">
        <v>122</v>
      </c>
      <c r="G440" s="42" t="s">
        <v>764</v>
      </c>
      <c r="O440" s="6"/>
      <c r="P440" s="6"/>
      <c r="Q440"/>
      <c r="R440"/>
    </row>
    <row r="441" spans="1:18" x14ac:dyDescent="0.3">
      <c r="A441" t="s">
        <v>434</v>
      </c>
      <c r="B441" t="s">
        <v>157</v>
      </c>
      <c r="D441" s="42" t="s">
        <v>527</v>
      </c>
      <c r="E441" s="42">
        <v>27</v>
      </c>
      <c r="F441" s="42">
        <v>125</v>
      </c>
      <c r="G441" s="42" t="s">
        <v>764</v>
      </c>
      <c r="O441" s="6"/>
      <c r="P441" s="6"/>
      <c r="Q441"/>
      <c r="R441"/>
    </row>
    <row r="442" spans="1:18" x14ac:dyDescent="0.3">
      <c r="A442" t="s">
        <v>435</v>
      </c>
      <c r="B442" t="s">
        <v>157</v>
      </c>
      <c r="D442" s="42" t="s">
        <v>528</v>
      </c>
      <c r="E442" s="42">
        <v>32</v>
      </c>
      <c r="F442" s="42">
        <v>125</v>
      </c>
      <c r="G442" s="42" t="s">
        <v>764</v>
      </c>
      <c r="O442" s="6"/>
      <c r="P442" s="6"/>
      <c r="Q442"/>
      <c r="R442"/>
    </row>
    <row r="443" spans="1:18" x14ac:dyDescent="0.3">
      <c r="A443" t="s">
        <v>436</v>
      </c>
      <c r="B443" t="s">
        <v>157</v>
      </c>
      <c r="D443" s="42" t="s">
        <v>529</v>
      </c>
      <c r="E443" s="42">
        <v>49</v>
      </c>
      <c r="F443" s="42">
        <v>125</v>
      </c>
      <c r="G443" s="42" t="s">
        <v>764</v>
      </c>
      <c r="O443" s="6"/>
      <c r="P443" s="6"/>
      <c r="Q443"/>
      <c r="R443"/>
    </row>
    <row r="444" spans="1:18" x14ac:dyDescent="0.3">
      <c r="A444" t="s">
        <v>385</v>
      </c>
      <c r="B444" t="s">
        <v>157</v>
      </c>
      <c r="D444" s="42" t="s">
        <v>359</v>
      </c>
      <c r="E444" s="42">
        <v>78</v>
      </c>
      <c r="F444" s="42">
        <v>129</v>
      </c>
      <c r="G444" s="42" t="s">
        <v>764</v>
      </c>
      <c r="O444" s="6"/>
      <c r="P444" s="6"/>
      <c r="Q444"/>
      <c r="R444"/>
    </row>
    <row r="445" spans="1:18" x14ac:dyDescent="0.3">
      <c r="A445" t="s">
        <v>437</v>
      </c>
      <c r="B445" t="s">
        <v>157</v>
      </c>
      <c r="D445" s="42" t="s">
        <v>530</v>
      </c>
      <c r="E445" s="42">
        <v>23</v>
      </c>
      <c r="F445" s="42">
        <v>129</v>
      </c>
      <c r="G445" s="42" t="s">
        <v>764</v>
      </c>
      <c r="O445" s="6"/>
      <c r="P445" s="6"/>
      <c r="Q445"/>
      <c r="R445"/>
    </row>
    <row r="446" spans="1:18" x14ac:dyDescent="0.3">
      <c r="A446" t="s">
        <v>438</v>
      </c>
      <c r="B446" t="s">
        <v>157</v>
      </c>
      <c r="D446" s="42" t="s">
        <v>531</v>
      </c>
      <c r="E446" s="42">
        <v>15</v>
      </c>
      <c r="F446" s="42">
        <v>126</v>
      </c>
      <c r="G446" s="42" t="s">
        <v>764</v>
      </c>
      <c r="O446" s="6"/>
      <c r="P446" s="6"/>
      <c r="Q446"/>
      <c r="R446"/>
    </row>
    <row r="447" spans="1:18" x14ac:dyDescent="0.3">
      <c r="A447" t="s">
        <v>439</v>
      </c>
      <c r="B447" t="s">
        <v>157</v>
      </c>
      <c r="D447" s="42" t="s">
        <v>532</v>
      </c>
      <c r="E447" s="42">
        <v>9</v>
      </c>
      <c r="F447" s="42">
        <v>129</v>
      </c>
      <c r="G447" s="42" t="s">
        <v>764</v>
      </c>
      <c r="O447" s="6"/>
      <c r="P447" s="6"/>
      <c r="Q447"/>
      <c r="R447"/>
    </row>
    <row r="448" spans="1:18" x14ac:dyDescent="0.3">
      <c r="A448" t="s">
        <v>440</v>
      </c>
      <c r="B448" t="s">
        <v>157</v>
      </c>
      <c r="D448" s="42" t="s">
        <v>533</v>
      </c>
      <c r="E448" s="42">
        <v>12</v>
      </c>
      <c r="F448" s="42">
        <v>126</v>
      </c>
      <c r="G448" s="42" t="s">
        <v>764</v>
      </c>
      <c r="O448" s="6"/>
      <c r="P448" s="6"/>
      <c r="Q448"/>
      <c r="R448"/>
    </row>
    <row r="449" spans="1:18" x14ac:dyDescent="0.3">
      <c r="A449" t="s">
        <v>441</v>
      </c>
      <c r="B449" t="s">
        <v>157</v>
      </c>
      <c r="D449" s="42" t="s">
        <v>534</v>
      </c>
      <c r="E449" s="42">
        <v>70</v>
      </c>
      <c r="F449" s="42">
        <v>135</v>
      </c>
      <c r="G449" s="42" t="s">
        <v>764</v>
      </c>
      <c r="O449" s="6"/>
      <c r="P449" s="6"/>
      <c r="Q449"/>
      <c r="R449"/>
    </row>
    <row r="450" spans="1:18" x14ac:dyDescent="0.3">
      <c r="A450" t="s">
        <v>442</v>
      </c>
      <c r="B450" t="s">
        <v>157</v>
      </c>
      <c r="D450" s="42" t="s">
        <v>554</v>
      </c>
      <c r="E450" s="42">
        <v>76</v>
      </c>
      <c r="F450" s="42">
        <v>131</v>
      </c>
      <c r="G450" s="42" t="s">
        <v>764</v>
      </c>
      <c r="O450" s="6"/>
      <c r="P450" s="6"/>
      <c r="Q450"/>
      <c r="R450"/>
    </row>
    <row r="451" spans="1:18" x14ac:dyDescent="0.3">
      <c r="A451" t="s">
        <v>443</v>
      </c>
      <c r="B451" t="s">
        <v>157</v>
      </c>
      <c r="D451" s="42" t="s">
        <v>360</v>
      </c>
      <c r="E451" s="42">
        <v>75</v>
      </c>
      <c r="F451" s="42">
        <v>70</v>
      </c>
      <c r="G451" s="42" t="s">
        <v>764</v>
      </c>
      <c r="O451" s="6"/>
      <c r="P451" s="6"/>
      <c r="Q451"/>
      <c r="R451"/>
    </row>
    <row r="452" spans="1:18" x14ac:dyDescent="0.3">
      <c r="A452" t="s">
        <v>386</v>
      </c>
      <c r="B452" t="s">
        <v>157</v>
      </c>
      <c r="D452" s="42" t="s">
        <v>362</v>
      </c>
      <c r="E452" s="42">
        <v>38</v>
      </c>
      <c r="F452" s="42">
        <v>70</v>
      </c>
      <c r="G452" s="42" t="s">
        <v>764</v>
      </c>
      <c r="O452" s="6"/>
      <c r="P452" s="6"/>
      <c r="Q452"/>
      <c r="R452"/>
    </row>
    <row r="453" spans="1:18" x14ac:dyDescent="0.3">
      <c r="A453" t="s">
        <v>387</v>
      </c>
      <c r="B453" t="s">
        <v>157</v>
      </c>
      <c r="D453" s="42" t="s">
        <v>555</v>
      </c>
      <c r="E453" s="42">
        <v>72</v>
      </c>
      <c r="F453" s="42">
        <v>72</v>
      </c>
      <c r="G453" s="42" t="s">
        <v>764</v>
      </c>
      <c r="O453" s="6"/>
      <c r="P453" s="6"/>
      <c r="Q453"/>
      <c r="R453"/>
    </row>
    <row r="454" spans="1:18" x14ac:dyDescent="0.3">
      <c r="A454" t="s">
        <v>444</v>
      </c>
      <c r="B454" t="s">
        <v>157</v>
      </c>
      <c r="D454" s="42" t="s">
        <v>556</v>
      </c>
      <c r="E454" s="42">
        <v>17</v>
      </c>
      <c r="F454" s="42">
        <v>72</v>
      </c>
      <c r="G454" s="42" t="s">
        <v>764</v>
      </c>
      <c r="O454" s="6"/>
      <c r="P454" s="6"/>
      <c r="Q454"/>
      <c r="R454"/>
    </row>
    <row r="455" spans="1:18" x14ac:dyDescent="0.3">
      <c r="A455" t="s">
        <v>445</v>
      </c>
      <c r="B455" t="s">
        <v>157</v>
      </c>
      <c r="D455" s="42" t="s">
        <v>557</v>
      </c>
      <c r="E455" s="42">
        <v>51</v>
      </c>
      <c r="F455" s="42">
        <v>71</v>
      </c>
      <c r="G455" s="42" t="s">
        <v>764</v>
      </c>
      <c r="O455" s="6"/>
      <c r="P455" s="6"/>
      <c r="Q455"/>
      <c r="R455"/>
    </row>
    <row r="456" spans="1:18" x14ac:dyDescent="0.3">
      <c r="A456" t="s">
        <v>446</v>
      </c>
      <c r="B456" t="s">
        <v>157</v>
      </c>
      <c r="D456" s="42" t="s">
        <v>558</v>
      </c>
      <c r="E456" s="42">
        <v>36</v>
      </c>
      <c r="F456" s="42">
        <v>71</v>
      </c>
      <c r="G456" s="42" t="s">
        <v>764</v>
      </c>
      <c r="O456" s="6"/>
      <c r="P456" s="6"/>
      <c r="Q456"/>
      <c r="R456"/>
    </row>
    <row r="457" spans="1:18" x14ac:dyDescent="0.3">
      <c r="A457" t="s">
        <v>447</v>
      </c>
      <c r="B457" t="s">
        <v>157</v>
      </c>
      <c r="D457" s="42" t="s">
        <v>559</v>
      </c>
      <c r="E457" s="42">
        <v>67</v>
      </c>
      <c r="F457" s="42">
        <v>71</v>
      </c>
      <c r="G457" s="42" t="s">
        <v>764</v>
      </c>
      <c r="O457" s="6"/>
      <c r="P457" s="6"/>
      <c r="Q457"/>
      <c r="R457"/>
    </row>
    <row r="458" spans="1:18" x14ac:dyDescent="0.3">
      <c r="A458" t="s">
        <v>448</v>
      </c>
      <c r="B458" t="s">
        <v>157</v>
      </c>
      <c r="D458" s="42" t="s">
        <v>560</v>
      </c>
      <c r="E458" s="42">
        <v>70</v>
      </c>
      <c r="F458" s="42">
        <v>66</v>
      </c>
      <c r="G458" s="42" t="s">
        <v>764</v>
      </c>
      <c r="O458" s="6"/>
      <c r="P458" s="6"/>
      <c r="Q458"/>
      <c r="R458"/>
    </row>
    <row r="459" spans="1:18" x14ac:dyDescent="0.3">
      <c r="A459" t="s">
        <v>449</v>
      </c>
      <c r="B459" t="s">
        <v>157</v>
      </c>
      <c r="D459" s="42" t="s">
        <v>561</v>
      </c>
      <c r="E459" s="42">
        <v>61</v>
      </c>
      <c r="F459" s="42">
        <v>72</v>
      </c>
      <c r="G459" s="42" t="s">
        <v>764</v>
      </c>
      <c r="O459" s="6"/>
      <c r="P459" s="6"/>
      <c r="Q459"/>
      <c r="R459"/>
    </row>
    <row r="460" spans="1:18" x14ac:dyDescent="0.3">
      <c r="A460" t="s">
        <v>450</v>
      </c>
      <c r="B460" t="s">
        <v>157</v>
      </c>
      <c r="D460" s="42" t="s">
        <v>562</v>
      </c>
      <c r="E460" s="42">
        <v>81</v>
      </c>
      <c r="F460" s="42">
        <v>72</v>
      </c>
      <c r="G460" s="42" t="s">
        <v>764</v>
      </c>
      <c r="O460" s="6"/>
      <c r="P460" s="6"/>
      <c r="Q460"/>
      <c r="R460"/>
    </row>
    <row r="461" spans="1:18" x14ac:dyDescent="0.3">
      <c r="A461" t="s">
        <v>451</v>
      </c>
      <c r="B461" t="s">
        <v>157</v>
      </c>
      <c r="D461" s="42" t="s">
        <v>563</v>
      </c>
      <c r="E461" s="42">
        <v>89</v>
      </c>
      <c r="F461" s="42">
        <v>72</v>
      </c>
      <c r="G461" s="42" t="s">
        <v>764</v>
      </c>
      <c r="O461" s="6"/>
      <c r="P461" s="6"/>
      <c r="Q461"/>
      <c r="R461"/>
    </row>
    <row r="462" spans="1:18" x14ac:dyDescent="0.3">
      <c r="A462" t="s">
        <v>320</v>
      </c>
      <c r="B462" t="s">
        <v>157</v>
      </c>
      <c r="D462" s="42" t="s">
        <v>564</v>
      </c>
      <c r="E462" s="42">
        <v>76</v>
      </c>
      <c r="F462" s="42">
        <v>73</v>
      </c>
      <c r="G462" s="42" t="s">
        <v>764</v>
      </c>
      <c r="O462" s="6"/>
      <c r="P462" s="6"/>
      <c r="Q462"/>
      <c r="R462"/>
    </row>
    <row r="463" spans="1:18" x14ac:dyDescent="0.3">
      <c r="A463" t="s">
        <v>316</v>
      </c>
      <c r="B463" t="s">
        <v>157</v>
      </c>
      <c r="D463" s="42" t="s">
        <v>575</v>
      </c>
      <c r="E463" s="42">
        <v>82</v>
      </c>
      <c r="F463" s="42">
        <v>76</v>
      </c>
      <c r="G463" s="42" t="s">
        <v>764</v>
      </c>
      <c r="O463" s="6"/>
      <c r="P463" s="6"/>
      <c r="Q463"/>
      <c r="R463"/>
    </row>
    <row r="464" spans="1:18" x14ac:dyDescent="0.3">
      <c r="A464" t="s">
        <v>321</v>
      </c>
      <c r="B464" t="s">
        <v>157</v>
      </c>
      <c r="D464" s="42" t="s">
        <v>363</v>
      </c>
      <c r="E464" s="42">
        <v>68</v>
      </c>
      <c r="F464" s="42">
        <v>88</v>
      </c>
      <c r="G464" s="42" t="s">
        <v>764</v>
      </c>
      <c r="O464" s="6"/>
      <c r="P464" s="6"/>
      <c r="Q464"/>
      <c r="R464"/>
    </row>
    <row r="465" spans="1:18" x14ac:dyDescent="0.3">
      <c r="A465" t="s">
        <v>453</v>
      </c>
      <c r="B465" t="s">
        <v>157</v>
      </c>
      <c r="D465" s="42" t="s">
        <v>365</v>
      </c>
      <c r="E465" s="42">
        <v>78</v>
      </c>
      <c r="F465" s="42">
        <v>88</v>
      </c>
      <c r="G465" s="42" t="s">
        <v>764</v>
      </c>
      <c r="O465" s="6"/>
      <c r="P465" s="6"/>
      <c r="Q465"/>
      <c r="R465"/>
    </row>
    <row r="466" spans="1:18" x14ac:dyDescent="0.3">
      <c r="A466" t="s">
        <v>454</v>
      </c>
      <c r="B466" t="s">
        <v>157</v>
      </c>
      <c r="D466" s="42" t="s">
        <v>366</v>
      </c>
      <c r="E466" s="42">
        <v>32</v>
      </c>
      <c r="F466" s="42">
        <v>83</v>
      </c>
      <c r="G466" s="42" t="s">
        <v>764</v>
      </c>
      <c r="O466" s="6"/>
      <c r="P466" s="6"/>
      <c r="Q466"/>
      <c r="R466"/>
    </row>
    <row r="467" spans="1:18" x14ac:dyDescent="0.3">
      <c r="A467" t="s">
        <v>455</v>
      </c>
      <c r="B467" t="s">
        <v>157</v>
      </c>
      <c r="D467" s="42" t="s">
        <v>591</v>
      </c>
      <c r="E467" s="42">
        <v>35</v>
      </c>
      <c r="F467" s="42">
        <v>95</v>
      </c>
      <c r="G467" s="42" t="s">
        <v>764</v>
      </c>
      <c r="O467" s="6"/>
      <c r="P467" s="6"/>
      <c r="Q467"/>
      <c r="R467"/>
    </row>
    <row r="468" spans="1:18" x14ac:dyDescent="0.3">
      <c r="A468" t="s">
        <v>402</v>
      </c>
      <c r="B468" t="s">
        <v>157</v>
      </c>
      <c r="D468" s="42" t="s">
        <v>367</v>
      </c>
      <c r="E468" s="42">
        <v>66</v>
      </c>
      <c r="F468" s="42">
        <v>95</v>
      </c>
      <c r="G468" s="42" t="s">
        <v>764</v>
      </c>
      <c r="O468" s="6"/>
      <c r="P468" s="6"/>
      <c r="Q468"/>
      <c r="R468"/>
    </row>
    <row r="469" spans="1:18" x14ac:dyDescent="0.3">
      <c r="A469" t="s">
        <v>322</v>
      </c>
      <c r="B469" t="s">
        <v>157</v>
      </c>
      <c r="D469" s="42" t="s">
        <v>369</v>
      </c>
      <c r="E469" s="42">
        <v>71</v>
      </c>
      <c r="F469" s="42">
        <v>92</v>
      </c>
      <c r="G469" s="42" t="s">
        <v>764</v>
      </c>
      <c r="O469" s="6"/>
      <c r="P469" s="6"/>
      <c r="Q469"/>
      <c r="R469"/>
    </row>
    <row r="470" spans="1:18" x14ac:dyDescent="0.3">
      <c r="A470" t="s">
        <v>323</v>
      </c>
      <c r="B470" t="s">
        <v>157</v>
      </c>
      <c r="D470" s="42" t="s">
        <v>592</v>
      </c>
      <c r="E470" s="42">
        <v>39</v>
      </c>
      <c r="F470" s="42">
        <v>99</v>
      </c>
      <c r="G470" s="42" t="s">
        <v>764</v>
      </c>
      <c r="O470" s="6"/>
      <c r="P470" s="6"/>
      <c r="Q470"/>
      <c r="R470"/>
    </row>
    <row r="471" spans="1:18" x14ac:dyDescent="0.3">
      <c r="A471" t="s">
        <v>324</v>
      </c>
      <c r="B471" t="s">
        <v>157</v>
      </c>
      <c r="D471" s="42" t="s">
        <v>593</v>
      </c>
      <c r="E471" s="42">
        <v>93</v>
      </c>
      <c r="F471" s="42">
        <v>110</v>
      </c>
      <c r="G471" s="42" t="s">
        <v>764</v>
      </c>
      <c r="O471" s="6"/>
      <c r="P471" s="6"/>
      <c r="Q471"/>
      <c r="R471"/>
    </row>
    <row r="472" spans="1:18" x14ac:dyDescent="0.3">
      <c r="A472" t="s">
        <v>325</v>
      </c>
      <c r="B472" t="s">
        <v>157</v>
      </c>
      <c r="D472" s="42" t="s">
        <v>594</v>
      </c>
      <c r="E472" s="42">
        <v>15</v>
      </c>
      <c r="F472" s="42">
        <v>99</v>
      </c>
      <c r="G472" s="42" t="s">
        <v>764</v>
      </c>
      <c r="O472" s="6"/>
      <c r="P472" s="6"/>
      <c r="Q472"/>
      <c r="R472"/>
    </row>
    <row r="473" spans="1:18" x14ac:dyDescent="0.3">
      <c r="A473" t="s">
        <v>403</v>
      </c>
      <c r="B473" t="s">
        <v>157</v>
      </c>
      <c r="D473" s="42" t="s">
        <v>595</v>
      </c>
      <c r="E473" s="42">
        <v>20</v>
      </c>
      <c r="F473" s="42">
        <v>91</v>
      </c>
      <c r="G473" s="42" t="s">
        <v>764</v>
      </c>
      <c r="O473" s="6"/>
      <c r="P473" s="6"/>
      <c r="Q473"/>
      <c r="R473"/>
    </row>
    <row r="474" spans="1:18" x14ac:dyDescent="0.3">
      <c r="A474" t="s">
        <v>404</v>
      </c>
      <c r="B474" t="s">
        <v>157</v>
      </c>
      <c r="D474" s="42" t="s">
        <v>606</v>
      </c>
      <c r="E474" s="42">
        <v>90</v>
      </c>
      <c r="F474" s="42">
        <v>91</v>
      </c>
      <c r="G474" s="42" t="s">
        <v>764</v>
      </c>
      <c r="O474" s="6"/>
      <c r="P474" s="6"/>
      <c r="Q474"/>
      <c r="R474"/>
    </row>
    <row r="475" spans="1:18" x14ac:dyDescent="0.3">
      <c r="A475" t="s">
        <v>405</v>
      </c>
      <c r="B475" t="s">
        <v>157</v>
      </c>
      <c r="D475" s="42" t="s">
        <v>661</v>
      </c>
      <c r="E475" s="42">
        <v>68</v>
      </c>
      <c r="F475" s="42">
        <v>183</v>
      </c>
      <c r="G475" s="42" t="s">
        <v>764</v>
      </c>
      <c r="O475" s="6"/>
      <c r="P475" s="6"/>
      <c r="Q475"/>
      <c r="R475"/>
    </row>
    <row r="476" spans="1:18" x14ac:dyDescent="0.3">
      <c r="A476" t="s">
        <v>456</v>
      </c>
      <c r="B476" t="s">
        <v>157</v>
      </c>
      <c r="D476" s="42" t="s">
        <v>765</v>
      </c>
      <c r="E476" s="42">
        <v>79</v>
      </c>
      <c r="F476" s="42">
        <v>198</v>
      </c>
      <c r="G476" s="42" t="s">
        <v>764</v>
      </c>
      <c r="O476" s="6"/>
      <c r="P476" s="6"/>
      <c r="Q476"/>
      <c r="R476"/>
    </row>
    <row r="477" spans="1:18" x14ac:dyDescent="0.3">
      <c r="A477" t="s">
        <v>457</v>
      </c>
      <c r="B477" t="s">
        <v>157</v>
      </c>
      <c r="D477" s="42" t="s">
        <v>614</v>
      </c>
      <c r="E477" s="42">
        <v>79</v>
      </c>
      <c r="F477" s="42">
        <v>111</v>
      </c>
      <c r="G477" s="42" t="s">
        <v>764</v>
      </c>
      <c r="O477" s="6"/>
      <c r="P477" s="6"/>
      <c r="Q477"/>
      <c r="R477"/>
    </row>
    <row r="478" spans="1:18" x14ac:dyDescent="0.3">
      <c r="A478" t="s">
        <v>458</v>
      </c>
      <c r="B478" t="s">
        <v>157</v>
      </c>
      <c r="D478" s="42" t="s">
        <v>853</v>
      </c>
      <c r="E478" s="42">
        <v>72</v>
      </c>
      <c r="F478" s="42">
        <v>191</v>
      </c>
      <c r="G478" s="42" t="s">
        <v>852</v>
      </c>
      <c r="O478" s="6"/>
      <c r="P478" s="6"/>
      <c r="Q478"/>
      <c r="R478"/>
    </row>
    <row r="479" spans="1:18" x14ac:dyDescent="0.3">
      <c r="A479" t="s">
        <v>459</v>
      </c>
      <c r="B479" t="s">
        <v>157</v>
      </c>
      <c r="D479" s="42" t="s">
        <v>854</v>
      </c>
      <c r="E479" s="42">
        <v>43</v>
      </c>
      <c r="F479" s="42">
        <v>177</v>
      </c>
      <c r="G479" s="42" t="s">
        <v>852</v>
      </c>
      <c r="O479" s="6"/>
      <c r="P479" s="6"/>
      <c r="Q479"/>
      <c r="R479"/>
    </row>
    <row r="480" spans="1:18" x14ac:dyDescent="0.3">
      <c r="A480" t="s">
        <v>460</v>
      </c>
      <c r="B480" t="s">
        <v>157</v>
      </c>
      <c r="D480" s="42" t="s">
        <v>855</v>
      </c>
      <c r="E480" s="42">
        <v>35</v>
      </c>
      <c r="F480" s="42">
        <v>177</v>
      </c>
      <c r="G480" s="42" t="s">
        <v>852</v>
      </c>
      <c r="O480" s="6"/>
      <c r="P480" s="6"/>
      <c r="Q480"/>
      <c r="R480"/>
    </row>
    <row r="481" spans="1:18" x14ac:dyDescent="0.3">
      <c r="A481" t="s">
        <v>461</v>
      </c>
      <c r="B481" t="s">
        <v>157</v>
      </c>
      <c r="D481" s="42" t="s">
        <v>856</v>
      </c>
      <c r="E481" s="42">
        <v>71</v>
      </c>
      <c r="F481" s="42">
        <v>180</v>
      </c>
      <c r="G481" s="42" t="s">
        <v>852</v>
      </c>
      <c r="O481" s="6"/>
      <c r="P481" s="6"/>
      <c r="Q481"/>
      <c r="R481"/>
    </row>
    <row r="482" spans="1:18" x14ac:dyDescent="0.3">
      <c r="A482" t="s">
        <v>462</v>
      </c>
      <c r="B482" t="s">
        <v>157</v>
      </c>
      <c r="D482" s="42" t="s">
        <v>857</v>
      </c>
      <c r="E482" s="42">
        <v>65</v>
      </c>
      <c r="F482" s="42">
        <v>180</v>
      </c>
      <c r="G482" s="42" t="s">
        <v>852</v>
      </c>
      <c r="O482" s="6"/>
      <c r="P482" s="6"/>
      <c r="Q482"/>
      <c r="R482"/>
    </row>
    <row r="483" spans="1:18" x14ac:dyDescent="0.3">
      <c r="A483" t="s">
        <v>463</v>
      </c>
      <c r="B483" t="s">
        <v>157</v>
      </c>
      <c r="D483" s="42" t="s">
        <v>858</v>
      </c>
      <c r="E483" s="42">
        <v>54</v>
      </c>
      <c r="F483" s="42">
        <v>183</v>
      </c>
      <c r="G483" s="42" t="s">
        <v>852</v>
      </c>
      <c r="O483" s="6"/>
      <c r="P483" s="6"/>
      <c r="Q483"/>
      <c r="R483"/>
    </row>
    <row r="484" spans="1:18" x14ac:dyDescent="0.3">
      <c r="A484" t="s">
        <v>0</v>
      </c>
      <c r="B484" t="s">
        <v>157</v>
      </c>
      <c r="D484" s="42" t="s">
        <v>859</v>
      </c>
      <c r="E484" s="42">
        <v>35</v>
      </c>
      <c r="F484" s="42">
        <v>183</v>
      </c>
      <c r="G484" s="42" t="s">
        <v>852</v>
      </c>
      <c r="O484" s="6"/>
      <c r="P484" s="6"/>
      <c r="Q484"/>
      <c r="R484"/>
    </row>
    <row r="485" spans="1:18" x14ac:dyDescent="0.3">
      <c r="A485" t="s">
        <v>464</v>
      </c>
      <c r="B485" t="s">
        <v>157</v>
      </c>
      <c r="D485" s="42" t="s">
        <v>860</v>
      </c>
      <c r="E485" s="42">
        <v>72</v>
      </c>
      <c r="F485" s="42">
        <v>183</v>
      </c>
      <c r="G485" s="42" t="s">
        <v>852</v>
      </c>
      <c r="O485" s="6"/>
      <c r="P485" s="6"/>
      <c r="Q485"/>
      <c r="R485"/>
    </row>
    <row r="486" spans="1:18" x14ac:dyDescent="0.3">
      <c r="A486" t="s">
        <v>465</v>
      </c>
      <c r="B486" t="s">
        <v>157</v>
      </c>
      <c r="D486" s="42" t="s">
        <v>861</v>
      </c>
      <c r="E486" s="42">
        <v>68</v>
      </c>
      <c r="F486" s="42">
        <v>185</v>
      </c>
      <c r="G486" s="42" t="s">
        <v>852</v>
      </c>
      <c r="O486" s="6"/>
      <c r="P486" s="6"/>
      <c r="Q486"/>
      <c r="R486"/>
    </row>
    <row r="487" spans="1:18" x14ac:dyDescent="0.3">
      <c r="A487" t="s">
        <v>466</v>
      </c>
      <c r="B487" t="s">
        <v>157</v>
      </c>
      <c r="D487" s="42" t="s">
        <v>862</v>
      </c>
      <c r="E487" s="42">
        <v>68</v>
      </c>
      <c r="F487" s="42">
        <v>185</v>
      </c>
      <c r="G487" s="42" t="s">
        <v>852</v>
      </c>
      <c r="O487" s="6"/>
      <c r="P487" s="6"/>
      <c r="Q487"/>
      <c r="R487"/>
    </row>
    <row r="488" spans="1:18" x14ac:dyDescent="0.3">
      <c r="A488" t="s">
        <v>406</v>
      </c>
      <c r="B488" t="s">
        <v>157</v>
      </c>
      <c r="D488" s="42" t="s">
        <v>863</v>
      </c>
      <c r="E488" s="42">
        <v>36</v>
      </c>
      <c r="F488" s="42">
        <v>191</v>
      </c>
      <c r="G488" s="42" t="s">
        <v>852</v>
      </c>
      <c r="O488" s="6"/>
      <c r="P488" s="6"/>
      <c r="Q488"/>
      <c r="R488"/>
    </row>
    <row r="489" spans="1:18" x14ac:dyDescent="0.3">
      <c r="A489" t="s">
        <v>467</v>
      </c>
      <c r="B489" t="s">
        <v>157</v>
      </c>
      <c r="D489" s="42" t="s">
        <v>864</v>
      </c>
      <c r="E489" s="42">
        <v>65</v>
      </c>
      <c r="F489" s="42">
        <v>200</v>
      </c>
      <c r="G489" s="42" t="s">
        <v>852</v>
      </c>
      <c r="O489" s="6"/>
      <c r="P489" s="6"/>
      <c r="Q489"/>
      <c r="R489"/>
    </row>
    <row r="490" spans="1:18" x14ac:dyDescent="0.3">
      <c r="A490" t="s">
        <v>468</v>
      </c>
      <c r="B490" t="s">
        <v>157</v>
      </c>
      <c r="D490" s="42" t="s">
        <v>865</v>
      </c>
      <c r="E490" s="42">
        <v>40</v>
      </c>
      <c r="F490" s="42">
        <v>200</v>
      </c>
      <c r="G490" s="42" t="s">
        <v>852</v>
      </c>
      <c r="O490" s="6"/>
      <c r="P490" s="6"/>
      <c r="Q490"/>
      <c r="R490"/>
    </row>
    <row r="491" spans="1:18" x14ac:dyDescent="0.3">
      <c r="A491" t="s">
        <v>469</v>
      </c>
      <c r="B491" t="s">
        <v>157</v>
      </c>
      <c r="D491" s="42" t="s">
        <v>866</v>
      </c>
      <c r="E491" s="42">
        <v>42</v>
      </c>
      <c r="F491" s="42">
        <v>171</v>
      </c>
      <c r="G491" s="42" t="s">
        <v>852</v>
      </c>
      <c r="O491" s="6"/>
      <c r="P491" s="6"/>
      <c r="Q491"/>
      <c r="R491"/>
    </row>
    <row r="492" spans="1:18" x14ac:dyDescent="0.3">
      <c r="A492" t="s">
        <v>470</v>
      </c>
      <c r="B492" t="s">
        <v>157</v>
      </c>
      <c r="D492" s="42" t="s">
        <v>867</v>
      </c>
      <c r="E492" s="42">
        <v>52</v>
      </c>
      <c r="F492" s="42">
        <v>200</v>
      </c>
      <c r="G492" s="42" t="s">
        <v>852</v>
      </c>
      <c r="O492" s="6"/>
      <c r="P492" s="6"/>
      <c r="Q492"/>
      <c r="R492"/>
    </row>
    <row r="493" spans="1:18" x14ac:dyDescent="0.3">
      <c r="A493" t="s">
        <v>409</v>
      </c>
      <c r="B493" t="s">
        <v>157</v>
      </c>
      <c r="D493" s="42" t="s">
        <v>868</v>
      </c>
      <c r="E493" s="42">
        <v>76</v>
      </c>
      <c r="F493" s="42">
        <v>185</v>
      </c>
      <c r="G493" s="42" t="s">
        <v>852</v>
      </c>
      <c r="O493" s="6"/>
      <c r="P493" s="6"/>
      <c r="Q493"/>
      <c r="R493"/>
    </row>
    <row r="494" spans="1:18" x14ac:dyDescent="0.3">
      <c r="A494" t="s">
        <v>410</v>
      </c>
      <c r="B494" t="s">
        <v>157</v>
      </c>
      <c r="D494" s="42" t="s">
        <v>869</v>
      </c>
      <c r="E494" s="42">
        <v>67</v>
      </c>
      <c r="F494" s="42">
        <v>183</v>
      </c>
      <c r="G494" s="42" t="s">
        <v>852</v>
      </c>
      <c r="O494" s="6"/>
      <c r="P494" s="6"/>
      <c r="Q494"/>
      <c r="R494"/>
    </row>
    <row r="495" spans="1:18" x14ac:dyDescent="0.3">
      <c r="A495" t="s">
        <v>471</v>
      </c>
      <c r="B495" t="s">
        <v>157</v>
      </c>
      <c r="D495" s="42" t="s">
        <v>870</v>
      </c>
      <c r="E495" s="42">
        <v>44</v>
      </c>
      <c r="F495" s="42">
        <v>149</v>
      </c>
      <c r="G495" s="42" t="s">
        <v>852</v>
      </c>
      <c r="O495" s="6"/>
      <c r="P495" s="6"/>
      <c r="Q495"/>
      <c r="R495"/>
    </row>
    <row r="496" spans="1:18" x14ac:dyDescent="0.3">
      <c r="A496" t="s">
        <v>472</v>
      </c>
      <c r="B496" t="s">
        <v>157</v>
      </c>
      <c r="D496" s="42" t="s">
        <v>871</v>
      </c>
      <c r="E496" s="42">
        <v>54</v>
      </c>
      <c r="F496" s="42">
        <v>152</v>
      </c>
      <c r="G496" s="42" t="s">
        <v>852</v>
      </c>
      <c r="O496" s="6"/>
      <c r="P496" s="6"/>
      <c r="Q496"/>
      <c r="R496"/>
    </row>
    <row r="497" spans="1:18" x14ac:dyDescent="0.3">
      <c r="A497" t="s">
        <v>473</v>
      </c>
      <c r="B497" t="s">
        <v>157</v>
      </c>
      <c r="D497" s="42" t="s">
        <v>872</v>
      </c>
      <c r="E497" s="42">
        <v>74</v>
      </c>
      <c r="F497" s="42">
        <v>152</v>
      </c>
      <c r="G497" s="42" t="s">
        <v>852</v>
      </c>
      <c r="O497" s="6"/>
      <c r="P497" s="6"/>
      <c r="Q497"/>
      <c r="R497"/>
    </row>
    <row r="498" spans="1:18" x14ac:dyDescent="0.3">
      <c r="A498" t="s">
        <v>474</v>
      </c>
      <c r="B498" t="s">
        <v>157</v>
      </c>
      <c r="D498" s="42" t="s">
        <v>873</v>
      </c>
      <c r="E498" s="42">
        <v>78</v>
      </c>
      <c r="F498" s="42">
        <v>165</v>
      </c>
      <c r="G498" s="42" t="s">
        <v>852</v>
      </c>
      <c r="O498" s="6"/>
      <c r="P498" s="6"/>
      <c r="Q498"/>
      <c r="R498"/>
    </row>
    <row r="499" spans="1:18" x14ac:dyDescent="0.3">
      <c r="A499" t="s">
        <v>475</v>
      </c>
      <c r="B499" t="s">
        <v>157</v>
      </c>
      <c r="D499" s="42" t="s">
        <v>874</v>
      </c>
      <c r="E499" s="42">
        <v>37</v>
      </c>
      <c r="F499" s="42">
        <v>165</v>
      </c>
      <c r="G499" s="42" t="s">
        <v>852</v>
      </c>
      <c r="O499" s="6"/>
      <c r="P499" s="6"/>
      <c r="Q499"/>
      <c r="R499"/>
    </row>
    <row r="500" spans="1:18" x14ac:dyDescent="0.3">
      <c r="A500" t="s">
        <v>476</v>
      </c>
      <c r="B500" t="s">
        <v>157</v>
      </c>
      <c r="D500" s="42" t="s">
        <v>875</v>
      </c>
      <c r="E500" s="42">
        <v>88</v>
      </c>
      <c r="F500" s="42">
        <v>165</v>
      </c>
      <c r="G500" s="42" t="s">
        <v>852</v>
      </c>
      <c r="O500" s="6"/>
      <c r="P500" s="6"/>
      <c r="Q500"/>
      <c r="R500"/>
    </row>
    <row r="501" spans="1:18" x14ac:dyDescent="0.3">
      <c r="A501" t="s">
        <v>329</v>
      </c>
      <c r="B501" t="s">
        <v>157</v>
      </c>
      <c r="D501" s="42" t="s">
        <v>876</v>
      </c>
      <c r="E501" s="42">
        <v>69</v>
      </c>
      <c r="F501" s="42">
        <v>175</v>
      </c>
      <c r="G501" s="42" t="s">
        <v>852</v>
      </c>
      <c r="O501" s="6"/>
      <c r="P501" s="6"/>
      <c r="Q501"/>
      <c r="R501"/>
    </row>
    <row r="502" spans="1:18" x14ac:dyDescent="0.3">
      <c r="A502" t="s">
        <v>330</v>
      </c>
      <c r="B502" t="s">
        <v>157</v>
      </c>
      <c r="D502" s="42" t="s">
        <v>877</v>
      </c>
      <c r="E502" s="42">
        <v>26</v>
      </c>
      <c r="F502" s="42">
        <v>175</v>
      </c>
      <c r="G502" s="42" t="s">
        <v>852</v>
      </c>
      <c r="O502" s="6"/>
      <c r="P502" s="6"/>
      <c r="Q502"/>
      <c r="R502"/>
    </row>
    <row r="503" spans="1:18" x14ac:dyDescent="0.3">
      <c r="A503" t="s">
        <v>477</v>
      </c>
      <c r="B503" t="s">
        <v>157</v>
      </c>
      <c r="D503" s="42" t="s">
        <v>878</v>
      </c>
      <c r="E503" s="42">
        <v>84</v>
      </c>
      <c r="F503" s="42">
        <v>177</v>
      </c>
      <c r="G503" s="42" t="s">
        <v>852</v>
      </c>
      <c r="O503" s="6"/>
      <c r="P503" s="6"/>
      <c r="Q503"/>
      <c r="R503"/>
    </row>
    <row r="504" spans="1:18" x14ac:dyDescent="0.3">
      <c r="A504" t="s">
        <v>411</v>
      </c>
      <c r="B504" t="s">
        <v>157</v>
      </c>
      <c r="D504" s="42" t="s">
        <v>879</v>
      </c>
      <c r="E504" s="42">
        <v>11</v>
      </c>
      <c r="F504" s="42">
        <v>177</v>
      </c>
      <c r="G504" s="42" t="s">
        <v>852</v>
      </c>
      <c r="O504" s="6"/>
      <c r="P504" s="6"/>
      <c r="Q504"/>
      <c r="R504"/>
    </row>
    <row r="505" spans="1:18" x14ac:dyDescent="0.3">
      <c r="A505" t="s">
        <v>412</v>
      </c>
      <c r="B505" t="s">
        <v>157</v>
      </c>
      <c r="D505" s="42" t="s">
        <v>880</v>
      </c>
      <c r="E505" s="42">
        <v>67</v>
      </c>
      <c r="F505" s="42">
        <v>175</v>
      </c>
      <c r="G505" s="42" t="s">
        <v>852</v>
      </c>
      <c r="O505" s="6"/>
      <c r="P505" s="6"/>
      <c r="Q505"/>
      <c r="R505"/>
    </row>
    <row r="506" spans="1:18" x14ac:dyDescent="0.3">
      <c r="A506" t="s">
        <v>478</v>
      </c>
      <c r="B506" t="s">
        <v>157</v>
      </c>
      <c r="D506" s="42" t="s">
        <v>881</v>
      </c>
      <c r="E506" s="42">
        <v>89</v>
      </c>
      <c r="F506" s="42">
        <v>165</v>
      </c>
      <c r="G506" s="42" t="s">
        <v>852</v>
      </c>
      <c r="O506" s="6"/>
      <c r="P506" s="6"/>
      <c r="Q506"/>
      <c r="R506"/>
    </row>
    <row r="507" spans="1:18" x14ac:dyDescent="0.3">
      <c r="A507" t="s">
        <v>479</v>
      </c>
      <c r="B507" t="s">
        <v>157</v>
      </c>
      <c r="D507" s="42" t="s">
        <v>882</v>
      </c>
      <c r="E507" s="42">
        <v>78</v>
      </c>
      <c r="F507" s="42">
        <v>165</v>
      </c>
      <c r="G507" s="42" t="s">
        <v>852</v>
      </c>
      <c r="O507" s="6"/>
      <c r="P507" s="6"/>
      <c r="Q507"/>
      <c r="R507"/>
    </row>
    <row r="508" spans="1:18" x14ac:dyDescent="0.3">
      <c r="A508" t="s">
        <v>480</v>
      </c>
      <c r="B508" t="s">
        <v>157</v>
      </c>
      <c r="D508" s="42" t="s">
        <v>883</v>
      </c>
      <c r="E508" s="42">
        <v>62</v>
      </c>
      <c r="F508" s="42">
        <v>120</v>
      </c>
      <c r="G508" s="42" t="s">
        <v>852</v>
      </c>
      <c r="O508" s="6"/>
      <c r="P508" s="6"/>
      <c r="Q508"/>
      <c r="R508"/>
    </row>
    <row r="509" spans="1:18" x14ac:dyDescent="0.3">
      <c r="A509" t="s">
        <v>481</v>
      </c>
      <c r="B509" t="s">
        <v>157</v>
      </c>
      <c r="D509" s="42" t="s">
        <v>884</v>
      </c>
      <c r="E509" s="42">
        <v>75</v>
      </c>
      <c r="F509" s="42">
        <v>120</v>
      </c>
      <c r="G509" s="42" t="s">
        <v>852</v>
      </c>
      <c r="O509" s="6"/>
      <c r="P509" s="6"/>
      <c r="Q509"/>
      <c r="R509"/>
    </row>
    <row r="510" spans="1:18" x14ac:dyDescent="0.3">
      <c r="A510" t="s">
        <v>482</v>
      </c>
      <c r="B510" t="s">
        <v>157</v>
      </c>
      <c r="D510" s="42" t="s">
        <v>885</v>
      </c>
      <c r="E510" s="42">
        <v>71</v>
      </c>
      <c r="F510" s="42">
        <v>120</v>
      </c>
      <c r="G510" s="42" t="s">
        <v>852</v>
      </c>
      <c r="O510" s="6"/>
      <c r="P510" s="6"/>
      <c r="Q510"/>
      <c r="R510"/>
    </row>
    <row r="511" spans="1:18" x14ac:dyDescent="0.3">
      <c r="A511" t="s">
        <v>483</v>
      </c>
      <c r="B511" t="s">
        <v>157</v>
      </c>
      <c r="D511" s="42" t="s">
        <v>886</v>
      </c>
      <c r="E511" s="42">
        <v>72</v>
      </c>
      <c r="F511" s="42">
        <v>120</v>
      </c>
      <c r="G511" s="42" t="s">
        <v>852</v>
      </c>
      <c r="O511" s="6"/>
      <c r="P511" s="6"/>
      <c r="Q511"/>
      <c r="R511"/>
    </row>
    <row r="512" spans="1:18" x14ac:dyDescent="0.3">
      <c r="A512" t="s">
        <v>484</v>
      </c>
      <c r="B512" t="s">
        <v>157</v>
      </c>
      <c r="D512" s="42" t="s">
        <v>887</v>
      </c>
      <c r="E512" s="42">
        <v>69</v>
      </c>
      <c r="F512" s="42">
        <v>120</v>
      </c>
      <c r="G512" s="42" t="s">
        <v>852</v>
      </c>
      <c r="O512" s="6"/>
      <c r="P512" s="6"/>
      <c r="Q512"/>
      <c r="R512"/>
    </row>
    <row r="513" spans="1:18" x14ac:dyDescent="0.3">
      <c r="A513" t="s">
        <v>485</v>
      </c>
      <c r="B513" t="s">
        <v>157</v>
      </c>
      <c r="D513" s="42" t="s">
        <v>888</v>
      </c>
      <c r="E513" s="42">
        <v>33</v>
      </c>
      <c r="F513" s="42">
        <v>120</v>
      </c>
      <c r="G513" s="42" t="s">
        <v>852</v>
      </c>
      <c r="O513" s="6"/>
      <c r="P513" s="6"/>
      <c r="Q513"/>
      <c r="R513"/>
    </row>
    <row r="514" spans="1:18" x14ac:dyDescent="0.3">
      <c r="A514" t="s">
        <v>486</v>
      </c>
      <c r="B514" t="s">
        <v>157</v>
      </c>
      <c r="D514" s="42" t="s">
        <v>889</v>
      </c>
      <c r="E514" s="42">
        <v>15</v>
      </c>
      <c r="F514" s="42">
        <v>134</v>
      </c>
      <c r="G514" s="42" t="s">
        <v>852</v>
      </c>
      <c r="O514" s="6"/>
      <c r="P514" s="6"/>
      <c r="Q514"/>
      <c r="R514"/>
    </row>
    <row r="515" spans="1:18" x14ac:dyDescent="0.3">
      <c r="A515" t="s">
        <v>709</v>
      </c>
      <c r="B515" t="s">
        <v>157</v>
      </c>
      <c r="D515" s="42" t="s">
        <v>890</v>
      </c>
      <c r="E515" s="42">
        <v>49</v>
      </c>
      <c r="F515" s="42">
        <v>129</v>
      </c>
      <c r="G515" s="42" t="s">
        <v>852</v>
      </c>
      <c r="O515" s="6"/>
      <c r="P515" s="6"/>
      <c r="Q515"/>
      <c r="R515"/>
    </row>
    <row r="516" spans="1:18" x14ac:dyDescent="0.3">
      <c r="A516" t="s">
        <v>710</v>
      </c>
      <c r="B516" t="s">
        <v>157</v>
      </c>
      <c r="D516" s="42" t="s">
        <v>891</v>
      </c>
      <c r="E516" s="42">
        <v>68</v>
      </c>
      <c r="F516" s="42">
        <v>120</v>
      </c>
      <c r="G516" s="42" t="s">
        <v>852</v>
      </c>
      <c r="O516" s="6"/>
      <c r="P516" s="6"/>
      <c r="Q516"/>
      <c r="R516"/>
    </row>
    <row r="517" spans="1:18" x14ac:dyDescent="0.3">
      <c r="A517" t="s">
        <v>711</v>
      </c>
      <c r="B517" t="s">
        <v>157</v>
      </c>
      <c r="D517" s="42" t="s">
        <v>892</v>
      </c>
      <c r="E517" s="42">
        <v>85</v>
      </c>
      <c r="F517" s="42">
        <v>74</v>
      </c>
      <c r="G517" s="42" t="s">
        <v>852</v>
      </c>
      <c r="O517" s="6"/>
      <c r="P517" s="6"/>
      <c r="Q517"/>
      <c r="R517"/>
    </row>
    <row r="518" spans="1:18" x14ac:dyDescent="0.3">
      <c r="A518" t="s">
        <v>712</v>
      </c>
      <c r="B518" t="s">
        <v>157</v>
      </c>
      <c r="D518" s="42" t="s">
        <v>893</v>
      </c>
      <c r="E518" s="42">
        <v>28</v>
      </c>
      <c r="F518" s="42">
        <v>70</v>
      </c>
      <c r="G518" s="42" t="s">
        <v>852</v>
      </c>
      <c r="O518" s="6"/>
      <c r="P518" s="6"/>
      <c r="Q518"/>
      <c r="R518"/>
    </row>
    <row r="519" spans="1:18" x14ac:dyDescent="0.3">
      <c r="A519" t="s">
        <v>713</v>
      </c>
      <c r="B519" t="s">
        <v>157</v>
      </c>
      <c r="D519" s="42" t="s">
        <v>894</v>
      </c>
      <c r="E519" s="42">
        <v>38</v>
      </c>
      <c r="F519" s="42">
        <v>70</v>
      </c>
      <c r="G519" s="42" t="s">
        <v>852</v>
      </c>
      <c r="O519" s="6"/>
      <c r="P519" s="6"/>
      <c r="Q519"/>
      <c r="R519"/>
    </row>
    <row r="520" spans="1:18" x14ac:dyDescent="0.3">
      <c r="A520" t="s">
        <v>714</v>
      </c>
      <c r="B520" t="s">
        <v>157</v>
      </c>
      <c r="D520" s="42" t="s">
        <v>895</v>
      </c>
      <c r="E520" s="42">
        <v>25</v>
      </c>
      <c r="F520" s="42">
        <v>70</v>
      </c>
      <c r="G520" s="42" t="s">
        <v>852</v>
      </c>
      <c r="O520" s="6"/>
      <c r="P520" s="6"/>
      <c r="Q520"/>
      <c r="R520"/>
    </row>
    <row r="521" spans="1:18" x14ac:dyDescent="0.3">
      <c r="A521" t="s">
        <v>715</v>
      </c>
      <c r="B521" t="s">
        <v>157</v>
      </c>
      <c r="D521" s="42" t="s">
        <v>896</v>
      </c>
      <c r="E521" s="42">
        <v>90</v>
      </c>
      <c r="F521" s="42">
        <v>77</v>
      </c>
      <c r="G521" s="42" t="s">
        <v>852</v>
      </c>
      <c r="O521" s="6"/>
      <c r="P521" s="6"/>
      <c r="Q521"/>
      <c r="R521"/>
    </row>
    <row r="522" spans="1:18" x14ac:dyDescent="0.3">
      <c r="A522" t="s">
        <v>716</v>
      </c>
      <c r="B522" t="s">
        <v>157</v>
      </c>
      <c r="D522" s="42" t="s">
        <v>897</v>
      </c>
      <c r="E522" s="42">
        <v>66</v>
      </c>
      <c r="F522" s="42">
        <v>72</v>
      </c>
      <c r="G522" s="42" t="s">
        <v>852</v>
      </c>
      <c r="O522" s="6"/>
      <c r="P522" s="6"/>
      <c r="Q522"/>
      <c r="R522"/>
    </row>
    <row r="523" spans="1:18" x14ac:dyDescent="0.3">
      <c r="A523" t="s">
        <v>717</v>
      </c>
      <c r="B523" t="s">
        <v>157</v>
      </c>
      <c r="D523" s="42" t="s">
        <v>898</v>
      </c>
      <c r="E523" s="42">
        <v>81</v>
      </c>
      <c r="F523" s="42">
        <v>72</v>
      </c>
      <c r="G523" s="42" t="s">
        <v>852</v>
      </c>
      <c r="O523" s="6"/>
      <c r="P523" s="6"/>
      <c r="Q523"/>
      <c r="R523"/>
    </row>
    <row r="524" spans="1:18" x14ac:dyDescent="0.3">
      <c r="A524" t="s">
        <v>718</v>
      </c>
      <c r="B524" t="s">
        <v>157</v>
      </c>
      <c r="D524" s="42" t="s">
        <v>899</v>
      </c>
      <c r="E524" s="42">
        <v>19</v>
      </c>
      <c r="F524" s="42">
        <v>71</v>
      </c>
      <c r="G524" s="42" t="s">
        <v>852</v>
      </c>
      <c r="O524" s="6"/>
      <c r="P524" s="6"/>
      <c r="Q524"/>
      <c r="R524"/>
    </row>
    <row r="525" spans="1:18" x14ac:dyDescent="0.3">
      <c r="A525" t="s">
        <v>719</v>
      </c>
      <c r="B525" t="s">
        <v>157</v>
      </c>
      <c r="D525" s="42" t="s">
        <v>900</v>
      </c>
      <c r="E525" s="42">
        <v>73</v>
      </c>
      <c r="F525" s="42">
        <v>72</v>
      </c>
      <c r="G525" s="42" t="s">
        <v>852</v>
      </c>
      <c r="O525" s="6"/>
      <c r="P525" s="6"/>
      <c r="Q525"/>
      <c r="R525"/>
    </row>
    <row r="526" spans="1:18" x14ac:dyDescent="0.3">
      <c r="A526" t="s">
        <v>720</v>
      </c>
      <c r="B526" t="s">
        <v>157</v>
      </c>
      <c r="D526" s="42" t="s">
        <v>901</v>
      </c>
      <c r="E526" s="42">
        <v>41</v>
      </c>
      <c r="F526" s="42">
        <v>83</v>
      </c>
      <c r="G526" s="42" t="s">
        <v>852</v>
      </c>
      <c r="O526" s="6"/>
      <c r="P526" s="6"/>
      <c r="Q526"/>
      <c r="R526"/>
    </row>
    <row r="527" spans="1:18" x14ac:dyDescent="0.3">
      <c r="A527" t="s">
        <v>721</v>
      </c>
      <c r="B527" t="s">
        <v>157</v>
      </c>
      <c r="D527" s="42" t="s">
        <v>902</v>
      </c>
      <c r="E527" s="42">
        <v>78</v>
      </c>
      <c r="F527" s="42">
        <v>86</v>
      </c>
      <c r="G527" s="42" t="s">
        <v>852</v>
      </c>
      <c r="O527" s="6"/>
      <c r="P527" s="6"/>
      <c r="Q527"/>
      <c r="R527"/>
    </row>
    <row r="528" spans="1:18" x14ac:dyDescent="0.3">
      <c r="A528" t="s">
        <v>722</v>
      </c>
      <c r="B528" t="s">
        <v>157</v>
      </c>
      <c r="D528" s="42" t="s">
        <v>903</v>
      </c>
      <c r="E528" s="42">
        <v>73</v>
      </c>
      <c r="F528" s="42">
        <v>98</v>
      </c>
      <c r="G528" s="42" t="s">
        <v>852</v>
      </c>
      <c r="O528" s="6"/>
      <c r="P528" s="6"/>
      <c r="Q528"/>
      <c r="R528"/>
    </row>
    <row r="529" spans="1:18" x14ac:dyDescent="0.3">
      <c r="A529" t="s">
        <v>723</v>
      </c>
      <c r="B529" t="s">
        <v>157</v>
      </c>
      <c r="D529" s="42" t="s">
        <v>904</v>
      </c>
      <c r="E529" s="42">
        <v>87</v>
      </c>
      <c r="F529" s="42">
        <v>105</v>
      </c>
      <c r="G529" s="42" t="s">
        <v>852</v>
      </c>
      <c r="O529" s="6"/>
      <c r="P529" s="6"/>
      <c r="Q529"/>
      <c r="R529"/>
    </row>
    <row r="530" spans="1:18" x14ac:dyDescent="0.3">
      <c r="A530" t="s">
        <v>675</v>
      </c>
      <c r="B530" t="s">
        <v>157</v>
      </c>
      <c r="D530" s="42" t="s">
        <v>905</v>
      </c>
      <c r="E530" s="42">
        <v>44</v>
      </c>
      <c r="F530" s="42">
        <v>93</v>
      </c>
      <c r="G530" s="42" t="s">
        <v>852</v>
      </c>
      <c r="O530" s="6"/>
      <c r="P530" s="6"/>
      <c r="Q530"/>
      <c r="R530"/>
    </row>
    <row r="531" spans="1:18" x14ac:dyDescent="0.3">
      <c r="A531" t="s">
        <v>724</v>
      </c>
      <c r="B531" t="s">
        <v>157</v>
      </c>
      <c r="D531" s="42" t="s">
        <v>906</v>
      </c>
      <c r="E531" s="42">
        <v>82</v>
      </c>
      <c r="F531" s="42">
        <v>92</v>
      </c>
      <c r="G531" s="42" t="s">
        <v>852</v>
      </c>
      <c r="O531" s="6"/>
      <c r="P531" s="6"/>
      <c r="Q531"/>
      <c r="R531"/>
    </row>
    <row r="532" spans="1:18" x14ac:dyDescent="0.3">
      <c r="A532" t="s">
        <v>725</v>
      </c>
      <c r="B532" t="s">
        <v>157</v>
      </c>
      <c r="D532" s="42" t="s">
        <v>907</v>
      </c>
      <c r="E532" s="42">
        <v>32</v>
      </c>
      <c r="F532" s="42">
        <v>91</v>
      </c>
      <c r="G532" s="42" t="s">
        <v>852</v>
      </c>
      <c r="O532" s="6"/>
      <c r="P532" s="6"/>
      <c r="Q532"/>
      <c r="R532"/>
    </row>
    <row r="533" spans="1:18" x14ac:dyDescent="0.3">
      <c r="A533" t="s">
        <v>726</v>
      </c>
      <c r="B533" t="s">
        <v>157</v>
      </c>
      <c r="D533" s="42" t="s">
        <v>908</v>
      </c>
      <c r="E533" s="42">
        <v>91</v>
      </c>
      <c r="F533" s="42">
        <v>83</v>
      </c>
      <c r="G533" s="42" t="s">
        <v>852</v>
      </c>
      <c r="O533" s="6"/>
      <c r="P533" s="6"/>
      <c r="Q533"/>
      <c r="R533"/>
    </row>
    <row r="534" spans="1:18" x14ac:dyDescent="0.3">
      <c r="A534" t="s">
        <v>727</v>
      </c>
      <c r="B534" t="s">
        <v>157</v>
      </c>
      <c r="D534" s="42" t="s">
        <v>909</v>
      </c>
      <c r="E534" s="42">
        <v>19</v>
      </c>
      <c r="F534" s="42">
        <v>83</v>
      </c>
      <c r="G534" s="42" t="s">
        <v>852</v>
      </c>
      <c r="O534" s="6"/>
      <c r="P534" s="6"/>
      <c r="Q534"/>
      <c r="R534"/>
    </row>
    <row r="535" spans="1:18" x14ac:dyDescent="0.3">
      <c r="A535" t="s">
        <v>728</v>
      </c>
      <c r="B535" t="s">
        <v>157</v>
      </c>
      <c r="D535" s="42" t="s">
        <v>910</v>
      </c>
      <c r="E535" s="42">
        <v>38</v>
      </c>
      <c r="F535" s="42">
        <v>84</v>
      </c>
      <c r="G535" s="42" t="s">
        <v>852</v>
      </c>
      <c r="O535" s="6"/>
      <c r="P535" s="6"/>
      <c r="Q535"/>
      <c r="R535"/>
    </row>
    <row r="536" spans="1:18" x14ac:dyDescent="0.3">
      <c r="A536" t="s">
        <v>729</v>
      </c>
      <c r="B536" t="s">
        <v>157</v>
      </c>
      <c r="D536" s="42" t="s">
        <v>766</v>
      </c>
      <c r="E536" s="42">
        <v>34</v>
      </c>
      <c r="F536" s="42">
        <v>188</v>
      </c>
      <c r="G536" s="42" t="s">
        <v>914</v>
      </c>
      <c r="O536" s="6"/>
      <c r="P536" s="6"/>
      <c r="Q536"/>
      <c r="R536"/>
    </row>
    <row r="537" spans="1:18" x14ac:dyDescent="0.3">
      <c r="A537" t="s">
        <v>730</v>
      </c>
      <c r="B537" t="s">
        <v>157</v>
      </c>
      <c r="D537" s="42" t="s">
        <v>767</v>
      </c>
      <c r="E537" s="42">
        <v>36</v>
      </c>
      <c r="F537" s="42">
        <v>188</v>
      </c>
      <c r="G537" s="42" t="s">
        <v>914</v>
      </c>
      <c r="O537" s="6"/>
      <c r="P537" s="6"/>
      <c r="Q537"/>
      <c r="R537"/>
    </row>
    <row r="538" spans="1:18" x14ac:dyDescent="0.3">
      <c r="A538" t="s">
        <v>731</v>
      </c>
      <c r="B538" t="s">
        <v>157</v>
      </c>
      <c r="D538" s="42" t="s">
        <v>768</v>
      </c>
      <c r="E538" s="42">
        <v>45</v>
      </c>
      <c r="F538" s="42">
        <v>183</v>
      </c>
      <c r="G538" s="42" t="s">
        <v>914</v>
      </c>
      <c r="O538" s="6"/>
      <c r="P538" s="6"/>
      <c r="Q538"/>
      <c r="R538"/>
    </row>
    <row r="539" spans="1:18" x14ac:dyDescent="0.3">
      <c r="A539" t="s">
        <v>732</v>
      </c>
      <c r="B539" t="s">
        <v>157</v>
      </c>
      <c r="D539" s="42" t="s">
        <v>769</v>
      </c>
      <c r="E539" s="42">
        <v>52</v>
      </c>
      <c r="F539" s="42">
        <v>183</v>
      </c>
      <c r="G539" s="42" t="s">
        <v>914</v>
      </c>
      <c r="O539" s="6"/>
      <c r="P539" s="6"/>
      <c r="Q539"/>
      <c r="R539"/>
    </row>
    <row r="540" spans="1:18" x14ac:dyDescent="0.3">
      <c r="A540" t="s">
        <v>619</v>
      </c>
      <c r="B540" t="s">
        <v>157</v>
      </c>
      <c r="D540" s="42" t="s">
        <v>770</v>
      </c>
      <c r="E540" s="42">
        <v>57</v>
      </c>
      <c r="F540" s="42">
        <v>183</v>
      </c>
      <c r="G540" s="42" t="s">
        <v>914</v>
      </c>
      <c r="O540" s="6"/>
      <c r="P540" s="6"/>
      <c r="Q540"/>
      <c r="R540"/>
    </row>
    <row r="541" spans="1:18" x14ac:dyDescent="0.3">
      <c r="A541" t="s">
        <v>623</v>
      </c>
      <c r="B541" t="s">
        <v>157</v>
      </c>
      <c r="D541" s="42" t="s">
        <v>771</v>
      </c>
      <c r="E541" s="42">
        <v>41</v>
      </c>
      <c r="F541" s="42">
        <v>188</v>
      </c>
      <c r="G541" s="42" t="s">
        <v>914</v>
      </c>
      <c r="O541" s="6"/>
      <c r="P541" s="6"/>
      <c r="Q541"/>
      <c r="R541"/>
    </row>
    <row r="542" spans="1:18" x14ac:dyDescent="0.3">
      <c r="A542" t="s">
        <v>626</v>
      </c>
      <c r="B542" t="s">
        <v>157</v>
      </c>
      <c r="D542" s="42" t="s">
        <v>772</v>
      </c>
      <c r="E542" s="42">
        <v>32</v>
      </c>
      <c r="F542" s="42">
        <v>197</v>
      </c>
      <c r="G542" s="42" t="s">
        <v>914</v>
      </c>
      <c r="O542" s="6"/>
      <c r="P542" s="6"/>
      <c r="Q542"/>
      <c r="R542"/>
    </row>
    <row r="543" spans="1:18" x14ac:dyDescent="0.3">
      <c r="A543">
        <v>22</v>
      </c>
      <c r="B543" t="s">
        <v>157</v>
      </c>
      <c r="D543" s="42" t="s">
        <v>773</v>
      </c>
      <c r="E543" s="42">
        <v>84</v>
      </c>
      <c r="F543" s="42">
        <v>188</v>
      </c>
      <c r="G543" s="42" t="s">
        <v>914</v>
      </c>
      <c r="O543" s="6"/>
      <c r="P543" s="6"/>
      <c r="Q543"/>
      <c r="R543"/>
    </row>
    <row r="544" spans="1:18" x14ac:dyDescent="0.3">
      <c r="A544">
        <v>33</v>
      </c>
      <c r="B544" t="s">
        <v>157</v>
      </c>
      <c r="D544" s="42" t="s">
        <v>774</v>
      </c>
      <c r="E544" s="42">
        <v>93</v>
      </c>
      <c r="F544" s="42">
        <v>200</v>
      </c>
      <c r="G544" s="42" t="s">
        <v>914</v>
      </c>
      <c r="O544" s="6"/>
      <c r="P544" s="6"/>
      <c r="Q544"/>
      <c r="R544"/>
    </row>
    <row r="545" spans="1:18" x14ac:dyDescent="0.3">
      <c r="A545" t="s">
        <v>452</v>
      </c>
      <c r="B545" t="s">
        <v>157</v>
      </c>
      <c r="D545" s="42" t="s">
        <v>775</v>
      </c>
      <c r="E545" s="42">
        <v>25</v>
      </c>
      <c r="F545" s="42">
        <v>189</v>
      </c>
      <c r="G545" s="42" t="s">
        <v>914</v>
      </c>
      <c r="O545" s="6"/>
      <c r="P545" s="6"/>
      <c r="Q545"/>
      <c r="R545"/>
    </row>
    <row r="546" spans="1:18" x14ac:dyDescent="0.3">
      <c r="A546" t="s">
        <v>487</v>
      </c>
      <c r="B546" t="s">
        <v>174</v>
      </c>
      <c r="D546" s="42" t="s">
        <v>776</v>
      </c>
      <c r="E546" s="42">
        <v>25</v>
      </c>
      <c r="F546" s="42">
        <v>189</v>
      </c>
      <c r="G546" s="42" t="s">
        <v>914</v>
      </c>
      <c r="O546" s="6"/>
      <c r="P546" s="6"/>
      <c r="Q546"/>
      <c r="R546"/>
    </row>
    <row r="547" spans="1:18" x14ac:dyDescent="0.3">
      <c r="A547" t="s">
        <v>488</v>
      </c>
      <c r="B547" t="s">
        <v>174</v>
      </c>
      <c r="D547" s="42" t="s">
        <v>777</v>
      </c>
      <c r="E547" s="42">
        <v>72</v>
      </c>
      <c r="F547" s="42">
        <v>197</v>
      </c>
      <c r="G547" s="42" t="s">
        <v>914</v>
      </c>
      <c r="O547" s="6"/>
      <c r="P547" s="6"/>
      <c r="Q547"/>
      <c r="R547"/>
    </row>
    <row r="548" spans="1:18" x14ac:dyDescent="0.3">
      <c r="A548" t="s">
        <v>489</v>
      </c>
      <c r="B548" t="s">
        <v>174</v>
      </c>
      <c r="D548" s="42" t="s">
        <v>778</v>
      </c>
      <c r="E548" s="42">
        <v>45</v>
      </c>
      <c r="F548" s="42">
        <v>185</v>
      </c>
      <c r="G548" s="42" t="s">
        <v>914</v>
      </c>
      <c r="O548" s="6"/>
      <c r="P548" s="6"/>
      <c r="Q548"/>
      <c r="R548"/>
    </row>
    <row r="549" spans="1:18" x14ac:dyDescent="0.3">
      <c r="A549" t="s">
        <v>490</v>
      </c>
      <c r="B549" t="s">
        <v>174</v>
      </c>
      <c r="D549" s="42" t="s">
        <v>779</v>
      </c>
      <c r="E549" s="42">
        <v>36</v>
      </c>
      <c r="F549" s="42">
        <v>185</v>
      </c>
      <c r="G549" s="42" t="s">
        <v>914</v>
      </c>
      <c r="O549" s="6"/>
      <c r="P549" s="6"/>
      <c r="Q549"/>
      <c r="R549"/>
    </row>
    <row r="550" spans="1:18" x14ac:dyDescent="0.3">
      <c r="A550" t="s">
        <v>491</v>
      </c>
      <c r="B550" t="s">
        <v>174</v>
      </c>
      <c r="D550" s="42" t="s">
        <v>780</v>
      </c>
      <c r="E550" s="42">
        <v>51</v>
      </c>
      <c r="F550" s="42">
        <v>185</v>
      </c>
      <c r="G550" s="42" t="s">
        <v>914</v>
      </c>
      <c r="O550" s="6"/>
      <c r="P550" s="6"/>
      <c r="Q550"/>
      <c r="R550"/>
    </row>
    <row r="551" spans="1:18" x14ac:dyDescent="0.3">
      <c r="A551" t="s">
        <v>492</v>
      </c>
      <c r="B551" t="s">
        <v>174</v>
      </c>
      <c r="D551" s="42" t="s">
        <v>781</v>
      </c>
      <c r="E551" s="42">
        <v>34</v>
      </c>
      <c r="F551" s="42">
        <v>185</v>
      </c>
      <c r="G551" s="42" t="s">
        <v>914</v>
      </c>
      <c r="O551" s="6"/>
      <c r="P551" s="6"/>
      <c r="Q551"/>
      <c r="R551"/>
    </row>
    <row r="552" spans="1:18" x14ac:dyDescent="0.3">
      <c r="A552" t="s">
        <v>493</v>
      </c>
      <c r="B552" t="s">
        <v>174</v>
      </c>
      <c r="D552" s="42" t="s">
        <v>782</v>
      </c>
      <c r="E552" s="42">
        <v>32</v>
      </c>
      <c r="F552" s="42">
        <v>185</v>
      </c>
      <c r="G552" s="42" t="s">
        <v>914</v>
      </c>
      <c r="O552" s="6"/>
      <c r="P552" s="6"/>
      <c r="Q552"/>
      <c r="R552"/>
    </row>
    <row r="553" spans="1:18" x14ac:dyDescent="0.3">
      <c r="A553" t="s">
        <v>358</v>
      </c>
      <c r="B553" t="s">
        <v>174</v>
      </c>
      <c r="D553" s="42" t="s">
        <v>783</v>
      </c>
      <c r="E553" s="42">
        <v>34</v>
      </c>
      <c r="F553" s="42">
        <v>189</v>
      </c>
      <c r="G553" s="42" t="s">
        <v>914</v>
      </c>
      <c r="O553" s="6"/>
      <c r="P553" s="6"/>
      <c r="Q553"/>
      <c r="R553"/>
    </row>
    <row r="554" spans="1:18" x14ac:dyDescent="0.3">
      <c r="A554" t="s">
        <v>494</v>
      </c>
      <c r="B554" t="s">
        <v>174</v>
      </c>
      <c r="D554" s="42" t="s">
        <v>784</v>
      </c>
      <c r="E554" s="42">
        <v>34</v>
      </c>
      <c r="F554" s="42">
        <v>189</v>
      </c>
      <c r="G554" s="42" t="s">
        <v>914</v>
      </c>
      <c r="O554" s="6"/>
      <c r="P554" s="6"/>
      <c r="Q554"/>
      <c r="R554"/>
    </row>
    <row r="555" spans="1:18" x14ac:dyDescent="0.3">
      <c r="A555" t="s">
        <v>495</v>
      </c>
      <c r="B555" t="s">
        <v>174</v>
      </c>
      <c r="D555" s="42" t="s">
        <v>785</v>
      </c>
      <c r="E555" s="42">
        <v>86</v>
      </c>
      <c r="F555" s="42">
        <v>188</v>
      </c>
      <c r="G555" s="42" t="s">
        <v>914</v>
      </c>
      <c r="O555" s="6"/>
      <c r="P555" s="6"/>
      <c r="Q555"/>
      <c r="R555"/>
    </row>
    <row r="556" spans="1:18" x14ac:dyDescent="0.3">
      <c r="A556" t="s">
        <v>378</v>
      </c>
      <c r="B556" t="s">
        <v>174</v>
      </c>
      <c r="D556" s="42" t="s">
        <v>786</v>
      </c>
      <c r="E556" s="42">
        <v>45</v>
      </c>
      <c r="F556" s="42">
        <v>188</v>
      </c>
      <c r="G556" s="42" t="s">
        <v>914</v>
      </c>
      <c r="O556" s="6"/>
      <c r="P556" s="6"/>
      <c r="Q556"/>
      <c r="R556"/>
    </row>
    <row r="557" spans="1:18" x14ac:dyDescent="0.3">
      <c r="A557" t="s">
        <v>379</v>
      </c>
      <c r="B557" t="s">
        <v>174</v>
      </c>
      <c r="D557" s="42" t="s">
        <v>787</v>
      </c>
      <c r="E557" s="42">
        <v>35</v>
      </c>
      <c r="F557" s="42">
        <v>183</v>
      </c>
      <c r="G557" s="42" t="s">
        <v>914</v>
      </c>
      <c r="O557" s="6"/>
      <c r="P557" s="6"/>
      <c r="Q557"/>
      <c r="R557"/>
    </row>
    <row r="558" spans="1:18" x14ac:dyDescent="0.3">
      <c r="A558" t="s">
        <v>380</v>
      </c>
      <c r="B558" t="s">
        <v>174</v>
      </c>
      <c r="D558" s="42" t="s">
        <v>788</v>
      </c>
      <c r="E558" s="42">
        <v>15</v>
      </c>
      <c r="F558" s="42">
        <v>183</v>
      </c>
      <c r="G558" s="42" t="s">
        <v>914</v>
      </c>
      <c r="O558" s="6"/>
      <c r="P558" s="6"/>
      <c r="Q558"/>
      <c r="R558"/>
    </row>
    <row r="559" spans="1:18" x14ac:dyDescent="0.3">
      <c r="A559" t="s">
        <v>496</v>
      </c>
      <c r="B559" t="s">
        <v>174</v>
      </c>
      <c r="D559" s="42" t="s">
        <v>789</v>
      </c>
      <c r="E559" s="42">
        <v>37</v>
      </c>
      <c r="F559" s="42">
        <v>183</v>
      </c>
      <c r="G559" s="42" t="s">
        <v>914</v>
      </c>
      <c r="O559" s="6"/>
      <c r="P559" s="6"/>
      <c r="Q559"/>
      <c r="R559"/>
    </row>
    <row r="560" spans="1:18" x14ac:dyDescent="0.3">
      <c r="A560" t="s">
        <v>497</v>
      </c>
      <c r="B560" t="s">
        <v>174</v>
      </c>
      <c r="D560" s="42" t="s">
        <v>790</v>
      </c>
      <c r="E560" s="42">
        <v>45</v>
      </c>
      <c r="F560" s="42">
        <v>183</v>
      </c>
      <c r="G560" s="42" t="s">
        <v>914</v>
      </c>
      <c r="O560" s="6"/>
      <c r="P560" s="6"/>
      <c r="Q560"/>
      <c r="R560"/>
    </row>
    <row r="561" spans="1:18" x14ac:dyDescent="0.3">
      <c r="A561" t="s">
        <v>498</v>
      </c>
      <c r="B561" t="s">
        <v>174</v>
      </c>
      <c r="D561" s="42" t="s">
        <v>791</v>
      </c>
      <c r="E561" s="42">
        <v>27</v>
      </c>
      <c r="F561" s="42">
        <v>183</v>
      </c>
      <c r="G561" s="42" t="s">
        <v>914</v>
      </c>
      <c r="O561" s="6"/>
      <c r="P561" s="6"/>
      <c r="Q561"/>
      <c r="R561"/>
    </row>
    <row r="562" spans="1:18" x14ac:dyDescent="0.3">
      <c r="A562" t="s">
        <v>499</v>
      </c>
      <c r="B562" t="s">
        <v>174</v>
      </c>
      <c r="D562" s="42" t="s">
        <v>792</v>
      </c>
      <c r="E562" s="42">
        <v>40</v>
      </c>
      <c r="F562" s="42">
        <v>183</v>
      </c>
      <c r="G562" s="42" t="s">
        <v>914</v>
      </c>
      <c r="O562" s="6"/>
      <c r="P562" s="6"/>
      <c r="Q562"/>
      <c r="R562"/>
    </row>
    <row r="563" spans="1:18" x14ac:dyDescent="0.3">
      <c r="A563" t="s">
        <v>500</v>
      </c>
      <c r="B563" t="s">
        <v>174</v>
      </c>
      <c r="D563" s="42" t="s">
        <v>793</v>
      </c>
      <c r="E563" s="42">
        <v>38</v>
      </c>
      <c r="F563" s="42">
        <v>197</v>
      </c>
      <c r="G563" s="42" t="s">
        <v>914</v>
      </c>
      <c r="O563" s="6"/>
      <c r="P563" s="6"/>
      <c r="Q563"/>
      <c r="R563"/>
    </row>
    <row r="564" spans="1:18" x14ac:dyDescent="0.3">
      <c r="A564" t="s">
        <v>501</v>
      </c>
      <c r="B564" t="s">
        <v>174</v>
      </c>
      <c r="D564" s="42" t="s">
        <v>794</v>
      </c>
      <c r="E564" s="42">
        <v>32</v>
      </c>
      <c r="F564" s="42">
        <v>189</v>
      </c>
      <c r="G564" s="42" t="s">
        <v>914</v>
      </c>
      <c r="O564" s="6"/>
      <c r="P564" s="6"/>
      <c r="Q564"/>
      <c r="R564"/>
    </row>
    <row r="565" spans="1:18" x14ac:dyDescent="0.3">
      <c r="A565" t="s">
        <v>502</v>
      </c>
      <c r="B565" t="s">
        <v>174</v>
      </c>
      <c r="D565" s="42" t="s">
        <v>795</v>
      </c>
      <c r="E565" s="42">
        <v>61</v>
      </c>
      <c r="F565" s="42">
        <v>194</v>
      </c>
      <c r="G565" s="42" t="s">
        <v>914</v>
      </c>
      <c r="O565" s="6"/>
      <c r="P565" s="6"/>
      <c r="Q565"/>
      <c r="R565"/>
    </row>
    <row r="566" spans="1:18" x14ac:dyDescent="0.3">
      <c r="A566" t="s">
        <v>503</v>
      </c>
      <c r="B566" t="s">
        <v>174</v>
      </c>
      <c r="D566" s="42" t="s">
        <v>796</v>
      </c>
      <c r="E566" s="42">
        <v>61</v>
      </c>
      <c r="F566" s="42">
        <v>193</v>
      </c>
      <c r="G566" s="42" t="s">
        <v>914</v>
      </c>
      <c r="O566" s="6"/>
      <c r="P566" s="6"/>
      <c r="Q566"/>
      <c r="R566"/>
    </row>
    <row r="567" spans="1:18" x14ac:dyDescent="0.3">
      <c r="A567" t="s">
        <v>504</v>
      </c>
      <c r="B567" t="s">
        <v>174</v>
      </c>
      <c r="D567" s="42" t="s">
        <v>797</v>
      </c>
      <c r="E567" s="42">
        <v>27</v>
      </c>
      <c r="F567" s="42">
        <v>188</v>
      </c>
      <c r="G567" s="42" t="s">
        <v>914</v>
      </c>
      <c r="O567" s="6"/>
      <c r="P567" s="6"/>
      <c r="Q567"/>
      <c r="R567"/>
    </row>
    <row r="568" spans="1:18" x14ac:dyDescent="0.3">
      <c r="A568" t="s">
        <v>388</v>
      </c>
      <c r="B568" t="s">
        <v>174</v>
      </c>
      <c r="D568" s="42" t="s">
        <v>798</v>
      </c>
      <c r="E568" s="42">
        <v>18</v>
      </c>
      <c r="F568" s="42">
        <v>188</v>
      </c>
      <c r="G568" s="42" t="s">
        <v>914</v>
      </c>
      <c r="O568" s="6"/>
      <c r="P568" s="6"/>
      <c r="Q568"/>
      <c r="R568"/>
    </row>
    <row r="569" spans="1:18" x14ac:dyDescent="0.3">
      <c r="A569" t="s">
        <v>389</v>
      </c>
      <c r="B569" t="s">
        <v>174</v>
      </c>
      <c r="D569" s="42" t="s">
        <v>799</v>
      </c>
      <c r="E569" s="42">
        <v>58</v>
      </c>
      <c r="F569" s="42">
        <v>189</v>
      </c>
      <c r="G569" s="42" t="s">
        <v>914</v>
      </c>
      <c r="O569" s="6"/>
      <c r="P569" s="6"/>
      <c r="Q569"/>
      <c r="R569"/>
    </row>
    <row r="570" spans="1:18" x14ac:dyDescent="0.3">
      <c r="A570" t="s">
        <v>505</v>
      </c>
      <c r="B570" t="s">
        <v>174</v>
      </c>
      <c r="D570" s="42" t="s">
        <v>800</v>
      </c>
      <c r="E570" s="42">
        <v>52</v>
      </c>
      <c r="F570" s="42">
        <v>189</v>
      </c>
      <c r="G570" s="42" t="s">
        <v>914</v>
      </c>
      <c r="O570" s="6"/>
      <c r="P570" s="6"/>
      <c r="Q570"/>
      <c r="R570"/>
    </row>
    <row r="571" spans="1:18" x14ac:dyDescent="0.3">
      <c r="A571" t="s">
        <v>734</v>
      </c>
      <c r="B571" t="s">
        <v>174</v>
      </c>
      <c r="D571" s="42" t="s">
        <v>801</v>
      </c>
      <c r="E571" s="42">
        <v>32</v>
      </c>
      <c r="F571" s="42">
        <v>188</v>
      </c>
      <c r="G571" s="42" t="s">
        <v>914</v>
      </c>
      <c r="O571" s="6"/>
      <c r="P571" s="6"/>
      <c r="Q571"/>
      <c r="R571"/>
    </row>
    <row r="572" spans="1:18" x14ac:dyDescent="0.3">
      <c r="A572" t="s">
        <v>399</v>
      </c>
      <c r="B572" t="s">
        <v>174</v>
      </c>
      <c r="D572" s="42" t="s">
        <v>802</v>
      </c>
      <c r="E572" s="42">
        <v>40</v>
      </c>
      <c r="F572" s="42">
        <v>188</v>
      </c>
      <c r="G572" s="42" t="s">
        <v>914</v>
      </c>
      <c r="O572" s="6"/>
      <c r="P572" s="6"/>
      <c r="Q572"/>
      <c r="R572"/>
    </row>
    <row r="573" spans="1:18" x14ac:dyDescent="0.3">
      <c r="A573" t="s">
        <v>735</v>
      </c>
      <c r="B573" t="s">
        <v>174</v>
      </c>
      <c r="D573" s="42" t="s">
        <v>803</v>
      </c>
      <c r="E573" s="42">
        <v>48</v>
      </c>
      <c r="F573" s="42">
        <v>189</v>
      </c>
      <c r="G573" s="42" t="s">
        <v>914</v>
      </c>
      <c r="O573" s="6"/>
      <c r="P573" s="6"/>
      <c r="Q573"/>
      <c r="R573"/>
    </row>
    <row r="574" spans="1:18" x14ac:dyDescent="0.3">
      <c r="A574" t="s">
        <v>506</v>
      </c>
      <c r="B574" t="s">
        <v>174</v>
      </c>
      <c r="D574" s="42" t="s">
        <v>804</v>
      </c>
      <c r="E574" s="42">
        <v>53</v>
      </c>
      <c r="F574" s="42">
        <v>144</v>
      </c>
      <c r="G574" s="42" t="s">
        <v>914</v>
      </c>
      <c r="O574" s="6"/>
      <c r="P574" s="6"/>
      <c r="Q574"/>
      <c r="R574"/>
    </row>
    <row r="575" spans="1:18" x14ac:dyDescent="0.3">
      <c r="A575" t="s">
        <v>507</v>
      </c>
      <c r="B575" t="s">
        <v>174</v>
      </c>
      <c r="D575" s="42" t="s">
        <v>805</v>
      </c>
      <c r="E575" s="42">
        <v>36</v>
      </c>
      <c r="F575" s="42">
        <v>149</v>
      </c>
      <c r="G575" s="42" t="s">
        <v>914</v>
      </c>
      <c r="O575" s="6"/>
      <c r="P575" s="6"/>
      <c r="Q575"/>
      <c r="R575"/>
    </row>
    <row r="576" spans="1:18" x14ac:dyDescent="0.3">
      <c r="A576" t="s">
        <v>400</v>
      </c>
      <c r="B576" t="s">
        <v>174</v>
      </c>
      <c r="D576" s="42" t="s">
        <v>806</v>
      </c>
      <c r="E576" s="42">
        <v>33</v>
      </c>
      <c r="F576" s="42">
        <v>149</v>
      </c>
      <c r="G576" s="42" t="s">
        <v>914</v>
      </c>
      <c r="O576" s="6"/>
      <c r="P576" s="6"/>
      <c r="Q576"/>
      <c r="R576"/>
    </row>
    <row r="577" spans="1:18" x14ac:dyDescent="0.3">
      <c r="A577" t="s">
        <v>401</v>
      </c>
      <c r="B577" t="s">
        <v>174</v>
      </c>
      <c r="D577" s="42" t="s">
        <v>807</v>
      </c>
      <c r="E577" s="42">
        <v>43</v>
      </c>
      <c r="F577" s="42">
        <v>149</v>
      </c>
      <c r="G577" s="42" t="s">
        <v>914</v>
      </c>
      <c r="O577" s="6"/>
      <c r="P577" s="6"/>
      <c r="Q577"/>
      <c r="R577"/>
    </row>
    <row r="578" spans="1:18" x14ac:dyDescent="0.3">
      <c r="A578" t="s">
        <v>508</v>
      </c>
      <c r="B578" t="s">
        <v>174</v>
      </c>
      <c r="D578" s="42" t="s">
        <v>808</v>
      </c>
      <c r="E578" s="42">
        <v>14</v>
      </c>
      <c r="F578" s="42">
        <v>153</v>
      </c>
      <c r="G578" s="42" t="s">
        <v>914</v>
      </c>
      <c r="O578" s="6"/>
      <c r="P578" s="6"/>
      <c r="Q578"/>
      <c r="R578"/>
    </row>
    <row r="579" spans="1:18" x14ac:dyDescent="0.3">
      <c r="A579" t="s">
        <v>509</v>
      </c>
      <c r="B579" t="s">
        <v>174</v>
      </c>
      <c r="D579" s="42" t="s">
        <v>809</v>
      </c>
      <c r="E579" s="42">
        <v>13</v>
      </c>
      <c r="F579" s="42">
        <v>153</v>
      </c>
      <c r="G579" s="42" t="s">
        <v>914</v>
      </c>
      <c r="O579" s="6"/>
      <c r="P579" s="6"/>
      <c r="Q579"/>
      <c r="R579"/>
    </row>
    <row r="580" spans="1:18" x14ac:dyDescent="0.3">
      <c r="A580" t="s">
        <v>510</v>
      </c>
      <c r="B580" t="s">
        <v>174</v>
      </c>
      <c r="D580" s="42" t="s">
        <v>810</v>
      </c>
      <c r="E580" s="42">
        <v>42</v>
      </c>
      <c r="F580" s="42">
        <v>156</v>
      </c>
      <c r="G580" s="42" t="s">
        <v>914</v>
      </c>
      <c r="O580" s="6"/>
      <c r="P580" s="6"/>
      <c r="Q580"/>
      <c r="R580"/>
    </row>
    <row r="581" spans="1:18" x14ac:dyDescent="0.3">
      <c r="A581" t="s">
        <v>511</v>
      </c>
      <c r="B581" t="s">
        <v>174</v>
      </c>
      <c r="D581" s="42" t="s">
        <v>811</v>
      </c>
      <c r="E581" s="42">
        <v>38</v>
      </c>
      <c r="F581" s="42">
        <v>156</v>
      </c>
      <c r="G581" s="42" t="s">
        <v>914</v>
      </c>
      <c r="O581" s="6"/>
      <c r="P581" s="6"/>
      <c r="Q581"/>
      <c r="R581"/>
    </row>
    <row r="582" spans="1:18" x14ac:dyDescent="0.3">
      <c r="A582" t="s">
        <v>407</v>
      </c>
      <c r="B582" t="s">
        <v>174</v>
      </c>
      <c r="D582" s="42" t="s">
        <v>812</v>
      </c>
      <c r="E582" s="42">
        <v>21</v>
      </c>
      <c r="F582" s="42">
        <v>152</v>
      </c>
      <c r="G582" s="42" t="s">
        <v>914</v>
      </c>
      <c r="O582" s="6"/>
      <c r="P582" s="6"/>
      <c r="Q582"/>
      <c r="R582"/>
    </row>
    <row r="583" spans="1:18" x14ac:dyDescent="0.3">
      <c r="A583" t="s">
        <v>408</v>
      </c>
      <c r="B583" t="s">
        <v>174</v>
      </c>
      <c r="D583" s="42" t="s">
        <v>813</v>
      </c>
      <c r="E583" s="42">
        <v>34</v>
      </c>
      <c r="F583" s="42">
        <v>114</v>
      </c>
      <c r="G583" s="42" t="s">
        <v>914</v>
      </c>
      <c r="O583" s="6"/>
      <c r="P583" s="6"/>
      <c r="Q583"/>
      <c r="R583"/>
    </row>
    <row r="584" spans="1:18" x14ac:dyDescent="0.3">
      <c r="A584" t="s">
        <v>512</v>
      </c>
      <c r="B584" t="s">
        <v>174</v>
      </c>
      <c r="D584" s="42" t="s">
        <v>814</v>
      </c>
      <c r="E584" s="42">
        <v>34</v>
      </c>
      <c r="F584" s="42">
        <v>114</v>
      </c>
      <c r="G584" s="42" t="s">
        <v>914</v>
      </c>
      <c r="O584" s="6"/>
      <c r="P584" s="6"/>
      <c r="Q584"/>
      <c r="R584"/>
    </row>
    <row r="585" spans="1:18" x14ac:dyDescent="0.3">
      <c r="A585" t="s">
        <v>513</v>
      </c>
      <c r="B585" t="s">
        <v>174</v>
      </c>
      <c r="D585" s="42" t="s">
        <v>815</v>
      </c>
      <c r="E585" s="42">
        <v>52</v>
      </c>
      <c r="F585" s="42">
        <v>114</v>
      </c>
      <c r="G585" s="42" t="s">
        <v>914</v>
      </c>
      <c r="O585" s="6"/>
      <c r="P585" s="6"/>
      <c r="Q585"/>
      <c r="R585"/>
    </row>
    <row r="586" spans="1:18" x14ac:dyDescent="0.3">
      <c r="A586" t="s">
        <v>514</v>
      </c>
      <c r="B586" t="s">
        <v>174</v>
      </c>
      <c r="D586" s="42" t="s">
        <v>816</v>
      </c>
      <c r="E586" s="42">
        <v>65</v>
      </c>
      <c r="F586" s="42">
        <v>114</v>
      </c>
      <c r="G586" s="42" t="s">
        <v>914</v>
      </c>
      <c r="O586" s="6"/>
      <c r="P586" s="6"/>
      <c r="Q586"/>
      <c r="R586"/>
    </row>
    <row r="587" spans="1:18" x14ac:dyDescent="0.3">
      <c r="A587" t="s">
        <v>515</v>
      </c>
      <c r="B587" t="s">
        <v>174</v>
      </c>
      <c r="D587" s="42" t="s">
        <v>817</v>
      </c>
      <c r="E587" s="42">
        <v>62</v>
      </c>
      <c r="F587" s="42">
        <v>128</v>
      </c>
      <c r="G587" s="42" t="s">
        <v>914</v>
      </c>
      <c r="O587" s="6"/>
      <c r="P587" s="6"/>
      <c r="Q587"/>
      <c r="R587"/>
    </row>
    <row r="588" spans="1:18" x14ac:dyDescent="0.3">
      <c r="A588" t="s">
        <v>516</v>
      </c>
      <c r="B588" t="s">
        <v>174</v>
      </c>
      <c r="D588" s="42" t="s">
        <v>818</v>
      </c>
      <c r="E588" s="42">
        <v>58</v>
      </c>
      <c r="F588" s="42">
        <v>128</v>
      </c>
      <c r="G588" s="42" t="s">
        <v>914</v>
      </c>
      <c r="O588" s="6"/>
      <c r="P588" s="6"/>
      <c r="Q588"/>
      <c r="R588"/>
    </row>
    <row r="589" spans="1:18" x14ac:dyDescent="0.3">
      <c r="A589" t="s">
        <v>517</v>
      </c>
      <c r="B589" t="s">
        <v>174</v>
      </c>
      <c r="D589" s="42" t="s">
        <v>819</v>
      </c>
      <c r="E589" s="42">
        <v>65</v>
      </c>
      <c r="F589" s="42">
        <v>138</v>
      </c>
      <c r="G589" s="42" t="s">
        <v>914</v>
      </c>
      <c r="O589" s="6"/>
      <c r="P589" s="6"/>
      <c r="Q589"/>
      <c r="R589"/>
    </row>
    <row r="590" spans="1:18" x14ac:dyDescent="0.3">
      <c r="A590" t="s">
        <v>518</v>
      </c>
      <c r="B590" t="s">
        <v>174</v>
      </c>
      <c r="D590" s="42" t="s">
        <v>820</v>
      </c>
      <c r="E590" s="42">
        <v>48</v>
      </c>
      <c r="F590" s="42">
        <v>138</v>
      </c>
      <c r="G590" s="42" t="s">
        <v>914</v>
      </c>
      <c r="O590" s="6"/>
      <c r="P590" s="6"/>
      <c r="Q590"/>
      <c r="R590"/>
    </row>
    <row r="591" spans="1:18" x14ac:dyDescent="0.3">
      <c r="A591" t="s">
        <v>519</v>
      </c>
      <c r="B591" t="s">
        <v>174</v>
      </c>
      <c r="D591" s="42" t="s">
        <v>821</v>
      </c>
      <c r="E591" s="42">
        <v>48</v>
      </c>
      <c r="F591" s="42">
        <v>138</v>
      </c>
      <c r="G591" s="42" t="s">
        <v>914</v>
      </c>
      <c r="O591" s="6"/>
      <c r="P591" s="6"/>
      <c r="Q591"/>
      <c r="R591"/>
    </row>
    <row r="592" spans="1:18" x14ac:dyDescent="0.3">
      <c r="A592" t="s">
        <v>520</v>
      </c>
      <c r="B592" t="s">
        <v>174</v>
      </c>
      <c r="D592" s="42" t="s">
        <v>822</v>
      </c>
      <c r="E592" s="42">
        <v>50</v>
      </c>
      <c r="F592" s="42">
        <v>138</v>
      </c>
      <c r="G592" s="42" t="s">
        <v>914</v>
      </c>
      <c r="O592" s="6"/>
      <c r="P592" s="6"/>
      <c r="Q592"/>
      <c r="R592"/>
    </row>
    <row r="593" spans="1:18" x14ac:dyDescent="0.3">
      <c r="A593" t="s">
        <v>413</v>
      </c>
      <c r="B593" t="s">
        <v>174</v>
      </c>
      <c r="D593" s="42" t="s">
        <v>823</v>
      </c>
      <c r="E593" s="42">
        <v>43</v>
      </c>
      <c r="F593" s="42">
        <v>72</v>
      </c>
      <c r="G593" s="42" t="s">
        <v>914</v>
      </c>
      <c r="O593" s="6"/>
      <c r="P593" s="6"/>
      <c r="Q593"/>
      <c r="R593"/>
    </row>
    <row r="594" spans="1:18" x14ac:dyDescent="0.3">
      <c r="A594" t="s">
        <v>521</v>
      </c>
      <c r="B594" t="s">
        <v>174</v>
      </c>
      <c r="D594" s="42" t="s">
        <v>824</v>
      </c>
      <c r="E594" s="42">
        <v>37</v>
      </c>
      <c r="F594" s="42">
        <v>70</v>
      </c>
      <c r="G594" s="42" t="s">
        <v>914</v>
      </c>
      <c r="O594" s="6"/>
      <c r="P594" s="6"/>
      <c r="Q594"/>
      <c r="R594"/>
    </row>
    <row r="595" spans="1:18" x14ac:dyDescent="0.3">
      <c r="A595" t="s">
        <v>522</v>
      </c>
      <c r="B595" t="s">
        <v>174</v>
      </c>
      <c r="D595" s="42" t="s">
        <v>825</v>
      </c>
      <c r="E595" s="42">
        <v>47</v>
      </c>
      <c r="F595" s="42">
        <v>70</v>
      </c>
      <c r="G595" s="42" t="s">
        <v>914</v>
      </c>
      <c r="O595" s="6"/>
      <c r="P595" s="6"/>
      <c r="Q595"/>
      <c r="R595"/>
    </row>
    <row r="596" spans="1:18" x14ac:dyDescent="0.3">
      <c r="A596" t="s">
        <v>523</v>
      </c>
      <c r="B596" t="s">
        <v>174</v>
      </c>
      <c r="D596" s="42" t="s">
        <v>826</v>
      </c>
      <c r="E596" s="42">
        <v>37</v>
      </c>
      <c r="F596" s="42">
        <v>70</v>
      </c>
      <c r="G596" s="42" t="s">
        <v>914</v>
      </c>
      <c r="O596" s="6"/>
      <c r="P596" s="6"/>
      <c r="Q596"/>
      <c r="R596"/>
    </row>
    <row r="597" spans="1:18" x14ac:dyDescent="0.3">
      <c r="A597" t="s">
        <v>524</v>
      </c>
      <c r="B597" t="s">
        <v>174</v>
      </c>
      <c r="D597" s="42" t="s">
        <v>827</v>
      </c>
      <c r="E597" s="42">
        <v>13</v>
      </c>
      <c r="F597" s="42">
        <v>68</v>
      </c>
      <c r="G597" s="42" t="s">
        <v>914</v>
      </c>
      <c r="O597" s="6"/>
      <c r="P597" s="6"/>
      <c r="Q597"/>
      <c r="R597"/>
    </row>
    <row r="598" spans="1:18" x14ac:dyDescent="0.3">
      <c r="A598" t="s">
        <v>697</v>
      </c>
      <c r="B598" t="s">
        <v>174</v>
      </c>
      <c r="D598" s="42" t="s">
        <v>828</v>
      </c>
      <c r="E598" s="42">
        <v>14</v>
      </c>
      <c r="F598" s="42">
        <v>68</v>
      </c>
      <c r="G598" s="42" t="s">
        <v>914</v>
      </c>
      <c r="O598" s="6"/>
      <c r="P598" s="6"/>
      <c r="Q598"/>
      <c r="R598"/>
    </row>
    <row r="599" spans="1:18" x14ac:dyDescent="0.3">
      <c r="A599" t="s">
        <v>698</v>
      </c>
      <c r="B599" t="s">
        <v>174</v>
      </c>
      <c r="D599" s="42" t="s">
        <v>829</v>
      </c>
      <c r="E599" s="42">
        <v>60</v>
      </c>
      <c r="F599" s="42">
        <v>72</v>
      </c>
      <c r="G599" s="42" t="s">
        <v>914</v>
      </c>
      <c r="O599" s="6"/>
      <c r="P599" s="6"/>
      <c r="Q599"/>
      <c r="R599"/>
    </row>
    <row r="600" spans="1:18" x14ac:dyDescent="0.3">
      <c r="A600" t="s">
        <v>699</v>
      </c>
      <c r="B600" t="s">
        <v>174</v>
      </c>
      <c r="D600" s="42" t="s">
        <v>830</v>
      </c>
      <c r="E600" s="42">
        <v>60</v>
      </c>
      <c r="F600" s="42">
        <v>72</v>
      </c>
      <c r="G600" s="42" t="s">
        <v>914</v>
      </c>
      <c r="O600" s="6"/>
      <c r="P600" s="6"/>
      <c r="Q600"/>
      <c r="R600"/>
    </row>
    <row r="601" spans="1:18" x14ac:dyDescent="0.3">
      <c r="A601" t="s">
        <v>700</v>
      </c>
      <c r="B601" t="s">
        <v>174</v>
      </c>
      <c r="D601" s="42" t="s">
        <v>831</v>
      </c>
      <c r="E601" s="42">
        <v>71</v>
      </c>
      <c r="F601" s="42">
        <v>72</v>
      </c>
      <c r="G601" s="42" t="s">
        <v>914</v>
      </c>
      <c r="O601" s="6"/>
      <c r="P601" s="6"/>
      <c r="Q601"/>
      <c r="R601"/>
    </row>
    <row r="602" spans="1:18" x14ac:dyDescent="0.3">
      <c r="A602" t="s">
        <v>701</v>
      </c>
      <c r="B602" t="s">
        <v>174</v>
      </c>
      <c r="D602" s="42" t="s">
        <v>832</v>
      </c>
      <c r="E602" s="42">
        <v>34</v>
      </c>
      <c r="F602" s="42">
        <v>73</v>
      </c>
      <c r="G602" s="42" t="s">
        <v>914</v>
      </c>
      <c r="O602" s="6"/>
      <c r="P602" s="6"/>
      <c r="Q602"/>
      <c r="R602"/>
    </row>
    <row r="603" spans="1:18" x14ac:dyDescent="0.3">
      <c r="A603" t="s">
        <v>703</v>
      </c>
      <c r="B603" t="s">
        <v>174</v>
      </c>
      <c r="D603" s="42" t="s">
        <v>833</v>
      </c>
      <c r="E603" s="42">
        <v>95</v>
      </c>
      <c r="F603" s="42">
        <v>74</v>
      </c>
      <c r="G603" s="42" t="s">
        <v>914</v>
      </c>
      <c r="O603" s="6"/>
      <c r="P603" s="6"/>
      <c r="Q603"/>
      <c r="R603"/>
    </row>
    <row r="604" spans="1:18" x14ac:dyDescent="0.3">
      <c r="A604" t="s">
        <v>704</v>
      </c>
      <c r="B604" t="s">
        <v>174</v>
      </c>
      <c r="D604" s="42" t="s">
        <v>834</v>
      </c>
      <c r="E604" s="42">
        <v>43</v>
      </c>
      <c r="F604" s="42">
        <v>80</v>
      </c>
      <c r="G604" s="42" t="s">
        <v>914</v>
      </c>
      <c r="O604" s="6"/>
      <c r="P604" s="6"/>
      <c r="Q604"/>
      <c r="R604"/>
    </row>
    <row r="605" spans="1:18" x14ac:dyDescent="0.3">
      <c r="A605" t="s">
        <v>705</v>
      </c>
      <c r="B605" t="s">
        <v>174</v>
      </c>
      <c r="D605" s="42" t="s">
        <v>835</v>
      </c>
      <c r="E605" s="42">
        <v>80</v>
      </c>
      <c r="F605" s="42">
        <v>80</v>
      </c>
      <c r="G605" s="42" t="s">
        <v>914</v>
      </c>
      <c r="O605" s="6"/>
      <c r="P605" s="6"/>
      <c r="Q605"/>
      <c r="R605"/>
    </row>
    <row r="606" spans="1:18" x14ac:dyDescent="0.3">
      <c r="A606" t="s">
        <v>706</v>
      </c>
      <c r="B606" t="s">
        <v>174</v>
      </c>
      <c r="D606" s="42" t="s">
        <v>836</v>
      </c>
      <c r="E606" s="42">
        <v>79</v>
      </c>
      <c r="F606" s="42">
        <v>83</v>
      </c>
      <c r="G606" s="42" t="s">
        <v>914</v>
      </c>
      <c r="O606" s="6"/>
      <c r="P606" s="6"/>
      <c r="Q606"/>
      <c r="R606"/>
    </row>
    <row r="607" spans="1:18" x14ac:dyDescent="0.3">
      <c r="A607" t="s">
        <v>707</v>
      </c>
      <c r="B607" t="s">
        <v>174</v>
      </c>
      <c r="D607" s="42" t="s">
        <v>837</v>
      </c>
      <c r="E607" s="42">
        <v>24</v>
      </c>
      <c r="F607" s="42">
        <v>80</v>
      </c>
      <c r="G607" s="42" t="s">
        <v>914</v>
      </c>
      <c r="O607" s="6"/>
      <c r="P607" s="6"/>
      <c r="Q607"/>
      <c r="R607"/>
    </row>
    <row r="608" spans="1:18" x14ac:dyDescent="0.3">
      <c r="A608" t="s">
        <v>708</v>
      </c>
      <c r="B608" t="s">
        <v>174</v>
      </c>
      <c r="D608" s="42" t="s">
        <v>838</v>
      </c>
      <c r="E608" s="42">
        <v>42</v>
      </c>
      <c r="F608" s="42">
        <v>92</v>
      </c>
      <c r="G608" s="42" t="s">
        <v>914</v>
      </c>
      <c r="O608" s="6"/>
      <c r="P608" s="6"/>
      <c r="Q608"/>
      <c r="R608"/>
    </row>
    <row r="609" spans="1:18" x14ac:dyDescent="0.3">
      <c r="A609" t="s">
        <v>617</v>
      </c>
      <c r="B609" t="s">
        <v>174</v>
      </c>
      <c r="D609" s="42" t="s">
        <v>839</v>
      </c>
      <c r="E609" s="42">
        <v>42</v>
      </c>
      <c r="F609" s="42">
        <v>92</v>
      </c>
      <c r="G609" s="42" t="s">
        <v>914</v>
      </c>
      <c r="O609" s="6"/>
      <c r="P609" s="6"/>
      <c r="Q609"/>
      <c r="R609"/>
    </row>
    <row r="610" spans="1:18" x14ac:dyDescent="0.3">
      <c r="A610" t="s">
        <v>621</v>
      </c>
      <c r="B610" t="s">
        <v>174</v>
      </c>
      <c r="D610" s="42" t="s">
        <v>840</v>
      </c>
      <c r="E610" s="42">
        <v>36</v>
      </c>
      <c r="F610" s="42">
        <v>87</v>
      </c>
      <c r="G610" s="42" t="s">
        <v>914</v>
      </c>
      <c r="O610" s="6"/>
      <c r="P610" s="6"/>
      <c r="Q610"/>
      <c r="R610"/>
    </row>
    <row r="611" spans="1:18" x14ac:dyDescent="0.3">
      <c r="A611" t="s">
        <v>627</v>
      </c>
      <c r="B611" t="s">
        <v>174</v>
      </c>
      <c r="D611" s="42" t="s">
        <v>841</v>
      </c>
      <c r="E611" s="42">
        <v>36</v>
      </c>
      <c r="F611" s="42">
        <v>87</v>
      </c>
      <c r="G611" s="42" t="s">
        <v>914</v>
      </c>
      <c r="O611" s="6"/>
      <c r="P611" s="6"/>
      <c r="Q611"/>
      <c r="R611"/>
    </row>
    <row r="612" spans="1:18" x14ac:dyDescent="0.3">
      <c r="A612" t="s">
        <v>631</v>
      </c>
      <c r="B612" t="s">
        <v>174</v>
      </c>
      <c r="D612" s="42" t="s">
        <v>842</v>
      </c>
      <c r="E612" s="42">
        <v>49</v>
      </c>
      <c r="F612" s="42">
        <v>90</v>
      </c>
      <c r="G612" s="42" t="s">
        <v>914</v>
      </c>
      <c r="O612" s="6"/>
      <c r="P612" s="6"/>
      <c r="Q612"/>
      <c r="R612"/>
    </row>
    <row r="613" spans="1:18" x14ac:dyDescent="0.3">
      <c r="A613" t="s">
        <v>360</v>
      </c>
      <c r="B613" t="s">
        <v>189</v>
      </c>
      <c r="D613" s="42" t="s">
        <v>843</v>
      </c>
      <c r="E613" s="42">
        <v>73</v>
      </c>
      <c r="F613" s="42">
        <v>90</v>
      </c>
      <c r="G613" s="42" t="s">
        <v>914</v>
      </c>
      <c r="O613" s="6"/>
      <c r="P613" s="6"/>
      <c r="Q613"/>
      <c r="R613"/>
    </row>
    <row r="614" spans="1:18" x14ac:dyDescent="0.3">
      <c r="A614" t="s">
        <v>362</v>
      </c>
      <c r="B614" t="s">
        <v>189</v>
      </c>
      <c r="D614" s="42" t="s">
        <v>844</v>
      </c>
      <c r="E614" s="42">
        <v>36</v>
      </c>
      <c r="F614" s="42">
        <v>84</v>
      </c>
      <c r="G614" s="42" t="s">
        <v>914</v>
      </c>
      <c r="O614" s="6"/>
      <c r="P614" s="6"/>
      <c r="Q614"/>
      <c r="R614"/>
    </row>
    <row r="615" spans="1:18" x14ac:dyDescent="0.3">
      <c r="A615" t="s">
        <v>555</v>
      </c>
      <c r="B615" t="s">
        <v>189</v>
      </c>
      <c r="D615" s="42" t="s">
        <v>845</v>
      </c>
      <c r="E615" s="42">
        <v>19</v>
      </c>
      <c r="F615" s="42">
        <v>175</v>
      </c>
      <c r="G615" s="42" t="s">
        <v>914</v>
      </c>
      <c r="O615" s="6"/>
      <c r="P615" s="6"/>
      <c r="Q615"/>
      <c r="R615"/>
    </row>
    <row r="616" spans="1:18" x14ac:dyDescent="0.3">
      <c r="A616" t="s">
        <v>556</v>
      </c>
      <c r="B616" t="s">
        <v>189</v>
      </c>
      <c r="D616" s="42" t="s">
        <v>846</v>
      </c>
      <c r="E616" s="42">
        <v>26</v>
      </c>
      <c r="F616" s="42">
        <v>169</v>
      </c>
      <c r="G616" s="42" t="s">
        <v>914</v>
      </c>
      <c r="O616" s="6"/>
      <c r="P616" s="6"/>
      <c r="Q616"/>
      <c r="R616"/>
    </row>
    <row r="617" spans="1:18" x14ac:dyDescent="0.3">
      <c r="A617" t="s">
        <v>557</v>
      </c>
      <c r="B617" t="s">
        <v>189</v>
      </c>
      <c r="D617" s="42" t="s">
        <v>847</v>
      </c>
      <c r="E617" s="42">
        <v>58</v>
      </c>
      <c r="F617" s="42">
        <v>173</v>
      </c>
      <c r="G617" s="42" t="s">
        <v>914</v>
      </c>
      <c r="O617" s="6"/>
      <c r="P617" s="6"/>
      <c r="Q617"/>
      <c r="R617"/>
    </row>
    <row r="618" spans="1:18" x14ac:dyDescent="0.3">
      <c r="A618" t="s">
        <v>558</v>
      </c>
      <c r="B618" t="s">
        <v>189</v>
      </c>
      <c r="D618" s="42" t="s">
        <v>848</v>
      </c>
      <c r="E618" s="42">
        <v>53</v>
      </c>
      <c r="F618" s="42">
        <v>110</v>
      </c>
      <c r="G618" s="42" t="s">
        <v>914</v>
      </c>
      <c r="O618" s="6"/>
      <c r="P618" s="6"/>
      <c r="Q618"/>
      <c r="R618"/>
    </row>
    <row r="619" spans="1:18" x14ac:dyDescent="0.3">
      <c r="A619" t="s">
        <v>559</v>
      </c>
      <c r="B619" t="s">
        <v>189</v>
      </c>
      <c r="D619" s="42" t="s">
        <v>915</v>
      </c>
      <c r="E619" s="42">
        <v>40</v>
      </c>
      <c r="F619" s="42">
        <v>178</v>
      </c>
      <c r="G619" s="42" t="s">
        <v>940</v>
      </c>
      <c r="O619" s="6"/>
      <c r="P619" s="6"/>
      <c r="Q619"/>
      <c r="R619"/>
    </row>
    <row r="620" spans="1:18" x14ac:dyDescent="0.3">
      <c r="A620" t="s">
        <v>560</v>
      </c>
      <c r="B620" t="s">
        <v>189</v>
      </c>
      <c r="D620" s="42" t="s">
        <v>916</v>
      </c>
      <c r="E620" s="42">
        <v>38</v>
      </c>
      <c r="F620" s="42">
        <v>188</v>
      </c>
      <c r="G620" s="42" t="s">
        <v>940</v>
      </c>
      <c r="O620" s="6"/>
      <c r="P620" s="6"/>
      <c r="Q620"/>
      <c r="R620"/>
    </row>
    <row r="621" spans="1:18" x14ac:dyDescent="0.3">
      <c r="A621" t="s">
        <v>561</v>
      </c>
      <c r="B621" t="s">
        <v>189</v>
      </c>
      <c r="D621" s="42" t="s">
        <v>917</v>
      </c>
      <c r="E621" s="42">
        <v>39</v>
      </c>
      <c r="F621" s="42">
        <v>188</v>
      </c>
      <c r="G621" s="42" t="s">
        <v>940</v>
      </c>
      <c r="O621" s="6"/>
      <c r="P621" s="6"/>
      <c r="Q621"/>
      <c r="R621"/>
    </row>
    <row r="622" spans="1:18" x14ac:dyDescent="0.3">
      <c r="A622" t="s">
        <v>562</v>
      </c>
      <c r="B622" t="s">
        <v>189</v>
      </c>
      <c r="D622" s="42" t="s">
        <v>918</v>
      </c>
      <c r="E622" s="42">
        <v>71</v>
      </c>
      <c r="F622" s="42">
        <v>188</v>
      </c>
      <c r="G622" s="42" t="s">
        <v>940</v>
      </c>
      <c r="O622" s="6"/>
      <c r="P622" s="6"/>
      <c r="Q622"/>
      <c r="R622"/>
    </row>
    <row r="623" spans="1:18" x14ac:dyDescent="0.3">
      <c r="A623" t="s">
        <v>563</v>
      </c>
      <c r="B623" t="s">
        <v>189</v>
      </c>
      <c r="D623" s="42" t="s">
        <v>919</v>
      </c>
      <c r="E623" s="42">
        <v>42</v>
      </c>
      <c r="F623" s="42">
        <v>188</v>
      </c>
      <c r="G623" s="42" t="s">
        <v>940</v>
      </c>
      <c r="O623" s="6"/>
      <c r="P623" s="6"/>
      <c r="Q623"/>
      <c r="R623"/>
    </row>
    <row r="624" spans="1:18" x14ac:dyDescent="0.3">
      <c r="A624" t="s">
        <v>564</v>
      </c>
      <c r="B624" t="s">
        <v>189</v>
      </c>
      <c r="D624" s="42" t="s">
        <v>920</v>
      </c>
      <c r="E624" s="42">
        <v>65</v>
      </c>
      <c r="F624" s="42">
        <v>180</v>
      </c>
      <c r="G624" s="42" t="s">
        <v>940</v>
      </c>
      <c r="O624" s="6"/>
      <c r="P624" s="6"/>
      <c r="Q624"/>
      <c r="R624"/>
    </row>
    <row r="625" spans="1:18" x14ac:dyDescent="0.3">
      <c r="A625" t="s">
        <v>577</v>
      </c>
      <c r="B625" t="s">
        <v>189</v>
      </c>
      <c r="D625" s="42" t="s">
        <v>921</v>
      </c>
      <c r="E625" s="42">
        <v>72</v>
      </c>
      <c r="F625" s="42">
        <v>174</v>
      </c>
      <c r="G625" s="42" t="s">
        <v>940</v>
      </c>
      <c r="O625" s="6"/>
      <c r="P625" s="6"/>
      <c r="Q625"/>
      <c r="R625"/>
    </row>
    <row r="626" spans="1:18" x14ac:dyDescent="0.3">
      <c r="A626" t="s">
        <v>578</v>
      </c>
      <c r="B626" t="s">
        <v>189</v>
      </c>
      <c r="D626" s="42" t="s">
        <v>922</v>
      </c>
      <c r="E626" s="42">
        <v>35</v>
      </c>
      <c r="F626" s="42">
        <v>186</v>
      </c>
      <c r="G626" s="42" t="s">
        <v>940</v>
      </c>
      <c r="O626" s="6"/>
      <c r="P626" s="6"/>
      <c r="Q626"/>
      <c r="R626"/>
    </row>
    <row r="627" spans="1:18" x14ac:dyDescent="0.3">
      <c r="A627" t="s">
        <v>579</v>
      </c>
      <c r="B627" t="s">
        <v>189</v>
      </c>
      <c r="D627" s="42" t="s">
        <v>923</v>
      </c>
      <c r="E627" s="42">
        <v>63</v>
      </c>
      <c r="F627" s="42">
        <v>185</v>
      </c>
      <c r="G627" s="42" t="s">
        <v>940</v>
      </c>
      <c r="O627" s="6"/>
      <c r="P627" s="6"/>
      <c r="Q627"/>
      <c r="R627"/>
    </row>
    <row r="628" spans="1:18" x14ac:dyDescent="0.3">
      <c r="A628" t="s">
        <v>565</v>
      </c>
      <c r="B628" t="s">
        <v>189</v>
      </c>
      <c r="D628" s="42" t="s">
        <v>924</v>
      </c>
      <c r="E628" s="42">
        <v>42</v>
      </c>
      <c r="F628" s="42">
        <v>157</v>
      </c>
      <c r="G628" s="42" t="s">
        <v>940</v>
      </c>
      <c r="O628" s="6"/>
      <c r="P628" s="6"/>
      <c r="Q628"/>
      <c r="R628"/>
    </row>
    <row r="629" spans="1:18" x14ac:dyDescent="0.3">
      <c r="A629" t="s">
        <v>384</v>
      </c>
      <c r="B629" t="s">
        <v>189</v>
      </c>
      <c r="D629" s="42" t="s">
        <v>925</v>
      </c>
      <c r="E629" s="42">
        <v>39</v>
      </c>
      <c r="F629" s="42">
        <v>157</v>
      </c>
      <c r="G629" s="42" t="s">
        <v>940</v>
      </c>
      <c r="O629" s="6"/>
      <c r="P629" s="6"/>
      <c r="Q629"/>
      <c r="R629"/>
    </row>
    <row r="630" spans="1:18" x14ac:dyDescent="0.3">
      <c r="A630" t="s">
        <v>566</v>
      </c>
      <c r="B630" t="s">
        <v>189</v>
      </c>
      <c r="D630" s="42" t="s">
        <v>926</v>
      </c>
      <c r="E630" s="42">
        <v>62</v>
      </c>
      <c r="F630" s="42">
        <v>157</v>
      </c>
      <c r="G630" s="42" t="s">
        <v>940</v>
      </c>
      <c r="O630" s="6"/>
      <c r="P630" s="6"/>
      <c r="Q630"/>
      <c r="R630"/>
    </row>
    <row r="631" spans="1:18" x14ac:dyDescent="0.3">
      <c r="A631" t="s">
        <v>567</v>
      </c>
      <c r="B631" t="s">
        <v>189</v>
      </c>
      <c r="D631" s="42" t="s">
        <v>927</v>
      </c>
      <c r="E631" s="42">
        <v>67</v>
      </c>
      <c r="F631" s="42">
        <v>163</v>
      </c>
      <c r="G631" s="42" t="s">
        <v>940</v>
      </c>
      <c r="O631" s="6"/>
      <c r="P631" s="6"/>
      <c r="Q631"/>
      <c r="R631"/>
    </row>
    <row r="632" spans="1:18" x14ac:dyDescent="0.3">
      <c r="A632" t="s">
        <v>568</v>
      </c>
      <c r="B632" t="s">
        <v>189</v>
      </c>
      <c r="D632" s="42" t="s">
        <v>928</v>
      </c>
      <c r="E632" s="42">
        <v>66</v>
      </c>
      <c r="F632" s="42">
        <v>132</v>
      </c>
      <c r="G632" s="42" t="s">
        <v>940</v>
      </c>
      <c r="O632" s="6"/>
      <c r="P632" s="6"/>
      <c r="Q632"/>
      <c r="R632"/>
    </row>
    <row r="633" spans="1:18" x14ac:dyDescent="0.3">
      <c r="A633" t="s">
        <v>569</v>
      </c>
      <c r="B633" t="s">
        <v>189</v>
      </c>
      <c r="D633" s="42" t="s">
        <v>929</v>
      </c>
      <c r="E633" s="42">
        <v>78</v>
      </c>
      <c r="F633" s="42">
        <v>132</v>
      </c>
      <c r="G633" s="42" t="s">
        <v>940</v>
      </c>
      <c r="O633" s="6"/>
      <c r="P633" s="6"/>
      <c r="Q633"/>
      <c r="R633"/>
    </row>
    <row r="634" spans="1:18" x14ac:dyDescent="0.3">
      <c r="A634" t="s">
        <v>588</v>
      </c>
      <c r="B634" t="s">
        <v>189</v>
      </c>
      <c r="D634" s="42" t="s">
        <v>930</v>
      </c>
      <c r="E634" s="42">
        <v>72</v>
      </c>
      <c r="F634" s="42">
        <v>135</v>
      </c>
      <c r="G634" s="42" t="s">
        <v>940</v>
      </c>
      <c r="O634" s="6"/>
      <c r="P634" s="6"/>
      <c r="Q634"/>
      <c r="R634"/>
    </row>
    <row r="635" spans="1:18" x14ac:dyDescent="0.3">
      <c r="A635" t="s">
        <v>589</v>
      </c>
      <c r="B635" t="s">
        <v>189</v>
      </c>
      <c r="D635" s="42" t="s">
        <v>931</v>
      </c>
      <c r="E635" s="42">
        <v>36</v>
      </c>
      <c r="F635" s="42">
        <v>129</v>
      </c>
      <c r="G635" s="42" t="s">
        <v>940</v>
      </c>
      <c r="O635" s="6"/>
      <c r="P635" s="6"/>
      <c r="Q635"/>
      <c r="R635"/>
    </row>
    <row r="636" spans="1:18" x14ac:dyDescent="0.3">
      <c r="A636" t="s">
        <v>580</v>
      </c>
      <c r="B636" t="s">
        <v>189</v>
      </c>
      <c r="D636" s="42" t="s">
        <v>932</v>
      </c>
      <c r="E636" s="42">
        <v>43</v>
      </c>
      <c r="F636" s="42">
        <v>68</v>
      </c>
      <c r="G636" s="42" t="s">
        <v>940</v>
      </c>
      <c r="O636" s="6"/>
      <c r="P636" s="6"/>
      <c r="Q636"/>
      <c r="R636"/>
    </row>
    <row r="637" spans="1:18" x14ac:dyDescent="0.3">
      <c r="A637" t="s">
        <v>581</v>
      </c>
      <c r="B637" t="s">
        <v>189</v>
      </c>
      <c r="D637" s="42" t="s">
        <v>933</v>
      </c>
      <c r="E637" s="42">
        <v>64</v>
      </c>
      <c r="F637" s="42">
        <v>68</v>
      </c>
      <c r="G637" s="42" t="s">
        <v>940</v>
      </c>
      <c r="O637" s="6"/>
      <c r="P637" s="6"/>
      <c r="Q637"/>
      <c r="R637"/>
    </row>
    <row r="638" spans="1:18" x14ac:dyDescent="0.3">
      <c r="A638" t="s">
        <v>582</v>
      </c>
      <c r="B638" t="s">
        <v>189</v>
      </c>
      <c r="D638" s="42" t="s">
        <v>934</v>
      </c>
      <c r="E638" s="42">
        <v>45</v>
      </c>
      <c r="F638" s="42">
        <v>69</v>
      </c>
      <c r="G638" s="42" t="s">
        <v>940</v>
      </c>
      <c r="O638" s="6"/>
      <c r="P638" s="6"/>
      <c r="Q638"/>
      <c r="R638"/>
    </row>
    <row r="639" spans="1:18" x14ac:dyDescent="0.3">
      <c r="A639" t="s">
        <v>583</v>
      </c>
      <c r="B639" t="s">
        <v>189</v>
      </c>
      <c r="D639" s="42" t="s">
        <v>935</v>
      </c>
      <c r="E639" s="42">
        <v>45</v>
      </c>
      <c r="F639" s="42">
        <v>90</v>
      </c>
      <c r="G639" s="42" t="s">
        <v>940</v>
      </c>
      <c r="O639" s="6"/>
      <c r="P639" s="6"/>
      <c r="Q639"/>
      <c r="R639"/>
    </row>
    <row r="640" spans="1:18" x14ac:dyDescent="0.3">
      <c r="A640" t="s">
        <v>392</v>
      </c>
      <c r="B640" t="s">
        <v>189</v>
      </c>
      <c r="D640" s="42" t="s">
        <v>936</v>
      </c>
      <c r="E640" s="42">
        <v>23</v>
      </c>
      <c r="F640" s="42">
        <v>179</v>
      </c>
      <c r="G640" s="42" t="s">
        <v>940</v>
      </c>
      <c r="O640" s="6"/>
      <c r="P640" s="6"/>
      <c r="Q640"/>
      <c r="R640"/>
    </row>
    <row r="641" spans="1:18" x14ac:dyDescent="0.3">
      <c r="A641" t="s">
        <v>393</v>
      </c>
      <c r="B641" t="s">
        <v>189</v>
      </c>
      <c r="D641" s="42" t="s">
        <v>937</v>
      </c>
      <c r="E641" s="42">
        <v>32</v>
      </c>
      <c r="F641" s="42">
        <v>183</v>
      </c>
      <c r="G641" s="42" t="s">
        <v>940</v>
      </c>
      <c r="O641" s="6"/>
      <c r="P641" s="6"/>
      <c r="Q641"/>
      <c r="R641"/>
    </row>
    <row r="642" spans="1:18" x14ac:dyDescent="0.3">
      <c r="A642" t="s">
        <v>394</v>
      </c>
      <c r="B642" t="s">
        <v>189</v>
      </c>
      <c r="D642" s="42" t="s">
        <v>938</v>
      </c>
      <c r="E642" s="42">
        <v>18</v>
      </c>
      <c r="F642" s="42">
        <v>171</v>
      </c>
      <c r="G642" s="42" t="s">
        <v>940</v>
      </c>
      <c r="O642" s="6"/>
      <c r="P642" s="6"/>
      <c r="Q642"/>
      <c r="R642"/>
    </row>
    <row r="643" spans="1:18" x14ac:dyDescent="0.3">
      <c r="A643" t="s">
        <v>395</v>
      </c>
      <c r="B643" t="s">
        <v>189</v>
      </c>
      <c r="D643" s="42" t="s">
        <v>941</v>
      </c>
      <c r="E643" s="42">
        <v>81</v>
      </c>
      <c r="F643" s="42">
        <v>193</v>
      </c>
      <c r="G643" s="42" t="s">
        <v>948</v>
      </c>
      <c r="O643" s="6"/>
      <c r="P643" s="6"/>
      <c r="Q643"/>
      <c r="R643"/>
    </row>
    <row r="644" spans="1:18" x14ac:dyDescent="0.3">
      <c r="A644" t="s">
        <v>570</v>
      </c>
      <c r="B644" t="s">
        <v>189</v>
      </c>
      <c r="D644" s="42" t="s">
        <v>942</v>
      </c>
      <c r="E644" s="42">
        <v>51</v>
      </c>
      <c r="F644" s="42">
        <v>191</v>
      </c>
      <c r="G644" s="42" t="s">
        <v>948</v>
      </c>
      <c r="O644" s="6"/>
      <c r="P644" s="6"/>
      <c r="Q644"/>
      <c r="R644"/>
    </row>
    <row r="645" spans="1:18" x14ac:dyDescent="0.3">
      <c r="A645" t="s">
        <v>571</v>
      </c>
      <c r="B645" t="s">
        <v>189</v>
      </c>
      <c r="D645" s="42" t="s">
        <v>943</v>
      </c>
      <c r="E645" s="42">
        <v>61</v>
      </c>
      <c r="F645" s="42">
        <v>189</v>
      </c>
      <c r="G645" s="42" t="s">
        <v>948</v>
      </c>
      <c r="O645" s="6"/>
      <c r="P645" s="6"/>
      <c r="Q645"/>
      <c r="R645"/>
    </row>
    <row r="646" spans="1:18" x14ac:dyDescent="0.3">
      <c r="A646" t="s">
        <v>584</v>
      </c>
      <c r="B646" t="s">
        <v>189</v>
      </c>
      <c r="D646" s="42" t="s">
        <v>944</v>
      </c>
      <c r="E646" s="42">
        <v>71</v>
      </c>
      <c r="F646" s="42">
        <v>191</v>
      </c>
      <c r="G646" s="42" t="s">
        <v>948</v>
      </c>
      <c r="O646" s="6"/>
      <c r="P646" s="6"/>
      <c r="Q646"/>
      <c r="R646"/>
    </row>
    <row r="647" spans="1:18" x14ac:dyDescent="0.3">
      <c r="A647" t="s">
        <v>585</v>
      </c>
      <c r="B647" t="s">
        <v>189</v>
      </c>
      <c r="D647" s="42" t="s">
        <v>945</v>
      </c>
      <c r="E647" s="42">
        <v>64</v>
      </c>
      <c r="F647" s="42">
        <v>151</v>
      </c>
      <c r="G647" s="42" t="s">
        <v>948</v>
      </c>
      <c r="O647" s="6"/>
      <c r="P647" s="6"/>
      <c r="Q647"/>
      <c r="R647"/>
    </row>
    <row r="648" spans="1:18" x14ac:dyDescent="0.3">
      <c r="A648" t="s">
        <v>572</v>
      </c>
      <c r="B648" t="s">
        <v>189</v>
      </c>
      <c r="D648" s="42" t="s">
        <v>946</v>
      </c>
      <c r="E648" s="42">
        <v>51</v>
      </c>
      <c r="F648" s="42">
        <v>157</v>
      </c>
      <c r="G648" s="42" t="s">
        <v>948</v>
      </c>
      <c r="O648" s="6"/>
      <c r="P648" s="6"/>
      <c r="Q648"/>
      <c r="R648"/>
    </row>
    <row r="649" spans="1:18" x14ac:dyDescent="0.3">
      <c r="A649" t="s">
        <v>573</v>
      </c>
      <c r="B649" t="s">
        <v>189</v>
      </c>
      <c r="D649" s="42" t="s">
        <v>947</v>
      </c>
      <c r="E649" s="42">
        <v>47</v>
      </c>
      <c r="F649" s="42">
        <v>159</v>
      </c>
      <c r="G649" s="42" t="s">
        <v>948</v>
      </c>
      <c r="O649" s="6"/>
      <c r="P649" s="6"/>
      <c r="Q649"/>
      <c r="R649"/>
    </row>
    <row r="650" spans="1:18" x14ac:dyDescent="0.3">
      <c r="A650" t="s">
        <v>590</v>
      </c>
      <c r="B650" t="s">
        <v>189</v>
      </c>
      <c r="D650" s="42" t="s">
        <v>508</v>
      </c>
      <c r="E650" s="42">
        <v>55</v>
      </c>
      <c r="F650" s="42">
        <v>134</v>
      </c>
      <c r="G650" s="42" t="s">
        <v>949</v>
      </c>
      <c r="O650" s="6"/>
      <c r="P650" s="6"/>
      <c r="Q650"/>
      <c r="R650"/>
    </row>
    <row r="651" spans="1:18" x14ac:dyDescent="0.3">
      <c r="A651" t="s">
        <v>586</v>
      </c>
      <c r="B651" t="s">
        <v>189</v>
      </c>
      <c r="D651" s="42" t="s">
        <v>950</v>
      </c>
      <c r="E651" s="42">
        <v>77</v>
      </c>
      <c r="F651" s="42">
        <v>191</v>
      </c>
      <c r="G651" s="42" t="s">
        <v>956</v>
      </c>
      <c r="O651" s="6"/>
      <c r="P651" s="6"/>
      <c r="Q651"/>
      <c r="R651"/>
    </row>
    <row r="652" spans="1:18" x14ac:dyDescent="0.3">
      <c r="A652" t="s">
        <v>574</v>
      </c>
      <c r="B652" t="s">
        <v>189</v>
      </c>
      <c r="D652" s="42" t="s">
        <v>951</v>
      </c>
      <c r="E652" s="42">
        <v>69</v>
      </c>
      <c r="F652" s="42">
        <v>191</v>
      </c>
      <c r="G652" s="42" t="s">
        <v>956</v>
      </c>
      <c r="O652" s="6"/>
      <c r="P652" s="6"/>
      <c r="Q652"/>
      <c r="R652"/>
    </row>
    <row r="653" spans="1:18" x14ac:dyDescent="0.3">
      <c r="A653" t="s">
        <v>575</v>
      </c>
      <c r="B653" t="s">
        <v>189</v>
      </c>
      <c r="D653" s="42" t="s">
        <v>952</v>
      </c>
      <c r="E653" s="42">
        <v>41</v>
      </c>
      <c r="F653" s="42">
        <v>194</v>
      </c>
      <c r="G653" s="42" t="s">
        <v>956</v>
      </c>
      <c r="O653" s="6"/>
      <c r="P653" s="6"/>
      <c r="Q653"/>
      <c r="R653"/>
    </row>
    <row r="654" spans="1:18" x14ac:dyDescent="0.3">
      <c r="A654" t="s">
        <v>587</v>
      </c>
      <c r="B654" t="s">
        <v>189</v>
      </c>
      <c r="D654" s="42" t="s">
        <v>953</v>
      </c>
      <c r="E654" s="42">
        <v>67</v>
      </c>
      <c r="F654" s="42">
        <v>175</v>
      </c>
      <c r="G654" s="42" t="s">
        <v>956</v>
      </c>
      <c r="O654" s="6"/>
      <c r="P654" s="6"/>
      <c r="Q654"/>
      <c r="R654"/>
    </row>
    <row r="655" spans="1:18" x14ac:dyDescent="0.3">
      <c r="A655" t="s">
        <v>576</v>
      </c>
      <c r="B655" t="s">
        <v>189</v>
      </c>
      <c r="D655" s="42" t="s">
        <v>954</v>
      </c>
      <c r="E655" s="42">
        <v>60</v>
      </c>
      <c r="F655" s="42">
        <v>168</v>
      </c>
      <c r="G655" s="42" t="s">
        <v>956</v>
      </c>
      <c r="O655" s="6"/>
      <c r="P655" s="6"/>
      <c r="Q655"/>
      <c r="R655"/>
    </row>
    <row r="656" spans="1:18" x14ac:dyDescent="0.3">
      <c r="A656" t="s">
        <v>684</v>
      </c>
      <c r="B656" t="s">
        <v>189</v>
      </c>
      <c r="D656" s="42" t="s">
        <v>957</v>
      </c>
      <c r="E656" s="42">
        <v>24</v>
      </c>
      <c r="F656" s="42">
        <v>191</v>
      </c>
      <c r="G656" s="42" t="s">
        <v>960</v>
      </c>
      <c r="O656" s="6"/>
      <c r="P656" s="6"/>
      <c r="Q656"/>
      <c r="R656"/>
    </row>
    <row r="657" spans="1:18" x14ac:dyDescent="0.3">
      <c r="A657" t="s">
        <v>685</v>
      </c>
      <c r="B657" t="s">
        <v>189</v>
      </c>
      <c r="D657" s="42" t="s">
        <v>958</v>
      </c>
      <c r="E657" s="42">
        <v>35</v>
      </c>
      <c r="F657" s="42">
        <v>73</v>
      </c>
      <c r="G657" s="42" t="s">
        <v>960</v>
      </c>
      <c r="O657" s="6"/>
      <c r="P657" s="6"/>
      <c r="Q657"/>
      <c r="R657"/>
    </row>
    <row r="658" spans="1:18" x14ac:dyDescent="0.3">
      <c r="A658" t="s">
        <v>686</v>
      </c>
      <c r="B658" t="s">
        <v>189</v>
      </c>
      <c r="D658" s="42" t="s">
        <v>959</v>
      </c>
      <c r="E658" s="42">
        <v>17</v>
      </c>
      <c r="F658" s="42">
        <v>68</v>
      </c>
      <c r="G658" s="42" t="s">
        <v>960</v>
      </c>
      <c r="O658" s="6"/>
      <c r="P658" s="6"/>
      <c r="Q658"/>
      <c r="R658"/>
    </row>
    <row r="659" spans="1:18" x14ac:dyDescent="0.3">
      <c r="A659" t="s">
        <v>687</v>
      </c>
      <c r="B659" t="s">
        <v>189</v>
      </c>
      <c r="D659" s="42" t="s">
        <v>911</v>
      </c>
      <c r="E659" s="42">
        <v>73</v>
      </c>
      <c r="F659" s="42">
        <v>158</v>
      </c>
      <c r="G659" s="42" t="s">
        <v>968</v>
      </c>
      <c r="O659" s="6"/>
      <c r="P659" s="6"/>
      <c r="Q659"/>
      <c r="R659"/>
    </row>
    <row r="660" spans="1:18" x14ac:dyDescent="0.3">
      <c r="A660" t="s">
        <v>688</v>
      </c>
      <c r="B660" t="s">
        <v>189</v>
      </c>
      <c r="D660" s="42" t="s">
        <v>961</v>
      </c>
      <c r="E660" s="42">
        <v>83</v>
      </c>
      <c r="F660" s="42">
        <v>129</v>
      </c>
      <c r="G660" s="42" t="s">
        <v>968</v>
      </c>
      <c r="O660" s="6"/>
      <c r="P660" s="6"/>
      <c r="Q660"/>
      <c r="R660"/>
    </row>
    <row r="661" spans="1:18" x14ac:dyDescent="0.3">
      <c r="A661" t="s">
        <v>689</v>
      </c>
      <c r="B661" t="s">
        <v>189</v>
      </c>
      <c r="D661" s="42" t="s">
        <v>962</v>
      </c>
      <c r="E661" s="42">
        <v>71</v>
      </c>
      <c r="F661" s="42">
        <v>194</v>
      </c>
      <c r="G661" s="42" t="s">
        <v>968</v>
      </c>
      <c r="O661" s="6"/>
      <c r="P661" s="6"/>
      <c r="Q661"/>
      <c r="R661"/>
    </row>
    <row r="662" spans="1:18" x14ac:dyDescent="0.3">
      <c r="A662" t="s">
        <v>690</v>
      </c>
      <c r="B662" t="s">
        <v>189</v>
      </c>
      <c r="D662" s="42" t="s">
        <v>963</v>
      </c>
      <c r="E662" s="42">
        <v>93</v>
      </c>
      <c r="F662" s="42">
        <v>89</v>
      </c>
      <c r="G662" s="42" t="s">
        <v>968</v>
      </c>
      <c r="O662" s="6"/>
      <c r="P662" s="6"/>
      <c r="Q662"/>
      <c r="R662"/>
    </row>
    <row r="663" spans="1:18" x14ac:dyDescent="0.3">
      <c r="A663" t="s">
        <v>632</v>
      </c>
      <c r="B663" t="s">
        <v>189</v>
      </c>
      <c r="D663" s="42" t="s">
        <v>964</v>
      </c>
      <c r="E663" s="42">
        <v>87</v>
      </c>
      <c r="F663" s="42">
        <v>159</v>
      </c>
      <c r="G663" s="42" t="s">
        <v>968</v>
      </c>
      <c r="O663" s="6"/>
      <c r="P663" s="6"/>
      <c r="Q663"/>
      <c r="R663"/>
    </row>
    <row r="664" spans="1:18" x14ac:dyDescent="0.3">
      <c r="A664" t="s">
        <v>634</v>
      </c>
      <c r="B664" t="s">
        <v>189</v>
      </c>
      <c r="D664" s="42" t="s">
        <v>965</v>
      </c>
      <c r="E664" s="42">
        <v>83</v>
      </c>
      <c r="F664" s="42">
        <v>129</v>
      </c>
      <c r="G664" s="42" t="s">
        <v>968</v>
      </c>
      <c r="O664" s="6"/>
      <c r="P664" s="6"/>
      <c r="Q664"/>
      <c r="R664"/>
    </row>
    <row r="665" spans="1:18" x14ac:dyDescent="0.3">
      <c r="A665" t="s">
        <v>591</v>
      </c>
      <c r="B665" t="s">
        <v>368</v>
      </c>
      <c r="D665" s="42" t="s">
        <v>966</v>
      </c>
      <c r="E665" s="42">
        <v>73</v>
      </c>
      <c r="F665" s="42">
        <v>194</v>
      </c>
      <c r="G665" s="42" t="s">
        <v>968</v>
      </c>
      <c r="O665" s="6"/>
      <c r="P665" s="6"/>
      <c r="Q665"/>
      <c r="R665"/>
    </row>
    <row r="666" spans="1:18" x14ac:dyDescent="0.3">
      <c r="A666" t="s">
        <v>367</v>
      </c>
      <c r="B666" t="s">
        <v>368</v>
      </c>
      <c r="D666" s="42" t="s">
        <v>967</v>
      </c>
      <c r="E666" s="42">
        <v>95</v>
      </c>
      <c r="F666" s="42">
        <v>89</v>
      </c>
      <c r="G666" s="42" t="s">
        <v>968</v>
      </c>
      <c r="O666" s="6"/>
      <c r="P666" s="6"/>
      <c r="Q666"/>
      <c r="R666"/>
    </row>
    <row r="667" spans="1:18" x14ac:dyDescent="0.3">
      <c r="A667" t="s">
        <v>592</v>
      </c>
      <c r="B667" t="s">
        <v>368</v>
      </c>
      <c r="D667" s="42" t="s">
        <v>911</v>
      </c>
      <c r="E667" s="42">
        <v>0</v>
      </c>
      <c r="F667" s="42">
        <v>163</v>
      </c>
      <c r="G667" s="42" t="s">
        <v>852</v>
      </c>
      <c r="O667" s="6"/>
      <c r="P667" s="6"/>
      <c r="Q667"/>
      <c r="R667"/>
    </row>
    <row r="668" spans="1:18" x14ac:dyDescent="0.3">
      <c r="A668" t="s">
        <v>593</v>
      </c>
      <c r="B668" t="s">
        <v>368</v>
      </c>
      <c r="D668" s="42" t="s">
        <v>912</v>
      </c>
      <c r="E668" s="42">
        <v>0</v>
      </c>
      <c r="F668" s="42">
        <v>68</v>
      </c>
      <c r="G668" s="42" t="s">
        <v>852</v>
      </c>
      <c r="O668" s="6"/>
      <c r="P668" s="6"/>
      <c r="Q668"/>
      <c r="R668"/>
    </row>
    <row r="669" spans="1:18" x14ac:dyDescent="0.3">
      <c r="A669" t="s">
        <v>594</v>
      </c>
      <c r="B669" t="s">
        <v>368</v>
      </c>
      <c r="D669" s="42" t="s">
        <v>849</v>
      </c>
      <c r="E669" s="42">
        <v>0</v>
      </c>
      <c r="F669" s="42">
        <v>140</v>
      </c>
      <c r="G669" s="42" t="s">
        <v>914</v>
      </c>
      <c r="O669" s="6"/>
      <c r="P669" s="6"/>
      <c r="Q669"/>
      <c r="R669"/>
    </row>
    <row r="670" spans="1:18" x14ac:dyDescent="0.3">
      <c r="A670" t="s">
        <v>595</v>
      </c>
      <c r="B670" t="s">
        <v>368</v>
      </c>
      <c r="D670" s="42" t="s">
        <v>850</v>
      </c>
      <c r="E670" s="42">
        <v>0</v>
      </c>
      <c r="F670" s="42">
        <v>68</v>
      </c>
      <c r="G670" s="42" t="s">
        <v>914</v>
      </c>
      <c r="O670" s="6"/>
      <c r="P670" s="6"/>
      <c r="Q670"/>
      <c r="R670"/>
    </row>
    <row r="671" spans="1:18" x14ac:dyDescent="0.3">
      <c r="A671" t="s">
        <v>596</v>
      </c>
      <c r="B671" t="s">
        <v>368</v>
      </c>
      <c r="D671" s="42" t="s">
        <v>939</v>
      </c>
      <c r="E671" s="42">
        <v>0</v>
      </c>
      <c r="F671" s="42">
        <v>129</v>
      </c>
      <c r="G671" s="42" t="s">
        <v>940</v>
      </c>
      <c r="O671" s="6"/>
      <c r="P671" s="6"/>
      <c r="Q671"/>
      <c r="R671"/>
    </row>
    <row r="672" spans="1:18" x14ac:dyDescent="0.3">
      <c r="A672" t="s">
        <v>597</v>
      </c>
      <c r="B672" t="s">
        <v>368</v>
      </c>
      <c r="D672" s="42" t="s">
        <v>955</v>
      </c>
      <c r="E672" s="42">
        <v>0</v>
      </c>
      <c r="F672" s="42">
        <v>141</v>
      </c>
      <c r="G672" s="42" t="s">
        <v>956</v>
      </c>
      <c r="O672" s="6"/>
      <c r="P672" s="6"/>
      <c r="Q672"/>
      <c r="R672"/>
    </row>
    <row r="673" spans="1:18" x14ac:dyDescent="0.3">
      <c r="A673" t="s">
        <v>598</v>
      </c>
      <c r="B673" t="s">
        <v>368</v>
      </c>
      <c r="D673" s="42" t="s">
        <v>520</v>
      </c>
      <c r="E673" s="42">
        <v>67</v>
      </c>
      <c r="F673" s="42">
        <v>156</v>
      </c>
      <c r="G673" s="42" t="s">
        <v>764</v>
      </c>
      <c r="O673" s="6"/>
      <c r="P673" s="6"/>
      <c r="Q673"/>
      <c r="R673"/>
    </row>
    <row r="674" spans="1:18" x14ac:dyDescent="0.3">
      <c r="A674" t="s">
        <v>599</v>
      </c>
      <c r="B674" t="s">
        <v>368</v>
      </c>
      <c r="D674" s="42" t="s">
        <v>913</v>
      </c>
      <c r="E674" s="42">
        <v>20</v>
      </c>
      <c r="F674" s="42">
        <v>200</v>
      </c>
      <c r="G674" s="42" t="s">
        <v>764</v>
      </c>
      <c r="O674" s="6"/>
      <c r="P674" s="6"/>
      <c r="Q674"/>
      <c r="R674"/>
    </row>
    <row r="675" spans="1:18" x14ac:dyDescent="0.3">
      <c r="A675" t="s">
        <v>600</v>
      </c>
      <c r="B675" t="s">
        <v>368</v>
      </c>
      <c r="D675" s="42" t="s">
        <v>851</v>
      </c>
      <c r="E675" s="42">
        <v>32</v>
      </c>
      <c r="F675" s="42">
        <v>188</v>
      </c>
      <c r="G675" s="42" t="s">
        <v>914</v>
      </c>
      <c r="O675" s="6"/>
      <c r="P675" s="6"/>
      <c r="Q675"/>
      <c r="R675"/>
    </row>
    <row r="676" spans="1:18" x14ac:dyDescent="0.3">
      <c r="A676" t="s">
        <v>601</v>
      </c>
      <c r="B676" t="s">
        <v>368</v>
      </c>
      <c r="D676" s="42">
        <v>22</v>
      </c>
      <c r="E676" s="42">
        <v>22</v>
      </c>
      <c r="F676" s="42">
        <v>188</v>
      </c>
      <c r="G676" s="42" t="s">
        <v>656</v>
      </c>
      <c r="O676" s="6"/>
      <c r="P676" s="6"/>
      <c r="Q676"/>
      <c r="R676"/>
    </row>
    <row r="677" spans="1:18" x14ac:dyDescent="0.3">
      <c r="A677" t="s">
        <v>397</v>
      </c>
      <c r="B677" t="s">
        <v>368</v>
      </c>
      <c r="D677" s="42">
        <v>33</v>
      </c>
      <c r="E677" s="42">
        <v>33</v>
      </c>
      <c r="F677" s="42">
        <v>178</v>
      </c>
      <c r="G677" s="42" t="s">
        <v>656</v>
      </c>
      <c r="O677" s="6"/>
      <c r="P677" s="6"/>
      <c r="Q677"/>
      <c r="R677"/>
    </row>
    <row r="678" spans="1:18" x14ac:dyDescent="0.3">
      <c r="A678" t="s">
        <v>398</v>
      </c>
      <c r="B678" t="s">
        <v>368</v>
      </c>
      <c r="D678" s="42" t="s">
        <v>977</v>
      </c>
      <c r="E678" s="42">
        <v>78</v>
      </c>
      <c r="F678" s="42">
        <v>89</v>
      </c>
      <c r="G678" s="42" t="s">
        <v>764</v>
      </c>
      <c r="O678" s="6"/>
      <c r="P678" s="6"/>
      <c r="Q678"/>
      <c r="R678"/>
    </row>
    <row r="679" spans="1:18" x14ac:dyDescent="0.3">
      <c r="A679" t="s">
        <v>602</v>
      </c>
      <c r="B679" t="s">
        <v>368</v>
      </c>
      <c r="D679" s="42" t="s">
        <v>979</v>
      </c>
      <c r="E679" s="42">
        <v>83</v>
      </c>
      <c r="F679" s="42">
        <v>91</v>
      </c>
      <c r="G679" s="42" t="s">
        <v>764</v>
      </c>
      <c r="O679" s="6"/>
      <c r="P679" s="6"/>
      <c r="Q679"/>
      <c r="R679"/>
    </row>
    <row r="680" spans="1:18" x14ac:dyDescent="0.3">
      <c r="A680" t="s">
        <v>603</v>
      </c>
      <c r="B680" t="s">
        <v>368</v>
      </c>
      <c r="D680" s="42" t="s">
        <v>980</v>
      </c>
      <c r="E680" s="42">
        <v>42</v>
      </c>
      <c r="F680" s="42">
        <v>71</v>
      </c>
      <c r="G680" s="42" t="s">
        <v>914</v>
      </c>
      <c r="O680" s="6"/>
      <c r="P680" s="6"/>
      <c r="Q680"/>
      <c r="R680"/>
    </row>
    <row r="681" spans="1:18" x14ac:dyDescent="0.3">
      <c r="A681" t="s">
        <v>604</v>
      </c>
      <c r="B681" t="s">
        <v>368</v>
      </c>
      <c r="D681" s="42" t="s">
        <v>587</v>
      </c>
      <c r="E681" s="42">
        <v>23</v>
      </c>
      <c r="F681" s="42">
        <v>68</v>
      </c>
      <c r="G681" s="42" t="s">
        <v>914</v>
      </c>
      <c r="O681" s="6"/>
      <c r="P681" s="6"/>
      <c r="Q681"/>
      <c r="R681"/>
    </row>
    <row r="682" spans="1:18" x14ac:dyDescent="0.3">
      <c r="A682" t="s">
        <v>605</v>
      </c>
      <c r="B682" t="s">
        <v>368</v>
      </c>
      <c r="D682" s="42" t="s">
        <v>544</v>
      </c>
      <c r="E682" s="42">
        <v>60</v>
      </c>
      <c r="F682" s="42">
        <v>125</v>
      </c>
      <c r="G682" s="42" t="s">
        <v>914</v>
      </c>
      <c r="O682" s="6"/>
      <c r="P682" s="6"/>
      <c r="Q682"/>
      <c r="R682"/>
    </row>
    <row r="683" spans="1:18" x14ac:dyDescent="0.3">
      <c r="A683" t="s">
        <v>606</v>
      </c>
      <c r="B683" t="s">
        <v>368</v>
      </c>
      <c r="D683" s="42" t="s">
        <v>512</v>
      </c>
      <c r="E683" s="42">
        <v>53</v>
      </c>
      <c r="F683" s="42">
        <v>151</v>
      </c>
      <c r="G683" s="42" t="s">
        <v>914</v>
      </c>
      <c r="O683" s="6"/>
      <c r="P683" s="6"/>
      <c r="Q683"/>
      <c r="R683"/>
    </row>
    <row r="684" spans="1:18" x14ac:dyDescent="0.3">
      <c r="A684" t="s">
        <v>620</v>
      </c>
      <c r="B684" t="s">
        <v>368</v>
      </c>
      <c r="D684" s="42" t="s">
        <v>484</v>
      </c>
      <c r="E684" s="42">
        <v>40</v>
      </c>
      <c r="F684" s="42">
        <v>189</v>
      </c>
      <c r="G684" s="42" t="s">
        <v>914</v>
      </c>
      <c r="O684" s="6"/>
      <c r="P684" s="6"/>
      <c r="Q684"/>
      <c r="R684"/>
    </row>
    <row r="685" spans="1:18" x14ac:dyDescent="0.3">
      <c r="A685" t="s">
        <v>624</v>
      </c>
      <c r="B685" t="s">
        <v>368</v>
      </c>
      <c r="D685" s="42" t="s">
        <v>483</v>
      </c>
      <c r="E685" s="42">
        <v>87</v>
      </c>
      <c r="F685" s="42">
        <v>183</v>
      </c>
      <c r="G685" s="42" t="s">
        <v>914</v>
      </c>
      <c r="O685" s="6"/>
      <c r="P685" s="6"/>
      <c r="Q685"/>
      <c r="R685"/>
    </row>
    <row r="686" spans="1:18" x14ac:dyDescent="0.3">
      <c r="A686" t="s">
        <v>630</v>
      </c>
      <c r="B686" t="s">
        <v>368</v>
      </c>
      <c r="D686" s="42" t="s">
        <v>522</v>
      </c>
      <c r="E686" s="42">
        <v>70</v>
      </c>
      <c r="F686" s="42">
        <v>169</v>
      </c>
      <c r="G686" s="42" t="s">
        <v>852</v>
      </c>
      <c r="O686" s="6"/>
      <c r="P686" s="6"/>
      <c r="Q686"/>
      <c r="R686"/>
    </row>
    <row r="687" spans="1:18" x14ac:dyDescent="0.3">
      <c r="A687" t="s">
        <v>679</v>
      </c>
      <c r="B687" t="s">
        <v>368</v>
      </c>
      <c r="D687" s="42" t="s">
        <v>432</v>
      </c>
      <c r="E687" s="42">
        <v>32</v>
      </c>
      <c r="F687" s="42">
        <v>184</v>
      </c>
      <c r="G687" s="42" t="s">
        <v>852</v>
      </c>
      <c r="O687" s="6"/>
      <c r="P687" s="6"/>
      <c r="Q687"/>
      <c r="R687"/>
    </row>
    <row r="688" spans="1:18" x14ac:dyDescent="0.3">
      <c r="A688" t="s">
        <v>363</v>
      </c>
      <c r="B688" t="s">
        <v>364</v>
      </c>
      <c r="D688" s="42" t="s">
        <v>486</v>
      </c>
      <c r="E688" s="42">
        <v>89</v>
      </c>
      <c r="F688" s="42">
        <v>197</v>
      </c>
      <c r="G688" s="42" t="s">
        <v>764</v>
      </c>
      <c r="O688" s="6"/>
      <c r="P688" s="6"/>
      <c r="Q688"/>
      <c r="R688"/>
    </row>
    <row r="689" spans="1:18" x14ac:dyDescent="0.3">
      <c r="A689" t="s">
        <v>365</v>
      </c>
      <c r="B689" t="s">
        <v>364</v>
      </c>
      <c r="D689" s="42" t="s">
        <v>485</v>
      </c>
      <c r="E689" s="42">
        <v>77</v>
      </c>
      <c r="F689" s="42">
        <v>199</v>
      </c>
      <c r="G689" s="42" t="s">
        <v>764</v>
      </c>
      <c r="O689" s="6"/>
      <c r="P689" s="6"/>
      <c r="Q689"/>
      <c r="R689"/>
    </row>
    <row r="690" spans="1:18" x14ac:dyDescent="0.3">
      <c r="A690" t="s">
        <v>366</v>
      </c>
      <c r="B690" t="s">
        <v>364</v>
      </c>
      <c r="D690" s="42" t="s">
        <v>523</v>
      </c>
      <c r="E690" s="42">
        <v>24</v>
      </c>
      <c r="F690" s="42">
        <v>168</v>
      </c>
      <c r="G690" s="42" t="s">
        <v>852</v>
      </c>
      <c r="O690" s="6"/>
      <c r="P690" s="6"/>
      <c r="Q690"/>
      <c r="R690"/>
    </row>
    <row r="691" spans="1:18" x14ac:dyDescent="0.3">
      <c r="A691" t="s">
        <v>369</v>
      </c>
      <c r="B691" t="s">
        <v>364</v>
      </c>
      <c r="D691" s="42" t="s">
        <v>524</v>
      </c>
      <c r="E691" s="42">
        <v>45</v>
      </c>
      <c r="F691" s="42">
        <v>166</v>
      </c>
      <c r="G691" s="42" t="s">
        <v>852</v>
      </c>
      <c r="O691" s="6"/>
      <c r="P691" s="6"/>
      <c r="Q691"/>
      <c r="R691"/>
    </row>
    <row r="692" spans="1:18" x14ac:dyDescent="0.3">
      <c r="A692" t="s">
        <v>607</v>
      </c>
      <c r="B692" t="s">
        <v>364</v>
      </c>
      <c r="D692" s="42" t="s">
        <v>613</v>
      </c>
      <c r="E692" s="42">
        <v>82</v>
      </c>
      <c r="F692" s="42">
        <v>86</v>
      </c>
      <c r="G692" s="42" t="s">
        <v>764</v>
      </c>
      <c r="O692" s="6"/>
      <c r="P692" s="6"/>
      <c r="Q692"/>
      <c r="R692"/>
    </row>
    <row r="693" spans="1:18" x14ac:dyDescent="0.3">
      <c r="A693" t="s">
        <v>131</v>
      </c>
      <c r="B693" t="s">
        <v>364</v>
      </c>
      <c r="D693" s="42" t="s">
        <v>686</v>
      </c>
      <c r="E693" s="42">
        <v>90</v>
      </c>
      <c r="F693" s="42">
        <v>100</v>
      </c>
      <c r="G693" s="42" t="s">
        <v>852</v>
      </c>
      <c r="O693" s="6"/>
      <c r="P693" s="6"/>
      <c r="Q693"/>
      <c r="R693"/>
    </row>
    <row r="694" spans="1:18" x14ac:dyDescent="0.3">
      <c r="A694" t="s">
        <v>608</v>
      </c>
      <c r="B694" t="s">
        <v>364</v>
      </c>
      <c r="D694" s="42" t="s">
        <v>627</v>
      </c>
      <c r="E694" s="42">
        <v>66</v>
      </c>
      <c r="F694" s="42">
        <v>160</v>
      </c>
      <c r="G694" s="42" t="s">
        <v>1009</v>
      </c>
      <c r="O694" s="6"/>
      <c r="P694" s="6"/>
      <c r="Q694"/>
      <c r="R694"/>
    </row>
    <row r="695" spans="1:18" x14ac:dyDescent="0.3">
      <c r="A695" t="s">
        <v>609</v>
      </c>
      <c r="B695" t="s">
        <v>364</v>
      </c>
      <c r="D695" s="42" t="s">
        <v>626</v>
      </c>
      <c r="E695" s="42">
        <v>52</v>
      </c>
      <c r="F695" s="42">
        <v>202</v>
      </c>
      <c r="G695" s="42" t="s">
        <v>1009</v>
      </c>
      <c r="O695" s="6"/>
      <c r="P695" s="6"/>
      <c r="Q695"/>
      <c r="R695"/>
    </row>
    <row r="696" spans="1:18" x14ac:dyDescent="0.3">
      <c r="A696" t="s">
        <v>610</v>
      </c>
      <c r="B696" t="s">
        <v>364</v>
      </c>
      <c r="D696" s="42" t="s">
        <v>625</v>
      </c>
      <c r="E696" s="42">
        <v>90</v>
      </c>
      <c r="F696" s="42">
        <v>131</v>
      </c>
      <c r="G696" s="42" t="s">
        <v>1009</v>
      </c>
      <c r="O696" s="6"/>
      <c r="P696" s="6"/>
      <c r="Q696"/>
      <c r="R696"/>
    </row>
    <row r="697" spans="1:18" x14ac:dyDescent="0.3">
      <c r="A697" t="s">
        <v>396</v>
      </c>
      <c r="B697" t="s">
        <v>364</v>
      </c>
      <c r="D697" s="42" t="s">
        <v>630</v>
      </c>
      <c r="E697" s="42">
        <v>43</v>
      </c>
      <c r="F697" s="42">
        <v>82</v>
      </c>
      <c r="G697" s="42" t="s">
        <v>1009</v>
      </c>
      <c r="O697" s="6"/>
      <c r="P697" s="6"/>
      <c r="Q697"/>
      <c r="R697"/>
    </row>
    <row r="698" spans="1:18" x14ac:dyDescent="0.3">
      <c r="A698" t="s">
        <v>611</v>
      </c>
      <c r="B698" t="s">
        <v>364</v>
      </c>
      <c r="D698" s="42" t="s">
        <v>611</v>
      </c>
      <c r="E698" s="42">
        <v>42</v>
      </c>
      <c r="F698" s="42">
        <v>89</v>
      </c>
      <c r="G698" s="42" t="s">
        <v>914</v>
      </c>
      <c r="O698" s="6"/>
      <c r="P698" s="6"/>
      <c r="Q698"/>
      <c r="R698"/>
    </row>
    <row r="699" spans="1:18" x14ac:dyDescent="0.3">
      <c r="A699" t="s">
        <v>612</v>
      </c>
      <c r="B699" t="s">
        <v>364</v>
      </c>
      <c r="D699" s="42" t="s">
        <v>628</v>
      </c>
      <c r="E699" s="42">
        <v>69</v>
      </c>
      <c r="F699" s="42">
        <v>77</v>
      </c>
      <c r="G699" s="42" t="s">
        <v>1009</v>
      </c>
      <c r="O699" s="6"/>
      <c r="P699" s="6"/>
      <c r="Q699"/>
      <c r="R699"/>
    </row>
    <row r="700" spans="1:18" x14ac:dyDescent="0.3">
      <c r="A700" t="s">
        <v>613</v>
      </c>
      <c r="B700" t="s">
        <v>364</v>
      </c>
      <c r="D700" s="42" t="s">
        <v>629</v>
      </c>
      <c r="E700" s="42">
        <v>96</v>
      </c>
      <c r="F700" s="42">
        <v>77</v>
      </c>
      <c r="G700" s="42" t="s">
        <v>1009</v>
      </c>
      <c r="O700" s="6"/>
      <c r="P700" s="6"/>
      <c r="Q700"/>
      <c r="R700"/>
    </row>
    <row r="701" spans="1:18" x14ac:dyDescent="0.3">
      <c r="A701" t="s">
        <v>676</v>
      </c>
      <c r="B701" t="s">
        <v>364</v>
      </c>
      <c r="D701" s="42" t="s">
        <v>521</v>
      </c>
      <c r="E701" s="42">
        <v>67</v>
      </c>
      <c r="F701" s="42"/>
      <c r="G701" s="42" t="s">
        <v>764</v>
      </c>
      <c r="O701" s="6"/>
      <c r="P701" s="6"/>
      <c r="Q701"/>
      <c r="R701"/>
    </row>
    <row r="702" spans="1:18" x14ac:dyDescent="0.3">
      <c r="A702" t="s">
        <v>677</v>
      </c>
      <c r="B702" t="s">
        <v>364</v>
      </c>
      <c r="D702" s="42" t="s">
        <v>482</v>
      </c>
      <c r="E702" s="42">
        <v>75</v>
      </c>
      <c r="F702" s="42"/>
      <c r="G702" s="42" t="s">
        <v>764</v>
      </c>
      <c r="O702" s="6"/>
      <c r="P702" s="6"/>
      <c r="Q702"/>
      <c r="R702"/>
    </row>
    <row r="703" spans="1:18" x14ac:dyDescent="0.3">
      <c r="A703" t="s">
        <v>678</v>
      </c>
      <c r="B703" t="s">
        <v>364</v>
      </c>
      <c r="D703" s="42" t="s">
        <v>460</v>
      </c>
      <c r="E703" s="42">
        <v>35</v>
      </c>
      <c r="F703" s="42"/>
      <c r="G703" s="42" t="s">
        <v>914</v>
      </c>
      <c r="O703" s="6"/>
      <c r="P703" s="6"/>
      <c r="Q703"/>
      <c r="R703"/>
    </row>
    <row r="704" spans="1:18" x14ac:dyDescent="0.3">
      <c r="A704" t="s">
        <v>680</v>
      </c>
      <c r="B704" t="s">
        <v>364</v>
      </c>
      <c r="D704" s="42" t="s">
        <v>1012</v>
      </c>
      <c r="E704" s="42">
        <v>44</v>
      </c>
      <c r="F704" s="42">
        <v>175</v>
      </c>
      <c r="G704" s="42" t="s">
        <v>940</v>
      </c>
      <c r="O704" s="6"/>
      <c r="P704" s="6"/>
      <c r="Q704"/>
      <c r="R704"/>
    </row>
    <row r="705" spans="1:18" x14ac:dyDescent="0.3">
      <c r="A705" t="s">
        <v>681</v>
      </c>
      <c r="B705" t="s">
        <v>364</v>
      </c>
      <c r="D705" s="42" t="s">
        <v>1013</v>
      </c>
      <c r="E705" s="42">
        <v>24</v>
      </c>
      <c r="F705" s="42">
        <v>191</v>
      </c>
      <c r="G705" s="42" t="s">
        <v>852</v>
      </c>
      <c r="O705" s="6"/>
      <c r="P705" s="6"/>
      <c r="Q705"/>
      <c r="R705"/>
    </row>
    <row r="706" spans="1:18" x14ac:dyDescent="0.3">
      <c r="A706" t="s">
        <v>682</v>
      </c>
      <c r="B706" t="s">
        <v>368</v>
      </c>
      <c r="D706" s="42" t="s">
        <v>1014</v>
      </c>
      <c r="E706" s="42">
        <v>40</v>
      </c>
      <c r="F706" s="42">
        <v>197</v>
      </c>
      <c r="G706" s="42" t="s">
        <v>852</v>
      </c>
      <c r="O706" s="6"/>
      <c r="P706" s="6"/>
      <c r="Q706"/>
      <c r="R706"/>
    </row>
    <row r="707" spans="1:18" x14ac:dyDescent="0.3">
      <c r="A707" t="s">
        <v>683</v>
      </c>
      <c r="B707" t="s">
        <v>368</v>
      </c>
      <c r="D707" s="42" t="s">
        <v>1140</v>
      </c>
      <c r="E707" s="42"/>
      <c r="F707" s="42"/>
      <c r="G707" s="42"/>
      <c r="O707" s="6"/>
      <c r="P707" s="6"/>
      <c r="Q707"/>
      <c r="R707"/>
    </row>
    <row r="708" spans="1:18" x14ac:dyDescent="0.3">
      <c r="A708" t="s">
        <v>628</v>
      </c>
      <c r="B708" t="s">
        <v>364</v>
      </c>
      <c r="D708" s="42"/>
      <c r="E708" s="42"/>
      <c r="F708" s="42"/>
      <c r="G708" s="42"/>
      <c r="O708" s="6"/>
      <c r="P708" s="6"/>
      <c r="Q708"/>
      <c r="R708"/>
    </row>
    <row r="709" spans="1:18" x14ac:dyDescent="0.3">
      <c r="A709" t="s">
        <v>629</v>
      </c>
      <c r="B709" t="s">
        <v>364</v>
      </c>
      <c r="O709" s="6"/>
      <c r="P709" s="6"/>
      <c r="Q709"/>
      <c r="R709"/>
    </row>
    <row r="710" spans="1:18" x14ac:dyDescent="0.3">
      <c r="A710" t="s">
        <v>525</v>
      </c>
      <c r="B710" t="s">
        <v>184</v>
      </c>
    </row>
    <row r="711" spans="1:18" x14ac:dyDescent="0.3">
      <c r="A711" t="s">
        <v>526</v>
      </c>
      <c r="B711" t="s">
        <v>184</v>
      </c>
    </row>
    <row r="712" spans="1:18" x14ac:dyDescent="0.3">
      <c r="A712" t="s">
        <v>527</v>
      </c>
      <c r="B712" t="s">
        <v>184</v>
      </c>
    </row>
    <row r="713" spans="1:18" x14ac:dyDescent="0.3">
      <c r="A713" t="s">
        <v>528</v>
      </c>
      <c r="B713" t="s">
        <v>184</v>
      </c>
    </row>
    <row r="714" spans="1:18" x14ac:dyDescent="0.3">
      <c r="A714" t="s">
        <v>529</v>
      </c>
      <c r="B714" t="s">
        <v>184</v>
      </c>
    </row>
    <row r="715" spans="1:18" x14ac:dyDescent="0.3">
      <c r="A715" t="s">
        <v>359</v>
      </c>
      <c r="B715" t="s">
        <v>184</v>
      </c>
    </row>
    <row r="716" spans="1:18" x14ac:dyDescent="0.3">
      <c r="A716" t="s">
        <v>530</v>
      </c>
      <c r="B716" t="s">
        <v>184</v>
      </c>
    </row>
    <row r="717" spans="1:18" x14ac:dyDescent="0.3">
      <c r="A717" t="s">
        <v>531</v>
      </c>
      <c r="B717" t="s">
        <v>184</v>
      </c>
    </row>
    <row r="718" spans="1:18" x14ac:dyDescent="0.3">
      <c r="A718" t="s">
        <v>532</v>
      </c>
      <c r="B718" t="s">
        <v>184</v>
      </c>
    </row>
    <row r="719" spans="1:18" x14ac:dyDescent="0.3">
      <c r="A719" t="s">
        <v>533</v>
      </c>
      <c r="B719" t="s">
        <v>184</v>
      </c>
    </row>
    <row r="720" spans="1:18" x14ac:dyDescent="0.3">
      <c r="A720" t="s">
        <v>534</v>
      </c>
      <c r="B720" t="s">
        <v>184</v>
      </c>
    </row>
    <row r="721" spans="1:2" x14ac:dyDescent="0.3">
      <c r="A721" t="s">
        <v>535</v>
      </c>
      <c r="B721" t="s">
        <v>184</v>
      </c>
    </row>
    <row r="722" spans="1:2" x14ac:dyDescent="0.3">
      <c r="A722" t="s">
        <v>536</v>
      </c>
      <c r="B722" t="s">
        <v>184</v>
      </c>
    </row>
    <row r="723" spans="1:2" x14ac:dyDescent="0.3">
      <c r="A723" t="s">
        <v>537</v>
      </c>
      <c r="B723" t="s">
        <v>184</v>
      </c>
    </row>
    <row r="724" spans="1:2" x14ac:dyDescent="0.3">
      <c r="A724" t="s">
        <v>381</v>
      </c>
      <c r="B724" t="s">
        <v>184</v>
      </c>
    </row>
    <row r="725" spans="1:2" x14ac:dyDescent="0.3">
      <c r="A725" t="s">
        <v>538</v>
      </c>
      <c r="B725" t="s">
        <v>184</v>
      </c>
    </row>
    <row r="726" spans="1:2" x14ac:dyDescent="0.3">
      <c r="A726" t="s">
        <v>539</v>
      </c>
      <c r="B726" t="s">
        <v>184</v>
      </c>
    </row>
    <row r="727" spans="1:2" x14ac:dyDescent="0.3">
      <c r="A727" t="s">
        <v>382</v>
      </c>
      <c r="B727" t="s">
        <v>184</v>
      </c>
    </row>
    <row r="728" spans="1:2" x14ac:dyDescent="0.3">
      <c r="A728" t="s">
        <v>383</v>
      </c>
      <c r="B728" t="s">
        <v>184</v>
      </c>
    </row>
    <row r="729" spans="1:2" x14ac:dyDescent="0.3">
      <c r="A729" t="s">
        <v>390</v>
      </c>
      <c r="B729" t="s">
        <v>184</v>
      </c>
    </row>
    <row r="730" spans="1:2" x14ac:dyDescent="0.3">
      <c r="A730" t="s">
        <v>391</v>
      </c>
      <c r="B730" t="s">
        <v>184</v>
      </c>
    </row>
    <row r="731" spans="1:2" x14ac:dyDescent="0.3">
      <c r="A731" t="s">
        <v>540</v>
      </c>
      <c r="B731" t="s">
        <v>184</v>
      </c>
    </row>
    <row r="732" spans="1:2" x14ac:dyDescent="0.3">
      <c r="A732" t="s">
        <v>541</v>
      </c>
      <c r="B732" t="s">
        <v>184</v>
      </c>
    </row>
    <row r="733" spans="1:2" x14ac:dyDescent="0.3">
      <c r="A733" t="s">
        <v>542</v>
      </c>
      <c r="B733" t="s">
        <v>184</v>
      </c>
    </row>
    <row r="734" spans="1:2" x14ac:dyDescent="0.3">
      <c r="A734" t="s">
        <v>543</v>
      </c>
      <c r="B734" t="s">
        <v>184</v>
      </c>
    </row>
    <row r="735" spans="1:2" x14ac:dyDescent="0.3">
      <c r="A735" t="s">
        <v>544</v>
      </c>
      <c r="B735" t="s">
        <v>184</v>
      </c>
    </row>
    <row r="736" spans="1:2" x14ac:dyDescent="0.3">
      <c r="A736" t="s">
        <v>545</v>
      </c>
      <c r="B736" t="s">
        <v>184</v>
      </c>
    </row>
    <row r="737" spans="1:2" x14ac:dyDescent="0.3">
      <c r="A737" t="s">
        <v>546</v>
      </c>
      <c r="B737" t="s">
        <v>184</v>
      </c>
    </row>
    <row r="738" spans="1:2" x14ac:dyDescent="0.3">
      <c r="A738" t="s">
        <v>547</v>
      </c>
      <c r="B738" t="s">
        <v>184</v>
      </c>
    </row>
    <row r="739" spans="1:2" x14ac:dyDescent="0.3">
      <c r="A739" t="s">
        <v>548</v>
      </c>
      <c r="B739" t="s">
        <v>184</v>
      </c>
    </row>
    <row r="740" spans="1:2" x14ac:dyDescent="0.3">
      <c r="A740" t="s">
        <v>549</v>
      </c>
      <c r="B740" t="s">
        <v>184</v>
      </c>
    </row>
    <row r="741" spans="1:2" x14ac:dyDescent="0.3">
      <c r="A741" t="s">
        <v>550</v>
      </c>
      <c r="B741" t="s">
        <v>184</v>
      </c>
    </row>
    <row r="742" spans="1:2" x14ac:dyDescent="0.3">
      <c r="A742" t="s">
        <v>551</v>
      </c>
      <c r="B742" t="s">
        <v>184</v>
      </c>
    </row>
    <row r="743" spans="1:2" x14ac:dyDescent="0.3">
      <c r="A743" t="s">
        <v>552</v>
      </c>
      <c r="B743" t="s">
        <v>184</v>
      </c>
    </row>
    <row r="744" spans="1:2" x14ac:dyDescent="0.3">
      <c r="A744" t="s">
        <v>553</v>
      </c>
      <c r="B744" t="s">
        <v>184</v>
      </c>
    </row>
    <row r="745" spans="1:2" x14ac:dyDescent="0.3">
      <c r="A745" t="s">
        <v>554</v>
      </c>
      <c r="B745" t="s">
        <v>184</v>
      </c>
    </row>
    <row r="746" spans="1:2" x14ac:dyDescent="0.3">
      <c r="A746" t="s">
        <v>691</v>
      </c>
      <c r="B746" t="s">
        <v>184</v>
      </c>
    </row>
    <row r="747" spans="1:2" x14ac:dyDescent="0.3">
      <c r="A747" t="s">
        <v>692</v>
      </c>
      <c r="B747" t="s">
        <v>184</v>
      </c>
    </row>
    <row r="748" spans="1:2" x14ac:dyDescent="0.3">
      <c r="A748" t="s">
        <v>693</v>
      </c>
      <c r="B748" t="s">
        <v>184</v>
      </c>
    </row>
    <row r="749" spans="1:2" x14ac:dyDescent="0.3">
      <c r="A749" t="s">
        <v>694</v>
      </c>
      <c r="B749" t="s">
        <v>184</v>
      </c>
    </row>
    <row r="750" spans="1:2" x14ac:dyDescent="0.3">
      <c r="A750" t="s">
        <v>695</v>
      </c>
      <c r="B750" t="s">
        <v>184</v>
      </c>
    </row>
    <row r="751" spans="1:2" x14ac:dyDescent="0.3">
      <c r="A751" t="s">
        <v>696</v>
      </c>
      <c r="B751" t="s">
        <v>184</v>
      </c>
    </row>
    <row r="752" spans="1:2" x14ac:dyDescent="0.3">
      <c r="A752" t="s">
        <v>618</v>
      </c>
      <c r="B752" t="s">
        <v>184</v>
      </c>
    </row>
    <row r="753" spans="1:2" x14ac:dyDescent="0.3">
      <c r="A753" t="s">
        <v>622</v>
      </c>
      <c r="B753" t="s">
        <v>184</v>
      </c>
    </row>
    <row r="754" spans="1:2" x14ac:dyDescent="0.3">
      <c r="A754" t="s">
        <v>625</v>
      </c>
      <c r="B754" t="s">
        <v>184</v>
      </c>
    </row>
    <row r="755" spans="1:2" x14ac:dyDescent="0.3">
      <c r="A755" t="s">
        <v>633</v>
      </c>
      <c r="B755" t="s">
        <v>184</v>
      </c>
    </row>
    <row r="756" spans="1:2" x14ac:dyDescent="0.3">
      <c r="A756" t="s">
        <v>635</v>
      </c>
      <c r="B756" t="s">
        <v>184</v>
      </c>
    </row>
    <row r="757" spans="1:2" x14ac:dyDescent="0.3">
      <c r="A757" t="s">
        <v>636</v>
      </c>
      <c r="B757" t="s">
        <v>184</v>
      </c>
    </row>
    <row r="758" spans="1:2" x14ac:dyDescent="0.3">
      <c r="A758" t="s">
        <v>702</v>
      </c>
      <c r="B758" t="s">
        <v>184</v>
      </c>
    </row>
    <row r="759" spans="1:2" x14ac:dyDescent="0.3">
      <c r="A759" t="s">
        <v>977</v>
      </c>
      <c r="B759" t="s">
        <v>364</v>
      </c>
    </row>
    <row r="760" spans="1:2" x14ac:dyDescent="0.3">
      <c r="A760" t="s">
        <v>978</v>
      </c>
      <c r="B760" t="s">
        <v>368</v>
      </c>
    </row>
    <row r="761" spans="1:2" x14ac:dyDescent="0.3">
      <c r="A761" t="s">
        <v>1012</v>
      </c>
      <c r="B761" t="s">
        <v>157</v>
      </c>
    </row>
    <row r="762" spans="1:2" x14ac:dyDescent="0.3">
      <c r="A762" t="s">
        <v>1013</v>
      </c>
      <c r="B762" t="s">
        <v>157</v>
      </c>
    </row>
    <row r="763" spans="1:2" x14ac:dyDescent="0.3">
      <c r="A763" t="s">
        <v>1014</v>
      </c>
      <c r="B763" t="s">
        <v>157</v>
      </c>
    </row>
    <row r="764" spans="1:2" x14ac:dyDescent="0.3">
      <c r="A764" t="s">
        <v>1074</v>
      </c>
      <c r="B764" t="s">
        <v>368</v>
      </c>
    </row>
    <row r="765" spans="1:2" x14ac:dyDescent="0.3">
      <c r="A765" t="s">
        <v>1075</v>
      </c>
      <c r="B765" t="s">
        <v>157</v>
      </c>
    </row>
    <row r="766" spans="1:2" x14ac:dyDescent="0.3">
      <c r="A766" t="s">
        <v>1084</v>
      </c>
      <c r="B766" t="s">
        <v>184</v>
      </c>
    </row>
    <row r="767" spans="1:2" x14ac:dyDescent="0.3">
      <c r="A767" t="s">
        <v>1083</v>
      </c>
      <c r="B767" t="s">
        <v>1090</v>
      </c>
    </row>
    <row r="768" spans="1:2" x14ac:dyDescent="0.3">
      <c r="A768" t="s">
        <v>1088</v>
      </c>
      <c r="B768" t="s">
        <v>174</v>
      </c>
    </row>
    <row r="769" spans="1:2" x14ac:dyDescent="0.3">
      <c r="A769" t="s">
        <v>665</v>
      </c>
      <c r="B769" t="s">
        <v>188</v>
      </c>
    </row>
    <row r="770" spans="1:2" x14ac:dyDescent="0.3">
      <c r="A770" t="s">
        <v>662</v>
      </c>
      <c r="B770" t="s">
        <v>188</v>
      </c>
    </row>
    <row r="771" spans="1:2" x14ac:dyDescent="0.3">
      <c r="A771" t="s">
        <v>663</v>
      </c>
      <c r="B771" t="s">
        <v>188</v>
      </c>
    </row>
    <row r="772" spans="1:2" x14ac:dyDescent="0.3">
      <c r="A772" t="s">
        <v>326</v>
      </c>
      <c r="B772" t="s">
        <v>188</v>
      </c>
    </row>
    <row r="773" spans="1:2" x14ac:dyDescent="0.3">
      <c r="A773" t="s">
        <v>661</v>
      </c>
      <c r="B773" t="s">
        <v>188</v>
      </c>
    </row>
    <row r="774" spans="1:2" x14ac:dyDescent="0.3">
      <c r="A774" t="s">
        <v>327</v>
      </c>
      <c r="B774" t="s">
        <v>188</v>
      </c>
    </row>
    <row r="775" spans="1:2" x14ac:dyDescent="0.3">
      <c r="A775" t="s">
        <v>328</v>
      </c>
      <c r="B775" t="s">
        <v>188</v>
      </c>
    </row>
    <row r="776" spans="1:2" x14ac:dyDescent="0.3">
      <c r="A776" t="s">
        <v>664</v>
      </c>
      <c r="B776" t="s">
        <v>188</v>
      </c>
    </row>
    <row r="777" spans="1:2" x14ac:dyDescent="0.3">
      <c r="A777" t="s">
        <v>765</v>
      </c>
      <c r="B777" t="s">
        <v>188</v>
      </c>
    </row>
    <row r="778" spans="1:2" x14ac:dyDescent="0.3">
      <c r="A778" s="42" t="s">
        <v>1141</v>
      </c>
      <c r="B778" s="42" t="s">
        <v>189</v>
      </c>
    </row>
    <row r="779" spans="1:2" x14ac:dyDescent="0.3">
      <c r="A779" s="42" t="s">
        <v>1142</v>
      </c>
      <c r="B779" s="42" t="s">
        <v>189</v>
      </c>
    </row>
    <row r="780" spans="1:2" x14ac:dyDescent="0.3">
      <c r="A780" s="42" t="s">
        <v>1143</v>
      </c>
      <c r="B780" s="42" t="s">
        <v>1149</v>
      </c>
    </row>
    <row r="781" spans="1:2" x14ac:dyDescent="0.3">
      <c r="A781" s="42" t="s">
        <v>1144</v>
      </c>
      <c r="B781" s="42" t="s">
        <v>157</v>
      </c>
    </row>
    <row r="782" spans="1:2" x14ac:dyDescent="0.3">
      <c r="A782" s="42" t="s">
        <v>1145</v>
      </c>
      <c r="B782" s="42" t="s">
        <v>189</v>
      </c>
    </row>
    <row r="783" spans="1:2" x14ac:dyDescent="0.3">
      <c r="A783" s="42" t="s">
        <v>1146</v>
      </c>
      <c r="B783" s="42" t="s">
        <v>174</v>
      </c>
    </row>
    <row r="785" spans="1:1" x14ac:dyDescent="0.3">
      <c r="A785" t="s">
        <v>1051</v>
      </c>
    </row>
    <row r="786" spans="1:1" x14ac:dyDescent="0.3">
      <c r="A786" t="s">
        <v>293</v>
      </c>
    </row>
    <row r="787" spans="1:1" x14ac:dyDescent="0.3">
      <c r="A787" t="s">
        <v>9</v>
      </c>
    </row>
    <row r="788" spans="1:1" x14ac:dyDescent="0.3">
      <c r="A788" t="s">
        <v>11</v>
      </c>
    </row>
  </sheetData>
  <pageMargins left="0.7" right="0.7" top="0.75" bottom="0.75" header="0.3" footer="0.3"/>
  <tableParts count="13">
    <tablePart r:id="rId1"/>
    <tablePart r:id="rId2"/>
    <tablePart r:id="rId3"/>
    <tablePart r:id="rId4"/>
    <tablePart r:id="rId5"/>
    <tablePart r:id="rId6"/>
    <tablePart r:id="rId7"/>
    <tablePart r:id="rId8"/>
    <tablePart r:id="rId9"/>
    <tablePart r:id="rId10"/>
    <tablePart r:id="rId11"/>
    <tablePart r:id="rId12"/>
    <tablePart r:id="rId1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U297"/>
  <sheetViews>
    <sheetView topLeftCell="A46" zoomScaleNormal="100" workbookViewId="0">
      <selection activeCell="G401" sqref="G401"/>
    </sheetView>
  </sheetViews>
  <sheetFormatPr defaultRowHeight="14.4" x14ac:dyDescent="0.3"/>
  <cols>
    <col min="1" max="1" width="31.33203125" customWidth="1"/>
    <col min="2" max="2" width="15.21875" customWidth="1"/>
    <col min="3" max="3" width="10.44140625" customWidth="1"/>
    <col min="4" max="4" width="8.88671875" customWidth="1"/>
    <col min="5" max="5" width="10" customWidth="1"/>
    <col min="6" max="6" width="8.88671875" customWidth="1"/>
    <col min="7" max="7" width="9.6640625" customWidth="1"/>
    <col min="8" max="10" width="8.88671875" customWidth="1"/>
    <col min="11" max="11" width="12.6640625" customWidth="1"/>
    <col min="12" max="12" width="8.88671875" customWidth="1"/>
    <col min="13" max="13" width="13.77734375" customWidth="1"/>
    <col min="14" max="15" width="8.88671875" customWidth="1"/>
    <col min="16" max="16" width="12.109375" customWidth="1"/>
    <col min="17" max="17" width="12.44140625" customWidth="1"/>
    <col min="19" max="19" width="13.109375" customWidth="1"/>
    <col min="21" max="21" width="10.21875" customWidth="1"/>
  </cols>
  <sheetData>
    <row r="1" spans="1:21" x14ac:dyDescent="0.3">
      <c r="A1" t="s">
        <v>149</v>
      </c>
      <c r="B1" t="s">
        <v>150</v>
      </c>
      <c r="C1" t="s">
        <v>9</v>
      </c>
      <c r="D1" t="s">
        <v>265</v>
      </c>
      <c r="E1" t="s">
        <v>21</v>
      </c>
      <c r="F1" t="s">
        <v>53</v>
      </c>
      <c r="G1" t="s">
        <v>22</v>
      </c>
      <c r="H1" t="s">
        <v>20</v>
      </c>
      <c r="I1" t="s">
        <v>266</v>
      </c>
      <c r="J1" t="s">
        <v>152</v>
      </c>
      <c r="K1" t="s">
        <v>153</v>
      </c>
      <c r="L1" t="s">
        <v>154</v>
      </c>
      <c r="M1" t="s">
        <v>155</v>
      </c>
      <c r="N1" t="s">
        <v>156</v>
      </c>
      <c r="U1" t="s">
        <v>150</v>
      </c>
    </row>
    <row r="2" spans="1:21" x14ac:dyDescent="0.3">
      <c r="A2" t="s">
        <v>214</v>
      </c>
      <c r="B2" t="s">
        <v>157</v>
      </c>
      <c r="C2">
        <v>12</v>
      </c>
      <c r="D2">
        <v>0</v>
      </c>
      <c r="E2">
        <v>12</v>
      </c>
      <c r="F2">
        <v>1.25</v>
      </c>
      <c r="G2">
        <v>3</v>
      </c>
      <c r="H2">
        <v>0.3</v>
      </c>
      <c r="I2">
        <v>1.42</v>
      </c>
      <c r="J2">
        <v>65</v>
      </c>
      <c r="K2" t="s">
        <v>158</v>
      </c>
      <c r="L2" t="s">
        <v>159</v>
      </c>
      <c r="M2" t="s">
        <v>160</v>
      </c>
      <c r="N2" t="s">
        <v>161</v>
      </c>
      <c r="U2" t="s">
        <v>157</v>
      </c>
    </row>
    <row r="3" spans="1:21" x14ac:dyDescent="0.3">
      <c r="A3" t="s">
        <v>213</v>
      </c>
      <c r="B3" t="s">
        <v>157</v>
      </c>
      <c r="C3">
        <v>12</v>
      </c>
      <c r="D3">
        <v>0</v>
      </c>
      <c r="E3">
        <v>11</v>
      </c>
      <c r="F3">
        <v>1.25</v>
      </c>
      <c r="G3">
        <v>1</v>
      </c>
      <c r="H3">
        <v>0</v>
      </c>
      <c r="I3">
        <v>0.76</v>
      </c>
      <c r="J3">
        <v>45</v>
      </c>
      <c r="K3" t="s">
        <v>162</v>
      </c>
      <c r="L3" t="s">
        <v>159</v>
      </c>
      <c r="M3" t="s">
        <v>160</v>
      </c>
      <c r="N3" t="s">
        <v>161</v>
      </c>
      <c r="U3" t="s">
        <v>174</v>
      </c>
    </row>
    <row r="4" spans="1:21" x14ac:dyDescent="0.3">
      <c r="A4" t="s">
        <v>212</v>
      </c>
      <c r="B4" t="s">
        <v>157</v>
      </c>
      <c r="C4">
        <v>12</v>
      </c>
      <c r="D4">
        <v>0</v>
      </c>
      <c r="E4">
        <v>7</v>
      </c>
      <c r="F4">
        <v>1.25</v>
      </c>
      <c r="G4">
        <v>1</v>
      </c>
      <c r="H4">
        <v>0</v>
      </c>
      <c r="I4">
        <v>0.67</v>
      </c>
      <c r="J4">
        <v>40</v>
      </c>
      <c r="K4" t="s">
        <v>164</v>
      </c>
      <c r="L4" t="s">
        <v>159</v>
      </c>
      <c r="M4" t="s">
        <v>160</v>
      </c>
      <c r="N4" t="s">
        <v>165</v>
      </c>
      <c r="U4" t="s">
        <v>184</v>
      </c>
    </row>
    <row r="5" spans="1:21" x14ac:dyDescent="0.3">
      <c r="A5" t="s">
        <v>211</v>
      </c>
      <c r="B5" t="s">
        <v>157</v>
      </c>
      <c r="C5">
        <v>12</v>
      </c>
      <c r="D5">
        <v>0</v>
      </c>
      <c r="E5">
        <v>7</v>
      </c>
      <c r="F5">
        <v>1.25</v>
      </c>
      <c r="G5">
        <v>1</v>
      </c>
      <c r="H5">
        <v>0</v>
      </c>
      <c r="I5">
        <v>0.76</v>
      </c>
      <c r="J5">
        <v>40</v>
      </c>
      <c r="K5" t="s">
        <v>163</v>
      </c>
      <c r="L5" t="s">
        <v>159</v>
      </c>
      <c r="M5" t="s">
        <v>160</v>
      </c>
      <c r="N5" t="s">
        <v>165</v>
      </c>
      <c r="U5" t="s">
        <v>189</v>
      </c>
    </row>
    <row r="6" spans="1:21" x14ac:dyDescent="0.3">
      <c r="A6" t="s">
        <v>210</v>
      </c>
      <c r="B6" t="s">
        <v>157</v>
      </c>
      <c r="C6">
        <v>12</v>
      </c>
      <c r="D6">
        <v>0</v>
      </c>
      <c r="E6">
        <v>9</v>
      </c>
      <c r="F6">
        <v>1.25</v>
      </c>
      <c r="G6">
        <v>1</v>
      </c>
      <c r="H6">
        <v>0</v>
      </c>
      <c r="I6">
        <v>1.0900000000000001</v>
      </c>
      <c r="J6">
        <v>45</v>
      </c>
      <c r="K6" t="s">
        <v>166</v>
      </c>
      <c r="L6" t="s">
        <v>159</v>
      </c>
      <c r="M6" t="s">
        <v>160</v>
      </c>
      <c r="N6" t="s">
        <v>167</v>
      </c>
      <c r="U6" t="s">
        <v>200</v>
      </c>
    </row>
    <row r="7" spans="1:21" x14ac:dyDescent="0.3">
      <c r="A7" t="s">
        <v>736</v>
      </c>
      <c r="B7" t="s">
        <v>157</v>
      </c>
      <c r="C7">
        <v>12</v>
      </c>
      <c r="D7">
        <v>0</v>
      </c>
      <c r="E7">
        <v>7</v>
      </c>
      <c r="F7">
        <v>1.1000000000000001</v>
      </c>
      <c r="G7">
        <v>2</v>
      </c>
      <c r="H7">
        <v>0.15</v>
      </c>
      <c r="I7">
        <v>1.52</v>
      </c>
      <c r="J7">
        <v>40</v>
      </c>
      <c r="K7" t="s">
        <v>166</v>
      </c>
      <c r="L7" t="s">
        <v>159</v>
      </c>
      <c r="M7" t="s">
        <v>160</v>
      </c>
      <c r="N7" t="s">
        <v>161</v>
      </c>
      <c r="U7" t="s">
        <v>740</v>
      </c>
    </row>
    <row r="8" spans="1:21" x14ac:dyDescent="0.3">
      <c r="A8" t="s">
        <v>209</v>
      </c>
      <c r="B8" t="s">
        <v>157</v>
      </c>
      <c r="C8">
        <v>25</v>
      </c>
      <c r="D8">
        <v>0</v>
      </c>
      <c r="E8">
        <v>15</v>
      </c>
      <c r="F8">
        <v>1.25</v>
      </c>
      <c r="G8">
        <v>3</v>
      </c>
      <c r="H8">
        <v>0.3</v>
      </c>
      <c r="I8">
        <v>1.06</v>
      </c>
      <c r="J8">
        <v>60</v>
      </c>
      <c r="K8" t="s">
        <v>168</v>
      </c>
      <c r="L8" t="s">
        <v>159</v>
      </c>
      <c r="M8" t="s">
        <v>160</v>
      </c>
      <c r="N8" t="s">
        <v>169</v>
      </c>
      <c r="U8" t="s">
        <v>742</v>
      </c>
    </row>
    <row r="9" spans="1:21" x14ac:dyDescent="0.3">
      <c r="A9" t="s">
        <v>208</v>
      </c>
      <c r="B9" t="s">
        <v>157</v>
      </c>
      <c r="C9">
        <v>25</v>
      </c>
      <c r="D9">
        <v>0</v>
      </c>
      <c r="E9">
        <v>12</v>
      </c>
      <c r="F9">
        <v>1.1000000000000001</v>
      </c>
      <c r="G9">
        <v>4</v>
      </c>
      <c r="H9">
        <v>0.1</v>
      </c>
      <c r="I9">
        <v>1.52</v>
      </c>
      <c r="J9">
        <v>45</v>
      </c>
      <c r="K9" t="s">
        <v>168</v>
      </c>
      <c r="L9" t="s">
        <v>159</v>
      </c>
      <c r="M9" t="s">
        <v>160</v>
      </c>
      <c r="N9" t="s">
        <v>169</v>
      </c>
      <c r="U9" t="s">
        <v>188</v>
      </c>
    </row>
    <row r="10" spans="1:21" x14ac:dyDescent="0.3">
      <c r="A10" t="s">
        <v>207</v>
      </c>
      <c r="B10" t="s">
        <v>157</v>
      </c>
      <c r="C10">
        <v>25</v>
      </c>
      <c r="D10">
        <v>0</v>
      </c>
      <c r="E10">
        <v>10</v>
      </c>
      <c r="F10">
        <v>1.25</v>
      </c>
      <c r="G10">
        <v>3</v>
      </c>
      <c r="H10">
        <v>0.3</v>
      </c>
      <c r="I10">
        <v>2.87</v>
      </c>
      <c r="J10">
        <v>40</v>
      </c>
      <c r="K10" t="s">
        <v>170</v>
      </c>
      <c r="L10" t="s">
        <v>159</v>
      </c>
      <c r="M10" t="s">
        <v>160</v>
      </c>
      <c r="N10" t="s">
        <v>161</v>
      </c>
    </row>
    <row r="11" spans="1:21" x14ac:dyDescent="0.3">
      <c r="A11" t="s">
        <v>206</v>
      </c>
      <c r="B11" t="s">
        <v>157</v>
      </c>
      <c r="C11">
        <v>25</v>
      </c>
      <c r="D11">
        <v>0</v>
      </c>
      <c r="E11">
        <v>15</v>
      </c>
      <c r="F11">
        <v>1.25</v>
      </c>
      <c r="G11">
        <v>4</v>
      </c>
      <c r="H11">
        <v>0.1</v>
      </c>
      <c r="I11">
        <v>1.44</v>
      </c>
      <c r="J11">
        <v>45</v>
      </c>
      <c r="K11" t="s">
        <v>166</v>
      </c>
      <c r="L11" t="s">
        <v>159</v>
      </c>
      <c r="M11" t="s">
        <v>160</v>
      </c>
      <c r="N11" t="s">
        <v>161</v>
      </c>
      <c r="U11" t="s">
        <v>150</v>
      </c>
    </row>
    <row r="12" spans="1:21" x14ac:dyDescent="0.3">
      <c r="A12" t="s">
        <v>205</v>
      </c>
      <c r="B12" t="s">
        <v>157</v>
      </c>
      <c r="C12">
        <v>10</v>
      </c>
      <c r="D12">
        <v>15</v>
      </c>
      <c r="E12">
        <v>11</v>
      </c>
      <c r="F12">
        <v>1.1000000000000001</v>
      </c>
      <c r="G12">
        <v>2</v>
      </c>
      <c r="H12">
        <v>0</v>
      </c>
      <c r="I12">
        <v>1.27</v>
      </c>
      <c r="J12">
        <v>45</v>
      </c>
      <c r="K12" t="s">
        <v>171</v>
      </c>
      <c r="L12" t="s">
        <v>159</v>
      </c>
      <c r="M12" t="s">
        <v>160</v>
      </c>
      <c r="N12" t="s">
        <v>167</v>
      </c>
      <c r="U12" t="s">
        <v>301</v>
      </c>
    </row>
    <row r="13" spans="1:21" x14ac:dyDescent="0.3">
      <c r="A13" t="s">
        <v>204</v>
      </c>
      <c r="B13" t="s">
        <v>157</v>
      </c>
      <c r="C13">
        <v>15</v>
      </c>
      <c r="D13">
        <v>10</v>
      </c>
      <c r="E13">
        <v>11</v>
      </c>
      <c r="F13">
        <v>1.1499999999999999</v>
      </c>
      <c r="G13">
        <v>4</v>
      </c>
      <c r="H13">
        <v>0.1</v>
      </c>
      <c r="I13">
        <v>1.5</v>
      </c>
      <c r="J13">
        <v>45</v>
      </c>
      <c r="K13" t="s">
        <v>170</v>
      </c>
      <c r="L13" t="s">
        <v>159</v>
      </c>
      <c r="M13" t="s">
        <v>160</v>
      </c>
      <c r="N13" t="s">
        <v>167</v>
      </c>
      <c r="U13" t="s">
        <v>302</v>
      </c>
    </row>
    <row r="14" spans="1:21" x14ac:dyDescent="0.3">
      <c r="A14" t="s">
        <v>203</v>
      </c>
      <c r="B14" t="s">
        <v>157</v>
      </c>
      <c r="C14">
        <v>15</v>
      </c>
      <c r="D14">
        <v>30</v>
      </c>
      <c r="E14">
        <v>12</v>
      </c>
      <c r="F14">
        <v>1.1000000000000001</v>
      </c>
      <c r="G14">
        <v>4</v>
      </c>
      <c r="H14">
        <v>0.1</v>
      </c>
      <c r="I14">
        <v>0.96</v>
      </c>
      <c r="J14">
        <v>45</v>
      </c>
      <c r="K14" t="s">
        <v>166</v>
      </c>
      <c r="L14" t="s">
        <v>159</v>
      </c>
      <c r="M14" t="s">
        <v>160</v>
      </c>
      <c r="N14" t="s">
        <v>161</v>
      </c>
    </row>
    <row r="15" spans="1:21" x14ac:dyDescent="0.3">
      <c r="A15" t="s">
        <v>202</v>
      </c>
      <c r="B15" t="s">
        <v>157</v>
      </c>
      <c r="C15">
        <v>25</v>
      </c>
      <c r="D15">
        <v>0</v>
      </c>
      <c r="E15">
        <v>14</v>
      </c>
      <c r="F15">
        <v>1.1000000000000001</v>
      </c>
      <c r="G15">
        <v>5</v>
      </c>
      <c r="H15">
        <v>0.2</v>
      </c>
      <c r="I15">
        <v>1.73</v>
      </c>
      <c r="J15">
        <v>60</v>
      </c>
      <c r="K15" t="s">
        <v>168</v>
      </c>
      <c r="L15" t="s">
        <v>159</v>
      </c>
      <c r="M15" t="s">
        <v>160</v>
      </c>
      <c r="N15" t="s">
        <v>169</v>
      </c>
    </row>
    <row r="16" spans="1:21" x14ac:dyDescent="0.3">
      <c r="A16" t="s">
        <v>201</v>
      </c>
      <c r="B16" t="s">
        <v>157</v>
      </c>
      <c r="C16">
        <v>35</v>
      </c>
      <c r="D16">
        <v>0</v>
      </c>
      <c r="E16">
        <v>15</v>
      </c>
      <c r="F16">
        <v>1.1000000000000001</v>
      </c>
      <c r="G16">
        <v>5</v>
      </c>
      <c r="H16">
        <v>0.2</v>
      </c>
      <c r="I16">
        <v>1.6</v>
      </c>
      <c r="J16">
        <v>60</v>
      </c>
      <c r="K16" t="s">
        <v>168</v>
      </c>
      <c r="L16" t="s">
        <v>159</v>
      </c>
      <c r="M16" t="s">
        <v>160</v>
      </c>
      <c r="N16" t="s">
        <v>169</v>
      </c>
    </row>
    <row r="17" spans="1:14" x14ac:dyDescent="0.3">
      <c r="A17" t="s">
        <v>737</v>
      </c>
      <c r="B17" t="s">
        <v>157</v>
      </c>
      <c r="C17">
        <v>20</v>
      </c>
      <c r="D17">
        <v>25</v>
      </c>
      <c r="E17">
        <v>15</v>
      </c>
      <c r="F17">
        <v>1.1000000000000001</v>
      </c>
      <c r="G17">
        <v>4</v>
      </c>
      <c r="H17">
        <v>0.1</v>
      </c>
      <c r="I17">
        <v>1.53</v>
      </c>
      <c r="J17">
        <v>60</v>
      </c>
      <c r="K17" t="s">
        <v>168</v>
      </c>
      <c r="L17" t="s">
        <v>159</v>
      </c>
      <c r="M17" t="s">
        <v>161</v>
      </c>
      <c r="N17" t="s">
        <v>169</v>
      </c>
    </row>
    <row r="19" spans="1:14" x14ac:dyDescent="0.3">
      <c r="A19" t="s">
        <v>149</v>
      </c>
      <c r="B19" t="s">
        <v>150</v>
      </c>
      <c r="C19" t="s">
        <v>9</v>
      </c>
      <c r="D19" t="s">
        <v>265</v>
      </c>
      <c r="E19" t="s">
        <v>21</v>
      </c>
      <c r="F19" t="s">
        <v>53</v>
      </c>
      <c r="G19" t="s">
        <v>22</v>
      </c>
      <c r="H19" t="s">
        <v>20</v>
      </c>
      <c r="I19" t="s">
        <v>266</v>
      </c>
      <c r="J19" t="s">
        <v>152</v>
      </c>
      <c r="K19" t="s">
        <v>153</v>
      </c>
      <c r="L19" t="s">
        <v>154</v>
      </c>
      <c r="M19" t="s">
        <v>155</v>
      </c>
      <c r="N19" t="s">
        <v>156</v>
      </c>
    </row>
    <row r="20" spans="1:14" x14ac:dyDescent="0.3">
      <c r="A20" t="s">
        <v>224</v>
      </c>
      <c r="B20" t="s">
        <v>174</v>
      </c>
      <c r="C20">
        <v>25</v>
      </c>
      <c r="D20">
        <v>0</v>
      </c>
      <c r="E20">
        <v>18</v>
      </c>
      <c r="F20">
        <v>1.1000000000000001</v>
      </c>
      <c r="G20">
        <v>4</v>
      </c>
      <c r="H20">
        <v>0</v>
      </c>
      <c r="I20">
        <v>4.0599999999999996</v>
      </c>
      <c r="J20">
        <v>50</v>
      </c>
      <c r="K20" t="s">
        <v>175</v>
      </c>
      <c r="L20" t="s">
        <v>176</v>
      </c>
      <c r="M20" t="s">
        <v>160</v>
      </c>
      <c r="N20" t="s">
        <v>169</v>
      </c>
    </row>
    <row r="21" spans="1:14" x14ac:dyDescent="0.3">
      <c r="A21" t="s">
        <v>217</v>
      </c>
      <c r="B21" t="s">
        <v>174</v>
      </c>
      <c r="C21">
        <v>12</v>
      </c>
      <c r="D21">
        <v>0</v>
      </c>
      <c r="E21">
        <v>13</v>
      </c>
      <c r="F21">
        <v>1.25</v>
      </c>
      <c r="G21">
        <v>3</v>
      </c>
      <c r="H21">
        <v>0.3</v>
      </c>
      <c r="I21">
        <v>4.7300000000000004</v>
      </c>
      <c r="J21">
        <v>50</v>
      </c>
      <c r="K21" t="s">
        <v>177</v>
      </c>
      <c r="L21" t="s">
        <v>159</v>
      </c>
      <c r="M21" t="s">
        <v>160</v>
      </c>
      <c r="N21" t="s">
        <v>161</v>
      </c>
    </row>
    <row r="22" spans="1:14" x14ac:dyDescent="0.3">
      <c r="A22" t="s">
        <v>221</v>
      </c>
      <c r="B22" t="s">
        <v>174</v>
      </c>
      <c r="C22">
        <v>12</v>
      </c>
      <c r="D22">
        <v>0</v>
      </c>
      <c r="E22">
        <v>34</v>
      </c>
      <c r="F22">
        <v>1.1000000000000001</v>
      </c>
      <c r="G22">
        <v>3</v>
      </c>
      <c r="H22">
        <v>0.4</v>
      </c>
      <c r="I22">
        <v>2.4300000000000002</v>
      </c>
      <c r="J22">
        <v>55</v>
      </c>
      <c r="K22" t="s">
        <v>178</v>
      </c>
      <c r="L22" t="s">
        <v>176</v>
      </c>
      <c r="M22" t="s">
        <v>160</v>
      </c>
      <c r="N22" t="s">
        <v>161</v>
      </c>
    </row>
    <row r="23" spans="1:14" x14ac:dyDescent="0.3">
      <c r="A23" t="s">
        <v>222</v>
      </c>
      <c r="B23" t="s">
        <v>174</v>
      </c>
      <c r="C23">
        <v>12</v>
      </c>
      <c r="D23">
        <v>0</v>
      </c>
      <c r="E23">
        <v>16</v>
      </c>
      <c r="F23">
        <v>1.1000000000000001</v>
      </c>
      <c r="G23">
        <v>3</v>
      </c>
      <c r="H23">
        <v>0</v>
      </c>
      <c r="I23">
        <v>3.35</v>
      </c>
      <c r="J23">
        <v>50</v>
      </c>
      <c r="K23" t="s">
        <v>158</v>
      </c>
      <c r="L23" t="s">
        <v>176</v>
      </c>
      <c r="M23" t="s">
        <v>160</v>
      </c>
      <c r="N23" t="s">
        <v>167</v>
      </c>
    </row>
    <row r="24" spans="1:14" x14ac:dyDescent="0.3">
      <c r="A24" t="s">
        <v>225</v>
      </c>
      <c r="B24" t="s">
        <v>174</v>
      </c>
      <c r="C24">
        <v>12</v>
      </c>
      <c r="D24">
        <v>0</v>
      </c>
      <c r="E24">
        <v>15</v>
      </c>
      <c r="F24">
        <v>1.1000000000000001</v>
      </c>
      <c r="G24">
        <v>4</v>
      </c>
      <c r="H24">
        <v>0</v>
      </c>
      <c r="I24">
        <v>2.8</v>
      </c>
      <c r="J24">
        <v>60</v>
      </c>
      <c r="K24" t="s">
        <v>175</v>
      </c>
      <c r="L24" t="s">
        <v>176</v>
      </c>
      <c r="M24" t="s">
        <v>160</v>
      </c>
      <c r="N24" t="s">
        <v>161</v>
      </c>
    </row>
    <row r="25" spans="1:14" x14ac:dyDescent="0.3">
      <c r="A25" t="s">
        <v>218</v>
      </c>
      <c r="B25" t="s">
        <v>174</v>
      </c>
      <c r="C25">
        <v>25</v>
      </c>
      <c r="D25">
        <v>0</v>
      </c>
      <c r="E25">
        <v>17</v>
      </c>
      <c r="F25">
        <v>1.1000000000000001</v>
      </c>
      <c r="G25">
        <v>4</v>
      </c>
      <c r="H25">
        <v>0</v>
      </c>
      <c r="I25">
        <v>3.08</v>
      </c>
      <c r="J25">
        <v>60</v>
      </c>
      <c r="K25" t="s">
        <v>175</v>
      </c>
      <c r="L25" t="s">
        <v>176</v>
      </c>
      <c r="M25" t="s">
        <v>179</v>
      </c>
      <c r="N25" t="s">
        <v>172</v>
      </c>
    </row>
    <row r="26" spans="1:14" x14ac:dyDescent="0.3">
      <c r="A26" t="s">
        <v>219</v>
      </c>
      <c r="B26" t="s">
        <v>174</v>
      </c>
      <c r="C26">
        <v>25</v>
      </c>
      <c r="D26">
        <v>0</v>
      </c>
      <c r="E26">
        <v>21</v>
      </c>
      <c r="F26">
        <v>1.1000000000000001</v>
      </c>
      <c r="G26">
        <v>1</v>
      </c>
      <c r="H26">
        <v>0</v>
      </c>
      <c r="I26">
        <v>1.38</v>
      </c>
      <c r="J26">
        <v>50</v>
      </c>
      <c r="K26" t="s">
        <v>168</v>
      </c>
      <c r="L26" t="s">
        <v>159</v>
      </c>
      <c r="M26" t="s">
        <v>160</v>
      </c>
      <c r="N26" t="s">
        <v>167</v>
      </c>
    </row>
    <row r="27" spans="1:14" x14ac:dyDescent="0.3">
      <c r="A27" t="s">
        <v>220</v>
      </c>
      <c r="B27" t="s">
        <v>174</v>
      </c>
      <c r="C27">
        <v>25</v>
      </c>
      <c r="D27">
        <v>0</v>
      </c>
      <c r="E27">
        <v>21</v>
      </c>
      <c r="F27">
        <v>1.05</v>
      </c>
      <c r="G27">
        <v>3</v>
      </c>
      <c r="H27">
        <v>0.3</v>
      </c>
      <c r="I27">
        <v>5.36</v>
      </c>
      <c r="J27">
        <v>50</v>
      </c>
      <c r="K27" t="s">
        <v>177</v>
      </c>
      <c r="L27" t="s">
        <v>176</v>
      </c>
      <c r="M27" t="s">
        <v>160</v>
      </c>
      <c r="N27" t="s">
        <v>167</v>
      </c>
    </row>
    <row r="28" spans="1:14" x14ac:dyDescent="0.3">
      <c r="A28" t="s">
        <v>226</v>
      </c>
      <c r="B28" t="s">
        <v>174</v>
      </c>
      <c r="C28">
        <v>25</v>
      </c>
      <c r="D28">
        <v>0</v>
      </c>
      <c r="E28">
        <v>22</v>
      </c>
      <c r="F28">
        <v>1.1000000000000001</v>
      </c>
      <c r="G28">
        <v>4</v>
      </c>
      <c r="H28">
        <v>0</v>
      </c>
      <c r="I28">
        <v>3.39</v>
      </c>
      <c r="J28">
        <v>50</v>
      </c>
      <c r="K28" t="s">
        <v>175</v>
      </c>
      <c r="L28" t="s">
        <v>176</v>
      </c>
      <c r="M28" t="s">
        <v>160</v>
      </c>
      <c r="N28" t="s">
        <v>167</v>
      </c>
    </row>
    <row r="29" spans="1:14" x14ac:dyDescent="0.3">
      <c r="A29" t="s">
        <v>216</v>
      </c>
      <c r="B29" t="s">
        <v>174</v>
      </c>
      <c r="C29">
        <v>25</v>
      </c>
      <c r="D29">
        <v>0</v>
      </c>
      <c r="E29">
        <v>21</v>
      </c>
      <c r="F29">
        <v>1.05</v>
      </c>
      <c r="G29">
        <v>4</v>
      </c>
      <c r="H29">
        <v>0.1</v>
      </c>
      <c r="I29">
        <v>3</v>
      </c>
      <c r="J29">
        <v>50</v>
      </c>
      <c r="K29" t="s">
        <v>170</v>
      </c>
      <c r="L29" t="s">
        <v>176</v>
      </c>
      <c r="M29" t="s">
        <v>160</v>
      </c>
      <c r="N29" t="s">
        <v>167</v>
      </c>
    </row>
    <row r="30" spans="1:14" x14ac:dyDescent="0.3">
      <c r="A30" t="s">
        <v>223</v>
      </c>
      <c r="B30" t="s">
        <v>174</v>
      </c>
      <c r="C30">
        <v>25</v>
      </c>
      <c r="D30">
        <v>0</v>
      </c>
      <c r="E30">
        <v>19</v>
      </c>
      <c r="F30">
        <v>1.05</v>
      </c>
      <c r="G30">
        <v>6</v>
      </c>
      <c r="H30">
        <v>0</v>
      </c>
      <c r="I30">
        <v>4.59</v>
      </c>
      <c r="J30">
        <v>60</v>
      </c>
      <c r="K30" t="s">
        <v>180</v>
      </c>
      <c r="L30" t="s">
        <v>176</v>
      </c>
      <c r="M30" t="s">
        <v>160</v>
      </c>
      <c r="N30" t="s">
        <v>169</v>
      </c>
    </row>
    <row r="31" spans="1:14" x14ac:dyDescent="0.3">
      <c r="A31" t="s">
        <v>228</v>
      </c>
      <c r="B31" t="s">
        <v>174</v>
      </c>
      <c r="C31">
        <v>25</v>
      </c>
      <c r="D31">
        <v>0</v>
      </c>
      <c r="E31">
        <v>22</v>
      </c>
      <c r="F31">
        <v>1.05</v>
      </c>
      <c r="G31">
        <v>6</v>
      </c>
      <c r="H31">
        <v>0</v>
      </c>
      <c r="I31">
        <v>4.1399999999999997</v>
      </c>
      <c r="J31">
        <v>50</v>
      </c>
      <c r="K31" t="s">
        <v>180</v>
      </c>
      <c r="L31" t="s">
        <v>176</v>
      </c>
      <c r="M31" t="s">
        <v>160</v>
      </c>
      <c r="N31" t="s">
        <v>167</v>
      </c>
    </row>
    <row r="32" spans="1:14" x14ac:dyDescent="0.3">
      <c r="A32" t="s">
        <v>227</v>
      </c>
      <c r="B32" t="s">
        <v>174</v>
      </c>
      <c r="C32">
        <v>45</v>
      </c>
      <c r="D32">
        <v>0</v>
      </c>
      <c r="E32">
        <v>18</v>
      </c>
      <c r="F32">
        <v>1.05</v>
      </c>
      <c r="G32">
        <v>6</v>
      </c>
      <c r="H32">
        <v>0.15</v>
      </c>
      <c r="I32">
        <v>4.12</v>
      </c>
      <c r="J32">
        <v>50</v>
      </c>
      <c r="K32" t="s">
        <v>181</v>
      </c>
      <c r="L32" t="s">
        <v>176</v>
      </c>
      <c r="M32" t="s">
        <v>160</v>
      </c>
      <c r="N32" t="s">
        <v>172</v>
      </c>
    </row>
    <row r="33" spans="1:14" x14ac:dyDescent="0.3">
      <c r="A33" t="s">
        <v>215</v>
      </c>
      <c r="B33" t="s">
        <v>174</v>
      </c>
      <c r="C33">
        <v>45</v>
      </c>
      <c r="D33">
        <v>0</v>
      </c>
      <c r="E33">
        <v>24</v>
      </c>
      <c r="F33">
        <v>1.05</v>
      </c>
      <c r="G33">
        <v>3</v>
      </c>
      <c r="H33">
        <v>0</v>
      </c>
      <c r="I33">
        <v>2.86</v>
      </c>
      <c r="J33">
        <v>60</v>
      </c>
      <c r="K33" t="s">
        <v>182</v>
      </c>
      <c r="L33" t="s">
        <v>183</v>
      </c>
      <c r="M33" t="s">
        <v>160</v>
      </c>
      <c r="N33" t="s">
        <v>173</v>
      </c>
    </row>
    <row r="34" spans="1:14" x14ac:dyDescent="0.3">
      <c r="A34" t="s">
        <v>1138</v>
      </c>
      <c r="B34" t="s">
        <v>174</v>
      </c>
      <c r="C34">
        <v>30</v>
      </c>
      <c r="D34">
        <v>15</v>
      </c>
      <c r="E34">
        <v>15</v>
      </c>
      <c r="F34">
        <v>1.05</v>
      </c>
      <c r="G34">
        <v>6</v>
      </c>
      <c r="H34">
        <v>0.15</v>
      </c>
      <c r="I34">
        <v>3.27</v>
      </c>
      <c r="J34">
        <v>55</v>
      </c>
      <c r="K34" t="s">
        <v>1139</v>
      </c>
      <c r="L34" t="s">
        <v>756</v>
      </c>
      <c r="M34" t="s">
        <v>160</v>
      </c>
      <c r="N34" t="s">
        <v>1132</v>
      </c>
    </row>
    <row r="36" spans="1:14" x14ac:dyDescent="0.3">
      <c r="A36" t="s">
        <v>149</v>
      </c>
      <c r="B36" t="s">
        <v>150</v>
      </c>
      <c r="C36" t="s">
        <v>9</v>
      </c>
      <c r="D36" t="s">
        <v>265</v>
      </c>
      <c r="E36" t="s">
        <v>21</v>
      </c>
      <c r="F36" t="s">
        <v>53</v>
      </c>
      <c r="G36" t="s">
        <v>22</v>
      </c>
      <c r="H36" t="s">
        <v>20</v>
      </c>
      <c r="I36" t="s">
        <v>266</v>
      </c>
      <c r="J36" t="s">
        <v>152</v>
      </c>
      <c r="K36" t="s">
        <v>153</v>
      </c>
      <c r="L36" t="s">
        <v>154</v>
      </c>
      <c r="M36" t="s">
        <v>155</v>
      </c>
      <c r="N36" t="s">
        <v>156</v>
      </c>
    </row>
    <row r="37" spans="1:14" x14ac:dyDescent="0.3">
      <c r="A37" t="s">
        <v>237</v>
      </c>
      <c r="B37" t="s">
        <v>184</v>
      </c>
      <c r="C37">
        <v>12</v>
      </c>
      <c r="D37">
        <v>0</v>
      </c>
      <c r="E37">
        <v>39</v>
      </c>
      <c r="F37">
        <v>1.05</v>
      </c>
      <c r="G37">
        <v>3</v>
      </c>
      <c r="H37">
        <v>0</v>
      </c>
      <c r="I37">
        <v>6.48</v>
      </c>
      <c r="J37">
        <v>60</v>
      </c>
      <c r="K37" t="s">
        <v>185</v>
      </c>
      <c r="L37" t="s">
        <v>178</v>
      </c>
      <c r="M37" t="s">
        <v>160</v>
      </c>
      <c r="N37" t="s">
        <v>169</v>
      </c>
    </row>
    <row r="38" spans="1:14" x14ac:dyDescent="0.3">
      <c r="A38" t="s">
        <v>236</v>
      </c>
      <c r="B38" t="s">
        <v>184</v>
      </c>
      <c r="C38">
        <v>25</v>
      </c>
      <c r="D38">
        <v>0</v>
      </c>
      <c r="E38">
        <v>46</v>
      </c>
      <c r="F38">
        <v>1.1000000000000001</v>
      </c>
      <c r="G38">
        <v>4</v>
      </c>
      <c r="H38">
        <v>0.5</v>
      </c>
      <c r="I38">
        <v>6.17</v>
      </c>
      <c r="J38">
        <v>55</v>
      </c>
      <c r="K38" t="s">
        <v>168</v>
      </c>
      <c r="L38" t="s">
        <v>178</v>
      </c>
      <c r="M38" t="s">
        <v>160</v>
      </c>
      <c r="N38" t="s">
        <v>169</v>
      </c>
    </row>
    <row r="39" spans="1:14" x14ac:dyDescent="0.3">
      <c r="A39" t="s">
        <v>235</v>
      </c>
      <c r="B39" t="s">
        <v>184</v>
      </c>
      <c r="C39">
        <v>25</v>
      </c>
      <c r="D39">
        <v>0</v>
      </c>
      <c r="E39">
        <v>52</v>
      </c>
      <c r="F39">
        <v>1.05</v>
      </c>
      <c r="G39">
        <v>3</v>
      </c>
      <c r="H39">
        <v>0</v>
      </c>
      <c r="I39">
        <v>5.59</v>
      </c>
      <c r="J39">
        <v>60</v>
      </c>
      <c r="K39" t="s">
        <v>185</v>
      </c>
      <c r="L39" t="s">
        <v>178</v>
      </c>
      <c r="M39" t="s">
        <v>160</v>
      </c>
      <c r="N39" t="s">
        <v>169</v>
      </c>
    </row>
    <row r="40" spans="1:14" x14ac:dyDescent="0.3">
      <c r="A40" t="s">
        <v>234</v>
      </c>
      <c r="B40" t="s">
        <v>184</v>
      </c>
      <c r="C40">
        <v>25</v>
      </c>
      <c r="D40">
        <v>0</v>
      </c>
      <c r="E40">
        <v>48</v>
      </c>
      <c r="F40">
        <v>1.1000000000000001</v>
      </c>
      <c r="G40">
        <v>4</v>
      </c>
      <c r="H40">
        <v>0.5</v>
      </c>
      <c r="I40">
        <v>6.42</v>
      </c>
      <c r="J40">
        <v>55</v>
      </c>
      <c r="K40" t="s">
        <v>168</v>
      </c>
      <c r="L40" t="s">
        <v>178</v>
      </c>
      <c r="M40" t="s">
        <v>160</v>
      </c>
      <c r="N40" t="s">
        <v>167</v>
      </c>
    </row>
    <row r="41" spans="1:14" x14ac:dyDescent="0.3">
      <c r="A41" t="s">
        <v>233</v>
      </c>
      <c r="B41" t="s">
        <v>184</v>
      </c>
      <c r="C41">
        <v>45</v>
      </c>
      <c r="D41">
        <v>0</v>
      </c>
      <c r="E41">
        <v>50</v>
      </c>
      <c r="F41">
        <v>1.1000000000000001</v>
      </c>
      <c r="G41">
        <v>6</v>
      </c>
      <c r="H41">
        <v>1</v>
      </c>
      <c r="I41">
        <v>7.65</v>
      </c>
      <c r="J41">
        <v>55</v>
      </c>
      <c r="K41" t="s">
        <v>168</v>
      </c>
      <c r="L41" t="s">
        <v>178</v>
      </c>
      <c r="M41" t="s">
        <v>160</v>
      </c>
      <c r="N41" t="s">
        <v>167</v>
      </c>
    </row>
    <row r="42" spans="1:14" x14ac:dyDescent="0.3">
      <c r="A42" t="s">
        <v>232</v>
      </c>
      <c r="B42" t="s">
        <v>184</v>
      </c>
      <c r="C42">
        <v>45</v>
      </c>
      <c r="D42">
        <v>0</v>
      </c>
      <c r="E42">
        <v>50</v>
      </c>
      <c r="F42">
        <v>1.1000000000000001</v>
      </c>
      <c r="G42">
        <v>6</v>
      </c>
      <c r="H42">
        <v>0.5</v>
      </c>
      <c r="I42">
        <v>7.32</v>
      </c>
      <c r="J42">
        <v>55</v>
      </c>
      <c r="K42" t="s">
        <v>186</v>
      </c>
      <c r="L42" t="s">
        <v>187</v>
      </c>
      <c r="M42" t="s">
        <v>160</v>
      </c>
      <c r="N42" t="s">
        <v>167</v>
      </c>
    </row>
    <row r="43" spans="1:14" x14ac:dyDescent="0.3">
      <c r="A43" t="s">
        <v>231</v>
      </c>
      <c r="B43" t="s">
        <v>184</v>
      </c>
      <c r="C43">
        <v>25</v>
      </c>
      <c r="D43">
        <v>0</v>
      </c>
      <c r="E43">
        <v>55</v>
      </c>
      <c r="F43">
        <v>1.1000000000000001</v>
      </c>
      <c r="G43">
        <v>6</v>
      </c>
      <c r="H43">
        <v>0.5</v>
      </c>
      <c r="I43">
        <v>8.98</v>
      </c>
      <c r="J43">
        <v>60</v>
      </c>
      <c r="K43" t="s">
        <v>177</v>
      </c>
      <c r="L43" t="s">
        <v>178</v>
      </c>
      <c r="M43" t="s">
        <v>160</v>
      </c>
      <c r="N43" t="s">
        <v>167</v>
      </c>
    </row>
    <row r="44" spans="1:14" x14ac:dyDescent="0.3">
      <c r="A44" t="s">
        <v>230</v>
      </c>
      <c r="B44" t="s">
        <v>184</v>
      </c>
      <c r="C44">
        <v>45</v>
      </c>
      <c r="D44">
        <v>0</v>
      </c>
      <c r="E44">
        <v>48</v>
      </c>
      <c r="F44">
        <v>1.1000000000000001</v>
      </c>
      <c r="G44">
        <v>4</v>
      </c>
      <c r="H44">
        <v>0.5</v>
      </c>
      <c r="I44">
        <v>5.92</v>
      </c>
      <c r="J44">
        <v>55</v>
      </c>
      <c r="K44" t="s">
        <v>168</v>
      </c>
      <c r="L44" t="s">
        <v>178</v>
      </c>
      <c r="M44" t="s">
        <v>160</v>
      </c>
      <c r="N44" t="s">
        <v>169</v>
      </c>
    </row>
    <row r="45" spans="1:14" x14ac:dyDescent="0.3">
      <c r="A45" t="s">
        <v>229</v>
      </c>
      <c r="B45" t="s">
        <v>184</v>
      </c>
      <c r="C45">
        <v>45</v>
      </c>
      <c r="D45">
        <v>0</v>
      </c>
      <c r="E45">
        <v>52</v>
      </c>
      <c r="F45">
        <v>1.3</v>
      </c>
      <c r="G45">
        <v>3</v>
      </c>
      <c r="H45">
        <v>0.4</v>
      </c>
      <c r="I45">
        <v>5.39</v>
      </c>
      <c r="J45">
        <v>60</v>
      </c>
      <c r="K45" t="s">
        <v>166</v>
      </c>
      <c r="L45" t="s">
        <v>187</v>
      </c>
      <c r="M45" t="s">
        <v>160</v>
      </c>
      <c r="N45" t="s">
        <v>169</v>
      </c>
    </row>
    <row r="46" spans="1:14" x14ac:dyDescent="0.3">
      <c r="A46" t="s">
        <v>238</v>
      </c>
      <c r="B46" t="s">
        <v>188</v>
      </c>
      <c r="C46">
        <v>12</v>
      </c>
      <c r="D46">
        <v>0</v>
      </c>
      <c r="E46">
        <v>34</v>
      </c>
      <c r="F46">
        <v>1.05</v>
      </c>
      <c r="G46">
        <v>4</v>
      </c>
      <c r="H46">
        <v>0.5</v>
      </c>
      <c r="I46">
        <v>3.06</v>
      </c>
      <c r="J46">
        <v>80</v>
      </c>
      <c r="K46" t="s">
        <v>171</v>
      </c>
      <c r="L46" t="s">
        <v>178</v>
      </c>
      <c r="M46" t="s">
        <v>160</v>
      </c>
      <c r="N46" t="s">
        <v>161</v>
      </c>
    </row>
    <row r="47" spans="1:14" x14ac:dyDescent="0.3">
      <c r="A47" t="s">
        <v>1136</v>
      </c>
      <c r="B47" t="s">
        <v>184</v>
      </c>
      <c r="C47">
        <v>45</v>
      </c>
      <c r="D47">
        <v>0</v>
      </c>
      <c r="E47">
        <v>56</v>
      </c>
      <c r="F47">
        <v>1.1000000000000001</v>
      </c>
      <c r="G47">
        <v>6</v>
      </c>
      <c r="H47">
        <v>0.5</v>
      </c>
      <c r="I47">
        <v>10.71</v>
      </c>
      <c r="J47">
        <v>65</v>
      </c>
      <c r="K47" t="s">
        <v>1137</v>
      </c>
      <c r="L47" t="s">
        <v>756</v>
      </c>
      <c r="M47" t="s">
        <v>160</v>
      </c>
      <c r="N47" t="s">
        <v>172</v>
      </c>
    </row>
    <row r="49" spans="1:14" x14ac:dyDescent="0.3">
      <c r="A49" t="s">
        <v>149</v>
      </c>
      <c r="B49" t="s">
        <v>150</v>
      </c>
      <c r="C49" t="s">
        <v>9</v>
      </c>
      <c r="D49" t="s">
        <v>265</v>
      </c>
      <c r="E49" t="s">
        <v>21</v>
      </c>
      <c r="F49" t="s">
        <v>53</v>
      </c>
      <c r="G49" t="s">
        <v>22</v>
      </c>
      <c r="H49" t="s">
        <v>20</v>
      </c>
      <c r="I49" t="s">
        <v>266</v>
      </c>
      <c r="J49" t="s">
        <v>152</v>
      </c>
      <c r="K49" t="s">
        <v>153</v>
      </c>
      <c r="L49" t="s">
        <v>154</v>
      </c>
      <c r="M49" t="s">
        <v>155</v>
      </c>
      <c r="N49" t="s">
        <v>156</v>
      </c>
    </row>
    <row r="50" spans="1:14" x14ac:dyDescent="0.3">
      <c r="A50" t="s">
        <v>239</v>
      </c>
      <c r="B50" t="s">
        <v>189</v>
      </c>
      <c r="C50">
        <v>12</v>
      </c>
      <c r="D50">
        <v>0</v>
      </c>
      <c r="E50">
        <v>88</v>
      </c>
      <c r="F50">
        <v>1.1000000000000001</v>
      </c>
      <c r="G50">
        <v>2</v>
      </c>
      <c r="H50">
        <v>0</v>
      </c>
      <c r="I50">
        <v>19.27</v>
      </c>
      <c r="J50">
        <v>200</v>
      </c>
      <c r="K50" t="s">
        <v>170</v>
      </c>
      <c r="L50" t="s">
        <v>197</v>
      </c>
      <c r="M50" t="s">
        <v>240</v>
      </c>
      <c r="N50" t="s">
        <v>169</v>
      </c>
    </row>
    <row r="51" spans="1:14" x14ac:dyDescent="0.3">
      <c r="A51" t="s">
        <v>242</v>
      </c>
      <c r="B51" t="s">
        <v>189</v>
      </c>
      <c r="C51">
        <v>12</v>
      </c>
      <c r="D51">
        <v>0</v>
      </c>
      <c r="E51">
        <v>84</v>
      </c>
      <c r="F51">
        <v>1.05</v>
      </c>
      <c r="G51">
        <v>3</v>
      </c>
      <c r="H51">
        <v>0</v>
      </c>
      <c r="I51">
        <v>27.11</v>
      </c>
      <c r="J51">
        <v>200</v>
      </c>
      <c r="K51" t="s">
        <v>186</v>
      </c>
      <c r="L51" t="s">
        <v>197</v>
      </c>
      <c r="M51" t="s">
        <v>240</v>
      </c>
      <c r="N51" t="s">
        <v>169</v>
      </c>
    </row>
    <row r="52" spans="1:14" x14ac:dyDescent="0.3">
      <c r="A52" t="s">
        <v>971</v>
      </c>
      <c r="B52" t="s">
        <v>189</v>
      </c>
      <c r="C52">
        <v>25</v>
      </c>
      <c r="D52">
        <v>0</v>
      </c>
      <c r="E52">
        <v>154</v>
      </c>
      <c r="F52">
        <v>1.1000000000000001</v>
      </c>
      <c r="G52">
        <v>2</v>
      </c>
      <c r="H52">
        <v>0</v>
      </c>
      <c r="I52">
        <v>20.02</v>
      </c>
      <c r="J52">
        <v>200</v>
      </c>
      <c r="K52" t="s">
        <v>170</v>
      </c>
      <c r="L52" t="s">
        <v>197</v>
      </c>
      <c r="M52" t="s">
        <v>240</v>
      </c>
      <c r="N52" t="s">
        <v>169</v>
      </c>
    </row>
    <row r="53" spans="1:14" x14ac:dyDescent="0.3">
      <c r="A53" t="s">
        <v>972</v>
      </c>
      <c r="B53" t="s">
        <v>189</v>
      </c>
      <c r="C53">
        <v>25</v>
      </c>
      <c r="D53">
        <v>25</v>
      </c>
      <c r="E53">
        <v>220</v>
      </c>
      <c r="F53">
        <v>1.1000000000000001</v>
      </c>
      <c r="G53">
        <v>2</v>
      </c>
      <c r="H53">
        <v>0</v>
      </c>
      <c r="I53">
        <v>19.29</v>
      </c>
      <c r="J53">
        <v>200</v>
      </c>
      <c r="K53" t="s">
        <v>170</v>
      </c>
      <c r="L53" t="s">
        <v>197</v>
      </c>
      <c r="M53" t="s">
        <v>240</v>
      </c>
      <c r="N53" t="s">
        <v>241</v>
      </c>
    </row>
    <row r="54" spans="1:14" x14ac:dyDescent="0.3">
      <c r="A54" t="s">
        <v>244</v>
      </c>
      <c r="B54" t="s">
        <v>189</v>
      </c>
      <c r="C54">
        <v>25</v>
      </c>
      <c r="D54">
        <v>0</v>
      </c>
      <c r="E54">
        <v>128</v>
      </c>
      <c r="F54">
        <v>1.1000000000000001</v>
      </c>
      <c r="G54">
        <v>2</v>
      </c>
      <c r="H54">
        <v>0</v>
      </c>
      <c r="I54">
        <v>18.72</v>
      </c>
      <c r="J54">
        <v>200</v>
      </c>
      <c r="K54" t="s">
        <v>170</v>
      </c>
      <c r="L54" t="s">
        <v>197</v>
      </c>
      <c r="M54" t="s">
        <v>240</v>
      </c>
      <c r="N54" t="s">
        <v>167</v>
      </c>
    </row>
    <row r="55" spans="1:14" x14ac:dyDescent="0.3">
      <c r="A55" t="s">
        <v>253</v>
      </c>
      <c r="B55" t="s">
        <v>189</v>
      </c>
      <c r="C55">
        <v>25</v>
      </c>
      <c r="D55">
        <v>0</v>
      </c>
      <c r="E55">
        <v>154</v>
      </c>
      <c r="F55">
        <v>1.1000000000000001</v>
      </c>
      <c r="G55">
        <v>2</v>
      </c>
      <c r="H55">
        <v>0</v>
      </c>
      <c r="I55">
        <v>21.15</v>
      </c>
      <c r="J55">
        <v>200</v>
      </c>
      <c r="K55" t="s">
        <v>170</v>
      </c>
      <c r="L55" t="s">
        <v>197</v>
      </c>
      <c r="M55" t="s">
        <v>240</v>
      </c>
      <c r="N55" t="s">
        <v>167</v>
      </c>
    </row>
    <row r="56" spans="1:14" x14ac:dyDescent="0.3">
      <c r="A56" t="s">
        <v>246</v>
      </c>
      <c r="B56" t="s">
        <v>189</v>
      </c>
      <c r="C56">
        <v>25</v>
      </c>
      <c r="D56">
        <v>0</v>
      </c>
      <c r="E56">
        <v>156</v>
      </c>
      <c r="F56">
        <v>1.05</v>
      </c>
      <c r="G56">
        <v>3</v>
      </c>
      <c r="H56">
        <v>0</v>
      </c>
      <c r="I56">
        <v>24.02</v>
      </c>
      <c r="J56">
        <v>200</v>
      </c>
      <c r="K56" t="s">
        <v>186</v>
      </c>
      <c r="L56" t="s">
        <v>197</v>
      </c>
      <c r="M56" t="s">
        <v>240</v>
      </c>
      <c r="N56" t="s">
        <v>169</v>
      </c>
    </row>
    <row r="57" spans="1:14" x14ac:dyDescent="0.3">
      <c r="A57" t="s">
        <v>251</v>
      </c>
      <c r="B57" t="s">
        <v>189</v>
      </c>
      <c r="C57">
        <v>45</v>
      </c>
      <c r="D57">
        <v>0</v>
      </c>
      <c r="E57">
        <v>154</v>
      </c>
      <c r="F57">
        <v>1.05</v>
      </c>
      <c r="G57">
        <v>3</v>
      </c>
      <c r="H57">
        <v>0</v>
      </c>
      <c r="I57">
        <v>24.14</v>
      </c>
      <c r="J57">
        <v>200</v>
      </c>
      <c r="K57" t="s">
        <v>186</v>
      </c>
      <c r="L57" t="s">
        <v>197</v>
      </c>
      <c r="M57" t="s">
        <v>240</v>
      </c>
      <c r="N57" t="s">
        <v>167</v>
      </c>
    </row>
    <row r="58" spans="1:14" x14ac:dyDescent="0.3">
      <c r="A58" t="s">
        <v>250</v>
      </c>
      <c r="B58" t="s">
        <v>189</v>
      </c>
      <c r="C58">
        <v>45</v>
      </c>
      <c r="D58">
        <v>0</v>
      </c>
      <c r="E58">
        <v>142</v>
      </c>
      <c r="F58">
        <v>1.05</v>
      </c>
      <c r="G58">
        <v>3</v>
      </c>
      <c r="H58">
        <v>0</v>
      </c>
      <c r="I58">
        <v>23.15</v>
      </c>
      <c r="J58">
        <v>200</v>
      </c>
      <c r="K58" t="s">
        <v>186</v>
      </c>
      <c r="L58" t="s">
        <v>197</v>
      </c>
      <c r="M58" t="s">
        <v>240</v>
      </c>
      <c r="N58" t="s">
        <v>169</v>
      </c>
    </row>
    <row r="59" spans="1:14" x14ac:dyDescent="0.3">
      <c r="A59" t="s">
        <v>245</v>
      </c>
      <c r="B59" t="s">
        <v>189</v>
      </c>
      <c r="C59">
        <v>45</v>
      </c>
      <c r="D59">
        <v>0</v>
      </c>
      <c r="E59">
        <v>108</v>
      </c>
      <c r="F59">
        <v>1</v>
      </c>
      <c r="G59">
        <v>4</v>
      </c>
      <c r="H59">
        <v>0</v>
      </c>
      <c r="I59">
        <v>29.19</v>
      </c>
      <c r="J59">
        <v>200</v>
      </c>
      <c r="K59" t="s">
        <v>177</v>
      </c>
      <c r="L59" t="s">
        <v>197</v>
      </c>
      <c r="M59" t="s">
        <v>240</v>
      </c>
      <c r="N59" t="s">
        <v>169</v>
      </c>
    </row>
    <row r="60" spans="1:14" x14ac:dyDescent="0.3">
      <c r="A60" t="s">
        <v>249</v>
      </c>
      <c r="B60" t="s">
        <v>189</v>
      </c>
      <c r="C60">
        <v>45</v>
      </c>
      <c r="D60">
        <v>0</v>
      </c>
      <c r="E60">
        <v>120</v>
      </c>
      <c r="F60">
        <v>1</v>
      </c>
      <c r="G60">
        <v>4</v>
      </c>
      <c r="H60">
        <v>0</v>
      </c>
      <c r="I60">
        <v>25.8</v>
      </c>
      <c r="J60">
        <v>200</v>
      </c>
      <c r="K60" t="s">
        <v>181</v>
      </c>
      <c r="L60" t="s">
        <v>185</v>
      </c>
      <c r="M60" t="s">
        <v>240</v>
      </c>
      <c r="N60" t="s">
        <v>169</v>
      </c>
    </row>
    <row r="61" spans="1:14" x14ac:dyDescent="0.3">
      <c r="A61" t="s">
        <v>252</v>
      </c>
      <c r="B61" t="s">
        <v>189</v>
      </c>
      <c r="C61">
        <v>45</v>
      </c>
      <c r="D61">
        <v>0</v>
      </c>
      <c r="E61">
        <v>154</v>
      </c>
      <c r="F61">
        <v>1.05</v>
      </c>
      <c r="G61">
        <v>3</v>
      </c>
      <c r="H61">
        <v>0</v>
      </c>
      <c r="I61">
        <v>24.02</v>
      </c>
      <c r="J61">
        <v>200</v>
      </c>
      <c r="K61" t="s">
        <v>186</v>
      </c>
      <c r="L61" t="s">
        <v>197</v>
      </c>
      <c r="M61" t="s">
        <v>240</v>
      </c>
      <c r="N61" t="s">
        <v>161</v>
      </c>
    </row>
    <row r="62" spans="1:14" x14ac:dyDescent="0.3">
      <c r="A62" t="s">
        <v>248</v>
      </c>
      <c r="B62" t="s">
        <v>189</v>
      </c>
      <c r="C62">
        <v>12</v>
      </c>
      <c r="D62">
        <v>0</v>
      </c>
      <c r="E62">
        <v>74</v>
      </c>
      <c r="F62">
        <v>1</v>
      </c>
      <c r="G62">
        <v>2</v>
      </c>
      <c r="H62">
        <v>0</v>
      </c>
      <c r="I62">
        <v>17.420000000000002</v>
      </c>
      <c r="J62">
        <v>200</v>
      </c>
      <c r="K62" t="s">
        <v>170</v>
      </c>
      <c r="L62" t="s">
        <v>197</v>
      </c>
      <c r="M62" t="s">
        <v>240</v>
      </c>
      <c r="N62" t="s">
        <v>161</v>
      </c>
    </row>
    <row r="63" spans="1:14" x14ac:dyDescent="0.3">
      <c r="A63" t="s">
        <v>247</v>
      </c>
      <c r="B63" t="s">
        <v>189</v>
      </c>
      <c r="C63">
        <v>45</v>
      </c>
      <c r="D63">
        <v>0</v>
      </c>
      <c r="E63">
        <v>132</v>
      </c>
      <c r="F63">
        <v>1.1000000000000001</v>
      </c>
      <c r="G63">
        <v>2</v>
      </c>
      <c r="H63">
        <v>0</v>
      </c>
      <c r="I63">
        <v>18.38</v>
      </c>
      <c r="J63">
        <v>200</v>
      </c>
      <c r="K63" t="s">
        <v>170</v>
      </c>
      <c r="L63" t="s">
        <v>197</v>
      </c>
      <c r="M63" t="s">
        <v>240</v>
      </c>
      <c r="N63" t="s">
        <v>167</v>
      </c>
    </row>
    <row r="64" spans="1:14" x14ac:dyDescent="0.3">
      <c r="A64" t="s">
        <v>243</v>
      </c>
      <c r="B64" t="s">
        <v>189</v>
      </c>
      <c r="C64">
        <v>45</v>
      </c>
      <c r="D64">
        <v>0</v>
      </c>
      <c r="E64">
        <v>133</v>
      </c>
      <c r="F64">
        <v>1.1000000000000001</v>
      </c>
      <c r="G64">
        <v>2</v>
      </c>
      <c r="H64">
        <v>0</v>
      </c>
      <c r="I64">
        <v>17.96</v>
      </c>
      <c r="J64">
        <v>200</v>
      </c>
      <c r="K64" t="s">
        <v>186</v>
      </c>
      <c r="L64" t="s">
        <v>197</v>
      </c>
      <c r="M64" t="s">
        <v>240</v>
      </c>
      <c r="N64" t="s">
        <v>169</v>
      </c>
    </row>
    <row r="65" spans="1:14" x14ac:dyDescent="0.3">
      <c r="A65" t="s">
        <v>231</v>
      </c>
      <c r="B65" t="s">
        <v>189</v>
      </c>
      <c r="C65">
        <v>25</v>
      </c>
      <c r="D65">
        <v>0</v>
      </c>
      <c r="E65">
        <v>88</v>
      </c>
      <c r="F65">
        <v>1.05</v>
      </c>
      <c r="G65">
        <v>3</v>
      </c>
      <c r="H65">
        <v>0</v>
      </c>
      <c r="I65">
        <v>16.63</v>
      </c>
      <c r="J65">
        <v>200</v>
      </c>
      <c r="K65" t="s">
        <v>186</v>
      </c>
      <c r="L65" t="s">
        <v>197</v>
      </c>
      <c r="M65" t="s">
        <v>240</v>
      </c>
      <c r="N65" t="s">
        <v>161</v>
      </c>
    </row>
    <row r="66" spans="1:14" x14ac:dyDescent="0.3">
      <c r="A66" t="s">
        <v>1133</v>
      </c>
      <c r="B66" t="s">
        <v>189</v>
      </c>
      <c r="C66">
        <v>65</v>
      </c>
      <c r="D66">
        <v>0</v>
      </c>
      <c r="E66">
        <v>207</v>
      </c>
      <c r="F66">
        <v>1.05</v>
      </c>
      <c r="G66">
        <v>2</v>
      </c>
      <c r="H66">
        <v>0</v>
      </c>
      <c r="I66">
        <v>20.65</v>
      </c>
      <c r="J66">
        <v>200</v>
      </c>
      <c r="K66" t="s">
        <v>1134</v>
      </c>
      <c r="L66" t="s">
        <v>756</v>
      </c>
      <c r="M66" t="s">
        <v>240</v>
      </c>
      <c r="N66" t="s">
        <v>173</v>
      </c>
    </row>
    <row r="67" spans="1:14" x14ac:dyDescent="0.3">
      <c r="A67" t="s">
        <v>1135</v>
      </c>
      <c r="B67" t="s">
        <v>189</v>
      </c>
      <c r="C67">
        <v>45</v>
      </c>
      <c r="D67">
        <v>0</v>
      </c>
      <c r="E67">
        <v>154</v>
      </c>
      <c r="F67">
        <v>1.1000000000000001</v>
      </c>
      <c r="G67">
        <v>2</v>
      </c>
      <c r="H67">
        <v>0</v>
      </c>
      <c r="I67">
        <v>19.43</v>
      </c>
      <c r="J67">
        <v>200</v>
      </c>
      <c r="K67" t="s">
        <v>170</v>
      </c>
      <c r="L67" t="s">
        <v>756</v>
      </c>
      <c r="M67" t="s">
        <v>240</v>
      </c>
      <c r="N67" t="s">
        <v>169</v>
      </c>
    </row>
    <row r="69" spans="1:14" x14ac:dyDescent="0.3">
      <c r="A69" t="s">
        <v>149</v>
      </c>
      <c r="B69" t="s">
        <v>11</v>
      </c>
      <c r="C69" t="s">
        <v>21</v>
      </c>
      <c r="D69" t="s">
        <v>53</v>
      </c>
      <c r="E69" t="s">
        <v>22</v>
      </c>
      <c r="F69" t="s">
        <v>266</v>
      </c>
      <c r="G69" t="s">
        <v>152</v>
      </c>
      <c r="H69" t="s">
        <v>193</v>
      </c>
      <c r="I69" t="s">
        <v>154</v>
      </c>
      <c r="J69" t="s">
        <v>156</v>
      </c>
    </row>
    <row r="70" spans="1:14" x14ac:dyDescent="0.3">
      <c r="A70" t="s">
        <v>254</v>
      </c>
      <c r="B70">
        <v>12</v>
      </c>
      <c r="C70">
        <v>150</v>
      </c>
      <c r="D70">
        <v>1</v>
      </c>
      <c r="E70">
        <v>2</v>
      </c>
      <c r="F70">
        <v>20.8</v>
      </c>
      <c r="G70">
        <v>60</v>
      </c>
      <c r="H70" t="s">
        <v>194</v>
      </c>
      <c r="I70" t="s">
        <v>195</v>
      </c>
      <c r="J70" t="s">
        <v>161</v>
      </c>
    </row>
    <row r="71" spans="1:14" x14ac:dyDescent="0.3">
      <c r="A71" t="s">
        <v>257</v>
      </c>
      <c r="B71">
        <v>12</v>
      </c>
      <c r="C71">
        <v>116</v>
      </c>
      <c r="D71">
        <v>1</v>
      </c>
      <c r="E71">
        <v>3</v>
      </c>
      <c r="F71">
        <v>21.87</v>
      </c>
      <c r="G71">
        <v>50</v>
      </c>
      <c r="H71" t="s">
        <v>178</v>
      </c>
      <c r="I71" t="s">
        <v>195</v>
      </c>
      <c r="J71" t="s">
        <v>161</v>
      </c>
    </row>
    <row r="72" spans="1:14" x14ac:dyDescent="0.3">
      <c r="A72" t="s">
        <v>255</v>
      </c>
      <c r="B72">
        <v>25</v>
      </c>
      <c r="C72">
        <v>206</v>
      </c>
      <c r="D72">
        <v>1</v>
      </c>
      <c r="E72">
        <v>3</v>
      </c>
      <c r="F72">
        <v>24.52</v>
      </c>
      <c r="G72">
        <v>60</v>
      </c>
      <c r="H72" t="s">
        <v>178</v>
      </c>
      <c r="I72" t="s">
        <v>195</v>
      </c>
      <c r="J72" t="s">
        <v>161</v>
      </c>
    </row>
    <row r="73" spans="1:14" x14ac:dyDescent="0.3">
      <c r="A73" t="s">
        <v>260</v>
      </c>
      <c r="B73">
        <v>25</v>
      </c>
      <c r="C73">
        <v>145</v>
      </c>
      <c r="D73">
        <v>1</v>
      </c>
      <c r="E73">
        <v>3</v>
      </c>
      <c r="F73">
        <v>22.22</v>
      </c>
      <c r="G73">
        <v>52</v>
      </c>
      <c r="H73" t="s">
        <v>178</v>
      </c>
      <c r="I73" t="s">
        <v>195</v>
      </c>
      <c r="J73" t="s">
        <v>196</v>
      </c>
    </row>
    <row r="74" spans="1:14" x14ac:dyDescent="0.3">
      <c r="A74" t="s">
        <v>258</v>
      </c>
      <c r="B74">
        <v>25</v>
      </c>
      <c r="C74">
        <v>156</v>
      </c>
      <c r="D74">
        <v>1</v>
      </c>
      <c r="E74">
        <v>4</v>
      </c>
      <c r="F74">
        <v>23.14</v>
      </c>
      <c r="G74">
        <v>50</v>
      </c>
      <c r="H74" t="s">
        <v>197</v>
      </c>
      <c r="I74" t="s">
        <v>195</v>
      </c>
      <c r="J74" t="s">
        <v>161</v>
      </c>
    </row>
    <row r="75" spans="1:14" x14ac:dyDescent="0.3">
      <c r="A75" t="s">
        <v>256</v>
      </c>
      <c r="B75">
        <v>45</v>
      </c>
      <c r="C75">
        <v>206</v>
      </c>
      <c r="D75">
        <v>1</v>
      </c>
      <c r="E75">
        <v>4</v>
      </c>
      <c r="F75">
        <v>28.54</v>
      </c>
      <c r="G75">
        <v>60</v>
      </c>
      <c r="H75" t="s">
        <v>197</v>
      </c>
      <c r="I75" t="s">
        <v>195</v>
      </c>
      <c r="J75" t="s">
        <v>161</v>
      </c>
    </row>
    <row r="76" spans="1:14" x14ac:dyDescent="0.3">
      <c r="A76" t="s">
        <v>259</v>
      </c>
      <c r="B76">
        <v>45</v>
      </c>
      <c r="C76">
        <v>145</v>
      </c>
      <c r="D76">
        <v>1</v>
      </c>
      <c r="E76">
        <v>4</v>
      </c>
      <c r="F76">
        <v>25.47</v>
      </c>
      <c r="G76">
        <v>52</v>
      </c>
      <c r="H76" t="s">
        <v>197</v>
      </c>
      <c r="I76" t="s">
        <v>195</v>
      </c>
      <c r="J76" t="s">
        <v>196</v>
      </c>
    </row>
    <row r="77" spans="1:14" x14ac:dyDescent="0.3">
      <c r="A77" t="s">
        <v>261</v>
      </c>
      <c r="B77">
        <v>45</v>
      </c>
      <c r="C77">
        <v>156</v>
      </c>
      <c r="D77">
        <v>1</v>
      </c>
      <c r="E77">
        <v>5</v>
      </c>
      <c r="F77">
        <v>26.44</v>
      </c>
      <c r="G77">
        <v>50</v>
      </c>
      <c r="H77" t="s">
        <v>195</v>
      </c>
      <c r="I77" t="s">
        <v>195</v>
      </c>
      <c r="J77" t="s">
        <v>161</v>
      </c>
    </row>
    <row r="78" spans="1:14" x14ac:dyDescent="0.3">
      <c r="A78" t="s">
        <v>262</v>
      </c>
      <c r="B78">
        <v>45</v>
      </c>
      <c r="C78">
        <v>133</v>
      </c>
      <c r="D78">
        <v>1</v>
      </c>
      <c r="E78">
        <v>5</v>
      </c>
      <c r="F78">
        <v>30.93</v>
      </c>
      <c r="G78">
        <v>52</v>
      </c>
      <c r="H78" t="s">
        <v>195</v>
      </c>
      <c r="I78" t="s">
        <v>195</v>
      </c>
      <c r="J78" t="s">
        <v>196</v>
      </c>
    </row>
    <row r="79" spans="1:14" x14ac:dyDescent="0.3">
      <c r="A79" t="s">
        <v>263</v>
      </c>
      <c r="B79">
        <v>70</v>
      </c>
      <c r="C79">
        <v>145</v>
      </c>
      <c r="D79">
        <v>1</v>
      </c>
      <c r="E79">
        <v>5</v>
      </c>
      <c r="F79">
        <v>29.4</v>
      </c>
      <c r="G79">
        <v>52</v>
      </c>
      <c r="H79" t="s">
        <v>195</v>
      </c>
      <c r="I79" t="s">
        <v>195</v>
      </c>
      <c r="J79" t="s">
        <v>196</v>
      </c>
    </row>
    <row r="80" spans="1:14" x14ac:dyDescent="0.3">
      <c r="A80" t="s">
        <v>264</v>
      </c>
      <c r="B80">
        <v>25</v>
      </c>
      <c r="C80">
        <v>162</v>
      </c>
      <c r="D80">
        <v>1</v>
      </c>
      <c r="E80">
        <v>3</v>
      </c>
      <c r="F80">
        <v>20.68</v>
      </c>
      <c r="G80">
        <v>50</v>
      </c>
      <c r="H80" t="s">
        <v>197</v>
      </c>
      <c r="I80" t="s">
        <v>195</v>
      </c>
      <c r="J80" t="s">
        <v>161</v>
      </c>
    </row>
    <row r="82" spans="1:4" x14ac:dyDescent="0.3">
      <c r="A82" t="s">
        <v>156</v>
      </c>
      <c r="B82" t="s">
        <v>8</v>
      </c>
      <c r="C82" t="s">
        <v>10</v>
      </c>
      <c r="D82" t="s">
        <v>12</v>
      </c>
    </row>
    <row r="83" spans="1:4" x14ac:dyDescent="0.3">
      <c r="A83" t="s">
        <v>161</v>
      </c>
      <c r="B83">
        <v>1</v>
      </c>
      <c r="C83">
        <v>0.5</v>
      </c>
      <c r="D83">
        <v>0.2</v>
      </c>
    </row>
    <row r="84" spans="1:4" x14ac:dyDescent="0.3">
      <c r="A84" t="s">
        <v>165</v>
      </c>
      <c r="B84">
        <v>1</v>
      </c>
      <c r="C84">
        <v>0.6</v>
      </c>
      <c r="D84">
        <v>0.2</v>
      </c>
    </row>
    <row r="85" spans="1:4" x14ac:dyDescent="0.3">
      <c r="A85" t="s">
        <v>169</v>
      </c>
      <c r="B85">
        <v>1.2</v>
      </c>
      <c r="C85">
        <v>0.6</v>
      </c>
      <c r="D85">
        <v>0.6</v>
      </c>
    </row>
    <row r="86" spans="1:4" x14ac:dyDescent="0.3">
      <c r="A86" t="s">
        <v>167</v>
      </c>
      <c r="B86">
        <v>0.9</v>
      </c>
      <c r="C86">
        <v>0.7</v>
      </c>
      <c r="D86">
        <v>0.4</v>
      </c>
    </row>
    <row r="88" spans="1:4" x14ac:dyDescent="0.3">
      <c r="A88" t="s">
        <v>156</v>
      </c>
      <c r="B88" t="s">
        <v>8</v>
      </c>
      <c r="C88" t="s">
        <v>10</v>
      </c>
      <c r="D88" t="s">
        <v>12</v>
      </c>
    </row>
    <row r="89" spans="1:4" x14ac:dyDescent="0.3">
      <c r="A89" t="s">
        <v>161</v>
      </c>
      <c r="B89">
        <v>1</v>
      </c>
      <c r="C89">
        <v>0.75</v>
      </c>
      <c r="D89">
        <v>0.4</v>
      </c>
    </row>
    <row r="90" spans="1:4" x14ac:dyDescent="0.3">
      <c r="A90" t="s">
        <v>172</v>
      </c>
      <c r="B90">
        <v>1.45</v>
      </c>
      <c r="C90">
        <v>1.05</v>
      </c>
      <c r="D90">
        <v>0.7</v>
      </c>
    </row>
    <row r="91" spans="1:4" x14ac:dyDescent="0.3">
      <c r="A91" t="s">
        <v>169</v>
      </c>
      <c r="B91">
        <v>1.4</v>
      </c>
      <c r="C91">
        <v>0.9</v>
      </c>
      <c r="D91">
        <v>0.7</v>
      </c>
    </row>
    <row r="92" spans="1:4" x14ac:dyDescent="0.3">
      <c r="A92" t="s">
        <v>173</v>
      </c>
      <c r="B92">
        <v>1.1000000000000001</v>
      </c>
      <c r="C92">
        <v>0.9</v>
      </c>
      <c r="D92">
        <v>0.7</v>
      </c>
    </row>
    <row r="93" spans="1:4" x14ac:dyDescent="0.3">
      <c r="A93" t="s">
        <v>167</v>
      </c>
      <c r="B93">
        <v>1</v>
      </c>
      <c r="C93">
        <v>0.8</v>
      </c>
      <c r="D93">
        <v>0.6</v>
      </c>
    </row>
    <row r="94" spans="1:4" x14ac:dyDescent="0.3">
      <c r="A94" t="s">
        <v>1132</v>
      </c>
      <c r="B94">
        <v>1.45</v>
      </c>
      <c r="C94">
        <v>1.1000000000000001</v>
      </c>
      <c r="D94">
        <v>0.75</v>
      </c>
    </row>
    <row r="96" spans="1:4" x14ac:dyDescent="0.3">
      <c r="A96" t="s">
        <v>156</v>
      </c>
      <c r="B96" t="s">
        <v>8</v>
      </c>
      <c r="C96" t="s">
        <v>10</v>
      </c>
      <c r="D96" t="s">
        <v>12</v>
      </c>
    </row>
    <row r="97" spans="1:4" x14ac:dyDescent="0.3">
      <c r="A97" t="s">
        <v>169</v>
      </c>
      <c r="B97">
        <v>1.35</v>
      </c>
      <c r="C97">
        <v>0.95</v>
      </c>
      <c r="D97">
        <v>0.7</v>
      </c>
    </row>
    <row r="98" spans="1:4" x14ac:dyDescent="0.3">
      <c r="A98" t="s">
        <v>167</v>
      </c>
      <c r="B98">
        <v>0.75</v>
      </c>
      <c r="C98">
        <v>1.1000000000000001</v>
      </c>
      <c r="D98">
        <v>0.75</v>
      </c>
    </row>
    <row r="99" spans="1:4" x14ac:dyDescent="0.3">
      <c r="A99" t="s">
        <v>161</v>
      </c>
      <c r="B99">
        <v>1</v>
      </c>
      <c r="C99">
        <v>0.9</v>
      </c>
      <c r="D99">
        <v>0.5</v>
      </c>
    </row>
    <row r="100" spans="1:4" x14ac:dyDescent="0.3">
      <c r="A100" t="s">
        <v>172</v>
      </c>
      <c r="B100">
        <v>1.35</v>
      </c>
      <c r="C100">
        <v>1</v>
      </c>
      <c r="D100">
        <v>0.75</v>
      </c>
    </row>
    <row r="102" spans="1:4" x14ac:dyDescent="0.3">
      <c r="A102" t="s">
        <v>156</v>
      </c>
      <c r="B102" t="s">
        <v>8</v>
      </c>
      <c r="C102" t="s">
        <v>10</v>
      </c>
      <c r="D102" t="s">
        <v>12</v>
      </c>
    </row>
    <row r="103" spans="1:4" x14ac:dyDescent="0.3">
      <c r="A103" t="s">
        <v>161</v>
      </c>
      <c r="B103">
        <v>0.7</v>
      </c>
      <c r="C103">
        <v>1</v>
      </c>
      <c r="D103">
        <v>0.9</v>
      </c>
    </row>
    <row r="104" spans="1:4" x14ac:dyDescent="0.3">
      <c r="A104" t="s">
        <v>190</v>
      </c>
      <c r="B104">
        <v>1.4</v>
      </c>
      <c r="C104">
        <v>1.1000000000000001</v>
      </c>
      <c r="D104">
        <v>0.9</v>
      </c>
    </row>
    <row r="105" spans="1:4" x14ac:dyDescent="0.3">
      <c r="A105" t="s">
        <v>191</v>
      </c>
      <c r="B105">
        <v>1.45</v>
      </c>
      <c r="C105">
        <v>1.05</v>
      </c>
      <c r="D105">
        <v>0.7</v>
      </c>
    </row>
    <row r="106" spans="1:4" x14ac:dyDescent="0.3">
      <c r="A106" t="s">
        <v>169</v>
      </c>
      <c r="B106">
        <v>1.4</v>
      </c>
      <c r="C106">
        <v>1.1000000000000001</v>
      </c>
      <c r="D106">
        <v>0.9</v>
      </c>
    </row>
    <row r="107" spans="1:4" x14ac:dyDescent="0.3">
      <c r="A107" t="s">
        <v>167</v>
      </c>
      <c r="B107">
        <v>0.45</v>
      </c>
      <c r="C107">
        <v>1.3</v>
      </c>
      <c r="D107">
        <v>1.1000000000000001</v>
      </c>
    </row>
    <row r="108" spans="1:4" x14ac:dyDescent="0.3">
      <c r="A108" t="s">
        <v>173</v>
      </c>
      <c r="B108">
        <v>0.55000000000000004</v>
      </c>
      <c r="C108">
        <v>1.45</v>
      </c>
      <c r="D108">
        <v>1.25</v>
      </c>
    </row>
    <row r="110" spans="1:4" x14ac:dyDescent="0.3">
      <c r="A110" t="s">
        <v>156</v>
      </c>
      <c r="B110" t="s">
        <v>8</v>
      </c>
      <c r="C110" t="s">
        <v>10</v>
      </c>
      <c r="D110" t="s">
        <v>12</v>
      </c>
    </row>
    <row r="111" spans="1:4" x14ac:dyDescent="0.3">
      <c r="A111" t="s">
        <v>161</v>
      </c>
      <c r="B111">
        <v>0.8</v>
      </c>
      <c r="C111">
        <v>1</v>
      </c>
      <c r="D111">
        <v>1.3</v>
      </c>
    </row>
    <row r="112" spans="1:4" x14ac:dyDescent="0.3">
      <c r="A112" t="s">
        <v>196</v>
      </c>
      <c r="B112">
        <v>0.8</v>
      </c>
      <c r="C112">
        <v>1</v>
      </c>
      <c r="D112">
        <v>1.3</v>
      </c>
    </row>
    <row r="114" spans="1:17" x14ac:dyDescent="0.3">
      <c r="A114" t="s">
        <v>156</v>
      </c>
      <c r="B114" t="s">
        <v>8</v>
      </c>
      <c r="C114" t="s">
        <v>10</v>
      </c>
      <c r="D114" t="s">
        <v>12</v>
      </c>
    </row>
    <row r="115" spans="1:17" x14ac:dyDescent="0.3">
      <c r="A115" t="s">
        <v>161</v>
      </c>
      <c r="B115">
        <v>0.8</v>
      </c>
      <c r="C115">
        <v>1</v>
      </c>
      <c r="D115">
        <v>1.3</v>
      </c>
    </row>
    <row r="116" spans="1:17" x14ac:dyDescent="0.3">
      <c r="A116" t="s">
        <v>1101</v>
      </c>
      <c r="B116">
        <v>0.8</v>
      </c>
      <c r="C116">
        <v>1</v>
      </c>
      <c r="D116">
        <v>1.3</v>
      </c>
    </row>
    <row r="118" spans="1:17" x14ac:dyDescent="0.3">
      <c r="A118" t="s">
        <v>150</v>
      </c>
      <c r="B118" t="s">
        <v>15</v>
      </c>
      <c r="C118" t="s">
        <v>267</v>
      </c>
    </row>
    <row r="119" spans="1:17" x14ac:dyDescent="0.3">
      <c r="A119" t="s">
        <v>157</v>
      </c>
      <c r="B119">
        <v>0.01</v>
      </c>
      <c r="C119">
        <v>0.26</v>
      </c>
    </row>
    <row r="120" spans="1:17" x14ac:dyDescent="0.3">
      <c r="A120" t="s">
        <v>174</v>
      </c>
      <c r="B120">
        <v>0.03</v>
      </c>
      <c r="C120">
        <v>0.28000000000000003</v>
      </c>
    </row>
    <row r="121" spans="1:17" x14ac:dyDescent="0.3">
      <c r="A121" t="s">
        <v>184</v>
      </c>
      <c r="B121">
        <v>0.08</v>
      </c>
      <c r="C121">
        <v>0.3</v>
      </c>
    </row>
    <row r="122" spans="1:17" x14ac:dyDescent="0.3">
      <c r="A122" t="s">
        <v>189</v>
      </c>
      <c r="B122">
        <v>0.5</v>
      </c>
      <c r="C122">
        <v>0</v>
      </c>
    </row>
    <row r="123" spans="1:17" x14ac:dyDescent="0.3">
      <c r="A123" t="s">
        <v>368</v>
      </c>
      <c r="B123">
        <v>0</v>
      </c>
      <c r="C123">
        <v>0</v>
      </c>
    </row>
    <row r="124" spans="1:17" x14ac:dyDescent="0.3">
      <c r="A124" t="s">
        <v>364</v>
      </c>
      <c r="B124">
        <v>0</v>
      </c>
      <c r="C124">
        <v>0</v>
      </c>
    </row>
    <row r="125" spans="1:17" x14ac:dyDescent="0.3">
      <c r="A125" t="s">
        <v>188</v>
      </c>
      <c r="B125">
        <v>0</v>
      </c>
      <c r="C125">
        <v>0</v>
      </c>
    </row>
    <row r="127" spans="1:17" x14ac:dyDescent="0.3">
      <c r="A127" t="s">
        <v>149</v>
      </c>
      <c r="B127" t="s">
        <v>7</v>
      </c>
      <c r="C127" t="s">
        <v>9</v>
      </c>
      <c r="D127" t="s">
        <v>265</v>
      </c>
      <c r="E127" t="s">
        <v>11</v>
      </c>
      <c r="F127" t="s">
        <v>293</v>
      </c>
      <c r="G127" t="s">
        <v>14</v>
      </c>
      <c r="H127" t="s">
        <v>294</v>
      </c>
      <c r="I127" t="s">
        <v>6</v>
      </c>
      <c r="J127" t="s">
        <v>295</v>
      </c>
      <c r="K127" t="s">
        <v>297</v>
      </c>
      <c r="L127" t="s">
        <v>296</v>
      </c>
      <c r="M127" t="s">
        <v>298</v>
      </c>
      <c r="N127" t="s">
        <v>271</v>
      </c>
      <c r="O127" t="s">
        <v>17</v>
      </c>
      <c r="P127" t="s">
        <v>300</v>
      </c>
      <c r="Q127" t="s">
        <v>299</v>
      </c>
    </row>
    <row r="128" spans="1:17" x14ac:dyDescent="0.3">
      <c r="A128" t="s">
        <v>272</v>
      </c>
      <c r="B128">
        <v>0</v>
      </c>
      <c r="C128">
        <v>0</v>
      </c>
      <c r="D128">
        <v>0</v>
      </c>
      <c r="E128">
        <v>0</v>
      </c>
      <c r="F128">
        <v>70</v>
      </c>
      <c r="G128">
        <v>0</v>
      </c>
      <c r="H128">
        <v>0</v>
      </c>
      <c r="I128">
        <v>0</v>
      </c>
      <c r="J128">
        <v>0</v>
      </c>
      <c r="K128">
        <v>0</v>
      </c>
      <c r="L128">
        <v>0</v>
      </c>
      <c r="M128">
        <v>0</v>
      </c>
      <c r="O128">
        <v>0</v>
      </c>
      <c r="P128">
        <v>0</v>
      </c>
      <c r="Q128">
        <v>0</v>
      </c>
    </row>
    <row r="129" spans="1:17" x14ac:dyDescent="0.3">
      <c r="A129" t="s">
        <v>273</v>
      </c>
      <c r="B129">
        <v>0</v>
      </c>
      <c r="C129">
        <v>0</v>
      </c>
      <c r="D129">
        <v>0</v>
      </c>
      <c r="E129">
        <v>0</v>
      </c>
      <c r="F129">
        <v>0</v>
      </c>
      <c r="G129">
        <v>0</v>
      </c>
      <c r="H129">
        <v>0</v>
      </c>
      <c r="I129">
        <v>35</v>
      </c>
      <c r="J129">
        <v>0</v>
      </c>
      <c r="K129">
        <v>0</v>
      </c>
      <c r="L129">
        <v>0</v>
      </c>
      <c r="M129">
        <v>0</v>
      </c>
      <c r="O129">
        <v>0</v>
      </c>
      <c r="P129">
        <v>0</v>
      </c>
      <c r="Q129">
        <v>0</v>
      </c>
    </row>
    <row r="130" spans="1:17" x14ac:dyDescent="0.3">
      <c r="A130" t="s">
        <v>274</v>
      </c>
      <c r="B130">
        <v>0</v>
      </c>
      <c r="C130">
        <v>0</v>
      </c>
      <c r="D130">
        <v>70</v>
      </c>
      <c r="E130">
        <v>0</v>
      </c>
      <c r="F130">
        <v>0</v>
      </c>
      <c r="G130">
        <v>0</v>
      </c>
      <c r="H130">
        <v>0</v>
      </c>
      <c r="I130">
        <v>0</v>
      </c>
      <c r="J130">
        <v>0</v>
      </c>
      <c r="K130">
        <v>0</v>
      </c>
      <c r="L130">
        <v>0</v>
      </c>
      <c r="M130">
        <v>0</v>
      </c>
      <c r="O130">
        <v>0</v>
      </c>
      <c r="P130">
        <v>0</v>
      </c>
      <c r="Q130">
        <v>0</v>
      </c>
    </row>
    <row r="131" spans="1:17" x14ac:dyDescent="0.3">
      <c r="A131" t="s">
        <v>276</v>
      </c>
      <c r="B131">
        <v>0</v>
      </c>
      <c r="C131">
        <v>7</v>
      </c>
      <c r="D131">
        <v>0</v>
      </c>
      <c r="E131">
        <v>0</v>
      </c>
      <c r="F131">
        <v>0</v>
      </c>
      <c r="G131">
        <v>35</v>
      </c>
      <c r="H131">
        <v>0</v>
      </c>
      <c r="I131">
        <v>0</v>
      </c>
      <c r="J131">
        <v>0</v>
      </c>
      <c r="K131">
        <v>0</v>
      </c>
      <c r="L131">
        <v>0</v>
      </c>
      <c r="M131">
        <v>0</v>
      </c>
      <c r="O131">
        <v>0</v>
      </c>
      <c r="P131">
        <v>0</v>
      </c>
      <c r="Q131">
        <v>0</v>
      </c>
    </row>
    <row r="132" spans="1:17" x14ac:dyDescent="0.3">
      <c r="A132" t="s">
        <v>277</v>
      </c>
      <c r="B132">
        <v>60</v>
      </c>
      <c r="F132">
        <v>70</v>
      </c>
    </row>
    <row r="133" spans="1:17" x14ac:dyDescent="0.3">
      <c r="A133" t="s">
        <v>307</v>
      </c>
      <c r="C133">
        <v>21</v>
      </c>
      <c r="I133">
        <v>24</v>
      </c>
    </row>
    <row r="134" spans="1:17" x14ac:dyDescent="0.3">
      <c r="A134" t="s">
        <v>280</v>
      </c>
      <c r="I134">
        <v>35</v>
      </c>
      <c r="J134">
        <v>8</v>
      </c>
    </row>
    <row r="135" spans="1:17" x14ac:dyDescent="0.3">
      <c r="A135" t="s">
        <v>306</v>
      </c>
      <c r="D135">
        <v>100</v>
      </c>
    </row>
    <row r="136" spans="1:17" x14ac:dyDescent="0.3">
      <c r="A136" t="s">
        <v>305</v>
      </c>
      <c r="C136">
        <v>30</v>
      </c>
      <c r="I136">
        <v>36</v>
      </c>
      <c r="N136" t="s">
        <v>282</v>
      </c>
    </row>
    <row r="137" spans="1:17" x14ac:dyDescent="0.3">
      <c r="A137" t="s">
        <v>283</v>
      </c>
      <c r="F137">
        <v>60</v>
      </c>
      <c r="M137">
        <v>0.04</v>
      </c>
    </row>
    <row r="138" spans="1:17" x14ac:dyDescent="0.3">
      <c r="A138" t="s">
        <v>287</v>
      </c>
      <c r="C138">
        <v>5</v>
      </c>
      <c r="G138">
        <v>17</v>
      </c>
    </row>
    <row r="139" spans="1:17" x14ac:dyDescent="0.3">
      <c r="A139" t="s">
        <v>289</v>
      </c>
      <c r="H139">
        <v>15</v>
      </c>
      <c r="I139">
        <v>35</v>
      </c>
    </row>
    <row r="140" spans="1:17" x14ac:dyDescent="0.3">
      <c r="A140" t="s">
        <v>290</v>
      </c>
      <c r="B140">
        <v>75</v>
      </c>
      <c r="F140">
        <v>100</v>
      </c>
    </row>
    <row r="141" spans="1:17" x14ac:dyDescent="0.3">
      <c r="A141" t="s">
        <v>291</v>
      </c>
      <c r="C141">
        <v>70</v>
      </c>
      <c r="L141">
        <v>0.08</v>
      </c>
    </row>
    <row r="142" spans="1:17" x14ac:dyDescent="0.3">
      <c r="A142" t="s">
        <v>303</v>
      </c>
      <c r="C142">
        <v>55</v>
      </c>
      <c r="I142">
        <v>15</v>
      </c>
      <c r="K142">
        <v>0.25</v>
      </c>
    </row>
    <row r="143" spans="1:17" x14ac:dyDescent="0.3">
      <c r="A143" t="s">
        <v>304</v>
      </c>
      <c r="E143">
        <v>100</v>
      </c>
      <c r="G143">
        <v>10</v>
      </c>
    </row>
    <row r="144" spans="1:17" x14ac:dyDescent="0.3">
      <c r="A144" t="s">
        <v>308</v>
      </c>
      <c r="D144">
        <v>55</v>
      </c>
      <c r="I144">
        <v>10</v>
      </c>
    </row>
    <row r="145" spans="1:17" x14ac:dyDescent="0.3">
      <c r="A145" t="s">
        <v>292</v>
      </c>
      <c r="H145">
        <v>15</v>
      </c>
      <c r="I145">
        <v>10</v>
      </c>
      <c r="L145">
        <v>0.05</v>
      </c>
      <c r="O145">
        <v>5</v>
      </c>
      <c r="P145">
        <v>0.05</v>
      </c>
      <c r="Q145">
        <v>0.05</v>
      </c>
    </row>
    <row r="146" spans="1:17" x14ac:dyDescent="0.3">
      <c r="A146" t="s">
        <v>1086</v>
      </c>
      <c r="C146">
        <v>32</v>
      </c>
      <c r="N146" t="s">
        <v>1087</v>
      </c>
    </row>
    <row r="148" spans="1:17" x14ac:dyDescent="0.3">
      <c r="A148" t="s">
        <v>149</v>
      </c>
      <c r="B148" t="s">
        <v>7</v>
      </c>
      <c r="C148" t="s">
        <v>9</v>
      </c>
      <c r="D148" t="s">
        <v>265</v>
      </c>
      <c r="E148" t="s">
        <v>11</v>
      </c>
      <c r="F148" t="s">
        <v>293</v>
      </c>
      <c r="G148" t="s">
        <v>14</v>
      </c>
      <c r="H148" t="s">
        <v>294</v>
      </c>
      <c r="I148" t="s">
        <v>6</v>
      </c>
      <c r="J148" t="s">
        <v>295</v>
      </c>
      <c r="K148" t="s">
        <v>1114</v>
      </c>
    </row>
    <row r="149" spans="1:17" x14ac:dyDescent="0.3">
      <c r="A149" s="7" t="s">
        <v>275</v>
      </c>
      <c r="B149" s="8">
        <v>350</v>
      </c>
      <c r="C149" s="8"/>
      <c r="D149" s="8"/>
      <c r="E149" s="8"/>
      <c r="F149" s="8"/>
      <c r="G149" s="8"/>
      <c r="H149" s="8"/>
      <c r="I149" s="8"/>
      <c r="J149" s="8"/>
      <c r="K149" s="41"/>
    </row>
    <row r="150" spans="1:17" x14ac:dyDescent="0.3">
      <c r="A150" s="9" t="s">
        <v>277</v>
      </c>
      <c r="B150" s="10">
        <v>60</v>
      </c>
      <c r="C150" s="10"/>
      <c r="D150" s="10"/>
      <c r="E150" s="10"/>
      <c r="F150" s="10">
        <v>70</v>
      </c>
      <c r="G150" s="10"/>
      <c r="H150" s="10"/>
      <c r="I150" s="10"/>
      <c r="J150" s="10"/>
      <c r="K150" s="8"/>
    </row>
    <row r="151" spans="1:17" x14ac:dyDescent="0.3">
      <c r="A151" s="7" t="s">
        <v>278</v>
      </c>
      <c r="B151" s="8">
        <v>266</v>
      </c>
      <c r="C151" s="8"/>
      <c r="D151" s="8"/>
      <c r="E151" s="8"/>
      <c r="F151" s="8"/>
      <c r="G151" s="8"/>
      <c r="H151" s="8"/>
      <c r="I151" s="8"/>
      <c r="J151" s="8"/>
      <c r="K151" s="8"/>
    </row>
    <row r="152" spans="1:17" x14ac:dyDescent="0.3">
      <c r="A152" s="9" t="s">
        <v>279</v>
      </c>
      <c r="B152" s="10">
        <v>350</v>
      </c>
      <c r="C152" s="10"/>
      <c r="D152" s="10"/>
      <c r="E152" s="10"/>
      <c r="F152" s="10"/>
      <c r="G152" s="10"/>
      <c r="H152" s="10">
        <v>5</v>
      </c>
      <c r="I152" s="10"/>
      <c r="J152" s="10"/>
      <c r="K152" s="8"/>
    </row>
    <row r="153" spans="1:17" x14ac:dyDescent="0.3">
      <c r="A153" s="7" t="s">
        <v>281</v>
      </c>
      <c r="B153" s="8">
        <v>300</v>
      </c>
      <c r="C153" s="8"/>
      <c r="D153" s="8"/>
      <c r="E153" s="8"/>
      <c r="F153" s="8"/>
      <c r="G153" s="8"/>
      <c r="H153" s="8"/>
      <c r="I153" s="8"/>
      <c r="J153" s="8"/>
      <c r="K153" s="8"/>
    </row>
    <row r="154" spans="1:17" x14ac:dyDescent="0.3">
      <c r="A154" s="9" t="s">
        <v>309</v>
      </c>
      <c r="B154" s="10">
        <v>44</v>
      </c>
      <c r="C154" s="10"/>
      <c r="D154" s="10"/>
      <c r="E154" s="10"/>
      <c r="F154" s="10"/>
      <c r="G154" s="10"/>
      <c r="H154" s="10">
        <v>17</v>
      </c>
      <c r="I154" s="10"/>
      <c r="J154" s="10"/>
      <c r="K154" s="8"/>
    </row>
    <row r="155" spans="1:17" x14ac:dyDescent="0.3">
      <c r="A155" s="7" t="s">
        <v>284</v>
      </c>
      <c r="B155" s="8">
        <v>245</v>
      </c>
      <c r="C155" s="8"/>
      <c r="D155" s="8"/>
      <c r="E155" s="8"/>
      <c r="F155" s="8"/>
      <c r="G155" s="8"/>
      <c r="H155" s="8"/>
      <c r="I155" s="8"/>
      <c r="J155" s="8">
        <v>8</v>
      </c>
      <c r="K155" s="8"/>
    </row>
    <row r="156" spans="1:17" x14ac:dyDescent="0.3">
      <c r="A156" s="9" t="s">
        <v>310</v>
      </c>
      <c r="B156" s="10">
        <v>60</v>
      </c>
      <c r="C156" s="10"/>
      <c r="D156" s="10"/>
      <c r="E156" s="10"/>
      <c r="F156" s="10"/>
      <c r="G156" s="10"/>
      <c r="H156" s="10">
        <v>40</v>
      </c>
      <c r="I156" s="10"/>
      <c r="J156" s="10"/>
      <c r="K156" s="8"/>
    </row>
    <row r="157" spans="1:17" x14ac:dyDescent="0.3">
      <c r="A157" s="7" t="s">
        <v>311</v>
      </c>
      <c r="B157" s="8">
        <v>75</v>
      </c>
      <c r="C157" s="8"/>
      <c r="D157" s="8"/>
      <c r="E157" s="8"/>
      <c r="F157" s="8"/>
      <c r="G157" s="8"/>
      <c r="H157" s="8">
        <v>35</v>
      </c>
      <c r="I157" s="8"/>
      <c r="J157" s="8"/>
      <c r="K157" s="8"/>
    </row>
    <row r="158" spans="1:17" x14ac:dyDescent="0.3">
      <c r="A158" s="9" t="s">
        <v>285</v>
      </c>
      <c r="B158" s="10">
        <v>44</v>
      </c>
      <c r="C158" s="10"/>
      <c r="D158" s="10"/>
      <c r="E158" s="10"/>
      <c r="F158" s="10"/>
      <c r="G158" s="10"/>
      <c r="H158" s="10">
        <v>17</v>
      </c>
      <c r="I158" s="10"/>
      <c r="J158" s="10"/>
      <c r="K158" s="8"/>
    </row>
    <row r="159" spans="1:17" x14ac:dyDescent="0.3">
      <c r="A159" s="7" t="s">
        <v>286</v>
      </c>
      <c r="B159" s="8">
        <v>500</v>
      </c>
      <c r="C159" s="8"/>
      <c r="D159" s="8"/>
      <c r="E159" s="8"/>
      <c r="F159" s="8"/>
      <c r="G159" s="8"/>
      <c r="H159" s="8"/>
      <c r="I159" s="8"/>
      <c r="J159" s="8"/>
      <c r="K159" s="8"/>
    </row>
    <row r="160" spans="1:17" x14ac:dyDescent="0.3">
      <c r="A160" s="9" t="s">
        <v>288</v>
      </c>
      <c r="B160" s="10">
        <v>500</v>
      </c>
      <c r="C160" s="10"/>
      <c r="D160" s="10"/>
      <c r="E160" s="10"/>
      <c r="F160" s="10"/>
      <c r="G160" s="10"/>
      <c r="H160" s="10"/>
      <c r="I160" s="10"/>
      <c r="J160" s="10"/>
      <c r="K160" s="8"/>
    </row>
    <row r="161" spans="1:11" x14ac:dyDescent="0.3">
      <c r="A161" s="12" t="s">
        <v>312</v>
      </c>
      <c r="B161" s="13">
        <v>500</v>
      </c>
      <c r="C161" s="13"/>
      <c r="D161" s="13"/>
      <c r="E161" s="13"/>
      <c r="F161" s="13"/>
      <c r="G161" s="13"/>
      <c r="H161" s="13"/>
      <c r="I161" s="13"/>
      <c r="J161" s="13"/>
      <c r="K161" s="8"/>
    </row>
    <row r="162" spans="1:11" x14ac:dyDescent="0.3">
      <c r="A162" s="12" t="s">
        <v>290</v>
      </c>
      <c r="B162" s="13">
        <v>75</v>
      </c>
      <c r="C162" s="13"/>
      <c r="D162" s="13"/>
      <c r="E162" s="13"/>
      <c r="F162" s="13">
        <v>100</v>
      </c>
      <c r="G162" s="13"/>
      <c r="H162" s="13"/>
      <c r="I162" s="13"/>
      <c r="J162" s="13"/>
      <c r="K162" s="8"/>
    </row>
    <row r="163" spans="1:11" x14ac:dyDescent="0.3">
      <c r="A163" s="12" t="s">
        <v>1112</v>
      </c>
      <c r="B163" s="13"/>
      <c r="C163" s="13"/>
      <c r="D163" s="13"/>
      <c r="E163" s="13"/>
      <c r="F163" s="13"/>
      <c r="G163" s="13"/>
      <c r="H163" s="13"/>
      <c r="I163" s="13"/>
      <c r="J163" s="13"/>
      <c r="K163" s="8">
        <v>85</v>
      </c>
    </row>
    <row r="164" spans="1:11" x14ac:dyDescent="0.3">
      <c r="A164" s="12" t="s">
        <v>1113</v>
      </c>
      <c r="B164" s="13"/>
      <c r="C164" s="13"/>
      <c r="D164" s="13"/>
      <c r="E164" s="13"/>
      <c r="F164" s="13"/>
      <c r="G164" s="13"/>
      <c r="H164" s="13"/>
      <c r="I164" s="13"/>
      <c r="J164" s="13"/>
      <c r="K164" s="8">
        <v>45</v>
      </c>
    </row>
    <row r="166" spans="1:11" x14ac:dyDescent="0.3">
      <c r="A166" t="s">
        <v>149</v>
      </c>
      <c r="B166" t="s">
        <v>293</v>
      </c>
      <c r="C166" t="s">
        <v>80</v>
      </c>
      <c r="D166" t="s">
        <v>74</v>
      </c>
      <c r="E166" t="s">
        <v>75</v>
      </c>
      <c r="F166" t="s">
        <v>1016</v>
      </c>
      <c r="G166" t="s">
        <v>76</v>
      </c>
      <c r="H166" t="s">
        <v>77</v>
      </c>
      <c r="I166" t="s">
        <v>78</v>
      </c>
      <c r="J166" t="s">
        <v>741</v>
      </c>
    </row>
    <row r="167" spans="1:11" x14ac:dyDescent="0.3">
      <c r="A167" t="s">
        <v>81</v>
      </c>
      <c r="B167">
        <v>12</v>
      </c>
      <c r="C167" t="s">
        <v>82</v>
      </c>
      <c r="J167">
        <v>11.72</v>
      </c>
    </row>
    <row r="168" spans="1:11" x14ac:dyDescent="0.3">
      <c r="A168" t="s">
        <v>83</v>
      </c>
      <c r="B168">
        <v>25</v>
      </c>
      <c r="C168" t="s">
        <v>82</v>
      </c>
      <c r="J168">
        <v>10.58</v>
      </c>
    </row>
    <row r="169" spans="1:11" x14ac:dyDescent="0.3">
      <c r="A169" t="s">
        <v>84</v>
      </c>
      <c r="B169">
        <v>25</v>
      </c>
      <c r="C169" t="s">
        <v>82</v>
      </c>
      <c r="E169">
        <v>2</v>
      </c>
      <c r="J169">
        <v>11.03</v>
      </c>
    </row>
    <row r="170" spans="1:11" x14ac:dyDescent="0.3">
      <c r="A170" t="s">
        <v>746</v>
      </c>
      <c r="B170">
        <v>45</v>
      </c>
      <c r="C170" t="s">
        <v>85</v>
      </c>
      <c r="F170">
        <v>2</v>
      </c>
      <c r="J170">
        <v>10.199999999999999</v>
      </c>
    </row>
    <row r="171" spans="1:11" x14ac:dyDescent="0.3">
      <c r="A171" t="s">
        <v>86</v>
      </c>
      <c r="B171">
        <v>45</v>
      </c>
      <c r="C171" t="s">
        <v>82</v>
      </c>
      <c r="E171">
        <v>2</v>
      </c>
      <c r="J171">
        <v>10.9</v>
      </c>
    </row>
    <row r="172" spans="1:11" x14ac:dyDescent="0.3">
      <c r="A172" t="s">
        <v>87</v>
      </c>
      <c r="B172">
        <v>25</v>
      </c>
      <c r="C172" t="s">
        <v>85</v>
      </c>
      <c r="J172">
        <v>8.98</v>
      </c>
    </row>
    <row r="173" spans="1:11" x14ac:dyDescent="0.3">
      <c r="A173" t="s">
        <v>88</v>
      </c>
      <c r="B173">
        <v>12</v>
      </c>
      <c r="C173" t="s">
        <v>82</v>
      </c>
      <c r="J173">
        <v>10.64</v>
      </c>
    </row>
    <row r="174" spans="1:11" x14ac:dyDescent="0.3">
      <c r="A174" t="s">
        <v>747</v>
      </c>
      <c r="B174">
        <v>25</v>
      </c>
      <c r="C174" t="s">
        <v>82</v>
      </c>
      <c r="E174">
        <v>1</v>
      </c>
      <c r="J174">
        <v>10.85</v>
      </c>
    </row>
    <row r="175" spans="1:11" x14ac:dyDescent="0.3">
      <c r="A175" t="s">
        <v>748</v>
      </c>
      <c r="B175">
        <v>45</v>
      </c>
      <c r="C175" t="s">
        <v>82</v>
      </c>
      <c r="E175">
        <v>2</v>
      </c>
      <c r="J175">
        <v>10.6</v>
      </c>
    </row>
    <row r="176" spans="1:11" x14ac:dyDescent="0.3">
      <c r="A176" t="s">
        <v>89</v>
      </c>
      <c r="B176">
        <v>45</v>
      </c>
      <c r="C176" t="s">
        <v>85</v>
      </c>
      <c r="E176">
        <v>2</v>
      </c>
      <c r="J176">
        <v>10.61</v>
      </c>
    </row>
    <row r="177" spans="1:10" x14ac:dyDescent="0.3">
      <c r="A177" t="s">
        <v>90</v>
      </c>
      <c r="B177">
        <v>12</v>
      </c>
      <c r="C177" t="s">
        <v>82</v>
      </c>
      <c r="J177">
        <v>10.76</v>
      </c>
    </row>
    <row r="178" spans="1:10" x14ac:dyDescent="0.3">
      <c r="A178" t="s">
        <v>91</v>
      </c>
      <c r="B178">
        <v>25</v>
      </c>
      <c r="C178" t="s">
        <v>82</v>
      </c>
      <c r="D178">
        <v>2</v>
      </c>
      <c r="J178">
        <v>10.27</v>
      </c>
    </row>
    <row r="179" spans="1:10" x14ac:dyDescent="0.3">
      <c r="A179" t="s">
        <v>92</v>
      </c>
      <c r="B179">
        <v>45</v>
      </c>
      <c r="C179" t="s">
        <v>82</v>
      </c>
      <c r="D179">
        <v>2</v>
      </c>
      <c r="J179">
        <v>9.52</v>
      </c>
    </row>
    <row r="180" spans="1:10" x14ac:dyDescent="0.3">
      <c r="A180" t="s">
        <v>93</v>
      </c>
      <c r="B180">
        <v>45</v>
      </c>
      <c r="C180" t="s">
        <v>82</v>
      </c>
      <c r="E180">
        <v>2</v>
      </c>
      <c r="J180">
        <v>10.44</v>
      </c>
    </row>
    <row r="181" spans="1:10" x14ac:dyDescent="0.3">
      <c r="A181" t="s">
        <v>743</v>
      </c>
      <c r="B181">
        <v>25</v>
      </c>
      <c r="C181" t="s">
        <v>82</v>
      </c>
      <c r="J181">
        <v>10.58</v>
      </c>
    </row>
    <row r="182" spans="1:10" x14ac:dyDescent="0.3">
      <c r="A182" t="s">
        <v>744</v>
      </c>
      <c r="B182">
        <v>45</v>
      </c>
      <c r="C182" t="s">
        <v>82</v>
      </c>
      <c r="J182">
        <v>9.24</v>
      </c>
    </row>
    <row r="183" spans="1:10" x14ac:dyDescent="0.3">
      <c r="A183" t="s">
        <v>94</v>
      </c>
      <c r="B183">
        <v>12</v>
      </c>
      <c r="C183" t="s">
        <v>82</v>
      </c>
      <c r="D183">
        <v>2</v>
      </c>
      <c r="I183">
        <v>1</v>
      </c>
      <c r="J183">
        <v>12.67</v>
      </c>
    </row>
    <row r="184" spans="1:10" x14ac:dyDescent="0.3">
      <c r="A184" t="s">
        <v>745</v>
      </c>
      <c r="B184">
        <v>45</v>
      </c>
      <c r="C184" t="s">
        <v>85</v>
      </c>
      <c r="D184">
        <v>2</v>
      </c>
      <c r="I184">
        <v>1</v>
      </c>
      <c r="J184">
        <v>11.71</v>
      </c>
    </row>
    <row r="185" spans="1:10" x14ac:dyDescent="0.3">
      <c r="A185" t="s">
        <v>95</v>
      </c>
      <c r="B185">
        <v>45</v>
      </c>
      <c r="C185" t="s">
        <v>82</v>
      </c>
      <c r="H185">
        <v>2</v>
      </c>
      <c r="J185">
        <v>11.71</v>
      </c>
    </row>
    <row r="186" spans="1:10" x14ac:dyDescent="0.3">
      <c r="A186" t="s">
        <v>96</v>
      </c>
      <c r="B186">
        <v>25</v>
      </c>
      <c r="C186" t="s">
        <v>82</v>
      </c>
      <c r="E186">
        <v>2</v>
      </c>
      <c r="I186">
        <v>1</v>
      </c>
      <c r="J186">
        <v>11.88</v>
      </c>
    </row>
    <row r="187" spans="1:10" x14ac:dyDescent="0.3">
      <c r="A187" t="s">
        <v>97</v>
      </c>
      <c r="B187">
        <v>12</v>
      </c>
      <c r="C187" t="s">
        <v>82</v>
      </c>
      <c r="E187">
        <v>1</v>
      </c>
      <c r="J187">
        <v>11.8</v>
      </c>
    </row>
    <row r="188" spans="1:10" x14ac:dyDescent="0.3">
      <c r="A188" t="s">
        <v>98</v>
      </c>
      <c r="B188">
        <v>25</v>
      </c>
      <c r="C188" t="s">
        <v>82</v>
      </c>
      <c r="D188">
        <v>2</v>
      </c>
      <c r="J188">
        <v>9.18</v>
      </c>
    </row>
    <row r="189" spans="1:10" x14ac:dyDescent="0.3">
      <c r="A189" t="s">
        <v>99</v>
      </c>
      <c r="B189">
        <v>45</v>
      </c>
      <c r="C189" t="s">
        <v>85</v>
      </c>
      <c r="G189">
        <v>2</v>
      </c>
      <c r="J189">
        <v>11.11</v>
      </c>
    </row>
    <row r="190" spans="1:10" x14ac:dyDescent="0.3">
      <c r="A190" t="s">
        <v>100</v>
      </c>
      <c r="B190">
        <v>25</v>
      </c>
      <c r="C190" t="s">
        <v>82</v>
      </c>
      <c r="D190">
        <v>2</v>
      </c>
      <c r="E190">
        <v>1</v>
      </c>
      <c r="J190">
        <v>10.93</v>
      </c>
    </row>
    <row r="191" spans="1:10" x14ac:dyDescent="0.3">
      <c r="A191" t="s">
        <v>101</v>
      </c>
      <c r="B191">
        <v>45</v>
      </c>
      <c r="C191" t="s">
        <v>82</v>
      </c>
      <c r="D191">
        <v>2</v>
      </c>
      <c r="G191">
        <v>1</v>
      </c>
      <c r="J191">
        <v>10.44</v>
      </c>
    </row>
    <row r="192" spans="1:10" x14ac:dyDescent="0.3">
      <c r="A192" t="s">
        <v>102</v>
      </c>
      <c r="B192">
        <v>25</v>
      </c>
      <c r="C192" t="s">
        <v>82</v>
      </c>
      <c r="D192">
        <v>4</v>
      </c>
      <c r="G192">
        <v>1</v>
      </c>
      <c r="J192">
        <v>11.57</v>
      </c>
    </row>
    <row r="193" spans="1:10" x14ac:dyDescent="0.3">
      <c r="A193" t="s">
        <v>1044</v>
      </c>
      <c r="B193">
        <v>25</v>
      </c>
      <c r="C193" t="s">
        <v>82</v>
      </c>
      <c r="E193">
        <v>1</v>
      </c>
      <c r="J193">
        <v>13.97</v>
      </c>
    </row>
    <row r="194" spans="1:10" x14ac:dyDescent="0.3">
      <c r="A194" t="s">
        <v>1085</v>
      </c>
      <c r="B194">
        <v>25</v>
      </c>
      <c r="C194" t="s">
        <v>82</v>
      </c>
      <c r="D194">
        <v>0</v>
      </c>
      <c r="E194">
        <v>0</v>
      </c>
      <c r="F194">
        <v>0</v>
      </c>
      <c r="G194">
        <v>0</v>
      </c>
      <c r="H194">
        <v>1</v>
      </c>
      <c r="I194">
        <v>0</v>
      </c>
      <c r="J194">
        <v>14.3</v>
      </c>
    </row>
    <row r="196" spans="1:10" x14ac:dyDescent="0.3">
      <c r="A196" t="s">
        <v>149</v>
      </c>
      <c r="B196" t="s">
        <v>293</v>
      </c>
      <c r="C196" t="s">
        <v>80</v>
      </c>
      <c r="D196" t="s">
        <v>79</v>
      </c>
      <c r="E196" t="s">
        <v>52</v>
      </c>
      <c r="F196" t="s">
        <v>132</v>
      </c>
      <c r="G196" t="s">
        <v>741</v>
      </c>
    </row>
    <row r="197" spans="1:10" x14ac:dyDescent="0.3">
      <c r="A197" t="s">
        <v>133</v>
      </c>
      <c r="B197">
        <v>12</v>
      </c>
      <c r="C197" t="s">
        <v>82</v>
      </c>
      <c r="D197">
        <v>2</v>
      </c>
      <c r="E197">
        <v>215</v>
      </c>
      <c r="F197">
        <v>2</v>
      </c>
      <c r="G197">
        <v>14.13</v>
      </c>
    </row>
    <row r="198" spans="1:10" x14ac:dyDescent="0.3">
      <c r="A198" t="s">
        <v>134</v>
      </c>
      <c r="B198">
        <v>25</v>
      </c>
      <c r="C198" t="s">
        <v>82</v>
      </c>
      <c r="D198">
        <v>3</v>
      </c>
      <c r="E198">
        <v>288</v>
      </c>
      <c r="F198">
        <v>3</v>
      </c>
      <c r="G198">
        <v>14.57</v>
      </c>
    </row>
    <row r="199" spans="1:10" x14ac:dyDescent="0.3">
      <c r="A199" t="s">
        <v>135</v>
      </c>
      <c r="B199">
        <v>25</v>
      </c>
      <c r="C199" t="s">
        <v>82</v>
      </c>
      <c r="D199">
        <v>2</v>
      </c>
      <c r="E199">
        <v>288</v>
      </c>
      <c r="F199">
        <v>2</v>
      </c>
      <c r="G199">
        <v>11.97</v>
      </c>
    </row>
    <row r="200" spans="1:10" x14ac:dyDescent="0.3">
      <c r="A200" t="s">
        <v>1052</v>
      </c>
      <c r="B200">
        <v>45</v>
      </c>
      <c r="C200" t="s">
        <v>85</v>
      </c>
      <c r="D200">
        <v>3</v>
      </c>
      <c r="E200">
        <v>264</v>
      </c>
      <c r="F200">
        <v>3</v>
      </c>
      <c r="G200">
        <v>10.97</v>
      </c>
    </row>
    <row r="201" spans="1:10" x14ac:dyDescent="0.3">
      <c r="A201" t="s">
        <v>137</v>
      </c>
      <c r="B201">
        <v>45</v>
      </c>
      <c r="C201" t="s">
        <v>82</v>
      </c>
      <c r="D201">
        <v>3</v>
      </c>
      <c r="E201">
        <v>288</v>
      </c>
      <c r="F201">
        <v>3</v>
      </c>
      <c r="G201">
        <v>10.31</v>
      </c>
    </row>
    <row r="202" spans="1:10" x14ac:dyDescent="0.3">
      <c r="A202" t="s">
        <v>138</v>
      </c>
      <c r="B202">
        <v>45</v>
      </c>
      <c r="C202" t="s">
        <v>85</v>
      </c>
      <c r="D202">
        <v>3</v>
      </c>
      <c r="E202">
        <v>288</v>
      </c>
      <c r="F202">
        <v>3</v>
      </c>
      <c r="G202">
        <v>11.64</v>
      </c>
    </row>
    <row r="203" spans="1:10" x14ac:dyDescent="0.3">
      <c r="A203" t="s">
        <v>139</v>
      </c>
      <c r="B203">
        <v>12</v>
      </c>
      <c r="C203" t="s">
        <v>82</v>
      </c>
      <c r="D203">
        <v>2</v>
      </c>
      <c r="E203">
        <v>164</v>
      </c>
      <c r="F203">
        <v>2</v>
      </c>
      <c r="G203">
        <v>13.33</v>
      </c>
    </row>
    <row r="204" spans="1:10" x14ac:dyDescent="0.3">
      <c r="A204" t="s">
        <v>140</v>
      </c>
      <c r="B204">
        <v>25</v>
      </c>
      <c r="C204" t="s">
        <v>82</v>
      </c>
      <c r="D204">
        <v>3</v>
      </c>
      <c r="E204">
        <v>240</v>
      </c>
      <c r="F204">
        <v>3</v>
      </c>
      <c r="G204">
        <v>11.63</v>
      </c>
    </row>
    <row r="205" spans="1:10" x14ac:dyDescent="0.3">
      <c r="A205" t="s">
        <v>141</v>
      </c>
      <c r="B205">
        <v>45</v>
      </c>
      <c r="C205" t="s">
        <v>82</v>
      </c>
      <c r="D205">
        <v>3</v>
      </c>
      <c r="E205">
        <v>260</v>
      </c>
      <c r="F205">
        <v>3</v>
      </c>
      <c r="G205">
        <v>11.37</v>
      </c>
    </row>
    <row r="206" spans="1:10" x14ac:dyDescent="0.3">
      <c r="A206" t="s">
        <v>1010</v>
      </c>
      <c r="B206">
        <v>45</v>
      </c>
      <c r="C206" t="s">
        <v>82</v>
      </c>
      <c r="D206">
        <v>2</v>
      </c>
      <c r="E206">
        <v>296</v>
      </c>
      <c r="F206">
        <v>2</v>
      </c>
      <c r="G206">
        <v>12.04</v>
      </c>
    </row>
    <row r="207" spans="1:10" x14ac:dyDescent="0.3">
      <c r="A207" t="s">
        <v>1011</v>
      </c>
      <c r="B207">
        <v>45</v>
      </c>
      <c r="C207" t="s">
        <v>82</v>
      </c>
      <c r="D207">
        <v>3</v>
      </c>
      <c r="E207">
        <v>342</v>
      </c>
      <c r="F207">
        <v>3</v>
      </c>
      <c r="G207">
        <v>12.04</v>
      </c>
    </row>
    <row r="209" spans="1:8" x14ac:dyDescent="0.3">
      <c r="A209" t="s">
        <v>73</v>
      </c>
      <c r="B209" t="s">
        <v>758</v>
      </c>
      <c r="C209" t="s">
        <v>8</v>
      </c>
      <c r="D209" t="s">
        <v>10</v>
      </c>
      <c r="E209" t="s">
        <v>12</v>
      </c>
    </row>
    <row r="210" spans="1:8" x14ac:dyDescent="0.3">
      <c r="A210" t="s">
        <v>74</v>
      </c>
      <c r="B210">
        <v>173</v>
      </c>
      <c r="C210" s="6">
        <v>0.8</v>
      </c>
      <c r="D210" s="6">
        <v>0.85</v>
      </c>
      <c r="E210" s="6">
        <v>1</v>
      </c>
    </row>
    <row r="211" spans="1:8" x14ac:dyDescent="0.3">
      <c r="A211" t="s">
        <v>75</v>
      </c>
      <c r="B211">
        <v>360</v>
      </c>
      <c r="C211" s="6">
        <v>0.8</v>
      </c>
      <c r="D211" s="6">
        <v>0.9</v>
      </c>
      <c r="E211" s="6">
        <v>1.1000000000000001</v>
      </c>
    </row>
    <row r="212" spans="1:8" x14ac:dyDescent="0.3">
      <c r="A212" t="s">
        <v>1016</v>
      </c>
      <c r="B212">
        <v>380</v>
      </c>
      <c r="C212" s="6">
        <v>0.8</v>
      </c>
      <c r="D212" s="6">
        <v>0.9</v>
      </c>
      <c r="E212" s="6">
        <v>1.1000000000000001</v>
      </c>
    </row>
    <row r="213" spans="1:8" x14ac:dyDescent="0.3">
      <c r="A213" t="s">
        <v>76</v>
      </c>
      <c r="B213">
        <v>402</v>
      </c>
      <c r="C213" s="6">
        <v>0.8</v>
      </c>
      <c r="D213" s="6">
        <v>0.95</v>
      </c>
      <c r="E213" s="6">
        <v>1.1499999999999999</v>
      </c>
    </row>
    <row r="214" spans="1:8" x14ac:dyDescent="0.3">
      <c r="A214" t="s">
        <v>77</v>
      </c>
      <c r="B214">
        <v>429</v>
      </c>
      <c r="C214" s="6">
        <v>0.75</v>
      </c>
      <c r="D214" s="6">
        <v>1</v>
      </c>
      <c r="E214" s="6">
        <v>1.2</v>
      </c>
    </row>
    <row r="215" spans="1:8" x14ac:dyDescent="0.3">
      <c r="A215" t="s">
        <v>78</v>
      </c>
      <c r="B215">
        <v>456</v>
      </c>
      <c r="C215" s="6">
        <v>0.7</v>
      </c>
      <c r="D215" s="6">
        <v>1.05</v>
      </c>
      <c r="E215" s="6">
        <v>1.25</v>
      </c>
    </row>
    <row r="217" spans="1:8" x14ac:dyDescent="0.3">
      <c r="A217" t="s">
        <v>105</v>
      </c>
      <c r="B217" t="s">
        <v>68</v>
      </c>
    </row>
    <row r="218" spans="1:8" x14ac:dyDescent="0.3">
      <c r="A218" t="s">
        <v>8</v>
      </c>
      <c r="B218" s="1">
        <v>0.8</v>
      </c>
    </row>
    <row r="219" spans="1:8" x14ac:dyDescent="0.3">
      <c r="A219" t="s">
        <v>10</v>
      </c>
      <c r="B219" s="1">
        <v>1.1000000000000001</v>
      </c>
    </row>
    <row r="220" spans="1:8" x14ac:dyDescent="0.3">
      <c r="A220" t="s">
        <v>12</v>
      </c>
      <c r="B220" s="1">
        <v>1.3</v>
      </c>
    </row>
    <row r="222" spans="1:8" x14ac:dyDescent="0.3">
      <c r="A222" t="s">
        <v>149</v>
      </c>
      <c r="B222" t="s">
        <v>265</v>
      </c>
      <c r="C222" t="s">
        <v>981</v>
      </c>
      <c r="D222" t="s">
        <v>741</v>
      </c>
      <c r="E222" t="s">
        <v>982</v>
      </c>
      <c r="F222" t="s">
        <v>152</v>
      </c>
      <c r="G222" t="s">
        <v>192</v>
      </c>
      <c r="H222" t="s">
        <v>762</v>
      </c>
    </row>
    <row r="223" spans="1:8" x14ac:dyDescent="0.3">
      <c r="A223" t="s">
        <v>985</v>
      </c>
      <c r="B223">
        <v>12</v>
      </c>
      <c r="C223">
        <v>15</v>
      </c>
      <c r="D223">
        <v>0.33</v>
      </c>
      <c r="E223">
        <v>18.07</v>
      </c>
      <c r="F223">
        <v>15</v>
      </c>
      <c r="G223" t="s">
        <v>764</v>
      </c>
      <c r="H223">
        <v>0</v>
      </c>
    </row>
    <row r="224" spans="1:8" x14ac:dyDescent="0.3">
      <c r="A224" t="s">
        <v>986</v>
      </c>
      <c r="B224">
        <v>12</v>
      </c>
      <c r="C224">
        <v>20</v>
      </c>
      <c r="D224">
        <v>0.47</v>
      </c>
      <c r="E224">
        <v>20.62</v>
      </c>
      <c r="F224">
        <v>18</v>
      </c>
      <c r="G224" t="s">
        <v>764</v>
      </c>
      <c r="H224">
        <v>0</v>
      </c>
    </row>
    <row r="225" spans="1:8" x14ac:dyDescent="0.3">
      <c r="A225" t="s">
        <v>987</v>
      </c>
      <c r="B225">
        <v>12</v>
      </c>
      <c r="C225">
        <v>21</v>
      </c>
      <c r="D225">
        <v>0.53</v>
      </c>
      <c r="E225">
        <v>20.39</v>
      </c>
      <c r="F225">
        <v>20</v>
      </c>
      <c r="G225" t="s">
        <v>914</v>
      </c>
      <c r="H225">
        <v>0</v>
      </c>
    </row>
    <row r="226" spans="1:8" x14ac:dyDescent="0.3">
      <c r="A226" t="s">
        <v>988</v>
      </c>
      <c r="B226">
        <v>12</v>
      </c>
      <c r="C226">
        <v>24</v>
      </c>
      <c r="D226">
        <v>0.63</v>
      </c>
      <c r="E226">
        <v>21.24</v>
      </c>
      <c r="F226">
        <v>23</v>
      </c>
      <c r="G226" t="s">
        <v>940</v>
      </c>
      <c r="H226">
        <v>0</v>
      </c>
    </row>
    <row r="227" spans="1:8" x14ac:dyDescent="0.3">
      <c r="A227" t="s">
        <v>989</v>
      </c>
      <c r="B227">
        <v>12</v>
      </c>
      <c r="C227">
        <v>45</v>
      </c>
      <c r="D227">
        <v>0.88</v>
      </c>
      <c r="E227">
        <v>32.61</v>
      </c>
      <c r="F227">
        <v>25</v>
      </c>
      <c r="G227" t="s">
        <v>852</v>
      </c>
      <c r="H227">
        <v>0</v>
      </c>
    </row>
    <row r="228" spans="1:8" x14ac:dyDescent="0.3">
      <c r="A228" t="s">
        <v>990</v>
      </c>
      <c r="B228">
        <v>5</v>
      </c>
      <c r="C228">
        <v>31</v>
      </c>
      <c r="D228">
        <v>0.89</v>
      </c>
      <c r="E228">
        <v>22.3</v>
      </c>
      <c r="F228">
        <v>18</v>
      </c>
      <c r="G228" t="s">
        <v>940</v>
      </c>
      <c r="H228">
        <v>0</v>
      </c>
    </row>
    <row r="229" spans="1:8" x14ac:dyDescent="0.3">
      <c r="A229" t="s">
        <v>991</v>
      </c>
      <c r="B229">
        <v>12</v>
      </c>
      <c r="C229">
        <v>42</v>
      </c>
      <c r="D229">
        <v>1.24</v>
      </c>
      <c r="E229">
        <v>24.14</v>
      </c>
      <c r="F229">
        <v>32</v>
      </c>
      <c r="G229" t="s">
        <v>852</v>
      </c>
      <c r="H229">
        <v>0</v>
      </c>
    </row>
    <row r="230" spans="1:8" x14ac:dyDescent="0.3">
      <c r="A230" t="s">
        <v>992</v>
      </c>
      <c r="B230">
        <v>25</v>
      </c>
      <c r="C230">
        <v>116</v>
      </c>
      <c r="D230">
        <v>1.52</v>
      </c>
      <c r="E230">
        <v>57.43</v>
      </c>
      <c r="F230">
        <v>35</v>
      </c>
      <c r="G230" t="s">
        <v>914</v>
      </c>
      <c r="H230">
        <v>0</v>
      </c>
    </row>
    <row r="231" spans="1:8" x14ac:dyDescent="0.3">
      <c r="A231" t="s">
        <v>995</v>
      </c>
      <c r="B231">
        <v>25</v>
      </c>
      <c r="C231">
        <v>40</v>
      </c>
      <c r="D231">
        <v>0.61</v>
      </c>
      <c r="E231">
        <v>36.04</v>
      </c>
      <c r="F231">
        <v>20</v>
      </c>
      <c r="G231" t="s">
        <v>914</v>
      </c>
      <c r="H231">
        <v>0</v>
      </c>
    </row>
    <row r="232" spans="1:8" x14ac:dyDescent="0.3">
      <c r="A232" t="s">
        <v>994</v>
      </c>
      <c r="B232">
        <v>25</v>
      </c>
      <c r="C232">
        <v>54</v>
      </c>
      <c r="D232">
        <v>0.64</v>
      </c>
      <c r="E232">
        <v>47.37</v>
      </c>
      <c r="F232">
        <v>20</v>
      </c>
      <c r="G232" t="s">
        <v>914</v>
      </c>
      <c r="H232">
        <v>0</v>
      </c>
    </row>
    <row r="233" spans="1:8" x14ac:dyDescent="0.3">
      <c r="A233" t="s">
        <v>993</v>
      </c>
      <c r="B233">
        <v>25</v>
      </c>
      <c r="C233">
        <v>54</v>
      </c>
      <c r="D233">
        <v>0.88</v>
      </c>
      <c r="E233">
        <v>39.130000000000003</v>
      </c>
      <c r="F233">
        <v>30</v>
      </c>
      <c r="G233" t="s">
        <v>764</v>
      </c>
      <c r="H233">
        <v>0</v>
      </c>
    </row>
    <row r="234" spans="1:8" x14ac:dyDescent="0.3">
      <c r="A234" t="s">
        <v>1000</v>
      </c>
      <c r="B234">
        <v>25</v>
      </c>
      <c r="C234">
        <v>45</v>
      </c>
      <c r="D234">
        <v>0.52</v>
      </c>
      <c r="E234">
        <v>44.12</v>
      </c>
      <c r="F234">
        <v>18</v>
      </c>
      <c r="G234" t="s">
        <v>764</v>
      </c>
      <c r="H234">
        <v>0</v>
      </c>
    </row>
    <row r="235" spans="1:8" x14ac:dyDescent="0.3">
      <c r="A235" t="s">
        <v>999</v>
      </c>
      <c r="B235">
        <v>25</v>
      </c>
      <c r="C235">
        <v>50</v>
      </c>
      <c r="D235">
        <v>0.63</v>
      </c>
      <c r="E235">
        <v>44.25</v>
      </c>
      <c r="F235">
        <v>23</v>
      </c>
      <c r="G235" t="s">
        <v>940</v>
      </c>
      <c r="H235">
        <v>0</v>
      </c>
    </row>
    <row r="236" spans="1:8" x14ac:dyDescent="0.3">
      <c r="A236" t="s">
        <v>998</v>
      </c>
      <c r="B236">
        <v>25</v>
      </c>
      <c r="C236">
        <v>62</v>
      </c>
      <c r="D236">
        <v>0.79</v>
      </c>
      <c r="E236">
        <v>48.06</v>
      </c>
      <c r="F236">
        <v>28</v>
      </c>
      <c r="G236" t="s">
        <v>764</v>
      </c>
      <c r="H236">
        <v>0</v>
      </c>
    </row>
    <row r="237" spans="1:8" x14ac:dyDescent="0.3">
      <c r="A237" t="s">
        <v>996</v>
      </c>
      <c r="B237">
        <v>25</v>
      </c>
      <c r="C237">
        <v>72</v>
      </c>
      <c r="D237">
        <v>0.87</v>
      </c>
      <c r="E237">
        <v>52.55</v>
      </c>
      <c r="F237">
        <v>21</v>
      </c>
      <c r="G237" t="s">
        <v>764</v>
      </c>
      <c r="H237">
        <v>0</v>
      </c>
    </row>
    <row r="238" spans="1:8" x14ac:dyDescent="0.3">
      <c r="A238" t="s">
        <v>997</v>
      </c>
      <c r="B238">
        <v>25</v>
      </c>
      <c r="C238">
        <v>84</v>
      </c>
      <c r="D238">
        <v>1.04</v>
      </c>
      <c r="E238">
        <v>54.55</v>
      </c>
      <c r="F238">
        <v>25</v>
      </c>
      <c r="G238" t="s">
        <v>852</v>
      </c>
      <c r="H238">
        <v>0</v>
      </c>
    </row>
    <row r="239" spans="1:8" x14ac:dyDescent="0.3">
      <c r="A239" t="s">
        <v>1001</v>
      </c>
      <c r="B239">
        <v>25</v>
      </c>
      <c r="C239">
        <v>65</v>
      </c>
      <c r="D239">
        <v>0.79</v>
      </c>
      <c r="E239">
        <v>50.39</v>
      </c>
      <c r="F239">
        <v>24</v>
      </c>
      <c r="G239" t="s">
        <v>914</v>
      </c>
      <c r="H239">
        <v>0</v>
      </c>
    </row>
    <row r="240" spans="1:8" x14ac:dyDescent="0.3">
      <c r="A240" t="s">
        <v>1002</v>
      </c>
      <c r="B240">
        <v>45</v>
      </c>
      <c r="C240">
        <v>128</v>
      </c>
      <c r="D240">
        <v>1.17</v>
      </c>
      <c r="E240">
        <v>76.650000000000006</v>
      </c>
      <c r="F240">
        <v>25</v>
      </c>
      <c r="G240" t="s">
        <v>852</v>
      </c>
      <c r="H240">
        <v>0</v>
      </c>
    </row>
    <row r="241" spans="1:8" x14ac:dyDescent="0.3">
      <c r="A241" t="s">
        <v>1003</v>
      </c>
      <c r="B241">
        <v>45</v>
      </c>
      <c r="C241">
        <v>122</v>
      </c>
      <c r="D241">
        <v>1.24</v>
      </c>
      <c r="E241">
        <v>70.11</v>
      </c>
      <c r="F241">
        <v>32</v>
      </c>
      <c r="G241" t="s">
        <v>940</v>
      </c>
      <c r="H241">
        <v>0</v>
      </c>
    </row>
    <row r="242" spans="1:8" x14ac:dyDescent="0.3">
      <c r="A242" t="s">
        <v>1004</v>
      </c>
      <c r="B242">
        <v>45</v>
      </c>
      <c r="C242">
        <v>130</v>
      </c>
      <c r="D242">
        <v>1.36</v>
      </c>
      <c r="E242">
        <v>69.89</v>
      </c>
      <c r="F242">
        <v>35</v>
      </c>
      <c r="G242" t="s">
        <v>852</v>
      </c>
      <c r="H242">
        <v>0</v>
      </c>
    </row>
    <row r="243" spans="1:8" x14ac:dyDescent="0.3">
      <c r="A243" t="s">
        <v>1005</v>
      </c>
      <c r="B243">
        <v>45</v>
      </c>
      <c r="C243">
        <v>120</v>
      </c>
      <c r="D243">
        <v>1.04</v>
      </c>
      <c r="E243">
        <v>77.92</v>
      </c>
      <c r="F243">
        <v>28</v>
      </c>
      <c r="G243" t="s">
        <v>764</v>
      </c>
      <c r="H243">
        <v>0</v>
      </c>
    </row>
    <row r="244" spans="1:8" x14ac:dyDescent="0.3">
      <c r="A244" t="s">
        <v>983</v>
      </c>
      <c r="B244">
        <v>45</v>
      </c>
      <c r="C244">
        <v>126</v>
      </c>
      <c r="D244">
        <v>1.28</v>
      </c>
      <c r="E244">
        <v>70.790000000000006</v>
      </c>
      <c r="F244">
        <v>32</v>
      </c>
      <c r="G244" t="s">
        <v>914</v>
      </c>
      <c r="H244">
        <v>0</v>
      </c>
    </row>
    <row r="245" spans="1:8" x14ac:dyDescent="0.3">
      <c r="A245" t="s">
        <v>984</v>
      </c>
      <c r="B245">
        <v>45</v>
      </c>
      <c r="C245">
        <v>96</v>
      </c>
      <c r="D245">
        <v>0.8</v>
      </c>
      <c r="E245">
        <v>73.849999999999994</v>
      </c>
      <c r="F245">
        <v>30</v>
      </c>
      <c r="G245" t="s">
        <v>852</v>
      </c>
      <c r="H245">
        <v>10</v>
      </c>
    </row>
    <row r="247" spans="1:8" x14ac:dyDescent="0.3">
      <c r="A247" s="28" t="s">
        <v>149</v>
      </c>
      <c r="B247" s="28" t="s">
        <v>8</v>
      </c>
      <c r="C247" s="28" t="s">
        <v>10</v>
      </c>
      <c r="D247" s="28" t="s">
        <v>12</v>
      </c>
    </row>
    <row r="248" spans="1:8" x14ac:dyDescent="0.3">
      <c r="A248" s="26" t="s">
        <v>81</v>
      </c>
      <c r="B248" s="31">
        <f t="shared" ref="B248:B275" si="0">(D167*$B$210*$C$210)+(E167*$B$211*$C$211)+(F167*$B$212*$C$212)+(G167*$B$213*$C$213)+(H167*$B$214*$C$214)+(I167*$B$215*$C$215)</f>
        <v>0</v>
      </c>
      <c r="C248" s="31">
        <f t="shared" ref="C248:C275" si="1">(D167*$B$210*$D$210)+(E167*$B$211*$D$211)+(F167*$B$212*$D$212)+(G167*$B$213*$D$213)+(H167*$B$214*$D$214)+(I167*$B$215*$D$215)</f>
        <v>0</v>
      </c>
      <c r="D248" s="31">
        <f t="shared" ref="D248:D275" si="2">(D167*$B$210*$E$210)+(E167*$B$211*$E$211)+(F167*$B$212*$E$212)+(G167*$B$213*$E$213)+(H167*$B$214*$E$214)+(I167*$B$215*$E$215)</f>
        <v>0</v>
      </c>
    </row>
    <row r="249" spans="1:8" x14ac:dyDescent="0.3">
      <c r="A249" s="27" t="s">
        <v>83</v>
      </c>
      <c r="B249" s="27">
        <f t="shared" si="0"/>
        <v>0</v>
      </c>
      <c r="C249" s="27">
        <f t="shared" si="1"/>
        <v>0</v>
      </c>
      <c r="D249" s="27">
        <f t="shared" si="2"/>
        <v>0</v>
      </c>
    </row>
    <row r="250" spans="1:8" x14ac:dyDescent="0.3">
      <c r="A250" s="26" t="s">
        <v>84</v>
      </c>
      <c r="B250" s="26">
        <f t="shared" si="0"/>
        <v>576</v>
      </c>
      <c r="C250" s="26">
        <f t="shared" si="1"/>
        <v>648</v>
      </c>
      <c r="D250" s="26">
        <f t="shared" si="2"/>
        <v>792.00000000000011</v>
      </c>
    </row>
    <row r="251" spans="1:8" x14ac:dyDescent="0.3">
      <c r="A251" s="27" t="s">
        <v>746</v>
      </c>
      <c r="B251" s="27">
        <f t="shared" si="0"/>
        <v>608</v>
      </c>
      <c r="C251" s="27">
        <f t="shared" si="1"/>
        <v>684</v>
      </c>
      <c r="D251" s="27">
        <f t="shared" si="2"/>
        <v>836.00000000000011</v>
      </c>
    </row>
    <row r="252" spans="1:8" x14ac:dyDescent="0.3">
      <c r="A252" s="26" t="s">
        <v>86</v>
      </c>
      <c r="B252" s="26">
        <f t="shared" si="0"/>
        <v>576</v>
      </c>
      <c r="C252" s="26">
        <f t="shared" si="1"/>
        <v>648</v>
      </c>
      <c r="D252" s="26">
        <f t="shared" si="2"/>
        <v>792.00000000000011</v>
      </c>
    </row>
    <row r="253" spans="1:8" x14ac:dyDescent="0.3">
      <c r="A253" s="27" t="s">
        <v>87</v>
      </c>
      <c r="B253" s="27">
        <f t="shared" si="0"/>
        <v>0</v>
      </c>
      <c r="C253" s="27">
        <f t="shared" si="1"/>
        <v>0</v>
      </c>
      <c r="D253" s="27">
        <f t="shared" si="2"/>
        <v>0</v>
      </c>
    </row>
    <row r="254" spans="1:8" x14ac:dyDescent="0.3">
      <c r="A254" s="26" t="s">
        <v>88</v>
      </c>
      <c r="B254" s="26">
        <f t="shared" si="0"/>
        <v>0</v>
      </c>
      <c r="C254" s="26">
        <f t="shared" si="1"/>
        <v>0</v>
      </c>
      <c r="D254" s="26">
        <f t="shared" si="2"/>
        <v>0</v>
      </c>
    </row>
    <row r="255" spans="1:8" x14ac:dyDescent="0.3">
      <c r="A255" s="27" t="s">
        <v>747</v>
      </c>
      <c r="B255" s="27">
        <f t="shared" si="0"/>
        <v>288</v>
      </c>
      <c r="C255" s="27">
        <f t="shared" si="1"/>
        <v>324</v>
      </c>
      <c r="D255" s="27">
        <f t="shared" si="2"/>
        <v>396.00000000000006</v>
      </c>
    </row>
    <row r="256" spans="1:8" x14ac:dyDescent="0.3">
      <c r="A256" s="26" t="s">
        <v>748</v>
      </c>
      <c r="B256" s="26">
        <f t="shared" si="0"/>
        <v>576</v>
      </c>
      <c r="C256" s="26">
        <f t="shared" si="1"/>
        <v>648</v>
      </c>
      <c r="D256" s="26">
        <f t="shared" si="2"/>
        <v>792.00000000000011</v>
      </c>
    </row>
    <row r="257" spans="1:4" x14ac:dyDescent="0.3">
      <c r="A257" s="27" t="s">
        <v>89</v>
      </c>
      <c r="B257" s="27">
        <f t="shared" si="0"/>
        <v>576</v>
      </c>
      <c r="C257" s="27">
        <f t="shared" si="1"/>
        <v>648</v>
      </c>
      <c r="D257" s="27">
        <f t="shared" si="2"/>
        <v>792.00000000000011</v>
      </c>
    </row>
    <row r="258" spans="1:4" x14ac:dyDescent="0.3">
      <c r="A258" s="26" t="s">
        <v>90</v>
      </c>
      <c r="B258" s="26">
        <f t="shared" si="0"/>
        <v>0</v>
      </c>
      <c r="C258" s="26">
        <f t="shared" si="1"/>
        <v>0</v>
      </c>
      <c r="D258" s="26">
        <f t="shared" si="2"/>
        <v>0</v>
      </c>
    </row>
    <row r="259" spans="1:4" x14ac:dyDescent="0.3">
      <c r="A259" s="27" t="s">
        <v>91</v>
      </c>
      <c r="B259" s="27">
        <f t="shared" si="0"/>
        <v>276.8</v>
      </c>
      <c r="C259" s="27">
        <f t="shared" si="1"/>
        <v>294.09999999999997</v>
      </c>
      <c r="D259" s="27">
        <f t="shared" si="2"/>
        <v>346</v>
      </c>
    </row>
    <row r="260" spans="1:4" x14ac:dyDescent="0.3">
      <c r="A260" s="26" t="s">
        <v>92</v>
      </c>
      <c r="B260" s="26">
        <f t="shared" si="0"/>
        <v>276.8</v>
      </c>
      <c r="C260" s="26">
        <f t="shared" si="1"/>
        <v>294.09999999999997</v>
      </c>
      <c r="D260" s="26">
        <f t="shared" si="2"/>
        <v>346</v>
      </c>
    </row>
    <row r="261" spans="1:4" x14ac:dyDescent="0.3">
      <c r="A261" s="27" t="s">
        <v>93</v>
      </c>
      <c r="B261" s="27">
        <f t="shared" si="0"/>
        <v>576</v>
      </c>
      <c r="C261" s="27">
        <f t="shared" si="1"/>
        <v>648</v>
      </c>
      <c r="D261" s="27">
        <f t="shared" si="2"/>
        <v>792.00000000000011</v>
      </c>
    </row>
    <row r="262" spans="1:4" x14ac:dyDescent="0.3">
      <c r="A262" s="26" t="s">
        <v>743</v>
      </c>
      <c r="B262" s="26">
        <f t="shared" si="0"/>
        <v>0</v>
      </c>
      <c r="C262" s="26">
        <f t="shared" si="1"/>
        <v>0</v>
      </c>
      <c r="D262" s="26">
        <f t="shared" si="2"/>
        <v>0</v>
      </c>
    </row>
    <row r="263" spans="1:4" x14ac:dyDescent="0.3">
      <c r="A263" s="27" t="s">
        <v>744</v>
      </c>
      <c r="B263" s="27">
        <f t="shared" si="0"/>
        <v>0</v>
      </c>
      <c r="C263" s="27">
        <f t="shared" si="1"/>
        <v>0</v>
      </c>
      <c r="D263" s="27">
        <f t="shared" si="2"/>
        <v>0</v>
      </c>
    </row>
    <row r="264" spans="1:4" x14ac:dyDescent="0.3">
      <c r="A264" s="26" t="s">
        <v>94</v>
      </c>
      <c r="B264" s="26">
        <f t="shared" si="0"/>
        <v>596</v>
      </c>
      <c r="C264" s="26">
        <f t="shared" si="1"/>
        <v>772.9</v>
      </c>
      <c r="D264" s="26">
        <f t="shared" si="2"/>
        <v>916</v>
      </c>
    </row>
    <row r="265" spans="1:4" x14ac:dyDescent="0.3">
      <c r="A265" s="27" t="s">
        <v>745</v>
      </c>
      <c r="B265" s="27">
        <f t="shared" si="0"/>
        <v>596</v>
      </c>
      <c r="C265" s="27">
        <f t="shared" si="1"/>
        <v>772.9</v>
      </c>
      <c r="D265" s="27">
        <f t="shared" si="2"/>
        <v>916</v>
      </c>
    </row>
    <row r="266" spans="1:4" x14ac:dyDescent="0.3">
      <c r="A266" s="26" t="s">
        <v>95</v>
      </c>
      <c r="B266" s="26">
        <f t="shared" si="0"/>
        <v>643.5</v>
      </c>
      <c r="C266" s="26">
        <f t="shared" si="1"/>
        <v>858</v>
      </c>
      <c r="D266" s="26">
        <f t="shared" si="2"/>
        <v>1029.5999999999999</v>
      </c>
    </row>
    <row r="267" spans="1:4" x14ac:dyDescent="0.3">
      <c r="A267" s="27" t="s">
        <v>96</v>
      </c>
      <c r="B267" s="27">
        <f t="shared" si="0"/>
        <v>895.2</v>
      </c>
      <c r="C267" s="27">
        <f t="shared" si="1"/>
        <v>1126.8</v>
      </c>
      <c r="D267" s="27">
        <f t="shared" si="2"/>
        <v>1362</v>
      </c>
    </row>
    <row r="268" spans="1:4" x14ac:dyDescent="0.3">
      <c r="A268" s="26" t="s">
        <v>97</v>
      </c>
      <c r="B268" s="26">
        <f t="shared" si="0"/>
        <v>288</v>
      </c>
      <c r="C268" s="26">
        <f t="shared" si="1"/>
        <v>324</v>
      </c>
      <c r="D268" s="26">
        <f t="shared" si="2"/>
        <v>396.00000000000006</v>
      </c>
    </row>
    <row r="269" spans="1:4" x14ac:dyDescent="0.3">
      <c r="A269" s="27" t="s">
        <v>98</v>
      </c>
      <c r="B269" s="27">
        <f t="shared" si="0"/>
        <v>276.8</v>
      </c>
      <c r="C269" s="27">
        <f t="shared" si="1"/>
        <v>294.09999999999997</v>
      </c>
      <c r="D269" s="27">
        <f t="shared" si="2"/>
        <v>346</v>
      </c>
    </row>
    <row r="270" spans="1:4" x14ac:dyDescent="0.3">
      <c r="A270" s="26" t="s">
        <v>99</v>
      </c>
      <c r="B270" s="26">
        <f t="shared" si="0"/>
        <v>643.20000000000005</v>
      </c>
      <c r="C270" s="26">
        <f t="shared" si="1"/>
        <v>763.8</v>
      </c>
      <c r="D270" s="26">
        <f t="shared" si="2"/>
        <v>924.59999999999991</v>
      </c>
    </row>
    <row r="271" spans="1:4" x14ac:dyDescent="0.3">
      <c r="A271" s="27" t="s">
        <v>100</v>
      </c>
      <c r="B271" s="27">
        <f t="shared" si="0"/>
        <v>564.79999999999995</v>
      </c>
      <c r="C271" s="27">
        <f t="shared" si="1"/>
        <v>618.09999999999991</v>
      </c>
      <c r="D271" s="27">
        <f t="shared" si="2"/>
        <v>742</v>
      </c>
    </row>
    <row r="272" spans="1:4" x14ac:dyDescent="0.3">
      <c r="A272" s="26" t="s">
        <v>101</v>
      </c>
      <c r="B272" s="26">
        <f t="shared" si="0"/>
        <v>598.40000000000009</v>
      </c>
      <c r="C272" s="26">
        <f t="shared" si="1"/>
        <v>676</v>
      </c>
      <c r="D272" s="26">
        <f t="shared" si="2"/>
        <v>808.3</v>
      </c>
    </row>
    <row r="273" spans="1:4" x14ac:dyDescent="0.3">
      <c r="A273" s="29" t="s">
        <v>102</v>
      </c>
      <c r="B273" s="29">
        <f t="shared" si="0"/>
        <v>875.2</v>
      </c>
      <c r="C273" s="29">
        <f t="shared" si="1"/>
        <v>970.09999999999991</v>
      </c>
      <c r="D273" s="29">
        <f t="shared" si="2"/>
        <v>1154.3</v>
      </c>
    </row>
    <row r="274" spans="1:4" x14ac:dyDescent="0.3">
      <c r="A274" s="29" t="s">
        <v>1044</v>
      </c>
      <c r="B274" s="29">
        <f t="shared" si="0"/>
        <v>288</v>
      </c>
      <c r="C274" s="29">
        <f t="shared" si="1"/>
        <v>324</v>
      </c>
      <c r="D274" s="29">
        <f t="shared" si="2"/>
        <v>396.00000000000006</v>
      </c>
    </row>
    <row r="275" spans="1:4" x14ac:dyDescent="0.3">
      <c r="A275" s="29" t="s">
        <v>1085</v>
      </c>
      <c r="B275" s="29">
        <f t="shared" si="0"/>
        <v>321.75</v>
      </c>
      <c r="C275" s="29">
        <f t="shared" si="1"/>
        <v>429</v>
      </c>
      <c r="D275" s="29">
        <f t="shared" si="2"/>
        <v>514.79999999999995</v>
      </c>
    </row>
    <row r="277" spans="1:4" x14ac:dyDescent="0.3">
      <c r="A277" t="s">
        <v>149</v>
      </c>
      <c r="B277" t="s">
        <v>8</v>
      </c>
      <c r="C277" t="s">
        <v>10</v>
      </c>
      <c r="D277" t="s">
        <v>12</v>
      </c>
    </row>
    <row r="278" spans="1:4" x14ac:dyDescent="0.3">
      <c r="A278" t="s">
        <v>133</v>
      </c>
      <c r="B278">
        <f t="shared" ref="B278:B288" si="3">E197*F197*$B$218</f>
        <v>344</v>
      </c>
      <c r="C278">
        <f t="shared" ref="C278:C288" si="4">E197*F197*$B$219</f>
        <v>473.00000000000006</v>
      </c>
      <c r="D278">
        <f t="shared" ref="D278:D288" si="5">E197*F197*$B$220</f>
        <v>559</v>
      </c>
    </row>
    <row r="279" spans="1:4" x14ac:dyDescent="0.3">
      <c r="A279" t="s">
        <v>134</v>
      </c>
      <c r="B279">
        <f t="shared" si="3"/>
        <v>691.2</v>
      </c>
      <c r="C279">
        <f t="shared" si="4"/>
        <v>950.40000000000009</v>
      </c>
      <c r="D279">
        <f t="shared" si="5"/>
        <v>1123.2</v>
      </c>
    </row>
    <row r="280" spans="1:4" x14ac:dyDescent="0.3">
      <c r="A280" t="s">
        <v>135</v>
      </c>
      <c r="B280">
        <f t="shared" si="3"/>
        <v>460.8</v>
      </c>
      <c r="C280">
        <f t="shared" si="4"/>
        <v>633.6</v>
      </c>
      <c r="D280">
        <f t="shared" si="5"/>
        <v>748.80000000000007</v>
      </c>
    </row>
    <row r="281" spans="1:4" x14ac:dyDescent="0.3">
      <c r="A281" t="s">
        <v>1052</v>
      </c>
      <c r="B281">
        <f t="shared" si="3"/>
        <v>633.6</v>
      </c>
      <c r="C281">
        <f t="shared" si="4"/>
        <v>871.2</v>
      </c>
      <c r="D281">
        <f t="shared" si="5"/>
        <v>1029.6000000000001</v>
      </c>
    </row>
    <row r="282" spans="1:4" x14ac:dyDescent="0.3">
      <c r="A282" t="s">
        <v>137</v>
      </c>
      <c r="B282">
        <f t="shared" si="3"/>
        <v>691.2</v>
      </c>
      <c r="C282">
        <f t="shared" si="4"/>
        <v>950.40000000000009</v>
      </c>
      <c r="D282">
        <f t="shared" si="5"/>
        <v>1123.2</v>
      </c>
    </row>
    <row r="283" spans="1:4" x14ac:dyDescent="0.3">
      <c r="A283" t="s">
        <v>138</v>
      </c>
      <c r="B283">
        <f t="shared" si="3"/>
        <v>691.2</v>
      </c>
      <c r="C283">
        <f t="shared" si="4"/>
        <v>950.40000000000009</v>
      </c>
      <c r="D283">
        <f t="shared" si="5"/>
        <v>1123.2</v>
      </c>
    </row>
    <row r="284" spans="1:4" x14ac:dyDescent="0.3">
      <c r="A284" t="s">
        <v>139</v>
      </c>
      <c r="B284">
        <f t="shared" si="3"/>
        <v>262.40000000000003</v>
      </c>
      <c r="C284">
        <f t="shared" si="4"/>
        <v>360.8</v>
      </c>
      <c r="D284">
        <f t="shared" si="5"/>
        <v>426.40000000000003</v>
      </c>
    </row>
    <row r="285" spans="1:4" x14ac:dyDescent="0.3">
      <c r="A285" t="s">
        <v>140</v>
      </c>
      <c r="B285">
        <f t="shared" si="3"/>
        <v>576</v>
      </c>
      <c r="C285">
        <f t="shared" si="4"/>
        <v>792.00000000000011</v>
      </c>
      <c r="D285">
        <f t="shared" si="5"/>
        <v>936</v>
      </c>
    </row>
    <row r="286" spans="1:4" x14ac:dyDescent="0.3">
      <c r="A286" t="s">
        <v>141</v>
      </c>
      <c r="B286">
        <f t="shared" si="3"/>
        <v>624</v>
      </c>
      <c r="C286">
        <f t="shared" si="4"/>
        <v>858.00000000000011</v>
      </c>
      <c r="D286">
        <f t="shared" si="5"/>
        <v>1014</v>
      </c>
    </row>
    <row r="287" spans="1:4" x14ac:dyDescent="0.3">
      <c r="A287" t="s">
        <v>1010</v>
      </c>
      <c r="B287">
        <f t="shared" si="3"/>
        <v>473.6</v>
      </c>
      <c r="C287">
        <f t="shared" si="4"/>
        <v>651.20000000000005</v>
      </c>
      <c r="D287">
        <f t="shared" si="5"/>
        <v>769.6</v>
      </c>
    </row>
    <row r="288" spans="1:4" x14ac:dyDescent="0.3">
      <c r="A288" t="s">
        <v>1011</v>
      </c>
      <c r="B288">
        <f t="shared" si="3"/>
        <v>820.80000000000007</v>
      </c>
      <c r="C288">
        <f t="shared" si="4"/>
        <v>1128.6000000000001</v>
      </c>
      <c r="D288">
        <f t="shared" si="5"/>
        <v>1333.8</v>
      </c>
    </row>
    <row r="290" spans="1:12" x14ac:dyDescent="0.3">
      <c r="A290" t="s">
        <v>149</v>
      </c>
      <c r="B290" t="s">
        <v>1093</v>
      </c>
      <c r="C290" t="s">
        <v>11</v>
      </c>
      <c r="D290" t="s">
        <v>52</v>
      </c>
      <c r="E290" t="s">
        <v>757</v>
      </c>
      <c r="F290" t="s">
        <v>741</v>
      </c>
      <c r="G290" t="s">
        <v>152</v>
      </c>
      <c r="H290" t="s">
        <v>193</v>
      </c>
      <c r="I290" t="s">
        <v>154</v>
      </c>
      <c r="J290" t="s">
        <v>156</v>
      </c>
      <c r="K290" t="s">
        <v>1094</v>
      </c>
      <c r="L290" t="s">
        <v>271</v>
      </c>
    </row>
    <row r="291" spans="1:12" x14ac:dyDescent="0.3">
      <c r="A291" t="s">
        <v>1102</v>
      </c>
      <c r="B291" t="s">
        <v>1096</v>
      </c>
      <c r="C291">
        <v>25</v>
      </c>
      <c r="D291">
        <v>135</v>
      </c>
      <c r="E291">
        <v>2</v>
      </c>
      <c r="F291">
        <v>15.3</v>
      </c>
      <c r="G291" t="s">
        <v>1095</v>
      </c>
      <c r="H291" t="s">
        <v>164</v>
      </c>
      <c r="I291" t="s">
        <v>1097</v>
      </c>
      <c r="J291" t="s">
        <v>161</v>
      </c>
      <c r="K291" t="s">
        <v>1098</v>
      </c>
      <c r="L291" t="s">
        <v>1095</v>
      </c>
    </row>
    <row r="292" spans="1:12" x14ac:dyDescent="0.3">
      <c r="A292" t="s">
        <v>1103</v>
      </c>
      <c r="B292" t="s">
        <v>1096</v>
      </c>
      <c r="C292">
        <v>25</v>
      </c>
      <c r="D292">
        <v>144</v>
      </c>
      <c r="E292">
        <v>2</v>
      </c>
      <c r="F292">
        <v>14.63</v>
      </c>
      <c r="G292" t="s">
        <v>1095</v>
      </c>
      <c r="H292" t="s">
        <v>164</v>
      </c>
      <c r="I292" t="s">
        <v>1097</v>
      </c>
      <c r="J292" t="s">
        <v>161</v>
      </c>
      <c r="K292" t="s">
        <v>1095</v>
      </c>
      <c r="L292" t="s">
        <v>1095</v>
      </c>
    </row>
    <row r="293" spans="1:12" x14ac:dyDescent="0.3">
      <c r="A293" t="s">
        <v>1104</v>
      </c>
      <c r="B293" t="s">
        <v>1099</v>
      </c>
      <c r="C293">
        <v>45</v>
      </c>
      <c r="D293">
        <v>160</v>
      </c>
      <c r="E293">
        <v>2</v>
      </c>
      <c r="F293">
        <v>13.3</v>
      </c>
      <c r="G293" t="s">
        <v>1095</v>
      </c>
      <c r="H293" t="s">
        <v>164</v>
      </c>
      <c r="I293" t="s">
        <v>1097</v>
      </c>
      <c r="J293" t="s">
        <v>1101</v>
      </c>
      <c r="K293" t="s">
        <v>1095</v>
      </c>
      <c r="L293" t="s">
        <v>1095</v>
      </c>
    </row>
    <row r="294" spans="1:12" x14ac:dyDescent="0.3">
      <c r="A294" t="s">
        <v>1105</v>
      </c>
      <c r="B294" t="s">
        <v>1096</v>
      </c>
      <c r="C294">
        <v>25</v>
      </c>
      <c r="D294">
        <v>131</v>
      </c>
      <c r="E294">
        <v>3</v>
      </c>
      <c r="F294">
        <v>25.94</v>
      </c>
      <c r="G294" t="s">
        <v>1095</v>
      </c>
      <c r="H294" t="s">
        <v>164</v>
      </c>
      <c r="I294" t="s">
        <v>1097</v>
      </c>
      <c r="J294" t="s">
        <v>161</v>
      </c>
      <c r="K294" t="s">
        <v>1095</v>
      </c>
      <c r="L294" t="s">
        <v>1095</v>
      </c>
    </row>
    <row r="295" spans="1:12" x14ac:dyDescent="0.3">
      <c r="A295" t="s">
        <v>1106</v>
      </c>
      <c r="B295" t="s">
        <v>1099</v>
      </c>
      <c r="C295">
        <v>45</v>
      </c>
      <c r="D295">
        <v>181</v>
      </c>
      <c r="E295">
        <v>3</v>
      </c>
      <c r="F295">
        <v>24.61</v>
      </c>
      <c r="G295" t="s">
        <v>1095</v>
      </c>
      <c r="H295" t="s">
        <v>164</v>
      </c>
      <c r="I295" t="s">
        <v>1097</v>
      </c>
      <c r="J295" t="s">
        <v>161</v>
      </c>
      <c r="K295" t="s">
        <v>1095</v>
      </c>
      <c r="L295" t="s">
        <v>1095</v>
      </c>
    </row>
    <row r="296" spans="1:12" x14ac:dyDescent="0.3">
      <c r="A296" t="s">
        <v>1107</v>
      </c>
      <c r="B296" t="s">
        <v>1096</v>
      </c>
      <c r="C296">
        <v>25</v>
      </c>
      <c r="D296">
        <v>150</v>
      </c>
      <c r="E296">
        <v>2</v>
      </c>
      <c r="F296">
        <v>15.96</v>
      </c>
      <c r="G296" t="s">
        <v>1095</v>
      </c>
      <c r="H296" t="s">
        <v>164</v>
      </c>
      <c r="I296" t="s">
        <v>1100</v>
      </c>
      <c r="J296" t="s">
        <v>161</v>
      </c>
      <c r="K296" t="s">
        <v>1095</v>
      </c>
      <c r="L296" t="s">
        <v>1095</v>
      </c>
    </row>
    <row r="297" spans="1:12" x14ac:dyDescent="0.3">
      <c r="A297" t="s">
        <v>1108</v>
      </c>
      <c r="B297" t="s">
        <v>1099</v>
      </c>
      <c r="C297">
        <v>45</v>
      </c>
      <c r="D297">
        <v>174</v>
      </c>
      <c r="E297">
        <v>2</v>
      </c>
      <c r="F297">
        <v>14.63</v>
      </c>
      <c r="G297" t="s">
        <v>1095</v>
      </c>
      <c r="H297" t="s">
        <v>164</v>
      </c>
      <c r="I297" t="s">
        <v>1097</v>
      </c>
      <c r="J297" t="s">
        <v>161</v>
      </c>
      <c r="K297" t="s">
        <v>1095</v>
      </c>
      <c r="L297" t="s">
        <v>1095</v>
      </c>
    </row>
  </sheetData>
  <pageMargins left="0.7" right="0.7" top="0.75" bottom="0.75" header="0.3" footer="0.3"/>
  <tableParts count="23">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Y E A A B Q S w M E F A A C A A g A M o G K T u 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M o G K 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K B i k 5 q W L 7 n P Q E A A J 0 C A A A T A B w A R m 9 y b X V s Y X M v U 2 V j d G l v b j E u b S C i G A A o o B Q A A A A A A A A A A A A A A A A A A A A A A A A A A A B 1 k c F r w j A U x u + F / g 8 l M m i h 1 K 2 M H S Y 7 i B 4 m q I g t 7 C A i r / Z Z O 5 u k J K / g V v z f l 9 r t M K K 5 J P y + 5 H 3 v f d G 4 p 1 I K L + n 3 p 5 H r u I 4 + g s L c G 7 D N R F Y V 1 B q 3 z H v z K i T X 8 c x K Z K P 2 a M g H Z t E K C v S 7 w 0 Q K Q k H a Z 0 e i W r 8 O h / D d q A o E R i f Z c D i B i D 7 r 4 b z U t J O H X d J k H F Q p c J d K V W M u U Q 8 W c H 6 I H x M C 0 i w I w t 5 t C g S x M e t d 2 / i y 6 c j 2 V x 2 w y R F E Y d p N v 2 r s 2 k w h q z B K F Q h 9 k I q b E R o u O l H 7 1 1 J h 2 7 I l c G S h R 4 Z 6 h G e 6 h F 7 L Z t y M Y l H T j d I W X U I X l 4 U N m A l 6 e Y 4 6 v y u Z 8 s K G s f V w L X L 7 2 h o r C b m v g 7 / r o u E Z q r 7 u K v H n 9 4 T F P e H 9 l r A W h T 1 1 r R B y C 4 9 F U d k R j Y m U B a d K 1 n Z s k v B / m J f A d U p x 8 y 9 H P 1 B L A Q I t A B Q A A g A I A D K B i k 7 j Y 7 s Q p w A A A P g A A A A S A A A A A A A A A A A A A A A A A A A A A A B D b 2 5 m a W c v U G F j a 2 F n Z S 5 4 b W x Q S w E C L Q A U A A I A C A A y g Y p O D 8 r p q 6 Q A A A D p A A A A E w A A A A A A A A A A A A A A A A D z A A A A W 0 N v b n R l b n R f V H l w Z X N d L n h t b F B L A Q I t A B Q A A g A I A D K B i k 5 q W L 7 n P Q E A A J 0 C A A A T A A A A A A A A A A A A A A A A A O Q B A A B G b 3 J t d W x h c y 9 T Z W N 0 a W 9 u M S 5 t U E s F B g A A A A A D A A M A w g A A A G 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s R A A A A A A A A 6 R A 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8 l N U J D b 2 x s Y X B z Z S U 1 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N T V G F i b G U i I C 8 + P E V u d H J 5 I F R 5 c G U 9 I k Z p b G x l Z E N v b X B s Z X R l U m V z d W x 0 V G 9 X b 3 J r c 2 h l Z X Q i I F Z h b H V l P S J s M S I g L z 4 8 R W 5 0 c n k g V H l w Z T 0 i U m V s Y X R p b 2 5 z a G l w S W 5 m b 0 N v b n R h a W 5 l c i I g V m F s d W U 9 I n N 7 J n F 1 b 3 Q 7 Y 2 9 s d W 1 u Q 2 9 1 b n Q m c X V v d D s 6 M T g s J n F 1 b 3 Q 7 a 2 V 5 Q 2 9 s d W 1 u T m F t Z X M m c X V v d D s 6 W 1 0 s J n F 1 b 3 Q 7 c X V l c n l S Z W x h d G l v b n N o a X B z J n F 1 b 3 Q 7 O l t d L C Z x d W 9 0 O 2 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0 N v b H V t b k N v d W 5 0 J n F 1 b 3 Q 7 O j E 4 L C Z x d W 9 0 O 0 t l e U N v b H V t b k 5 h b W V z J n F 1 b 3 Q 7 O l t d L C Z x d W 9 0 O 0 N v b H V t b k l k Z W 5 0 a X R p Z X M m c X V v d D s 6 W y Z x d W 9 0 O 1 N l Y 3 R p b 2 4 x L 1 t D b 2 x s Y X B z Z V 0 v Q 2 h h b m d l Z C B U e X B l L n t O Y W 1 l L D B 9 J n F 1 b 3 Q 7 L C Z x d W 9 0 O 1 N l Y 3 R p b 2 4 x L 1 t D b 2 x s Y X B z Z V 0 v Q 2 h h b m d l Z C B U e X B l L n t J b W F n Z S w x f S Z x d W 9 0 O y w m c X V v d D t T Z W N 0 a W 9 u M S 9 b Q 2 9 s b G F w c 2 V d L 0 N o Y W 5 n Z W Q g V H l w Z S 5 7 U 3 R h c n M s M n 0 m c X V v d D s s J n F 1 b 3 Q 7 U 2 V j d G l v b j E v W 0 N v b G x h c H N l X S 9 D a G F u Z 2 V k I F R 5 c G U u e 0 5 h d G l v b i w z f S Z x d W 9 0 O y w m c X V v d D t T Z W N 0 a W 9 u M S 9 b Q 2 9 s b G F w c 2 V d L 0 N o Y W 5 n Z W Q g V H l w Z S 5 7 L D R 9 J n F 1 b 3 Q 7 L C Z x d W 9 0 O 1 N l Y 3 R p b 2 4 x L 1 t D b 2 x s Y X B z Z V 0 v Q 2 h h b m d l Z C B U e X B l L n t E b W c s N X 0 m c X V v d D s s J n F 1 b 3 Q 7 U 2 V j d G l v b j E v W 0 N v b G x h c H N l X S 9 D a G F u Z 2 V k I F R 5 c G U u e z I s N n 0 m c X V v d D s s J n F 1 b 3 Q 7 U 2 V j d G l v b j E v W 0 N v b G x h c H N l X S 9 D a G F u Z 2 V k I F R 5 c G U u e 1 J u Z C w 3 f S Z x d W 9 0 O y w m c X V v d D t T Z W N 0 a W 9 u M S 9 b Q 2 9 s b G F w c 2 V d L 0 N o Y W 5 n Z W Q g V H l w Z S 5 7 U m V s b 2 F k K H M p L D h 9 J n F 1 b 3 Q 7 L C Z x d W 9 0 O 1 N l Y 3 R p b 2 4 x L 1 t D b 2 x s Y X B z Z V 0 v Q 2 h h b m d l Z C B U e X B l L n t E U F M o T C k s O X 0 m c X V v d D s s J n F 1 b 3 Q 7 U 2 V j d G l v b j E v W 0 N v b G x h c H N l X S 9 D a G F u Z 2 V k I F R 5 c G U u e 0 R Q U y h N K S w x M H 0 m c X V v d D s s J n F 1 b 3 Q 7 U 2 V j d G l v b j E v W 0 N v b G x h c H N l X S 9 D a G F u Z 2 V k I F R 5 c G U u e 0 R Q U y h I K S w x M X 0 m c X V v d D s s J n F 1 b 3 Q 7 U 2 V j d G l v b j E v W 0 N v b G x h c H N l X S 9 D a G F u Z 2 V k I F R 5 c G U u e 1 J u Z y w x M n 0 m c X V v d D s s J n F 1 b 3 Q 7 U 2 V j d G l v b j E v W 0 N v b G x h c H N l X S 9 D a G F u Z 2 V k I F R 5 c G U u e 1 N w c m V h Z C w x M 3 0 m c X V v d D s s J n F 1 b 3 Q 7 U 2 V j d G l v b j E v W 0 N v b G x h c H N l X S 9 D a G F u Z 2 V k I F R 5 c G U u e 0 F u Z 2 x l L D E 0 f S Z x d W 9 0 O y w m c X V v d D t T Z W N 0 a W 9 u M S 9 b Q 2 9 s b G F w c 2 V d L 0 N o Y W 5 n Z W Q g V H l w Z S 5 7 Q X R 0 c i w x N X 0 m c X V v d D s s J n F 1 b 3 Q 7 U 2 V j d G l v b j E v W 0 N v b G x h c H N l X S 9 D a G F u Z 2 V k I F R 5 c G U u e 0 R y b 3 A s M T Z 9 J n F 1 b 3 Q 7 L C Z x d W 9 0 O 1 N l Y 3 R p b 2 4 x L 1 t D b 2 x s Y X B z Z V 0 v Q 2 h h b m d l Z C B U e X B l L n t O b 3 R l c y w x N 3 0 m c X V v d D t d L C Z x d W 9 0 O 1 J l b G F 0 a W 9 u c 2 h p c E l u Z m 8 m c X V v d D s 6 W 1 1 9 I i A v P j x F b n R y e S B U e X B l P S J G a W x s U 3 R h d H V z I i B W Y W x 1 Z T 0 i c 0 N v b X B s Z X R l I i A v P j x F b n R y e S B U e X B l P S J G a W x s Q 2 9 s d W 1 u T m F t Z X M i I F Z h b H V l P S J z W y Z x d W 9 0 O 0 5 h b W U m c X V v d D s s J n F 1 b 3 Q 7 S W 1 h Z 2 U m c X V v d D s s J n F 1 b 3 Q 7 U 3 R h c n M m c X V v d D s s J n F 1 b 3 Q 7 T m F 0 a W 9 u J n F 1 b 3 Q 7 L C Z x d W 9 0 O 0 N v b H V t b j E m c X V v d D s s J n F 1 b 3 Q 7 R G 1 n J n F 1 b 3 Q 7 L C Z x d W 9 0 O z I m c X V v d D s s J n F 1 b 3 Q 7 U m 5 k J n F 1 b 3 Q 7 L C Z x d W 9 0 O 1 J l b G 9 h Z C h z K S Z x d W 9 0 O y w m c X V v d D t E U F M o T C k m c X V v d D s s J n F 1 b 3 Q 7 R F B T K E 0 p J n F 1 b 3 Q 7 L C Z x d W 9 0 O 0 R Q U y h I K S Z x d W 9 0 O y w m c X V v d D t S b m c m c X V v d D s s J n F 1 b 3 Q 7 U 3 B y Z W F k J n F 1 b 3 Q 7 L C Z x d W 9 0 O 0 F u Z 2 x l J n F 1 b 3 Q 7 L C Z x d W 9 0 O 0 F 0 d H I m c X V v d D s s J n F 1 b 3 Q 7 R H J v c C Z x d W 9 0 O y w m c X V v d D t O b 3 R l c y Z x d W 9 0 O 1 0 i I C 8 + P E V u d H J 5 I F R 5 c G U 9 I k Z p b G x D b 2 x 1 b W 5 U e X B l c y I g V m F s d W U 9 I n N C Z 1 l H Q m d N R E J n T U Z C U V V G Q m d Z R 0 J n W U c i I C 8 + P E V u d H J 5 I F R 5 c G U 9 I k Z p b G x M Y X N 0 V X B k Y X R l Z C I g V m F s d W U 9 I m Q y M D E 5 L T A 0 L T E w V D I w O j A w O j E 1 L j A w N D M 4 N j B a I i A v P j x F b n R y e S B U e X B l P S J G a W x s R X J y b 3 J D b 3 V u d C I g V m F s d W U 9 I m w w I i A v P j x F b n R y e S B U e X B l P S J G a W x s R X J y b 3 J D b 2 R l I i B W Y W x 1 Z T 0 i c 1 V u a 2 5 v d 2 4 i I C 8 + P E V u d H J 5 I F R 5 c G U 9 I k Z p b G x D b 3 V u d C I g V m F s d W U 9 I m w x O S I g L z 4 8 R W 5 0 c n k g V H l w Z T 0 i Q W R k Z W R U b 0 R h d G F N b 2 R l b C I g V m F s d W U 9 I m w w I i A v P j x F b n R y e S B U e X B l P S J G a W x s V G F y Z 2 V 0 T m F t Z U N 1 c 3 R v b W l 6 Z W Q i I F Z h b H V l P S J s M S I g L z 4 8 L 1 N 0 Y W J s Z U V u d H J p Z X M + P C 9 J d G V t P j x J d G V t P j x J d G V t T G 9 j Y X R p b 2 4 + P E l 0 Z W 1 U e X B l P k Z v c m 1 1 b G E 8 L 0 l 0 Z W 1 U e X B l P j x J d G V t U G F 0 a D 5 T Z W N 0 a W 9 u M S 8 l N U J D b 2 x s Y X B z Z S U 1 R C 9 T b 3 V y Y 2 U 8 L 0 l 0 Z W 1 Q Y X R o P j w v S X R l b U x v Y 2 F 0 a W 9 u P j x T d G F i b G V F b n R y a W V z I C 8 + P C 9 J d G V t P j x J d G V t P j x J d G V t T G 9 j Y X R p b 2 4 + P E l 0 Z W 1 U e X B l P k Z v c m 1 1 b G E 8 L 0 l 0 Z W 1 U e X B l P j x J d G V t U G F 0 a D 5 T Z W N 0 a W 9 u M S 8 l N U J D b 2 x s Y X B z Z S U 1 R C 9 E Y X R h M j w v S X R l b V B h d G g + P C 9 J d G V t T G 9 j Y X R p b 2 4 + P F N 0 Y W J s Z U V u d H J p Z X M g L z 4 8 L 0 l 0 Z W 0 + P E l 0 Z W 0 + P E l 0 Z W 1 M b 2 N h d G l v b j 4 8 S X R l b V R 5 c G U + R m 9 y b X V s Y T w v S X R l b V R 5 c G U + P E l 0 Z W 1 Q Y X R o P l N l Y 3 R p b 2 4 x L y U 1 Q k N v b G x h c H N l J T V E L 0 N o Y W 5 n Z W Q l M j B U e X B l P C 9 J d G V t U G F 0 a D 4 8 L 0 l 0 Z W 1 M b 2 N h d G l v b j 4 8 U 3 R h Y m x l R W 5 0 c m l l c y A v P j w v S X R l b T 4 8 L 0 l 0 Z W 1 z P j w v T G 9 j Y W x Q Y W N r Y W d l T W V 0 Y W R h d G F G a W x l P h Y A A A B Q S w U G A A A A A A A A A A A A A A A A A A A A A A A A J g E A A A E A A A D Q j J 3 f A R X R E Y x 6 A M B P w p f r A Q A A A D K 0 h e P f 6 f 1 H r C q D T U n l A P M A A A A A A g A A A A A A E G Y A A A A B A A A g A A A A / z 8 e A u b e V B C f R N u s 0 V s 7 c e C E d Y t v t L u j 1 Z U t G 3 z W c 1 w A A A A A D o A A A A A C A A A g A A A A 2 B + e F A Q 4 J P b P l 2 k K L k n 2 v K w K M j 4 u n k D t X r 7 d B R w f x k t Q A A A A O p 3 C 2 2 u 3 z c 4 l S X P f E e 2 k E r n B u O z i R 8 1 h z Z Y P 3 R B 7 T i / d w X R M n 4 H 9 G q s q Z Q M o T L S K I K 3 L T M 3 Q 2 w 6 R f O J g y p + Z W q a E + B s v Y D 9 x y o e T 1 U 2 D r D F A A A A A W J f h x / c P F c h h Z O Y 3 y R C 6 c y 8 f F C w M t m H V w H U x M d E T Y O s t U E v / + x Y L J u K 8 F M o 3 6 l Z d R z B W G A u q i q G D 3 2 W h H Q q L y w = = < / D a t a M a s h u p > 
</file>

<file path=customXml/itemProps1.xml><?xml version="1.0" encoding="utf-8"?>
<ds:datastoreItem xmlns:ds="http://schemas.openxmlformats.org/officeDocument/2006/customXml" ds:itemID="{8C834152-0B22-4D88-BA89-8478312EDE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45</vt:i4>
      </vt:variant>
    </vt:vector>
  </HeadingPairs>
  <TitlesOfParts>
    <vt:vector size="53" baseType="lpstr">
      <vt:lpstr>Base Formula - Non-CV Automated</vt:lpstr>
      <vt:lpstr>Old CV Calculator</vt:lpstr>
      <vt:lpstr>Base Formula - CV Automated</vt:lpstr>
      <vt:lpstr>Base Formula - BBV</vt:lpstr>
      <vt:lpstr>Base Formula - SS</vt:lpstr>
      <vt:lpstr>Documentation</vt:lpstr>
      <vt:lpstr>Ship Stats</vt:lpstr>
      <vt:lpstr>Equipment Stats</vt:lpstr>
      <vt:lpstr>_100_150_Jet_Fuel</vt:lpstr>
      <vt:lpstr>'Base Formula - BBV'!AuxType1</vt:lpstr>
      <vt:lpstr>'Base Formula - Non-CV Automated'!AuxType1</vt:lpstr>
      <vt:lpstr>'Old CV Calculator'!AuxType1</vt:lpstr>
      <vt:lpstr>AuxType1</vt:lpstr>
      <vt:lpstr>'Base Formula - BBV'!BB</vt:lpstr>
      <vt:lpstr>'Base Formula - Non-CV Automated'!BB</vt:lpstr>
      <vt:lpstr>'Old CV Calculator'!BB</vt:lpstr>
      <vt:lpstr>BB</vt:lpstr>
      <vt:lpstr>'Base Formula - BBV'!CA</vt:lpstr>
      <vt:lpstr>'Base Formula - Non-CV Automated'!CA</vt:lpstr>
      <vt:lpstr>'Old CV Calculator'!CA</vt:lpstr>
      <vt:lpstr>CA</vt:lpstr>
      <vt:lpstr>'Base Formula - BBV'!CL</vt:lpstr>
      <vt:lpstr>'Base Formula - Non-CV Automated'!CL</vt:lpstr>
      <vt:lpstr>'Old CV Calculator'!CL</vt:lpstr>
      <vt:lpstr>CL</vt:lpstr>
      <vt:lpstr>'Base Formula - BBV'!DD</vt:lpstr>
      <vt:lpstr>'Base Formula - Non-CV Automated'!DD</vt:lpstr>
      <vt:lpstr>'Old CV Calculator'!DD</vt:lpstr>
      <vt:lpstr>DD</vt:lpstr>
      <vt:lpstr>'Base Formula - BBV'!Defense</vt:lpstr>
      <vt:lpstr>'Base Formula - Non-CV Automated'!Defense</vt:lpstr>
      <vt:lpstr>'Old CV Calculator'!Defense</vt:lpstr>
      <vt:lpstr>Defense</vt:lpstr>
      <vt:lpstr>'Base Formula - BBV'!EquipmentType</vt:lpstr>
      <vt:lpstr>'Base Formula - Non-CV Automated'!EquipmentType</vt:lpstr>
      <vt:lpstr>'Old CV Calculator'!EquipmentType</vt:lpstr>
      <vt:lpstr>EquipmentType</vt:lpstr>
      <vt:lpstr>'Base Formula - BBV'!FIDIB</vt:lpstr>
      <vt:lpstr>'Old CV Calculator'!FIDIB</vt:lpstr>
      <vt:lpstr>FIDIB</vt:lpstr>
      <vt:lpstr>Offense</vt:lpstr>
      <vt:lpstr>SS</vt:lpstr>
      <vt:lpstr>'Base Formula - BBV'!TB</vt:lpstr>
      <vt:lpstr>'Old CV Calculator'!TB</vt:lpstr>
      <vt:lpstr>TB</vt:lpstr>
      <vt:lpstr>'Base Formula - BBV'!TName</vt:lpstr>
      <vt:lpstr>'Base Formula - Non-CV Automated'!TName</vt:lpstr>
      <vt:lpstr>'Old CV Calculator'!TName</vt:lpstr>
      <vt:lpstr>TName</vt:lpstr>
      <vt:lpstr>'Base Formula - BBV'!TORP</vt:lpstr>
      <vt:lpstr>'Base Formula - Non-CV Automated'!TORP</vt:lpstr>
      <vt:lpstr>'Old CV Calculator'!TORP</vt:lpstr>
      <vt:lpstr>TORP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Thomas</dc:creator>
  <cp:lastModifiedBy>George Thomas</cp:lastModifiedBy>
  <dcterms:created xsi:type="dcterms:W3CDTF">2019-02-04T09:05:14Z</dcterms:created>
  <dcterms:modified xsi:type="dcterms:W3CDTF">2019-04-20T21:33:13Z</dcterms:modified>
</cp:coreProperties>
</file>