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900F9AD7-D080-43AE-9763-F390B5230DE0}" xr6:coauthVersionLast="45" xr6:coauthVersionMax="45" xr10:uidLastSave="{00000000-0000-0000-0000-000000000000}"/>
  <bookViews>
    <workbookView xWindow="-108" yWindow="-108" windowWidth="23256" windowHeight="12576" firstSheet="1" activeTab="5" xr2:uid="{00000000-000D-0000-FFFF-FFFF00000000}"/>
  </bookViews>
  <sheets>
    <sheet name="Documentation (Old)" sheetId="2" state="hidden" r:id="rId1"/>
    <sheet name="BBV (2)" sheetId="37" r:id="rId2"/>
    <sheet name="Non-CV (2)" sheetId="36" r:id="rId3"/>
    <sheet name="Documentation (WIP)" sheetId="24" r:id="rId4"/>
    <sheet name="Skill Sheet" sheetId="31" r:id="rId5"/>
    <sheet name="Non-CV" sheetId="11" r:id="rId6"/>
    <sheet name="CV" sheetId="3" r:id="rId7"/>
    <sheet name="BBV" sheetId="21" r:id="rId8"/>
    <sheet name="SS" sheetId="22" r:id="rId9"/>
    <sheet name="SSV" sheetId="26" r:id="rId10"/>
    <sheet name="AA" sheetId="23" r:id="rId11"/>
    <sheet name="Enemy Stats WIP" sheetId="27" state="hidden" r:id="rId12"/>
    <sheet name="Ship Stats" sheetId="17" state="hidden" r:id="rId13"/>
    <sheet name="Barrage" sheetId="25" state="hidden" r:id="rId14"/>
    <sheet name="Equipment Stats" sheetId="6" state="hidden" r:id="rId15"/>
  </sheets>
  <definedNames>
    <definedName name="ExternalData_1" localSheetId="14"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12" i="37" l="1"/>
  <c r="AC12" i="37"/>
  <c r="AB12" i="37"/>
  <c r="AD11" i="37"/>
  <c r="AC11" i="37"/>
  <c r="AB11" i="37"/>
  <c r="AD10" i="37"/>
  <c r="AC10" i="37"/>
  <c r="AB10" i="37"/>
  <c r="W9" i="37"/>
  <c r="U9" i="37"/>
  <c r="S9" i="37"/>
  <c r="U8" i="37"/>
  <c r="S8" i="37"/>
  <c r="C4" i="37"/>
  <c r="C3" i="37" s="1"/>
  <c r="K3" i="37"/>
  <c r="F18" i="37"/>
  <c r="E15" i="37"/>
  <c r="E12" i="37"/>
  <c r="D7" i="37"/>
  <c r="D15" i="37"/>
  <c r="D12" i="37"/>
  <c r="G8" i="37"/>
  <c r="AD23" i="37"/>
  <c r="G13" i="37"/>
  <c r="G12" i="37"/>
  <c r="AD24" i="37"/>
  <c r="F13" i="37"/>
  <c r="G10" i="37"/>
  <c r="G9" i="37"/>
  <c r="F8" i="37"/>
  <c r="AC4" i="37"/>
  <c r="F10" i="37"/>
  <c r="F9" i="37"/>
  <c r="E8" i="37"/>
  <c r="AB4" i="37"/>
  <c r="F17" i="37"/>
  <c r="G14" i="37"/>
  <c r="D13" i="37"/>
  <c r="D8" i="37"/>
  <c r="H7" i="37"/>
  <c r="G17" i="37"/>
  <c r="E13" i="37"/>
  <c r="E9" i="37"/>
  <c r="AB7" i="37"/>
  <c r="G7" i="37"/>
  <c r="E10" i="37"/>
  <c r="H15" i="37"/>
  <c r="F7" i="37"/>
  <c r="F14" i="37"/>
  <c r="D10" i="37"/>
  <c r="D9" i="37"/>
  <c r="G16" i="37"/>
  <c r="E14" i="37"/>
  <c r="AC7" i="37"/>
  <c r="F16" i="37"/>
  <c r="D14" i="37"/>
  <c r="G15" i="37"/>
  <c r="F11" i="37"/>
  <c r="G18" i="37"/>
  <c r="F15" i="37"/>
  <c r="F12" i="37"/>
  <c r="E7" i="37"/>
  <c r="AC5" i="37"/>
  <c r="AC6" i="37"/>
  <c r="AB5" i="37"/>
  <c r="AB6" i="37"/>
  <c r="M19" i="37" l="1"/>
  <c r="AD15" i="37"/>
  <c r="I20" i="36"/>
  <c r="I19" i="36"/>
  <c r="H19" i="36"/>
  <c r="W10" i="36"/>
  <c r="Y9" i="36"/>
  <c r="W9" i="36"/>
  <c r="AF8" i="36"/>
  <c r="Y8" i="36"/>
  <c r="W8" i="36"/>
  <c r="D4" i="36"/>
  <c r="D3" i="36" s="1"/>
  <c r="K3" i="3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B26" i="37"/>
  <c r="C15" i="37"/>
  <c r="H5" i="37"/>
  <c r="C13" i="37"/>
  <c r="C8" i="37"/>
  <c r="C12" i="37"/>
  <c r="C14" i="37"/>
  <c r="B24" i="37"/>
  <c r="B25" i="37"/>
  <c r="G6" i="37"/>
  <c r="C10" i="37"/>
  <c r="B23" i="37"/>
  <c r="G5" i="37"/>
  <c r="C9" i="37"/>
  <c r="C11" i="37"/>
  <c r="C7" i="37"/>
  <c r="F5" i="37"/>
  <c r="G11" i="37"/>
  <c r="F6" i="37"/>
  <c r="G15" i="36"/>
  <c r="I8" i="36"/>
  <c r="G8" i="36"/>
  <c r="H6" i="36"/>
  <c r="G14" i="36"/>
  <c r="I15" i="36"/>
  <c r="F7" i="36"/>
  <c r="AE4" i="36"/>
  <c r="AF13" i="36"/>
  <c r="E11" i="36"/>
  <c r="I11" i="36"/>
  <c r="I10" i="36"/>
  <c r="AF4" i="36"/>
  <c r="H5" i="36"/>
  <c r="H7" i="36"/>
  <c r="F15" i="36"/>
  <c r="H12" i="36"/>
  <c r="F6" i="36"/>
  <c r="E8" i="36"/>
  <c r="E13" i="36"/>
  <c r="AF6" i="36"/>
  <c r="I13" i="36"/>
  <c r="I17" i="36"/>
  <c r="AE6" i="36"/>
  <c r="F5" i="36"/>
  <c r="G13" i="36"/>
  <c r="I5" i="36"/>
  <c r="E16" i="36"/>
  <c r="H11" i="36"/>
  <c r="E15" i="36"/>
  <c r="H16" i="36"/>
  <c r="F13" i="36"/>
  <c r="AE5" i="36"/>
  <c r="H17" i="36"/>
  <c r="G7" i="36"/>
  <c r="H10" i="36"/>
  <c r="AF14" i="36"/>
  <c r="G12" i="36"/>
  <c r="G6" i="36"/>
  <c r="F10" i="36"/>
  <c r="I16" i="36"/>
  <c r="F14" i="36"/>
  <c r="H14" i="36"/>
  <c r="AE7" i="36"/>
  <c r="H15" i="36"/>
  <c r="E17" i="36"/>
  <c r="I9" i="36"/>
  <c r="H8" i="36"/>
  <c r="E6" i="36"/>
  <c r="H18" i="36"/>
  <c r="G9" i="36"/>
  <c r="E7" i="36"/>
  <c r="I14" i="36"/>
  <c r="G5" i="36"/>
  <c r="E14" i="36"/>
  <c r="E5" i="36"/>
  <c r="G10" i="36"/>
  <c r="E10" i="36"/>
  <c r="E9" i="36"/>
  <c r="I18" i="36"/>
  <c r="F12" i="36"/>
  <c r="I7" i="36"/>
  <c r="E12" i="36"/>
  <c r="G11" i="36"/>
  <c r="G17" i="36"/>
  <c r="H9" i="36"/>
  <c r="F9" i="36"/>
  <c r="F8" i="36"/>
  <c r="G16" i="36"/>
  <c r="AF7" i="36"/>
  <c r="H13" i="36"/>
  <c r="I6" i="36"/>
  <c r="I12" i="36"/>
  <c r="F17" i="36"/>
  <c r="F16" i="36"/>
  <c r="F11" i="36"/>
  <c r="AB13" i="37" l="1"/>
  <c r="AD25" i="37"/>
  <c r="L23" i="37"/>
  <c r="J23" i="37"/>
  <c r="K23" i="37"/>
  <c r="I23" i="37"/>
  <c r="D23" i="37"/>
  <c r="H23" i="37"/>
  <c r="G23" i="37"/>
  <c r="E23" i="37"/>
  <c r="F23" i="37"/>
  <c r="AC13" i="37"/>
  <c r="D25" i="37"/>
  <c r="L25" i="37"/>
  <c r="K25" i="37"/>
  <c r="J25" i="37"/>
  <c r="G25" i="37"/>
  <c r="I25" i="37"/>
  <c r="H25" i="37"/>
  <c r="F25" i="37"/>
  <c r="E25" i="37"/>
  <c r="K24" i="37"/>
  <c r="L24" i="37"/>
  <c r="J24" i="37"/>
  <c r="I24" i="37"/>
  <c r="E24" i="37"/>
  <c r="H24" i="37"/>
  <c r="G24" i="37"/>
  <c r="F24" i="37"/>
  <c r="D24" i="37"/>
  <c r="E26" i="37"/>
  <c r="D26" i="37"/>
  <c r="H26" i="37"/>
  <c r="G26" i="37"/>
  <c r="L26" i="37"/>
  <c r="K26" i="37"/>
  <c r="J26" i="37"/>
  <c r="I26" i="37"/>
  <c r="F26" i="37"/>
  <c r="AF11" i="36"/>
  <c r="AF9" i="36"/>
  <c r="G298" i="25"/>
  <c r="H13" i="37"/>
  <c r="H9" i="37"/>
  <c r="H10" i="37"/>
  <c r="H16" i="37"/>
  <c r="H8" i="37"/>
  <c r="H17" i="37"/>
  <c r="H18" i="37"/>
  <c r="H14" i="37"/>
  <c r="H6" i="37"/>
  <c r="H11" i="37"/>
  <c r="H12" i="37"/>
  <c r="AF5" i="36"/>
  <c r="D7" i="36"/>
  <c r="F10" i="21"/>
  <c r="D9" i="36"/>
  <c r="AC4" i="21"/>
  <c r="D11" i="36"/>
  <c r="C25" i="36"/>
  <c r="E10" i="21"/>
  <c r="AC7" i="21"/>
  <c r="H7" i="21"/>
  <c r="D12" i="36"/>
  <c r="D10" i="36"/>
  <c r="D8" i="36"/>
  <c r="AC6" i="21"/>
  <c r="C23" i="36"/>
  <c r="C26" i="36"/>
  <c r="D6" i="36"/>
  <c r="D5" i="36"/>
  <c r="AH4" i="36"/>
  <c r="H15" i="21"/>
  <c r="D14" i="36"/>
  <c r="D9" i="21"/>
  <c r="G10" i="21"/>
  <c r="D10" i="21"/>
  <c r="D13" i="36"/>
  <c r="C24" i="36"/>
  <c r="AD18" i="37" l="1"/>
  <c r="O9" i="37" s="1"/>
  <c r="AD19" i="37"/>
  <c r="AD13" i="37"/>
  <c r="AD17" i="37"/>
  <c r="M9" i="37" s="1"/>
  <c r="AD22" i="37"/>
  <c r="AD20" i="37"/>
  <c r="AD21" i="37"/>
  <c r="AD27" i="37"/>
  <c r="AD28" i="37" s="1"/>
  <c r="R8" i="37" s="1"/>
  <c r="C19" i="37"/>
  <c r="L40" i="37" s="1"/>
  <c r="C20" i="37"/>
  <c r="E19" i="37"/>
  <c r="AD30" i="37"/>
  <c r="AD31" i="37" s="1"/>
  <c r="R9" i="37" s="1"/>
  <c r="D18" i="36"/>
  <c r="D20" i="36"/>
  <c r="S20" i="36" s="1"/>
  <c r="AF27" i="36"/>
  <c r="AF28" i="36" s="1"/>
  <c r="Q10" i="36" s="1"/>
  <c r="P20" i="36"/>
  <c r="L25" i="36"/>
  <c r="I25" i="36"/>
  <c r="K25" i="36"/>
  <c r="J25" i="36"/>
  <c r="G25" i="36"/>
  <c r="F25" i="36"/>
  <c r="N25" i="36"/>
  <c r="H25" i="36"/>
  <c r="E25" i="36"/>
  <c r="M25" i="36"/>
  <c r="D19" i="36"/>
  <c r="L23" i="36"/>
  <c r="K23" i="36"/>
  <c r="I23" i="36"/>
  <c r="J23" i="36"/>
  <c r="G23" i="36"/>
  <c r="F23" i="36"/>
  <c r="N23" i="36"/>
  <c r="M23" i="36"/>
  <c r="H23" i="36"/>
  <c r="L24" i="36"/>
  <c r="I24" i="36"/>
  <c r="K24" i="36"/>
  <c r="J24" i="36"/>
  <c r="G24" i="36"/>
  <c r="N24" i="36"/>
  <c r="H24" i="36"/>
  <c r="F24" i="36"/>
  <c r="M24" i="36"/>
  <c r="E24" i="36"/>
  <c r="AF18" i="36"/>
  <c r="AF25" i="36"/>
  <c r="AF26" i="36" s="1"/>
  <c r="AF15" i="36"/>
  <c r="AF19" i="36"/>
  <c r="AF17" i="36" s="1"/>
  <c r="AF20" i="36"/>
  <c r="AF16" i="36" s="1"/>
  <c r="AF23" i="36"/>
  <c r="L26" i="36"/>
  <c r="I26" i="36"/>
  <c r="K26" i="36"/>
  <c r="J26" i="36"/>
  <c r="G26" i="36"/>
  <c r="M26" i="36"/>
  <c r="F26" i="36"/>
  <c r="E26" i="36"/>
  <c r="N26" i="36"/>
  <c r="H26" i="36"/>
  <c r="G295" i="25"/>
  <c r="G296" i="25"/>
  <c r="G297" i="25"/>
  <c r="G299" i="25"/>
  <c r="G300" i="25"/>
  <c r="G301" i="25"/>
  <c r="G302" i="25"/>
  <c r="G303" i="25"/>
  <c r="G294" i="25"/>
  <c r="AH8" i="36"/>
  <c r="AH10" i="36"/>
  <c r="AH9" i="36"/>
  <c r="AH5" i="36"/>
  <c r="AH11" i="36"/>
  <c r="AH12" i="36"/>
  <c r="AH6" i="36"/>
  <c r="AH7" i="36"/>
  <c r="AC5" i="21"/>
  <c r="P31" i="37" l="1"/>
  <c r="D32" i="36"/>
  <c r="D38" i="36" s="1"/>
  <c r="L44" i="37"/>
  <c r="N31" i="37"/>
  <c r="L31" i="37"/>
  <c r="L39" i="37"/>
  <c r="L43" i="37" s="1"/>
  <c r="N30" i="37"/>
  <c r="J36" i="37"/>
  <c r="J31" i="37"/>
  <c r="P36" i="37"/>
  <c r="N35" i="37"/>
  <c r="P29" i="37"/>
  <c r="E29" i="37"/>
  <c r="G30" i="37"/>
  <c r="G36" i="37" s="1"/>
  <c r="E31" i="37"/>
  <c r="E30" i="37"/>
  <c r="G19" i="37"/>
  <c r="O8" i="37" s="1"/>
  <c r="G31" i="37"/>
  <c r="G37" i="37" s="1"/>
  <c r="G29" i="37"/>
  <c r="G35" i="37" s="1"/>
  <c r="L35" i="37"/>
  <c r="P34" i="37"/>
  <c r="J35" i="37"/>
  <c r="L36" i="37"/>
  <c r="P35" i="37"/>
  <c r="J29" i="37"/>
  <c r="L29" i="37"/>
  <c r="J30" i="37"/>
  <c r="L30" i="37"/>
  <c r="P30" i="37"/>
  <c r="J34" i="37"/>
  <c r="L34" i="37"/>
  <c r="N34" i="37"/>
  <c r="J40" i="37"/>
  <c r="J44" i="37" s="1"/>
  <c r="C29" i="37"/>
  <c r="C32" i="37"/>
  <c r="C38" i="37" s="1"/>
  <c r="C30" i="37"/>
  <c r="C31" i="37"/>
  <c r="P40" i="37"/>
  <c r="P44" i="37" s="1"/>
  <c r="N29" i="37"/>
  <c r="J39" i="37"/>
  <c r="J43" i="37" s="1"/>
  <c r="P39" i="37"/>
  <c r="P43" i="37" s="1"/>
  <c r="N36" i="37"/>
  <c r="N40" i="37"/>
  <c r="N44" i="37" s="1"/>
  <c r="AD26" i="37"/>
  <c r="M8" i="37" s="1"/>
  <c r="N39" i="37"/>
  <c r="N43" i="37" s="1"/>
  <c r="AF24" i="36"/>
  <c r="Q8" i="36" s="1"/>
  <c r="T30" i="36"/>
  <c r="T31" i="36"/>
  <c r="T29" i="36"/>
  <c r="Q9" i="36"/>
  <c r="M9" i="36"/>
  <c r="U9" i="36" s="1"/>
  <c r="AF31" i="36"/>
  <c r="M8" i="36" s="1"/>
  <c r="U8" i="36" s="1"/>
  <c r="AF30" i="36"/>
  <c r="M10" i="36" s="1"/>
  <c r="AF32" i="36"/>
  <c r="P29" i="36"/>
  <c r="P30" i="36"/>
  <c r="P31" i="36"/>
  <c r="D31" i="36"/>
  <c r="O37" i="36"/>
  <c r="M37" i="36"/>
  <c r="D29" i="36"/>
  <c r="I37" i="36"/>
  <c r="K37" i="36"/>
  <c r="D30" i="36"/>
  <c r="R29" i="36"/>
  <c r="R30" i="36"/>
  <c r="R31" i="36"/>
  <c r="G289" i="25"/>
  <c r="G290" i="25"/>
  <c r="G291" i="25"/>
  <c r="G285" i="25"/>
  <c r="G286" i="25"/>
  <c r="G287" i="25"/>
  <c r="G288" i="25"/>
  <c r="G283" i="25"/>
  <c r="G284" i="25"/>
  <c r="W5" i="37" l="1"/>
  <c r="U6" i="37"/>
  <c r="E37" i="37"/>
  <c r="P6" i="37" s="1"/>
  <c r="S6" i="37"/>
  <c r="C37" i="37"/>
  <c r="R6" i="37" s="1"/>
  <c r="W4" i="37"/>
  <c r="U4" i="37"/>
  <c r="E35" i="37"/>
  <c r="P4" i="37" s="1"/>
  <c r="E36" i="37"/>
  <c r="P5" i="37" s="1"/>
  <c r="U5" i="37"/>
  <c r="C36" i="37"/>
  <c r="R5" i="37" s="1"/>
  <c r="S5" i="37"/>
  <c r="W6" i="37"/>
  <c r="S4" i="37"/>
  <c r="C35" i="37"/>
  <c r="R4" i="37" s="1"/>
  <c r="K31" i="36"/>
  <c r="K36" i="36"/>
  <c r="K30" i="36"/>
  <c r="O34" i="36"/>
  <c r="M35" i="36"/>
  <c r="K38" i="36"/>
  <c r="X5" i="36"/>
  <c r="K34" i="36"/>
  <c r="I38" i="36"/>
  <c r="M34" i="36"/>
  <c r="V4" i="36"/>
  <c r="D35" i="36"/>
  <c r="H29" i="36"/>
  <c r="O36" i="36"/>
  <c r="D36" i="36"/>
  <c r="V5" i="36"/>
  <c r="H30" i="36"/>
  <c r="M36" i="36"/>
  <c r="M38" i="36"/>
  <c r="O38" i="36"/>
  <c r="O35" i="36"/>
  <c r="D37" i="36"/>
  <c r="H31" i="36"/>
  <c r="V6" i="36"/>
  <c r="K35" i="36"/>
  <c r="X6" i="36"/>
  <c r="K29" i="36"/>
  <c r="X4" i="36"/>
  <c r="G282" i="25"/>
  <c r="M6" i="37" l="1"/>
  <c r="N4" i="37"/>
  <c r="M5" i="37"/>
  <c r="M4" i="37"/>
  <c r="N6" i="37"/>
  <c r="N5" i="37"/>
  <c r="T5" i="36"/>
  <c r="P5" i="36"/>
  <c r="T6" i="36"/>
  <c r="P6" i="36"/>
  <c r="T4" i="36"/>
  <c r="P4" i="36"/>
  <c r="I19" i="1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E10" i="31"/>
  <c r="D12" i="31"/>
  <c r="D9" i="31"/>
  <c r="B18" i="31"/>
  <c r="H5" i="31"/>
  <c r="J5" i="31"/>
  <c r="D8" i="31"/>
  <c r="C9" i="31"/>
  <c r="F5" i="31"/>
  <c r="L5" i="31"/>
  <c r="E9" i="31"/>
  <c r="I5" i="31"/>
  <c r="E8" i="31"/>
  <c r="B21" i="31"/>
  <c r="K5" i="31"/>
  <c r="G5" i="31"/>
  <c r="B5" i="31"/>
  <c r="B15" i="31"/>
  <c r="D5" i="31"/>
  <c r="C10" i="31"/>
  <c r="M5" i="31"/>
  <c r="B12" i="31"/>
  <c r="D18" i="31"/>
  <c r="C5" i="31"/>
  <c r="C8" i="31"/>
  <c r="D21" i="31"/>
  <c r="D15" i="31"/>
  <c r="D10"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21" i="23"/>
  <c r="D52" i="23"/>
  <c r="D65" i="23"/>
  <c r="D50" i="23"/>
  <c r="F67" i="23"/>
  <c r="F6" i="23"/>
  <c r="D49" i="23"/>
  <c r="D23" i="23"/>
  <c r="G62" i="23"/>
  <c r="E23" i="23"/>
  <c r="F36" i="23"/>
  <c r="D78" i="23"/>
  <c r="F20" i="23"/>
  <c r="G63" i="23"/>
  <c r="F65" i="23"/>
  <c r="F35" i="23"/>
  <c r="G22" i="23"/>
  <c r="H36" i="23"/>
  <c r="F81" i="23"/>
  <c r="F62" i="23"/>
  <c r="D24" i="23"/>
  <c r="E33" i="23"/>
  <c r="F52" i="23"/>
  <c r="G80" i="23"/>
  <c r="F34" i="23"/>
  <c r="E79" i="23"/>
  <c r="D64" i="23"/>
  <c r="E50" i="23"/>
  <c r="F76" i="23"/>
  <c r="F79" i="23"/>
  <c r="E77" i="23"/>
  <c r="D63" i="23"/>
  <c r="D77" i="23"/>
  <c r="D34" i="23"/>
  <c r="H80" i="23"/>
  <c r="H21" i="23"/>
  <c r="F38" i="23"/>
  <c r="F24" i="23"/>
  <c r="F22" i="23"/>
  <c r="H24" i="23"/>
  <c r="G24" i="23"/>
  <c r="D66" i="23"/>
  <c r="H35" i="23"/>
  <c r="G64" i="23"/>
  <c r="F9" i="23"/>
  <c r="F23" i="23"/>
  <c r="E76" i="23"/>
  <c r="F47" i="23"/>
  <c r="H77" i="23"/>
  <c r="F77" i="23"/>
  <c r="D80" i="23"/>
  <c r="E35" i="23"/>
  <c r="D38" i="23"/>
  <c r="F5" i="23"/>
  <c r="F66" i="23"/>
  <c r="F50" i="23"/>
  <c r="H38" i="23"/>
  <c r="E36" i="23"/>
  <c r="E53" i="23"/>
  <c r="F25" i="23"/>
  <c r="G49" i="23"/>
  <c r="F7" i="23"/>
  <c r="H52" i="23"/>
  <c r="G35" i="23"/>
  <c r="G21" i="23"/>
  <c r="E37" i="23"/>
  <c r="H50" i="23"/>
  <c r="F53" i="23"/>
  <c r="H48" i="23"/>
  <c r="D35" i="23"/>
  <c r="E20" i="23"/>
  <c r="D25" i="23"/>
  <c r="H78" i="23"/>
  <c r="G52" i="23"/>
  <c r="D21" i="23"/>
  <c r="D39" i="23"/>
  <c r="E24" i="23"/>
  <c r="E78" i="23"/>
  <c r="H63" i="23"/>
  <c r="E67" i="23"/>
  <c r="H76" i="23"/>
  <c r="G77" i="23"/>
  <c r="G34" i="23"/>
  <c r="D62" i="23"/>
  <c r="F80" i="23"/>
  <c r="D19" i="23"/>
  <c r="D48" i="23"/>
  <c r="F64" i="23"/>
  <c r="F78" i="23"/>
  <c r="F33" i="23"/>
  <c r="H66" i="23"/>
  <c r="E51" i="23"/>
  <c r="D37" i="23"/>
  <c r="E80" i="23"/>
  <c r="E81" i="23"/>
  <c r="H62" i="23"/>
  <c r="E75" i="23"/>
  <c r="E48" i="23"/>
  <c r="D22" i="23"/>
  <c r="G66" i="23"/>
  <c r="E62" i="23"/>
  <c r="G48" i="23"/>
  <c r="E34" i="23"/>
  <c r="E49" i="23"/>
  <c r="H49" i="23"/>
  <c r="E38" i="23"/>
  <c r="E5" i="23"/>
  <c r="G78" i="23"/>
  <c r="D67" i="23"/>
  <c r="F75" i="23"/>
  <c r="F49" i="23"/>
  <c r="D81" i="23"/>
  <c r="E47" i="23"/>
  <c r="H22" i="23"/>
  <c r="H64" i="23"/>
  <c r="F10" i="23"/>
  <c r="D51" i="23"/>
  <c r="G38" i="23"/>
  <c r="F39" i="23"/>
  <c r="E19" i="23"/>
  <c r="F63" i="23"/>
  <c r="F51" i="23"/>
  <c r="E66" i="23"/>
  <c r="H20" i="23"/>
  <c r="D33" i="23"/>
  <c r="G20" i="23"/>
  <c r="F21" i="23"/>
  <c r="G50" i="23"/>
  <c r="D36" i="23"/>
  <c r="E64" i="23"/>
  <c r="F48" i="23"/>
  <c r="D61" i="23"/>
  <c r="E61" i="23"/>
  <c r="E22" i="23"/>
  <c r="D47" i="23"/>
  <c r="F8" i="23"/>
  <c r="H34" i="23"/>
  <c r="E39" i="23"/>
  <c r="F37" i="23"/>
  <c r="E65" i="23"/>
  <c r="D20" i="23"/>
  <c r="D76" i="23"/>
  <c r="D53" i="23"/>
  <c r="E63" i="23"/>
  <c r="F19" i="23"/>
  <c r="G76" i="23"/>
  <c r="F11" i="23"/>
  <c r="G36" i="23"/>
  <c r="D79" i="23"/>
  <c r="E25" i="23"/>
  <c r="F61" i="23"/>
  <c r="D75" i="23"/>
  <c r="E52" i="23"/>
  <c r="E219" i="25" l="1"/>
  <c r="G219" i="25" s="1"/>
  <c r="E218" i="25"/>
  <c r="G218" i="25" s="1"/>
  <c r="E217" i="25"/>
  <c r="G217" i="25" s="1"/>
  <c r="C19" i="23"/>
  <c r="C47" i="23"/>
  <c r="C61" i="23"/>
  <c r="C34" i="23"/>
  <c r="C48" i="23"/>
  <c r="C77" i="23"/>
  <c r="C35" i="23"/>
  <c r="C64" i="23"/>
  <c r="C50" i="23"/>
  <c r="C78" i="23"/>
  <c r="C76" i="23"/>
  <c r="C20" i="23"/>
  <c r="C33" i="23"/>
  <c r="C62" i="23"/>
  <c r="C49" i="23"/>
  <c r="C75" i="23"/>
  <c r="C36" i="23"/>
  <c r="C63" i="23"/>
  <c r="C21" i="23"/>
  <c r="C22" i="23"/>
  <c r="L73" i="23" l="1"/>
  <c r="L59" i="23"/>
  <c r="L45" i="23"/>
  <c r="L31" i="23"/>
  <c r="L17" i="23"/>
  <c r="H40" i="23"/>
  <c r="H61" i="23"/>
  <c r="G23" i="23"/>
  <c r="G25" i="23"/>
  <c r="G67" i="23"/>
  <c r="G47" i="23"/>
  <c r="G19" i="23"/>
  <c r="G79" i="23"/>
  <c r="G81" i="23"/>
  <c r="G39" i="23"/>
  <c r="H68" i="23"/>
  <c r="H82" i="23"/>
  <c r="H67" i="23"/>
  <c r="G37" i="23"/>
  <c r="H37" i="23"/>
  <c r="G82" i="23"/>
  <c r="H47" i="23"/>
  <c r="H23" i="23"/>
  <c r="G61" i="23"/>
  <c r="G68" i="23"/>
  <c r="H54" i="23"/>
  <c r="H33" i="23"/>
  <c r="G40" i="23"/>
  <c r="H19" i="23"/>
  <c r="G65" i="23"/>
  <c r="H25" i="23"/>
  <c r="G33" i="23"/>
  <c r="G75" i="23"/>
  <c r="H26" i="23"/>
  <c r="H53" i="23"/>
  <c r="H81" i="23"/>
  <c r="H75" i="23"/>
  <c r="G54" i="23"/>
  <c r="H65" i="23"/>
  <c r="G53" i="23"/>
  <c r="G26" i="23"/>
  <c r="H51" i="23"/>
  <c r="H39" i="23"/>
  <c r="G51" i="23"/>
  <c r="H79"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D15" i="3"/>
  <c r="F15" i="3"/>
  <c r="E15" i="3"/>
  <c r="L83" i="23" l="1"/>
  <c r="L82" i="23"/>
  <c r="L69" i="23"/>
  <c r="L68" i="23"/>
  <c r="L55" i="23"/>
  <c r="L54" i="23"/>
  <c r="L40" i="23"/>
  <c r="L41" i="23"/>
  <c r="L27" i="23"/>
  <c r="L26" i="23"/>
  <c r="T11" i="26"/>
  <c r="R11" i="26"/>
  <c r="T10" i="26"/>
  <c r="R10" i="26"/>
  <c r="R9" i="26"/>
  <c r="C4" i="26"/>
  <c r="C3" i="26" s="1"/>
  <c r="AD3" i="26"/>
  <c r="J3" i="26"/>
  <c r="F12" i="26"/>
  <c r="G18" i="26"/>
  <c r="F17" i="26"/>
  <c r="G12" i="26"/>
  <c r="H16" i="26"/>
  <c r="H17" i="26"/>
  <c r="G10" i="26"/>
  <c r="E16" i="26"/>
  <c r="E7" i="26"/>
  <c r="F15" i="26"/>
  <c r="D10" i="26"/>
  <c r="D11" i="26"/>
  <c r="F8" i="26"/>
  <c r="Y4" i="26"/>
  <c r="E9" i="26"/>
  <c r="F5" i="26"/>
  <c r="E6" i="26"/>
  <c r="F16" i="26"/>
  <c r="F7" i="26"/>
  <c r="H6" i="26"/>
  <c r="H20" i="26"/>
  <c r="D8" i="26"/>
  <c r="H8" i="26"/>
  <c r="E19" i="26"/>
  <c r="G8" i="26"/>
  <c r="G17" i="26"/>
  <c r="G7" i="26"/>
  <c r="D19" i="26"/>
  <c r="H15" i="26"/>
  <c r="G20" i="26"/>
  <c r="D20" i="26"/>
  <c r="E12" i="26"/>
  <c r="E17" i="26"/>
  <c r="D16" i="26"/>
  <c r="H18" i="26"/>
  <c r="G15" i="26"/>
  <c r="D17" i="26"/>
  <c r="H7" i="26"/>
  <c r="G19" i="26"/>
  <c r="H12" i="26"/>
  <c r="E18" i="26"/>
  <c r="D6" i="26"/>
  <c r="F6" i="26"/>
  <c r="G9" i="26"/>
  <c r="F9" i="26"/>
  <c r="E11" i="26"/>
  <c r="F18" i="26"/>
  <c r="H10" i="26"/>
  <c r="F13" i="26"/>
  <c r="H19" i="26"/>
  <c r="E10" i="26"/>
  <c r="E13" i="26"/>
  <c r="H9" i="26"/>
  <c r="F20" i="26"/>
  <c r="E5" i="26"/>
  <c r="F11" i="26"/>
  <c r="D9" i="26"/>
  <c r="H11" i="26"/>
  <c r="G13" i="26"/>
  <c r="E8" i="26"/>
  <c r="G16" i="26"/>
  <c r="Y13" i="26"/>
  <c r="D5" i="26"/>
  <c r="D15" i="26"/>
  <c r="F19" i="26"/>
  <c r="G5" i="26"/>
  <c r="F10" i="26"/>
  <c r="D13" i="26"/>
  <c r="D12" i="26"/>
  <c r="X4" i="26"/>
  <c r="E15" i="26"/>
  <c r="H5" i="26"/>
  <c r="H13" i="26"/>
  <c r="D18" i="26"/>
  <c r="H15" i="3"/>
  <c r="D7" i="26"/>
  <c r="E20" i="26"/>
  <c r="G6" i="26"/>
  <c r="Y12" i="26"/>
  <c r="G11" i="26"/>
  <c r="Z8" i="26"/>
  <c r="G262" i="25" l="1"/>
  <c r="G263" i="25"/>
  <c r="G259" i="25"/>
  <c r="G260" i="25"/>
  <c r="G261" i="25"/>
  <c r="X5" i="26"/>
  <c r="C6" i="26"/>
  <c r="C12" i="26"/>
  <c r="C15" i="26"/>
  <c r="Y5" i="26"/>
  <c r="C16" i="26"/>
  <c r="Y7" i="26"/>
  <c r="C9" i="26"/>
  <c r="C11" i="26"/>
  <c r="C8" i="26"/>
  <c r="B26" i="26"/>
  <c r="C10" i="26"/>
  <c r="B29" i="26"/>
  <c r="Y6" i="26"/>
  <c r="X6" i="26"/>
  <c r="C5" i="26"/>
  <c r="B27" i="26"/>
  <c r="Z4" i="26"/>
  <c r="C13" i="26"/>
  <c r="C7" i="26"/>
  <c r="C17" i="26"/>
  <c r="B28" i="26"/>
  <c r="C14" i="26"/>
  <c r="X7"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E23" i="36" s="1"/>
  <c r="G254" i="25"/>
  <c r="G255" i="25"/>
  <c r="G256" i="25"/>
  <c r="G257" i="25"/>
  <c r="G258" i="25"/>
  <c r="W9" i="21"/>
  <c r="U9" i="21"/>
  <c r="U8" i="21"/>
  <c r="S9" i="21"/>
  <c r="S8" i="21"/>
  <c r="AD23" i="21"/>
  <c r="AD24" i="21"/>
  <c r="N31" i="36" l="1"/>
  <c r="N29" i="36"/>
  <c r="N30" i="36"/>
  <c r="I34" i="36"/>
  <c r="I35" i="36"/>
  <c r="I36" i="36"/>
  <c r="Y20" i="26"/>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M6" i="36" l="1"/>
  <c r="N6" i="36"/>
  <c r="M5" i="36"/>
  <c r="N5" i="36"/>
  <c r="M4" i="36"/>
  <c r="N4" i="36"/>
  <c r="R5" i="36"/>
  <c r="Z5" i="36"/>
  <c r="Z4" i="36"/>
  <c r="R4" i="36"/>
  <c r="Z6" i="36"/>
  <c r="R6" i="36"/>
  <c r="Y16" i="26"/>
  <c r="L8" i="26" s="1"/>
  <c r="L10" i="26"/>
  <c r="V26" i="26"/>
  <c r="V27" i="26"/>
  <c r="T28" i="26"/>
  <c r="T26" i="26"/>
  <c r="T27" i="26"/>
  <c r="V30" i="26"/>
  <c r="T30" i="26"/>
  <c r="T37" i="26"/>
  <c r="AB37" i="26" s="1"/>
  <c r="AB36" i="26"/>
  <c r="AB34" i="26"/>
  <c r="AB35" i="26"/>
  <c r="AB33" i="26"/>
  <c r="AF13" i="11"/>
  <c r="E5" i="22"/>
  <c r="Z30" i="26" l="1"/>
  <c r="R6" i="26"/>
  <c r="R4" i="26"/>
  <c r="R5" i="26"/>
  <c r="I400" i="17"/>
  <c r="E5" i="11"/>
  <c r="R2" i="23" l="1"/>
  <c r="C4" i="23" l="1"/>
  <c r="C3" i="23" s="1"/>
  <c r="D8" i="23"/>
  <c r="D9" i="23"/>
  <c r="E9" i="23"/>
  <c r="H7" i="23"/>
  <c r="D11" i="23"/>
  <c r="E8" i="23"/>
  <c r="G7" i="23"/>
  <c r="E10" i="23"/>
  <c r="E11" i="23"/>
  <c r="G8" i="23"/>
  <c r="G6" i="23"/>
  <c r="H8" i="23"/>
  <c r="H10" i="23"/>
  <c r="D10" i="23"/>
  <c r="E6" i="23"/>
  <c r="D7" i="23"/>
  <c r="H6" i="23"/>
  <c r="G10" i="23"/>
  <c r="E7" i="23"/>
  <c r="D6" i="23"/>
  <c r="D5" i="23"/>
  <c r="C8" i="23"/>
  <c r="T11" i="22" l="1"/>
  <c r="T10" i="22"/>
  <c r="R11" i="22"/>
  <c r="R10" i="22"/>
  <c r="R9" i="22"/>
  <c r="J3" i="22"/>
  <c r="C7" i="23"/>
  <c r="C5" i="23"/>
  <c r="C6" i="23"/>
  <c r="G8" i="22"/>
  <c r="F8" i="22"/>
  <c r="D12" i="22"/>
  <c r="I18" i="11"/>
  <c r="L3" i="23" l="1"/>
  <c r="AD3" i="22"/>
  <c r="C4" i="22"/>
  <c r="F12" i="22"/>
  <c r="E16" i="22"/>
  <c r="F6" i="22"/>
  <c r="F5" i="22"/>
  <c r="F7" i="22"/>
  <c r="H7" i="22"/>
  <c r="H6" i="22"/>
  <c r="F15" i="22"/>
  <c r="H14" i="22"/>
  <c r="H9" i="23"/>
  <c r="G6" i="22"/>
  <c r="G9" i="22"/>
  <c r="D17" i="22"/>
  <c r="X4" i="22"/>
  <c r="E11" i="22"/>
  <c r="D7" i="22"/>
  <c r="H11" i="23"/>
  <c r="G16" i="22"/>
  <c r="F16" i="22"/>
  <c r="H19" i="22"/>
  <c r="G9" i="23"/>
  <c r="E18" i="22"/>
  <c r="E8" i="22"/>
  <c r="H16" i="22"/>
  <c r="D19" i="22"/>
  <c r="H9" i="22"/>
  <c r="F18" i="22"/>
  <c r="G5" i="22"/>
  <c r="G18" i="22"/>
  <c r="H12" i="23"/>
  <c r="G11" i="22"/>
  <c r="E14" i="22"/>
  <c r="D15" i="22"/>
  <c r="G11" i="23"/>
  <c r="G7" i="22"/>
  <c r="G17" i="22"/>
  <c r="D5" i="22"/>
  <c r="G12" i="23"/>
  <c r="G19" i="22"/>
  <c r="H5" i="22"/>
  <c r="Y13" i="22"/>
  <c r="D14" i="22"/>
  <c r="F9" i="22"/>
  <c r="Y12" i="22"/>
  <c r="G14" i="22"/>
  <c r="H18" i="22"/>
  <c r="H12" i="22"/>
  <c r="H11" i="22"/>
  <c r="E6" i="22"/>
  <c r="E10" i="22"/>
  <c r="H5" i="23"/>
  <c r="F17" i="22"/>
  <c r="H17" i="22"/>
  <c r="F19" i="22"/>
  <c r="Z4" i="22"/>
  <c r="D6" i="22"/>
  <c r="E17" i="22"/>
  <c r="D9" i="22"/>
  <c r="G15" i="22"/>
  <c r="E7" i="22"/>
  <c r="G5" i="23"/>
  <c r="D10" i="22"/>
  <c r="H15" i="22"/>
  <c r="D11" i="22"/>
  <c r="H8" i="22"/>
  <c r="E19" i="22"/>
  <c r="F11" i="22"/>
  <c r="D8" i="22"/>
  <c r="Y4" i="22"/>
  <c r="D16" i="22"/>
  <c r="H10" i="22"/>
  <c r="E9" i="22"/>
  <c r="F10" i="22"/>
  <c r="E15" i="22"/>
  <c r="G12" i="22"/>
  <c r="G10" i="22"/>
  <c r="E12" i="22"/>
  <c r="D18" i="22"/>
  <c r="F14" i="22"/>
  <c r="P72" i="23" l="1"/>
  <c r="P58" i="23"/>
  <c r="P44" i="23"/>
  <c r="P30" i="23"/>
  <c r="P16" i="23"/>
  <c r="P2" i="23"/>
  <c r="L4" i="23"/>
  <c r="L5" i="23"/>
  <c r="E13" i="23"/>
  <c r="C3" i="22"/>
  <c r="C13" i="23"/>
  <c r="AD4" i="22"/>
  <c r="W10" i="11"/>
  <c r="W9" i="11"/>
  <c r="Y8" i="11"/>
  <c r="W8" i="11"/>
  <c r="K3" i="11"/>
  <c r="X6" i="22"/>
  <c r="Z6" i="22"/>
  <c r="X7" i="22"/>
  <c r="Y6" i="22"/>
  <c r="Y5" i="22"/>
  <c r="Y7" i="22"/>
  <c r="X5" i="22"/>
  <c r="Z5" i="22"/>
  <c r="Z7" i="22"/>
  <c r="C14" i="22"/>
  <c r="P59" i="23" l="1"/>
  <c r="P61" i="23" s="1"/>
  <c r="P73" i="23"/>
  <c r="P75" i="23" s="1"/>
  <c r="P45" i="23"/>
  <c r="P47" i="23" s="1"/>
  <c r="P17" i="23"/>
  <c r="P19" i="23" s="1"/>
  <c r="P31" i="23"/>
  <c r="P33" i="23" s="1"/>
  <c r="P3" i="23"/>
  <c r="P5" i="23" s="1"/>
  <c r="L13" i="23"/>
  <c r="L12" i="23"/>
  <c r="Z5" i="26"/>
  <c r="Z6" i="26"/>
  <c r="Z7" i="26"/>
  <c r="B27" i="22"/>
  <c r="C8" i="22"/>
  <c r="C9" i="22"/>
  <c r="B26" i="22"/>
  <c r="C12" i="22"/>
  <c r="C7" i="22"/>
  <c r="C15" i="22"/>
  <c r="C16" i="22"/>
  <c r="C6" i="22"/>
  <c r="C10" i="22"/>
  <c r="C5" i="22"/>
  <c r="B25" i="22"/>
  <c r="C11" i="22"/>
  <c r="C13" i="22"/>
  <c r="B28"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AC12" i="21"/>
  <c r="AC11" i="21"/>
  <c r="AC10" i="21"/>
  <c r="C4" i="21"/>
  <c r="C3" i="21" s="1"/>
  <c r="K3" i="21"/>
  <c r="E9" i="21"/>
  <c r="F7" i="21"/>
  <c r="D8" i="21"/>
  <c r="F15" i="21"/>
  <c r="G17" i="21"/>
  <c r="F14" i="21"/>
  <c r="F9" i="21"/>
  <c r="F13" i="21"/>
  <c r="E13" i="21"/>
  <c r="D7" i="21"/>
  <c r="F11" i="21"/>
  <c r="G16" i="21"/>
  <c r="E8" i="21"/>
  <c r="G10" i="11"/>
  <c r="G8" i="21"/>
  <c r="F8" i="21"/>
  <c r="D13" i="21"/>
  <c r="D14" i="21"/>
  <c r="F17" i="21"/>
  <c r="G18" i="21"/>
  <c r="G15" i="21"/>
  <c r="F12" i="21"/>
  <c r="E12" i="21"/>
  <c r="E7" i="21"/>
  <c r="G14" i="21"/>
  <c r="F18" i="21"/>
  <c r="F16" i="21"/>
  <c r="G9" i="21"/>
  <c r="D12" i="21"/>
  <c r="G13" i="21"/>
  <c r="E14" i="21"/>
  <c r="E15" i="21"/>
  <c r="G7" i="21"/>
  <c r="G15" i="11"/>
  <c r="AB4" i="21"/>
  <c r="D15" i="21"/>
  <c r="G12" i="21"/>
  <c r="B26" i="21"/>
  <c r="V25" i="22" l="1"/>
  <c r="T25" i="22"/>
  <c r="AB34" i="22"/>
  <c r="AB33" i="22"/>
  <c r="AB32" i="22"/>
  <c r="AB35" i="22"/>
  <c r="AB36" i="22"/>
  <c r="E26" i="21"/>
  <c r="D26" i="21"/>
  <c r="L26" i="21"/>
  <c r="I26" i="21"/>
  <c r="K26" i="21"/>
  <c r="H26" i="21"/>
  <c r="G26" i="21"/>
  <c r="J26" i="21"/>
  <c r="F26" i="21"/>
  <c r="AD15" i="21"/>
  <c r="M19" i="21"/>
  <c r="H5" i="21"/>
  <c r="C11" i="21"/>
  <c r="AB7" i="21"/>
  <c r="G5" i="21"/>
  <c r="C14" i="21"/>
  <c r="B24" i="21"/>
  <c r="AB5" i="21"/>
  <c r="C15" i="21"/>
  <c r="B25" i="21"/>
  <c r="C13" i="21"/>
  <c r="F5" i="21"/>
  <c r="C8" i="21"/>
  <c r="G6" i="21"/>
  <c r="C10" i="21"/>
  <c r="G11" i="21"/>
  <c r="C9" i="21"/>
  <c r="C12" i="21"/>
  <c r="B23" i="21"/>
  <c r="C7" i="21"/>
  <c r="AB6" i="21"/>
  <c r="F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AC9" i="3"/>
  <c r="AC8" i="3"/>
  <c r="AC7" i="3"/>
  <c r="C4" i="3"/>
  <c r="H9" i="21"/>
  <c r="H10" i="21"/>
  <c r="H13" i="21"/>
  <c r="H12" i="21"/>
  <c r="H11" i="21"/>
  <c r="H16" i="21"/>
  <c r="H14" i="21"/>
  <c r="H6" i="21"/>
  <c r="H18" i="21"/>
  <c r="H8" i="21"/>
  <c r="H17" i="21"/>
  <c r="AD27" i="21" l="1"/>
  <c r="AD19" i="21"/>
  <c r="C20" i="21"/>
  <c r="AD20" i="21"/>
  <c r="AD17" i="21"/>
  <c r="M9" i="21" s="1"/>
  <c r="Z27" i="22"/>
  <c r="Z26" i="22"/>
  <c r="Z29" i="22"/>
  <c r="L4" i="22" s="1"/>
  <c r="N4" i="22" s="1"/>
  <c r="P4" i="22" s="1"/>
  <c r="C3" i="3"/>
  <c r="AD21" i="21"/>
  <c r="AD22" i="21"/>
  <c r="AD13" i="21"/>
  <c r="C19" i="21"/>
  <c r="E19" i="21"/>
  <c r="AD30" i="21"/>
  <c r="AD31" i="21" s="1"/>
  <c r="AD25" i="21"/>
  <c r="AD18" i="21"/>
  <c r="O9" i="21" s="1"/>
  <c r="D4" i="11"/>
  <c r="D3" i="11" s="1"/>
  <c r="AH4" i="11"/>
  <c r="G5" i="3"/>
  <c r="L34" i="21" l="1"/>
  <c r="L36" i="21"/>
  <c r="L31" i="21"/>
  <c r="L35" i="21"/>
  <c r="J34" i="21"/>
  <c r="L30" i="21"/>
  <c r="L29" i="21"/>
  <c r="J36" i="21"/>
  <c r="J35" i="21"/>
  <c r="J31" i="21"/>
  <c r="J30" i="21"/>
  <c r="J29" i="21"/>
  <c r="P36" i="21"/>
  <c r="P31" i="21"/>
  <c r="P35" i="21"/>
  <c r="P34" i="21"/>
  <c r="N34" i="21"/>
  <c r="N29" i="21"/>
  <c r="P30" i="21"/>
  <c r="P29" i="21"/>
  <c r="N36" i="21"/>
  <c r="N35" i="21"/>
  <c r="N30" i="21"/>
  <c r="N31" i="21"/>
  <c r="E30" i="21"/>
  <c r="E31" i="21"/>
  <c r="C31" i="21"/>
  <c r="E29" i="2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F10" i="3"/>
  <c r="B29" i="3"/>
  <c r="D12" i="11"/>
  <c r="D12" i="3"/>
  <c r="G10" i="3"/>
  <c r="B25" i="3"/>
  <c r="C26" i="11"/>
  <c r="G13" i="3"/>
  <c r="E8" i="3"/>
  <c r="H8" i="11"/>
  <c r="C24" i="11"/>
  <c r="F14" i="3"/>
  <c r="AH10" i="11"/>
  <c r="AH5" i="11"/>
  <c r="B23" i="3"/>
  <c r="G6" i="11"/>
  <c r="H13" i="3"/>
  <c r="G8" i="11"/>
  <c r="B26" i="3"/>
  <c r="G14" i="3"/>
  <c r="H14" i="3"/>
  <c r="E10" i="3"/>
  <c r="F11" i="3"/>
  <c r="F13" i="3"/>
  <c r="G11" i="11"/>
  <c r="H7" i="3"/>
  <c r="G7" i="11"/>
  <c r="E7" i="11"/>
  <c r="D13" i="3"/>
  <c r="C15" i="3"/>
  <c r="H8" i="3"/>
  <c r="F7" i="3"/>
  <c r="I8" i="11"/>
  <c r="E13" i="3"/>
  <c r="AH9" i="11"/>
  <c r="F12" i="11"/>
  <c r="G12" i="3"/>
  <c r="AH7" i="11"/>
  <c r="E7" i="3"/>
  <c r="F8" i="11"/>
  <c r="G8" i="3"/>
  <c r="C13" i="3"/>
  <c r="E14" i="11"/>
  <c r="G17" i="11"/>
  <c r="G13" i="11"/>
  <c r="G5" i="11"/>
  <c r="B24" i="3"/>
  <c r="B27" i="3"/>
  <c r="AH11" i="11"/>
  <c r="G7" i="3"/>
  <c r="H12" i="3"/>
  <c r="E8" i="11"/>
  <c r="G12" i="11"/>
  <c r="C23" i="11"/>
  <c r="G14" i="11"/>
  <c r="H11" i="3"/>
  <c r="AH8" i="11"/>
  <c r="B30" i="3"/>
  <c r="C25" i="11"/>
  <c r="D10" i="11"/>
  <c r="D10" i="3"/>
  <c r="F8" i="3"/>
  <c r="D8" i="3"/>
  <c r="C12" i="3"/>
  <c r="E12" i="3"/>
  <c r="F12" i="3"/>
  <c r="G9" i="11"/>
  <c r="D7" i="3"/>
  <c r="E11" i="3"/>
  <c r="G16" i="11"/>
  <c r="H10" i="3"/>
  <c r="AH6" i="11"/>
  <c r="D11" i="3"/>
  <c r="G11" i="3"/>
  <c r="B28" i="3"/>
  <c r="AH12" i="11"/>
  <c r="E37" i="21" l="1"/>
  <c r="U6" i="21"/>
  <c r="E36" i="21"/>
  <c r="U5" i="21"/>
  <c r="U4" i="21"/>
  <c r="E35" i="21"/>
  <c r="G26" i="11"/>
  <c r="F26" i="11"/>
  <c r="E26" i="11"/>
  <c r="N26" i="11"/>
  <c r="M26" i="11"/>
  <c r="J26" i="11"/>
  <c r="L26" i="11"/>
  <c r="K26" i="11"/>
  <c r="H26" i="11"/>
  <c r="I26" i="1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D13" i="11"/>
  <c r="C10" i="3"/>
  <c r="C11" i="3"/>
  <c r="F5" i="3"/>
  <c r="C8" i="3"/>
  <c r="C7" i="3"/>
  <c r="F6" i="3"/>
  <c r="N5" i="21" l="1"/>
  <c r="N6" i="21"/>
  <c r="N4" i="21"/>
  <c r="M5" i="21"/>
  <c r="M6" i="21"/>
  <c r="M4" i="21"/>
  <c r="R4" i="21"/>
  <c r="R5" i="21"/>
  <c r="AC10" i="3"/>
  <c r="AC3" i="3"/>
  <c r="W44" i="3" s="1"/>
  <c r="AE17" i="3"/>
  <c r="AE4" i="11"/>
  <c r="H10" i="11"/>
  <c r="I15" i="11"/>
  <c r="D11" i="11"/>
  <c r="F11" i="11"/>
  <c r="F14" i="11"/>
  <c r="AF14" i="11"/>
  <c r="I7" i="11"/>
  <c r="H7" i="11"/>
  <c r="AF4" i="11"/>
  <c r="D14" i="11"/>
  <c r="I6" i="11"/>
  <c r="H5" i="3"/>
  <c r="H6" i="11"/>
  <c r="D8" i="11"/>
  <c r="I13" i="11"/>
  <c r="I16" i="11"/>
  <c r="F5" i="11"/>
  <c r="G6" i="3"/>
  <c r="F9" i="3"/>
  <c r="H9" i="3"/>
  <c r="E9" i="11"/>
  <c r="H13" i="11"/>
  <c r="F6" i="11"/>
  <c r="E10" i="11"/>
  <c r="H16" i="11"/>
  <c r="I9" i="11"/>
  <c r="I10" i="11"/>
  <c r="H9" i="11"/>
  <c r="F7" i="11"/>
  <c r="H11" i="11"/>
  <c r="H15" i="11"/>
  <c r="I17" i="11"/>
  <c r="I12" i="11"/>
  <c r="F10" i="11"/>
  <c r="F13" i="11"/>
  <c r="F17" i="11"/>
  <c r="H17" i="11"/>
  <c r="I5" i="11"/>
  <c r="F15" i="11"/>
  <c r="E12" i="11"/>
  <c r="E13" i="11"/>
  <c r="E15" i="11"/>
  <c r="E6" i="11"/>
  <c r="E11" i="11"/>
  <c r="F16" i="11"/>
  <c r="I14" i="11"/>
  <c r="G9" i="3"/>
  <c r="H5" i="11"/>
  <c r="F9" i="11"/>
  <c r="H12" i="11"/>
  <c r="H14" i="11"/>
  <c r="E17" i="11"/>
  <c r="E16" i="11"/>
  <c r="I11" i="11"/>
  <c r="H6" i="3"/>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F6" i="11"/>
  <c r="AF5" i="11"/>
  <c r="AE5" i="11"/>
  <c r="AE6" i="11"/>
  <c r="AF7" i="11"/>
  <c r="AE7"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D19" i="11"/>
  <c r="AF23" i="11"/>
  <c r="D6" i="11"/>
  <c r="F30" i="11" l="1"/>
  <c r="F31" i="11"/>
  <c r="F29" i="11"/>
  <c r="AF31" i="11"/>
  <c r="M8" i="11" s="1"/>
  <c r="AF32" i="11"/>
  <c r="AF30" i="11"/>
  <c r="M10" i="11" s="1"/>
  <c r="T31" i="11"/>
  <c r="T29" i="11"/>
  <c r="T30" i="11"/>
  <c r="Q10" i="11"/>
  <c r="M9" i="11"/>
  <c r="U9" i="11" s="1"/>
  <c r="D18" i="11"/>
  <c r="D31" i="11" l="1"/>
  <c r="V6" i="11" s="1"/>
  <c r="D32" i="11"/>
  <c r="D37" i="11"/>
  <c r="U8" i="11"/>
  <c r="D29" i="11"/>
  <c r="D35" i="11" s="1"/>
  <c r="D30" i="11"/>
  <c r="D36" i="11" s="1"/>
  <c r="N30" i="1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<sst xmlns="http://schemas.openxmlformats.org/spreadsheetml/2006/main" count="13815" uniqueCount="2643">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</sst>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0">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17" fillId="3" borderId="0" xfId="0" applyFont="1" applyFill="1"/>
    <xf numFmtId="0" fontId="17" fillId="3" borderId="0" xfId="0" applyFont="1" applyFill="1"/>
    <xf numFmtId="0" fontId="16" fillId="7" borderId="0" xfId="0" applyNumberFormat="1" applyFont="1" applyFill="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18" xfId="0" applyFont="1" applyFill="1" applyBorder="1" applyAlignment="1">
      <alignment horizontal="center"/>
    </xf>
    <xf numFmtId="0" fontId="19" fillId="2" borderId="0" xfId="0" applyFont="1" applyFill="1" applyBorder="1" applyAlignment="1">
      <alignment horizontal="center"/>
    </xf>
    <xf numFmtId="0" fontId="14" fillId="7"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8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6E4CDB74-B77D-4C41-A652-7C95BAC7AA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A4DF6ED2-DC9D-42A9-8B99-E43359CCB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F2905C1C-939D-4F77-893F-1B821EE5B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DCBA61AF-CC19-4F7C-A3A9-F40C15E6BE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A94C2373-F139-4566-BFB0-D89400D0477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7" totalsRowBorderDxfId="156"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5" dataDxfId="154" tableBorderDxfId="153">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52"/>
    <tableColumn id="4" xr3:uid="{B09BFE68-9D21-4B93-B778-FF8AA44C14F4}" name="Rarity" dataDxfId="151"/>
    <tableColumn id="5" xr3:uid="{19746F48-8F15-4D28-8930-5AADB6E70597}" name="Type" dataDxfId="150"/>
    <tableColumn id="6" xr3:uid="{784F4FFA-7B0C-4CB9-B79D-D95DEAA4CA8C}" name="HP" dataDxfId="149"/>
    <tableColumn id="7" xr3:uid="{10486AFC-8C9C-48D9-89CE-284E27B0D0AA}" name="Armor Type" dataDxfId="148"/>
    <tableColumn id="8" xr3:uid="{C354375D-7251-46C5-990A-1AC5649141D6}" name="RELOAD" dataDxfId="147"/>
    <tableColumn id="9" xr3:uid="{A2809447-940F-406F-96ED-B1163821B155}" name="FP" dataDxfId="146"/>
    <tableColumn id="10" xr3:uid="{5F8C850F-370B-4B38-AED5-69C6DB3F1265}" name="TP" dataDxfId="145"/>
    <tableColumn id="11" xr3:uid="{A47A1174-CD9E-40E5-B33B-7FCE7C93CEB2}" name="EVA" dataDxfId="144"/>
    <tableColumn id="12" xr3:uid="{3AF35460-F0EC-4572-BCFC-F1BF78AFC62E}" name="AA" dataDxfId="143"/>
    <tableColumn id="13" xr3:uid="{C5187DA7-B80D-45CD-86EF-2419C38F23A2}" name="AirP" dataDxfId="142"/>
    <tableColumn id="14" xr3:uid="{DC00D081-4199-4141-B61D-70634BBBBDAE}" name="Oil" dataDxfId="141"/>
    <tableColumn id="15" xr3:uid="{AE5B94E4-F81F-4002-8B2B-DBAFCE2B5A7C}" name="ASW" dataDxfId="140"/>
    <tableColumn id="16" xr3:uid="{73A6FD0A-8FFC-420F-94E4-9F13901CC917}" name="SPD" dataDxfId="139"/>
    <tableColumn id="17" xr3:uid="{1F1793AE-EAF0-4CDF-ABCD-61A898BB04F2}" name="Luck" dataDxfId="138"/>
    <tableColumn id="18" xr3:uid="{3DCEF1B8-1621-4002-B3F9-6176074654D9}" name="Hit" dataDxfId="137"/>
    <tableColumn id="19" xr3:uid="{316C1B5D-84C4-47C5-8BC1-7D72959BC759}" name="OXY" dataDxfId="136"/>
    <tableColumn id="20" xr3:uid="{A3921697-7EA2-44FD-B190-91A4452FEC10}" name="EFF" dataDxfId="135"/>
    <tableColumn id="21" xr3:uid="{FD1F1336-8FFE-4167-842F-39573BC4FD21}" name="SECEFF" dataDxfId="134"/>
    <tableColumn id="22" xr3:uid="{2FF9A2C3-AF19-44B0-9684-81D1EF8E367F}" name="TRIEFF" dataDxfId="133"/>
    <tableColumn id="23" xr3:uid="{9F66A3D6-971F-4717-8182-929B1F2FF196}" name="Plane1" dataDxfId="132"/>
    <tableColumn id="24" xr3:uid="{B4DDEA13-9982-4D5A-9049-36E6959B85FB}" name="Plane2" dataDxfId="131"/>
    <tableColumn id="25" xr3:uid="{59CD4A73-7015-4698-BBA8-9C4EE8CD52EC}" name="Plane3" dataDxfId="130"/>
    <tableColumn id="26" xr3:uid="{10FF3CEA-6F8D-494F-9A52-3AC860A3B515}" name="Type1" dataDxfId="129"/>
    <tableColumn id="27" xr3:uid="{D4F42C10-56FC-44A9-A910-850EA2D629D8}" name="Type2" dataDxfId="128"/>
    <tableColumn id="28" xr3:uid="{C92D7B87-E2CF-4BCE-BBFA-D2D8542620D6}" name="Type3" dataDxfId="127"/>
    <tableColumn id="29" xr3:uid="{F20AE40F-8D82-4580-A636-9AE844211E36}" name="Barg1" dataDxfId="126"/>
    <tableColumn id="30" xr3:uid="{0EBDFE9C-0C12-4682-8661-C209F4DCCD29}" name="Barg2" dataDxfId="125"/>
    <tableColumn id="31" xr3:uid="{EB9EF0EF-ED35-4272-8586-449510F9B232}" name="Barg3" dataDxfId="124"/>
    <tableColumn id="32" xr3:uid="{75B6ECC5-EDE5-4125-BE87-D9A4461DF08D}" name="Barg4" dataDxfId="123"/>
    <tableColumn id="33" xr3:uid="{ABBB1654-E0CF-4E82-A1C9-AA31303A2247}" name="Skill1" dataDxfId="122"/>
    <tableColumn id="34" xr3:uid="{F7C7ADBF-458C-419B-BF40-A2023AF9EE02}" name="Skill2" dataDxfId="121"/>
    <tableColumn id="35" xr3:uid="{5213016C-04F5-4696-B783-2B8DBC7C26CB}" name="Skill3" dataDxfId="120"/>
    <tableColumn id="39" xr3:uid="{50903348-C554-4BEF-9749-357BCD3AD03A}" name="Skill4" dataDxfId="119"/>
    <tableColumn id="36" xr3:uid="{F0ECD5DD-60E7-4487-AD0D-827F4A6221B0}" name="SkillName1" dataDxfId="118"/>
    <tableColumn id="37" xr3:uid="{96BD1ED1-32CA-4278-BE05-0E8506C8122E}" name="SkillName2" dataDxfId="117"/>
    <tableColumn id="38" xr3:uid="{ED62517D-6211-4BF6-8A02-104D7EED92F0}" name="SkillName3" dataDxfId="116"/>
    <tableColumn id="40" xr3:uid="{3381F1D2-0ADA-4118-A019-5C55BA8953F0}" name="SkillName4" dataDxfId="11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4">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3"/>
    <tableColumn id="7" xr3:uid="{38D7D4F3-141A-4606-AD7C-0E88AA45697D}" name="Total Damage" dataDxfId="112"/>
    <tableColumn id="8" xr3:uid="{B37B3996-76A3-41A6-B2F0-AED07D69C259}" name="Round Type"/>
    <tableColumn id="9" xr3:uid="{0E733371-4F27-4EE7-8792-02E971C8C8DB}" name="Light Armor" dataDxfId="111"/>
    <tableColumn id="10" xr3:uid="{450B3E20-0F47-4197-873E-3C19745847CB}" name="Medium Armor" dataDxfId="110"/>
    <tableColumn id="11" xr3:uid="{1E49C8A9-3A98-4AFF-8E91-09C1B4F539AD}" name="Heavy Armor" dataDxfId="109"/>
    <tableColumn id="12" xr3:uid="{B2E9D83A-EC78-4FF8-8C5A-E939FCC9ECBA}" name="Burn %" dataDxfId="108"/>
    <tableColumn id="13" xr3:uid="{56DF2B98-C11A-49C0-B296-6193650EE15A}" name="Burn Priority" dataDxfId="107"/>
    <tableColumn id="20" xr3:uid="{D9C08ADE-3415-4186-8659-A6B634517321}" name="Burn Coeff" dataDxfId="106"/>
    <tableColumn id="18" xr3:uid="{381E2CC3-1D90-4FCB-9C96-58152C2F3912}" name="Flood %" dataDxfId="105"/>
    <tableColumn id="19" xr3:uid="{5F6C9A53-1B40-4FAD-91C2-274A0F714993}" name="Flood Coeff" dataDxfId="104"/>
    <tableColumn id="14" xr3:uid="{59B37040-BD9C-42E3-8F85-CF8E40EA791E}" name="AP Pen" dataDxfId="103"/>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80" dataCellStyle="Normal"/>
    <tableColumn id="20" xr3:uid="{11AEFC80-1E16-4D91-8459-B8805AEEDB6F}" name="AAEFF2" dataDxfId="279"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8" dataCellStyle="Normal"/>
    <tableColumn id="25" xr3:uid="{41995CCA-9823-4FE3-B0CD-F57941083F1C}" name="SkillName2" dataCellStyle="Normal"/>
    <tableColumn id="26" xr3:uid="{BCC52DCA-CA26-458D-945E-A7FFC14E2540}" name="SkillName3" dataDxfId="277"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102"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101"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6" tableBorderDxfId="275" totalsRowBorderDxfId="274"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3" dataCellStyle="Normal"/>
    <tableColumn id="17" xr3:uid="{2A67BFE6-15CE-4DDC-ADC5-73786A1E2835}" name="EFF" dataDxfId="272" dataCellStyle="Normal"/>
    <tableColumn id="18" xr3:uid="{3DF7A4AC-7346-4B44-841D-53B0C215B2D7}" name="SECEFF" dataDxfId="271" dataCellStyle="Normal"/>
    <tableColumn id="21" xr3:uid="{F4AC12BA-E344-4FB6-B8F9-0A799A7E0958}" name="AAEFF" dataDxfId="270" dataCellStyle="Normal"/>
    <tableColumn id="22" xr3:uid="{E5C7DCB5-4984-4021-80DD-D0CC476676F2}" name="AAEFF2" dataDxfId="269" dataCellStyle="Normal"/>
    <tableColumn id="23" xr3:uid="{6CBDFD34-7829-4EAF-A1CE-E895033CF968}" name="Barg1" dataDxfId="268" dataCellStyle="Normal"/>
    <tableColumn id="24" xr3:uid="{C8B3AE6B-2256-47AF-9564-EB14A1ECAF85}" name="Barg2" dataDxfId="267" dataCellStyle="Normal"/>
    <tableColumn id="25" xr3:uid="{D715069E-375F-45D7-B085-A59E97F9D443}" name="Barg3" dataDxfId="266" dataCellStyle="Normal"/>
    <tableColumn id="26" xr3:uid="{B7EA0C24-ED71-423D-BE75-449C5980B786}" name="Barg4" dataDxfId="265" dataCellStyle="Normal"/>
    <tableColumn id="27" xr3:uid="{71AD5049-4500-4861-950F-1DA9ED9C9806}" name="Skill1" dataDxfId="264" dataCellStyle="Normal"/>
    <tableColumn id="28" xr3:uid="{B625323D-0937-4A9B-9AE8-2BAB613318A3}" name="Skill2" dataDxfId="263" dataCellStyle="Normal"/>
    <tableColumn id="29" xr3:uid="{79D33777-38A8-422B-8615-CC85536FFE17}" name="Skill3" dataDxfId="262" dataCellStyle="Normal"/>
    <tableColumn id="33" xr3:uid="{AEE66BF6-3B32-48F6-8D00-2148B4D541BE}" name="Skill4" dataDxfId="261"/>
    <tableColumn id="30" xr3:uid="{AE606BB7-D976-4360-B9BD-46FDC85FED91}" name="SkillName1" dataDxfId="260" dataCellStyle="Normal"/>
    <tableColumn id="31" xr3:uid="{4044357A-39F4-4E6A-B370-F9AEFEEF7716}" name="SkillName2" dataDxfId="259" dataCellStyle="Normal"/>
    <tableColumn id="32" xr3:uid="{F678C30D-A3B8-4BA8-9BC6-64D1B55AC329}" name="SkillName3" dataDxfId="258" dataCellStyle="Normal"/>
    <tableColumn id="34" xr3:uid="{72EA9D3E-6D98-457C-8E8F-7B6FBAF38F0D}" name="SkillName4" dataDxfId="257"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100"/>
    <tableColumn id="5" xr3:uid="{00000000-0010-0000-1C00-000005000000}" name="Medium" dataDxfId="99"/>
    <tableColumn id="6" xr3:uid="{00000000-0010-0000-1C00-000006000000}" name="Heavy" dataDxfId="98"/>
    <tableColumn id="3" xr3:uid="{C16F3EC6-66A2-4BB5-8EF8-796B798F777C}" name="Splash" dataDxfId="97"/>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6" headerRowBorderDxfId="95" tableBorderDxfId="94" totalsRowBorderDxfId="93"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DxfId="92" dataCellStyle="Normal">
      <calculatedColumnFormula>(D189*$B$235*$C$235)+(E189*$B$236*$C$236)+(F189*$B$237*$C$237)+(G189*$B$238*$C$238)+(I189*$B$239*$C$239)+(J189*$B$241*$C$241)+(H189*$B$240*$C$240)</calculatedColumnFormula>
    </tableColumn>
    <tableColumn id="3" xr3:uid="{670BE9D0-CE0A-45F4-AB51-28354B92A5DA}" name="Medium" dataDxfId="91" dataCellStyle="Normal">
      <calculatedColumnFormula>(D189*$B$235*$D$235)+(E189*$B$236*$D$236)+(F189*$B$237*$D$237)+(G189*$B$238*$D$238)+(I189*$B$239*$D$239)+(J189*$B$241*$D$241)+(H189*$B$240*$D$240)</calculatedColumnFormula>
    </tableColumn>
    <tableColumn id="4" xr3:uid="{0E50F530-D283-4D7E-9846-ACD2C37C159F}" name="Heavy" dataDxfId="90" dataCellStyle="Normal">
      <calculatedColumnFormula>(D189*$B$235*$E$235)+(E189*$B$236*$E$236)+(F189*$B$237*$E$237)+(G189*$B$238*$E$238)+(I189*$B$239*$E$239)+(J189*$B$241*$E$241)+(H189*$B$240*$E$240)</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6" tableBorderDxfId="255" totalsRowBorderDxfId="254"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3" dataCellStyle="Normal"/>
    <tableColumn id="18" xr3:uid="{DFE17054-EDA1-43BC-B21D-FB5FF7317D3A}" name="SECEFF" dataDxfId="252" dataCellStyle="Normal"/>
    <tableColumn id="21" xr3:uid="{7351A65C-A708-48E5-9AF2-C1C94F0AD4B7}" name="AAEFF" dataDxfId="251" dataCellStyle="Normal"/>
    <tableColumn id="22" xr3:uid="{95770387-CF77-49CD-97C1-226AC22157A6}" name="AAEFF2" dataDxfId="250" dataCellStyle="Normal"/>
    <tableColumn id="23" xr3:uid="{09158B8A-0DED-4002-B090-85C409095B4A}" name="Barg1" dataDxfId="249" dataCellStyle="Normal"/>
    <tableColumn id="24" xr3:uid="{8660D778-4503-4F6D-9FB2-0528F5D07BA6}" name="Barg2" dataDxfId="248" dataCellStyle="Normal"/>
    <tableColumn id="25" xr3:uid="{E8F5ADE1-387C-4579-8350-DE28082285BF}" name="Barg3" dataDxfId="247" dataCellStyle="Normal"/>
    <tableColumn id="26" xr3:uid="{FBE0E012-84D3-4D30-BB9A-EA7CEDF055BB}" name="Barg4" dataDxfId="246" dataCellStyle="Normal"/>
    <tableColumn id="27" xr3:uid="{F17561C5-2101-47C4-BF48-D44D89BACF2B}" name="Skill1" dataDxfId="245" dataCellStyle="Normal"/>
    <tableColumn id="28" xr3:uid="{9D7FAF19-27D0-42A0-A9E8-2B11D692F35E}" name="Skill2" dataDxfId="244" dataCellStyle="Normal"/>
    <tableColumn id="29" xr3:uid="{57066247-E81E-4A47-8F12-86089DAD8BB1}" name="Skill3" dataDxfId="243" dataCellStyle="Normal"/>
    <tableColumn id="30" xr3:uid="{331761BF-7FBF-4D06-A521-E963068C3B18}" name="Skill4" dataDxfId="242" dataCellStyle="Normal"/>
    <tableColumn id="31" xr3:uid="{3B3E3C9A-3828-4C24-BD18-AFAB0192A3DA}" name="SkillName1" dataDxfId="241" dataCellStyle="Normal"/>
    <tableColumn id="32" xr3:uid="{42646FD7-18FD-457B-9894-0140EB74AC8B}" name="SkillName2" dataDxfId="240" dataCellStyle="Normal"/>
    <tableColumn id="33" xr3:uid="{E0665347-2F3C-4E22-8441-373A119FF84A}" name="SkillName3" dataDxfId="239" dataCellStyle="Normal"/>
    <tableColumn id="34" xr3:uid="{F8497F8A-9051-46B1-82A7-9D273702E2A5}" name="SkillName4" dataDxfId="238"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7" tableBorderDxfId="236" totalsRowBorderDxfId="235"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4" dataCellStyle="Normal"/>
    <tableColumn id="18" xr3:uid="{D5A51EE0-FFD7-414D-BBA2-88F057738A4F}" name="SECEFF" dataDxfId="233" dataCellStyle="Normal"/>
    <tableColumn id="21" xr3:uid="{6F584275-25B2-4B84-A6F9-0855FB7C34E2}" name="AAEFF" dataDxfId="232" dataCellStyle="Normal"/>
    <tableColumn id="22" xr3:uid="{6A3C87CC-CFE2-4030-8869-7CA4494C4B5F}" name="AAEFF2" dataDxfId="231" dataCellStyle="Normal"/>
    <tableColumn id="23" xr3:uid="{CECDDB0E-3B51-4AF0-97D4-41686A437F2B}" name="Barg1" dataDxfId="230" dataCellStyle="Normal"/>
    <tableColumn id="24" xr3:uid="{0FCFBCD3-A92C-43C4-9517-8860D8D5666E}" name="Barg2" dataDxfId="229" dataCellStyle="Normal"/>
    <tableColumn id="25" xr3:uid="{5B759AB4-037E-4CB6-9298-30C1C3EBF77F}" name="Barg3" dataDxfId="228" dataCellStyle="Normal"/>
    <tableColumn id="26" xr3:uid="{9FCB7012-6BFB-4B86-ACC6-392B372B5C7C}" name="Barg4" dataDxfId="227" dataCellStyle="Normal"/>
    <tableColumn id="27" xr3:uid="{565E75D1-4DAF-4522-9315-711E5DAF0BC9}" name="Skill1" dataDxfId="226" dataCellStyle="Normal"/>
    <tableColumn id="28" xr3:uid="{03DF0BE5-001F-435E-857E-1FA67DA27B35}" name="Skill2" dataDxfId="225" dataCellStyle="Normal"/>
    <tableColumn id="29" xr3:uid="{33D1840A-0F25-4C81-8455-F324B7DD7B62}" name="Skill3" dataDxfId="224" dataCellStyle="Normal"/>
    <tableColumn id="30" xr3:uid="{71763CC4-5ED7-4087-8419-2BD6D1C98FF8}" name="Skill4" dataDxfId="223" dataCellStyle="Normal"/>
    <tableColumn id="31" xr3:uid="{FC546E26-F393-4E4D-B987-DC288565A254}" name="SkillName1" dataDxfId="222" dataCellStyle="Normal"/>
    <tableColumn id="32" xr3:uid="{6BFB2382-CEAF-4F0A-B72F-669740B9098B}" name="SkillName2" dataDxfId="221" dataCellStyle="Normal"/>
    <tableColumn id="33" xr3:uid="{639D0202-6C26-4A36-9731-5B3A9A4C1E24}" name="SkillName3" dataDxfId="220" dataCellStyle="Normal"/>
    <tableColumn id="34" xr3:uid="{923A9D9E-1324-43DE-A6C5-B7B4DBD4B60D}" name="SkillName4" dataDxfId="219"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8" tableBorderDxfId="217" totalsRowBorderDxfId="216"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5" dataCellStyle="Normal"/>
    <tableColumn id="18" xr3:uid="{A0D3CDB4-E7A3-467C-A47A-732619306830}" name="SECEFF" dataDxfId="214" dataCellStyle="Normal"/>
    <tableColumn id="22" xr3:uid="{06268B7F-6F16-4701-9554-5EA3C169323C}" name="Type1" dataDxfId="213"/>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12" dataCellStyle="Normal"/>
    <tableColumn id="26" xr3:uid="{8A9D9386-8267-4236-AEE2-E781815A2BC4}" name="AAEFF2" dataDxfId="211"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10" dataCellStyle="Normal"/>
    <tableColumn id="33" xr3:uid="{8589C750-9DF1-4C75-B7F9-D06EE9F2EA77}" name="Skill3" dataDxfId="209" dataCellStyle="Normal"/>
    <tableColumn id="34" xr3:uid="{015D98AC-EE80-43A0-B972-CBD2052479DF}" name="Skill4" dataDxfId="208" dataCellStyle="Normal"/>
    <tableColumn id="35" xr3:uid="{E96DAEF2-9D91-4529-AF3C-C89AFD6F52FC}" name="SkillName1" dataCellStyle="Normal"/>
    <tableColumn id="36" xr3:uid="{D23DA582-9B07-437A-AA89-C6CF0F23030A}" name="SkillName2" dataDxfId="207" dataCellStyle="Normal"/>
    <tableColumn id="37" xr3:uid="{2A204940-C51C-4998-B126-6D17AAC9EFDA}" name="SkillName3" dataDxfId="206" dataCellStyle="Normal"/>
    <tableColumn id="38" xr3:uid="{09F95AD5-037D-4CB4-83B1-F86660703754}" name="SkillName4" dataDxfId="205"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4" tableBorderDxfId="203" totalsRowBorderDxfId="202"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201" dataCellStyle="Normal"/>
    <tableColumn id="18" xr3:uid="{F37A64E1-A889-458F-888F-5D98E7E28242}" name="SECEFF" dataDxfId="200" dataCellStyle="Normal"/>
    <tableColumn id="19" xr3:uid="{FDE1A6DC-2099-42D1-A9FB-D179920BA63C}" name="TRIEFF" dataDxfId="199"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8" dataCellStyle="Normal"/>
    <tableColumn id="37" xr3:uid="{FA0F2A00-D314-4F0E-8234-7D42A51B31AE}" name="Skill2" dataDxfId="197" dataCellStyle="Normal"/>
    <tableColumn id="38" xr3:uid="{14B34E5D-19C4-4D7F-8310-A58D569E2B2C}" name="Skill3" dataDxfId="196" dataCellStyle="Normal"/>
    <tableColumn id="42" xr3:uid="{92967208-5AA1-463C-A734-A6DED8F6EA40}" name="Skill4" dataDxfId="195"/>
    <tableColumn id="39" xr3:uid="{50D14B42-70F3-4018-ABFC-D04E39EB4659}" name="SkillName1" dataDxfId="194" dataCellStyle="Normal"/>
    <tableColumn id="40" xr3:uid="{D6B1FB5E-2860-4232-9EFB-F4159BDD3860}" name="SkillName2" dataDxfId="193" dataCellStyle="Normal"/>
    <tableColumn id="41" xr3:uid="{50B45A38-DDA2-4FEC-BFEB-1645A0F80D07}" name="SkillName3" dataDxfId="192" dataCellStyle="Normal"/>
    <tableColumn id="43" xr3:uid="{E317D1CD-9DB6-4510-8560-5427A4291776}" name="SkillName4" dataDxfId="191"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90" tableBorderDxfId="189" totalsRowBorderDxfId="188"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7" dataCellStyle="Normal"/>
    <tableColumn id="18" xr3:uid="{EEDD6984-552A-4AEF-BE6E-0CA5A660ED85}" name="SECEFF" dataDxfId="186" dataCellStyle="Normal"/>
    <tableColumn id="19" xr3:uid="{F82CA285-2553-45E3-93E9-A8042E1BCD36}" name="TRIEFF" dataDxfId="185"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4" dataCellStyle="Normal"/>
    <tableColumn id="29" xr3:uid="{1DF23F3F-7403-466E-9F75-E662CABAC628}" name="AAEFF2" dataDxfId="183" dataCellStyle="Normal"/>
    <tableColumn id="30" xr3:uid="{6760D0DC-B0AE-430B-B20B-FBAC8A0A8553}" name="Barg1" dataDxfId="182" dataCellStyle="Normal"/>
    <tableColumn id="31" xr3:uid="{9CDD449B-5029-4CFF-BF9D-B792B6310BFF}" name="Barg2" dataDxfId="181" dataCellStyle="Normal"/>
    <tableColumn id="32" xr3:uid="{66EF775C-C313-4EDB-96FE-695F8D20E161}" name="Barg3" dataDxfId="180"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9" dataCellStyle="Normal"/>
    <tableColumn id="39" xr3:uid="{9CC6A44A-9D1F-423F-BFCF-C554F427E8FB}" name="Skill2" dataDxfId="178" dataCellStyle="Normal"/>
    <tableColumn id="40" xr3:uid="{958AE651-FDE1-4A9F-8567-00B438B10DB5}" name="Skill3" dataDxfId="177" dataCellStyle="Normal"/>
    <tableColumn id="41" xr3:uid="{EC8F0FE9-4DEC-4FBA-8A7E-194DF048CFDC}" name="Skill4" dataDxfId="176" dataCellStyle="Normal"/>
    <tableColumn id="42" xr3:uid="{2591EDE9-848E-4CD3-B9C3-C9B2E8BF9A19}" name="SkillName1" dataDxfId="175" dataCellStyle="Normal"/>
    <tableColumn id="43" xr3:uid="{222D67F7-0CFA-41CF-B11C-870A2611ABAE}" name="SkillName2" dataDxfId="174" dataCellStyle="Normal"/>
    <tableColumn id="44" xr3:uid="{F8A17DD9-2C15-453D-A202-91EAF4113A1F}" name="SkillName3" dataDxfId="173" dataCellStyle="Normal"/>
    <tableColumn id="45" xr3:uid="{5CDB12B8-51E9-45A8-AC32-D34598088F1C}" name="SkillName4" dataDxfId="172"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71" tableBorderDxfId="170" totalsRowBorderDxfId="169"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8" dataCellStyle="Normal"/>
    <tableColumn id="21" xr3:uid="{0DB4987E-BF51-41E9-B5B8-C4731C668CB0}" name="SECEFF" dataDxfId="167" dataCellStyle="Normal"/>
    <tableColumn id="22" xr3:uid="{96B4BA74-B32D-4920-998F-E98EAD75DBCA}" name="TRIEFF" dataDxfId="166"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5" dataCellStyle="Normal"/>
    <tableColumn id="28" xr3:uid="{97040F21-830A-47E2-911A-4EEE4F31865F}" name="Skill2" dataDxfId="164" dataCellStyle="Normal"/>
    <tableColumn id="29" xr3:uid="{92ADC039-437E-4819-B7A1-DEE16696D070}" name="Skill3" dataDxfId="163" dataCellStyle="Normal"/>
    <tableColumn id="33" xr3:uid="{B10047CD-B157-450F-B845-CE81B114BDBE}" name="Skill4" dataDxfId="162"/>
    <tableColumn id="30" xr3:uid="{109ABB7D-7EA6-4D17-8BCC-15731598D399}" name="SkillName1" dataDxfId="161" dataCellStyle="Normal"/>
    <tableColumn id="31" xr3:uid="{10A427AE-E1CA-410C-AAAC-5A4890C3D92B}" name="SkillName2" dataDxfId="160" dataCellStyle="Normal"/>
    <tableColumn id="32" xr3:uid="{F3026553-96E8-4796-9DAB-C3BEA24024A8}" name="SkillName3" dataDxfId="159" dataCellStyle="Normal"/>
    <tableColumn id="34" xr3:uid="{6CF4A73F-7B85-4CBA-9775-BD88203B0043}" name="SkillName4" dataDxfId="158"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8.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8" t="s">
        <v>224</v>
      </c>
      <c r="X2" s="248"/>
      <c r="Y2" s="248"/>
      <c r="Z2" s="248"/>
      <c r="AA2" s="248"/>
      <c r="AB2" s="248"/>
      <c r="AC2" s="248"/>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9" t="s">
        <v>225</v>
      </c>
      <c r="K13" s="249"/>
      <c r="L13" s="249"/>
      <c r="M13" s="249"/>
      <c r="N13" s="249"/>
      <c r="O13" s="249"/>
      <c r="P13" s="249"/>
      <c r="Q13" s="249"/>
      <c r="R13" s="249"/>
      <c r="S13" s="249"/>
      <c r="T13" s="249"/>
      <c r="U13" s="249"/>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R26" sqref="R2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7" t="s">
        <v>895</v>
      </c>
      <c r="K2" s="247"/>
      <c r="L2" s="247"/>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7" t="s">
        <v>895</v>
      </c>
      <c r="K16" s="247"/>
      <c r="L16" s="247"/>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7" t="s">
        <v>895</v>
      </c>
      <c r="K30" s="247"/>
      <c r="L30" s="247"/>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7" t="s">
        <v>895</v>
      </c>
      <c r="K44" s="247"/>
      <c r="L44" s="247"/>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7" t="s">
        <v>895</v>
      </c>
      <c r="K58" s="247"/>
      <c r="L58" s="247"/>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7" t="s">
        <v>895</v>
      </c>
      <c r="K72" s="247"/>
      <c r="L72" s="247"/>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77" zoomScaleNormal="100" workbookViewId="0">
      <selection activeCell="F303" sqref="F303"/>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15</v>
      </c>
      <c r="F301" s="6">
        <v>1.18</v>
      </c>
      <c r="G301" s="85">
        <f>Barrage[[#This Row],[Coefficient]]*Barrage[[#This Row],[Total Rounds]]*Barrage[[#This Row],[Base Damage]]</f>
        <v>2159.4</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266" zoomScaleNormal="100" workbookViewId="0">
      <selection activeCell="G280" sqref="G280"/>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1.05</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(D189*$B$235*$C$235)+(E189*$B$236*$C$236)+(F189*$B$237*$C$237)+(G189*$B$238*$C$238)+(I189*$B$239*$C$239)+(J189*$B$241*$C$241)+(H189*$B$240*$C$240)</f>
        <v>343.20000000000005</v>
      </c>
      <c r="C278">
        <f t="shared" ref="C278:C307" si="1">(D189*$B$235*$D$235)+(E189*$B$236*$D$236)+(F189*$B$237*$D$237)+(G189*$B$238*$D$238)+(I189*$B$239*$D$239)+(J189*$B$241*$D$241)+(H189*$B$240*$D$240)</f>
        <v>471.90000000000003</v>
      </c>
      <c r="D278">
        <f t="shared" ref="D278:D307" si="2">(D189*$B$235*$E$235)+(E189*$B$236*$E$236)+(F189*$B$237*$E$237)+(G189*$B$238*$E$238)+(I189*$B$239*$E$239)+(J189*$B$241*$E$241)+(H189*$B$240*$E$240)</f>
        <v>557.70000000000005</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CC80-E29D-4CB1-9ACA-FE2BBE183B9D}">
  <dimension ref="A1:AI70"/>
  <sheetViews>
    <sheetView zoomScaleNormal="100" workbookViewId="0">
      <selection activeCell="K16" sqref="K16"/>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637</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8" t="s">
        <v>224</v>
      </c>
      <c r="AB2" s="248"/>
      <c r="AC2" s="248"/>
      <c r="AD2" s="248"/>
      <c r="AE2" s="10"/>
      <c r="AF2" s="10"/>
      <c r="AG2" s="10"/>
      <c r="AH2" s="10"/>
      <c r="AI2" s="10"/>
    </row>
    <row r="3" spans="1:35" x14ac:dyDescent="0.3">
      <c r="A3" s="10"/>
      <c r="B3" s="42" t="s">
        <v>107</v>
      </c>
      <c r="C3" s="31" t="str">
        <f>IFERROR(INDEX(SType[],MATCH(C4,SType[Ship],0),COLUMN(SType[Type])),0)</f>
        <v>Battleship</v>
      </c>
      <c r="D3" s="44" t="s">
        <v>256</v>
      </c>
      <c r="E3" s="44" t="s">
        <v>256</v>
      </c>
      <c r="F3" s="44" t="s">
        <v>146</v>
      </c>
      <c r="G3" s="44" t="s">
        <v>687</v>
      </c>
      <c r="H3" s="44" t="s">
        <v>220</v>
      </c>
      <c r="I3" s="10"/>
      <c r="J3" s="10"/>
      <c r="K3" s="117" t="str">
        <f>C2</f>
        <v>Hyuuga Kai</v>
      </c>
      <c r="L3" s="118"/>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258</v>
      </c>
      <c r="E4" s="43" t="s">
        <v>246</v>
      </c>
      <c r="F4" s="43" t="s">
        <v>201</v>
      </c>
      <c r="G4" s="43" t="s">
        <v>779</v>
      </c>
      <c r="H4" s="43" t="s">
        <v>726</v>
      </c>
      <c r="I4" s="10"/>
      <c r="J4" s="10"/>
      <c r="K4" s="52"/>
      <c r="L4" s="53" t="s">
        <v>7</v>
      </c>
      <c r="M4" s="131">
        <f ca="1">SUM(C35:G35)+SUM(J29:P29)+SUM($J$43:$P$43)+SUM($J$44:$P$44)+$C$38+(C29*$V$17+E29*$V$18+(IF(NOT($Q$23=0),J34,0)+IF(NOT($Q$24=0),L34,0)+IF(NOT($Q$25=0),N34,0)+IF(NOT($Q$26=0),P34,0))/$V$12)</f>
        <v>1844.0848218847684</v>
      </c>
      <c r="N4" s="68">
        <f ca="1">(SUM(C35:G35)+SUM(J29:P29)+(C29*$V$17+E29*$V$18+IF(NOT($Q$23=0),J34,0)+IF(NOT($Q$24=0),L34,0)+IF(NOT($Q$25=0),N34,0)+IF(NOT($Q$26=0),P34,0))/$V$12)*$R$8+SUM($J$43:$P$43)+SUM($J$44:$P$44)+$C$38</f>
        <v>1425.1273345415857</v>
      </c>
      <c r="O4" s="34"/>
      <c r="P4" s="68">
        <f ca="1">E35+V18*E29/V12</f>
        <v>121.21601955868442</v>
      </c>
      <c r="Q4" s="34"/>
      <c r="R4" s="68">
        <f ca="1">C35+$C$38+C29*$V$17/$V$12</f>
        <v>1070.8919456796193</v>
      </c>
      <c r="S4" s="51">
        <f ca="1">(C29+$C$32)*FLOOR($V$12/$O$9,1)*$R$8+C29*$V$17</f>
        <v>34754.250357561716</v>
      </c>
      <c r="T4" s="34"/>
      <c r="U4" s="51">
        <f ca="1">(E29)*FLOOR($V$12/IF(B2="BB",$AD$17,$AD$19),1)*$R$8+E29*$V$18</f>
        <v>6313.8993805575756</v>
      </c>
      <c r="V4" s="35"/>
      <c r="W4" s="68">
        <f ca="1">((J29+$J$39+$J$40)*FLOOR($V$12/IF($P$23=0,$M$9,$P$23),1)*IF($P$23=0,$M$9,$P$23)+(L29+$L$39+$L$40)*FLOOR($V$12/IF($P$24=0,$M$9,$P$24),1)*IF($P$24=0,$M$9,$P$24)+(N29+$N$39+$N$40)*FLOOR($V$12/IF($P$25=0,$M$9,$P$25),1)*IF($P$25=0,$M$9,$P$25)+(P29+$P$39+$P$40)*FLOOR($V$12/IF($P$26=0,$M$9,$P$26),1)*IF($P$26=0,$M$9,$P$26)+(IF(NOT($Q$23=0),J34,0)+IF(NOT($Q$24=0),L34,0)+IF(NOT($Q$25=0),N34,0)+IF(NOT($Q$26=0),P34,0)))*$R$8</f>
        <v>28462.411886266214</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1555.6442730696699</v>
      </c>
      <c r="N5" s="68">
        <f ca="1">(SUM(C36:G36)+SUM(J30:P30)+(C30*$V$17+E30*$V$18+IF(NOT($Q$23=0),J35,0)+IF(NOT($Q$24=0),L35,0)+IF(NOT($Q$25=0),N35,0)+IF(NOT($Q$26=0),P35,0))/$V$12)*$R$8+SUM($J$43:$P$43)+SUM($J$44:$P$44)+$C$38</f>
        <v>1215.2601278203779</v>
      </c>
      <c r="O5" s="34"/>
      <c r="P5" s="68">
        <f ca="1">E36+V18*E30/V12</f>
        <v>136.36802200351997</v>
      </c>
      <c r="Q5" s="34"/>
      <c r="R5" s="68">
        <f ca="1">C36+$C$38+C30*$V$17/$V$12</f>
        <v>907.00872084392768</v>
      </c>
      <c r="S5" s="51">
        <f ca="1">(C30+$C$32)*FLOOR($V$12/$O$9,1)*$R$8+C30*$V$17</f>
        <v>29435.657152782696</v>
      </c>
      <c r="T5" s="34"/>
      <c r="U5" s="51">
        <f ca="1">(E30)*FLOOR($V$12/IF(B2="BB",$AD$17,$AD$19),1)*$R$8+E30*$V$18</f>
        <v>7103.1368031272723</v>
      </c>
      <c r="V5" s="35"/>
      <c r="W5" s="68">
        <f ca="1">((J30+$J$39+$J$40)*FLOOR($V$12/IF($P$23=0,$M$9,$P$23),1)*IF($P$23=0,$M$9,$P$23)+(L30+$L$39+$L$40)*FLOOR($V$12/IF($P$24=0,$M$9,$P$24),1)*IF($P$24=0,$M$9,$P$24)+(N30+$N$39+$N$40)*FLOOR($V$12/IF($P$25=0,$M$9,$P$25),1)*IF($P$25=0,$M$9,$P$25)+(P30+$P$39+$P$40)*FLOOR($V$12/IF($P$26=0,$M$9,$P$26),1)*IF($P$26=0,$M$9,$P$26)+(IF(NOT($Q$23=0),J35,0)+IF(NOT($Q$24=0),L35,0)+IF(NOT($Q$25=0),N35,0)+IF(NOT($Q$26=0),P35,0)))*$R$8</f>
        <v>22363.323624923461</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1383.5532437860513</v>
      </c>
      <c r="N6" s="68">
        <f ca="1">(SUM(C37:G37)+SUM(J31:P31)+(C31*$V$17+E31*$V$18+IF(NOT($Q$23=0),J36,0)+IF(NOT($Q$24=0),L36,0)+IF(NOT($Q$25=0),N36,0)+IF(NOT($Q$26=0),P36,0))/$V$12)*$R$8+SUM($J$43:$P$43)+SUM($J$44:$P$44)+$C$38</f>
        <v>1090.0479696619821</v>
      </c>
      <c r="O6" s="34"/>
      <c r="P6" s="68">
        <f ca="1">E37+V18*E31/V12</f>
        <v>166.67202689319106</v>
      </c>
      <c r="Q6" s="34"/>
      <c r="R6" s="68">
        <f ca="1">C37+$C$38+C31*$V$17/$V$12</f>
        <v>797.75323762013295</v>
      </c>
      <c r="S6" s="51">
        <f ca="1">(C31+$C$32)*FLOOR($V$12/$O$9,1)*$R$8+C31*$V$17</f>
        <v>25889.928349596681</v>
      </c>
      <c r="T6" s="34"/>
      <c r="U6" s="51">
        <f ca="1">(E31)*FLOOR($V$12/IF(B2="BB",$AD$17,$AD$19),1)*$R$8+E31*$V$18</f>
        <v>8681.6116482666657</v>
      </c>
      <c r="V6" s="35"/>
      <c r="W6" s="68">
        <f ca="1">((J31+$J$39+$J$40)*FLOOR($V$12/IF($P$23=0,$M$9,$P$23),1)*IF($P$23=0,$M$9,$P$23)+(L31+$L$39+$L$40)*FLOOR($V$12/IF($P$24=0,$M$9,$P$24),1)*IF($P$24=0,$M$9,$P$24)+(N31+$N$39+$N$40)*FLOOR($V$12/IF($P$25=0,$M$9,$P$25),1)*IF($P$25=0,$M$9,$P$25)+(P31+$P$39+$P$40)*FLOOR($V$12/IF($P$26=0,$M$9,$P$26),1)*IF($P$26=0,$M$9,$P$26)+(IF(NOT($Q$23=0),J36,0)+IF(NOT($Q$24=0),L36,0)+IF(NOT($Q$25=0),N36,0)+IF(NOT($Q$26=0),P36,0)))*$R$8</f>
        <v>18297.264784028281</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72430</v>
      </c>
      <c r="N8" s="52" t="s">
        <v>810</v>
      </c>
      <c r="O8" s="60">
        <f ca="1">G19</f>
        <v>72</v>
      </c>
      <c r="P8" s="52" t="s">
        <v>1403</v>
      </c>
      <c r="Q8" s="41"/>
      <c r="R8" s="132">
        <f ca="1">AD28</f>
        <v>0.72759259259259257</v>
      </c>
      <c r="S8" s="48" t="str">
        <f>F4</f>
        <v>3x406mm (Mark 6)</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55</v>
      </c>
      <c r="E9" s="41">
        <f ca="1">IFERROR(INDEX(INDIRECT(E3&amp;"Table"),MATCH(E4,INDIRECT(E3&amp;"Table"&amp;"[Name]"),0),COLUMN(INDIRECT(E3&amp;"Table"&amp;"["&amp;B9&amp;"]"))),0)</f>
        <v>70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22.302010115063929</v>
      </c>
      <c r="P9" s="52" t="s">
        <v>1404</v>
      </c>
      <c r="Q9" s="41"/>
      <c r="R9" s="132">
        <f ca="1">AD31</f>
        <v>0.1</v>
      </c>
      <c r="S9" s="49" t="str">
        <f>G4</f>
        <v>Zuiun</v>
      </c>
      <c r="T9" s="41"/>
      <c r="U9" s="41" t="str">
        <f>E4</f>
        <v>Super Heavy Shell</v>
      </c>
      <c r="V9" s="48"/>
      <c r="W9" s="48" t="str">
        <f>D4</f>
        <v>Type 1 APS</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1.75</v>
      </c>
      <c r="D11" s="41">
        <v>0</v>
      </c>
      <c r="E11" s="41">
        <v>0</v>
      </c>
      <c r="F11" s="41">
        <f ca="1">IFERROR(INDEX(INDIRECT(F3&amp;"Table"),MATCH(F4,INDIRECT(F3&amp;"Table"&amp;"[Name]"),0),COLUMN(INDIRECT(F3&amp;"Table"&amp;"["&amp;B11&amp;"]"))),0)</f>
        <v>1.05</v>
      </c>
      <c r="G11" s="41">
        <f ca="1">IFERROR(INDEX(INDIRECT(C3&amp;"Table"),MATCH(C2,INDIRECT(C3&amp;"Table"&amp;"[Name]"),0),COLUMN(INDIRECT(C3&amp;"Table"&amp;"["&amp;"SECEFF"&amp;"]"))),0)</f>
        <v>2</v>
      </c>
      <c r="H11" s="41">
        <f ca="1">IFERROR(INDEX(INDIRECT(C3&amp;"Table"),MATCH(C2,INDIRECT(C3&amp;"Table"&amp;"[Name]"),0),COLUMN(INDIRECT(C3&amp;"Table"&amp;"["&amp;"TRIEFF"&amp;"]"))),0)*IF(H5="N/A",0,1)</f>
        <v>0</v>
      </c>
      <c r="I11" s="10"/>
      <c r="J11" s="10"/>
      <c r="K11" s="249" t="s">
        <v>707</v>
      </c>
      <c r="L11" s="249"/>
      <c r="M11" s="249"/>
      <c r="N11" s="249"/>
      <c r="O11" s="249"/>
      <c r="P11" s="249"/>
      <c r="Q11" s="249"/>
      <c r="R11" s="249"/>
      <c r="S11" s="249"/>
      <c r="T11" s="249"/>
      <c r="U11" s="249"/>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1.5</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25</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15</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75</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156</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3</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1.35</v>
      </c>
      <c r="Q17" s="54" t="s">
        <v>269</v>
      </c>
      <c r="R17" s="44"/>
      <c r="S17" s="141">
        <v>0</v>
      </c>
      <c r="T17" s="54" t="s">
        <v>1452</v>
      </c>
      <c r="U17" s="44"/>
      <c r="V17" s="147">
        <v>0</v>
      </c>
      <c r="W17" s="56"/>
      <c r="X17" s="56"/>
      <c r="Y17" s="144"/>
      <c r="Z17" s="10"/>
      <c r="AA17" s="80" t="s">
        <v>780</v>
      </c>
      <c r="AB17" s="117"/>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24.02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117"/>
      <c r="AC18" s="60"/>
      <c r="AD18" s="48">
        <f ca="1">SQRT(200/(100+SUM(C12:H12)*(1+M13)))*F18</f>
        <v>22.302010115063929</v>
      </c>
      <c r="AE18" s="10"/>
      <c r="AF18" s="10"/>
      <c r="AG18" s="10"/>
      <c r="AH18" s="10"/>
      <c r="AI18" s="10"/>
    </row>
    <row r="19" spans="1:35" x14ac:dyDescent="0.3">
      <c r="A19" s="10"/>
      <c r="B19" s="42" t="s">
        <v>769</v>
      </c>
      <c r="C19" s="41">
        <f ca="1">SUM(C8:H8)*P18</f>
        <v>300</v>
      </c>
      <c r="D19" s="42" t="s">
        <v>22</v>
      </c>
      <c r="E19" s="41">
        <f ca="1">SUM(C9:H9)*P17</f>
        <v>727.65000000000009</v>
      </c>
      <c r="F19" s="42" t="s">
        <v>813</v>
      </c>
      <c r="G19" s="41">
        <f ca="1">FLOOR(2*C19*SUM(AB13:AD13)/100,1)</f>
        <v>72</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117" t="s">
        <v>12</v>
      </c>
      <c r="AB20" s="41"/>
      <c r="AC20" s="60"/>
      <c r="AD20" s="49">
        <f ca="1">1+(0.05+(SUM(C15:H15)/(SUM(C15:H15)+2000))+((SUM(C14:H14)-P13)/5000)+M15)*M16</f>
        <v>1.0550151515151516</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17" t="s">
        <v>859</v>
      </c>
      <c r="AB21" s="41"/>
      <c r="AC21" s="60"/>
      <c r="AD21" s="49">
        <f ca="1">1+(0.05+((SUM(C15:H15)*P20)/(SUM(C15:H15)*P20+2000+P15))+((SUM(C14:H14)-P13)/5000)+AD24+M15)*(M16+AD23)</f>
        <v>1.1411587791495199</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184" t="s">
        <v>770</v>
      </c>
      <c r="N22" s="184" t="s">
        <v>771</v>
      </c>
      <c r="O22" s="79" t="s">
        <v>26</v>
      </c>
      <c r="P22" s="184" t="s">
        <v>44</v>
      </c>
      <c r="Q22" s="188" t="s">
        <v>1442</v>
      </c>
      <c r="R22" s="188"/>
      <c r="S22" s="4"/>
      <c r="T22" s="4"/>
      <c r="U22" s="4"/>
      <c r="V22" s="4"/>
      <c r="W22" s="10"/>
      <c r="X22" s="10"/>
      <c r="Y22" s="10"/>
      <c r="Z22" s="10"/>
      <c r="AA22" s="117" t="s">
        <v>859</v>
      </c>
      <c r="AB22" s="41"/>
      <c r="AC22" s="60"/>
      <c r="AD22" s="48">
        <f ca="1">1+(0.05+(SUM(C15:H15)/(SUM(C15:H15)+2000))+(SUM(C14:H14)/5000)+M15)*M16</f>
        <v>1.0575151515151515</v>
      </c>
      <c r="AE22" s="10"/>
      <c r="AF22" s="10"/>
      <c r="AG22" s="10"/>
      <c r="AH22" s="10"/>
      <c r="AI22" s="10"/>
    </row>
    <row r="23" spans="1:35" x14ac:dyDescent="0.3">
      <c r="A23" s="10"/>
      <c r="B23" s="41" t="str">
        <f ca="1">IFERROR(INDEX(INDIRECT(C3&amp;"Table"),MATCH(C2,INDIRECT(C3&amp;"Table"&amp;"[Name]"),0),COLUMN(INDIRECT(C3&amp;"Table"&amp;"[Barg1]"))),0)</f>
        <v>Melee Artillery</v>
      </c>
      <c r="C23" s="41"/>
      <c r="D23" s="41">
        <f ca="1">IFERROR(INDEX(Barrage[],MATCH(B23,Barrage[Name],0),COLUMN(Barrage[Total Damage])),0)</f>
        <v>800</v>
      </c>
      <c r="E23" s="41">
        <f ca="1">IFERROR(INDEX(Barrage[],MATCH(B23,Barrage[Name],0),COLUMN(Barrage[Base Damage])),0)</f>
        <v>100</v>
      </c>
      <c r="F23" s="41">
        <f ca="1">IFERROR(INDEX(Barrage[],MATCH(B23,Barrage[Name],0),COLUMN(Barrage[Total Rounds])),0)</f>
        <v>8</v>
      </c>
      <c r="G23" s="41">
        <f ca="1">IFERROR(INDEX(Barrage[],MATCH(B23,Barrage[Name],0),COLUMN(Barrage[Light Armor])),0)</f>
        <v>1.4</v>
      </c>
      <c r="H23" s="41">
        <f ca="1">IFERROR(INDEX(Barrage[],MATCH(B23,Barrage[Name],0),COLUMN(Barrage[Medium Armor])),0)</f>
        <v>1.1000000000000001</v>
      </c>
      <c r="I23" s="41">
        <f ca="1">IFERROR(INDEX(Barrage[],MATCH(B23,Barrage[Name],0),COLUMN(Barrage[Heavy Armor])),0)</f>
        <v>0.9</v>
      </c>
      <c r="J23" s="41">
        <f ca="1">IFERROR(INDEX(Barrage[],MATCH(B23,Barrage[Name],0),COLUMN(Barrage[Burn %])),0)</f>
        <v>0</v>
      </c>
      <c r="K23" s="41">
        <f ca="1">IFERROR(INDEX(Barrage[],MATCH(B23,Barrage[Name],0),COLUMN(Barrage[Stat Mod])),0)</f>
        <v>1</v>
      </c>
      <c r="L23" s="41" t="str">
        <f ca="1">IFERROR(INDEX(Barrage[],MATCH(B23,Barrage[Name],0),COLUMN(Barrage[Type2])),0)</f>
        <v>FP</v>
      </c>
      <c r="M23" s="56">
        <v>0</v>
      </c>
      <c r="N23" s="56">
        <v>0</v>
      </c>
      <c r="O23" s="56">
        <v>1</v>
      </c>
      <c r="P23" s="58">
        <v>15</v>
      </c>
      <c r="Q23" s="185">
        <v>0</v>
      </c>
      <c r="R23" s="185"/>
      <c r="S23" s="4"/>
      <c r="T23" s="4"/>
      <c r="U23" s="4"/>
      <c r="V23" s="4"/>
      <c r="W23" s="10"/>
      <c r="X23" s="10"/>
      <c r="Y23" s="10"/>
      <c r="Z23" s="10"/>
      <c r="AA23" s="117" t="s">
        <v>270</v>
      </c>
      <c r="AB23" s="41"/>
      <c r="AC23" s="60"/>
      <c r="AD23" s="41">
        <f ca="1">IFERROR(INDEX(INDIRECT(D3&amp;"Table"),MATCH(D4,INDIRECT(D3&amp;"Table"&amp;"[Name]"),0),COLUMN(INDIRECT(D3&amp;"Table"&amp;"[CritDamage]"))),0)+IFERROR(INDEX(INDIRECT(E3&amp;"Table"),MATCH(E4,INDIRECT(E3&amp;"Table"&amp;"[Name]"),0),COLUMN(INDIRECT(E3&amp;"Table"&amp;"[CritDamage]"))),0)</f>
        <v>0.25</v>
      </c>
      <c r="AE23" s="10"/>
      <c r="AF23" s="10"/>
      <c r="AG23" s="10"/>
      <c r="AH23" s="10"/>
      <c r="AI23" s="10"/>
    </row>
    <row r="24" spans="1:35"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1">
        <f ca="1">IFERROR(INDEX(Barrage[],MATCH(B24,Barrage[Name],0),COLUMN(Barrage[Burn %])),0)</f>
        <v>0</v>
      </c>
      <c r="K24" s="41">
        <f ca="1">IFERROR(INDEX(Barrage[],MATCH(B24,Barrage[Name],0),COLUMN(Barrage[Stat Mod])),0)</f>
        <v>0</v>
      </c>
      <c r="L24" s="41">
        <f ca="1">IFERROR(INDEX(Barrage[],MATCH(B24,Barrage[Name],0),COLUMN(Barrage[Type2])),0)</f>
        <v>0</v>
      </c>
      <c r="M24" s="56">
        <v>0</v>
      </c>
      <c r="N24" s="56">
        <v>0</v>
      </c>
      <c r="O24" s="56">
        <v>1</v>
      </c>
      <c r="P24" s="58">
        <v>0</v>
      </c>
      <c r="Q24" s="185">
        <v>0</v>
      </c>
      <c r="R24" s="185"/>
      <c r="S24" s="4"/>
      <c r="T24" s="4"/>
      <c r="U24" s="4"/>
      <c r="V24" s="4"/>
      <c r="W24" s="10"/>
      <c r="X24" s="10"/>
      <c r="Y24" s="10"/>
      <c r="Z24" s="10"/>
      <c r="AA24" s="117" t="s">
        <v>268</v>
      </c>
      <c r="AB24" s="41"/>
      <c r="AC24" s="60"/>
      <c r="AD24" s="47">
        <f ca="1">IFERROR(INDEX(INDIRECT(D3&amp;"Table"),MATCH(D4,INDIRECT(D3&amp;"Table"&amp;"[Name]"),0),COLUMN(INDIRECT(D3&amp;"Table"&amp;"[Crit%]"))),0)+IFERROR(INDEX(INDIRECT(E3&amp;"Table"),MATCH(E4,INDIRECT(E3&amp;"Table"&amp;"[Name]"),0),COLUMN(INDIRECT(E3&amp;"Table"&amp;"[Crit%]"))),0)</f>
        <v>0.08</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85">
        <v>0</v>
      </c>
      <c r="R25" s="185"/>
      <c r="S25" s="4"/>
      <c r="T25" s="4"/>
      <c r="U25" s="4"/>
      <c r="V25" s="4"/>
      <c r="W25" s="10"/>
      <c r="X25" s="10"/>
      <c r="Y25" s="10"/>
      <c r="Z25" s="10"/>
      <c r="AA25" s="117" t="s">
        <v>28</v>
      </c>
      <c r="AB25" s="41"/>
      <c r="AC25" s="60"/>
      <c r="AD25" s="48">
        <f ca="1">SUM(C7:H7)</f>
        <v>7243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85">
        <v>0</v>
      </c>
      <c r="R26" s="185"/>
      <c r="S26" s="4"/>
      <c r="T26" s="4"/>
      <c r="U26" s="4"/>
      <c r="V26" s="4"/>
      <c r="W26" s="10"/>
      <c r="X26" s="10"/>
      <c r="Y26" s="10"/>
      <c r="Z26" s="10"/>
      <c r="AA26" s="117" t="s">
        <v>30</v>
      </c>
      <c r="AB26" s="41"/>
      <c r="AC26" s="60"/>
      <c r="AD26" s="48">
        <f ca="1">AD25/(AD31*(1-S17))</f>
        <v>72430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117" t="s">
        <v>33</v>
      </c>
      <c r="AB27" s="41"/>
      <c r="AC27" s="60"/>
      <c r="AD27" s="49">
        <f ca="1">0.1+(SUM(C15:H15)/(SUM(C15:H15)+2+P15))+((SUM(C14:H14)-P13)/1000)</f>
        <v>0.72759259259259257</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117" t="s">
        <v>37</v>
      </c>
      <c r="AB28" s="41"/>
      <c r="AC28" s="60"/>
      <c r="AD28" s="49">
        <f ca="1">IF(AD27&lt;=0.1, 0.1, IF(AD27&gt;=1, 1, AD27))</f>
        <v>0.72759259259259257</v>
      </c>
      <c r="AE28" s="10"/>
      <c r="AF28" s="10"/>
      <c r="AG28" s="10"/>
      <c r="AH28" s="10"/>
      <c r="AI28" s="10"/>
    </row>
    <row r="29" spans="1:35" x14ac:dyDescent="0.3">
      <c r="A29" s="10"/>
      <c r="B29" s="50" t="s">
        <v>7</v>
      </c>
      <c r="C29" s="68">
        <f ca="1">((100+$E$19)/100)*$AD$21*$P$19*$P$12*$F$11*$F$16*$F$17*$C$11*AB5*IF(F5="N/A",1,1-P16)</f>
        <v>17056.318243882844</v>
      </c>
      <c r="D29" s="68"/>
      <c r="E29" s="68">
        <f ca="1">((100+C19*IF(G5="T",P18,0.8*P18))/100)*AC10*AD20*P19*G6*AB5*IF(G5="N/A",1,1-P16)+((100+C20*V20)/100)*G11*1*G16*G17*AC5*AD20</f>
        <v>4338.8975127272724</v>
      </c>
      <c r="F29" s="48"/>
      <c r="G29" s="68">
        <f ca="1">((100+C19*IF(H5="T",P18,0.8*P18))/100)*AD10*AD20*P19*H6*AB5*IF(H5="N/A",1,1-P16)</f>
        <v>0</v>
      </c>
      <c r="H29" s="32"/>
      <c r="I29" s="50" t="s">
        <v>7</v>
      </c>
      <c r="J29" s="68">
        <f ca="1">(D23*G23*((100+IF(L23="AirP",C19,IF(L23="FP",E19,C20))*K23)/100)/IF(P23=0,AD17,P23)*AD20*O23)*P19*IF(L23="Airp",(1-P16),1)</f>
        <v>651.97685664646463</v>
      </c>
      <c r="K29" s="68"/>
      <c r="L29" s="68">
        <f ca="1">(D24*G24*((100+IF(L24="AirP",C19,E19)*K24)/100)/IF(P24=0,AD17,P24)*AD20*O24)*P19*IF(L24="Airp",(1-P16),1)</f>
        <v>0</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117"/>
      <c r="AB29" s="41"/>
      <c r="AC29" s="41"/>
      <c r="AD29" s="41"/>
      <c r="AE29" s="10"/>
      <c r="AF29" s="10"/>
      <c r="AG29" s="10"/>
      <c r="AH29" s="10"/>
      <c r="AI29" s="10"/>
    </row>
    <row r="30" spans="1:35" x14ac:dyDescent="0.3">
      <c r="A30" s="10"/>
      <c r="B30" s="50" t="s">
        <v>9</v>
      </c>
      <c r="C30" s="68">
        <f ca="1">((100+$E$19)/100)*$AD$21*$P$19*$P$12*$F$11*$F$16*$F$17*$C$11*AB6*IF(F5="N/A",1,1-P16)</f>
        <v>13401.392905907953</v>
      </c>
      <c r="D30" s="68"/>
      <c r="E30" s="68">
        <f ca="1">((100+C19*IF(G5="T",P18,0.8*P18))/100)*AC11*AD20*P19*G6*AB5*IF(G5="N/A",1,1-P16)+((100+C20*V20)/100)*G11*1*G16*G17*AC6*AD20</f>
        <v>4881.2597018181814</v>
      </c>
      <c r="F30" s="48"/>
      <c r="G30" s="68">
        <f ca="1">((100+C19*IF(H5="T",P18,0.8*P18))/100)*AD11*AD20*P19*H6*AB5*IF(H5="N/A",1,1-P16)</f>
        <v>0</v>
      </c>
      <c r="H30" s="32"/>
      <c r="I30" s="50" t="s">
        <v>9</v>
      </c>
      <c r="J30" s="68">
        <f ca="1">(D23*H23*((100+IF(L23="AirP",C19,IF(L23="FP",E19,C20))*K23)/100)/IF(P23=0,AD17,P23)*AD20*O23)*P19*IF(L23="Airp",(1-P16),1)</f>
        <v>512.26753022222238</v>
      </c>
      <c r="K30" s="68"/>
      <c r="L30" s="68">
        <f ca="1">(D24*H24*((100+IF(L24="AirP",C19,E19)*K24)/100)/IF(P24=0,AD17,P24)*AD20*O24)*P19*IF(L24="Airp",(1-P16),1)</f>
        <v>0</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117" t="s">
        <v>34</v>
      </c>
      <c r="AB30" s="41"/>
      <c r="AC30" s="60"/>
      <c r="AD30" s="73">
        <f ca="1">0.1+(P14/(P14+2+S16*SUM(C13:H13)))+((P13-SUM(C14:H14))/1000)-S15</f>
        <v>6.5000000000000002E-2</v>
      </c>
      <c r="AE30" s="10"/>
      <c r="AF30" s="10"/>
      <c r="AG30" s="10"/>
      <c r="AH30" s="10"/>
      <c r="AI30" s="10"/>
    </row>
    <row r="31" spans="1:35" x14ac:dyDescent="0.3">
      <c r="A31" s="10"/>
      <c r="B31" s="50" t="s">
        <v>11</v>
      </c>
      <c r="C31" s="68">
        <f ca="1">((100+$E$19)/100)*$AD$21*$P$19*$P$12*$F$11*$F$16*$F$17*$C$11*AB7*AD15*IF(F5="N/A",1,1-P16)</f>
        <v>10964.776013924688</v>
      </c>
      <c r="D31" s="68"/>
      <c r="E31" s="68">
        <f ca="1">((100+C19*IF(G5="T",P18,0.8*P18))/100)*AC12*AD20*P19*G6*AB5*IF(G5="N/A",1,1-P16)+((100+C20*V20)/100)*G11*1*G16*G17*AC7*AD20</f>
        <v>5965.9840799999993</v>
      </c>
      <c r="F31" s="48"/>
      <c r="G31" s="68">
        <f ca="1">((100+C19*IF(H5="T",P18,0.8*P18))/100)*AD12*AD20*P19*H6*AB5*IF(H5="N/A",1,1-P16)</f>
        <v>0</v>
      </c>
      <c r="H31" s="32"/>
      <c r="I31" s="50" t="s">
        <v>11</v>
      </c>
      <c r="J31" s="68">
        <f ca="1">(D23*I23*((100+IF(L23="AirP",C19,IF(L23="FP",E19,C20))*K23)/100)/IF(P23=0,AD17,P23)*AD20*O23)*P19*IF(L23="Airp",(1-P16),1)</f>
        <v>419.12797927272726</v>
      </c>
      <c r="K31" s="68"/>
      <c r="L31" s="68">
        <f ca="1">(D24*I24*((100+IF(L24="AirP",C19,E19)*K24)/100)/IF(P24=0,AD17,P24)*AD20*O24)*P19*IF(L24="Airp",(1-P16),1)</f>
        <v>0</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117" t="s">
        <v>36</v>
      </c>
      <c r="AB31" s="41"/>
      <c r="AC31" s="60"/>
      <c r="AD31" s="49">
        <f ca="1">IF(AD30&lt;=0.1, 0.1, IF(AD30&gt;=0.9, 0.9, AD30))</f>
        <v>0.1</v>
      </c>
      <c r="AE31" s="10"/>
      <c r="AF31" s="10"/>
      <c r="AG31" s="10"/>
      <c r="AH31" s="10"/>
      <c r="AI31" s="10"/>
    </row>
    <row r="32" spans="1:35" x14ac:dyDescent="0.3">
      <c r="A32" s="10"/>
      <c r="B32" s="50" t="s">
        <v>761</v>
      </c>
      <c r="C32" s="68">
        <f ca="1">(((100+E19)/100)*C11*F11*F16*M18+5)*5*(1-(1-M19)^(F17*P12))</f>
        <v>6826.7247608045163</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9779.6528496969713</v>
      </c>
      <c r="K34" s="68"/>
      <c r="L34" s="68">
        <f ca="1">(D24*G24*((100+IF(L24="AirP",C19,E19)*K24)/100)*AD20*O24)*P19*IF(L24="Airp",(1-P16),1)</f>
        <v>0</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764.78838256656184</v>
      </c>
      <c r="D35" s="68"/>
      <c r="E35" s="68">
        <f ca="1">E29*(IF(OR(G5="F",G5="B"),0.8,1))/IF(B2="BB",AD17,AD19)</f>
        <v>121.21601955868442</v>
      </c>
      <c r="F35" s="48"/>
      <c r="G35" s="68">
        <f ca="1">G29*(IF(OR(H5="F",H5="B"),0.8,1))/AD17</f>
        <v>0</v>
      </c>
      <c r="H35" s="32"/>
      <c r="I35" s="50" t="s">
        <v>9</v>
      </c>
      <c r="J35" s="68">
        <f ca="1">(D23*H23*((100+IF(L23="AirP",C19,IF(L23="FP",E19,C20))*K23)/100)*AD20*O23)*P19*IF(L23="Airp",(1-P16),1)</f>
        <v>7684.0129533333356</v>
      </c>
      <c r="K35" s="68"/>
      <c r="L35" s="68">
        <f ca="1">(D24*H24*((100+IF(L24="AirP",C19,E19)*K24)/100)*AD20*O24)*P19*IF(L24="Airp",(1-P16),1)</f>
        <v>0</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600.9051577308702</v>
      </c>
      <c r="D36" s="68"/>
      <c r="E36" s="68">
        <f ca="1">E30*(IF(OR(G5="F",G5="B"),0.8,1))/IF(B2="BB",AD17,AD19)</f>
        <v>136.36802200351997</v>
      </c>
      <c r="F36" s="48"/>
      <c r="G36" s="68">
        <f ca="1">G30*(IF(OR(H5="F",H5="B"),0.8,1))/AD17</f>
        <v>0</v>
      </c>
      <c r="H36" s="32"/>
      <c r="I36" s="50" t="s">
        <v>11</v>
      </c>
      <c r="J36" s="68">
        <f ca="1">(D23*I23*((100+IF(L23="AirP",C19,IF(L23="FP",E19,C20))*K23)/100)*AD20*O23)*P19*IF(L23="Airp",(1-P16),1)</f>
        <v>6286.9196890909097</v>
      </c>
      <c r="K36" s="68"/>
      <c r="L36" s="68">
        <f ca="1">(D24*I24*((100+IF(L24="AirP",C19,E19)*K24)/100)*AD20*O24)*P19*IF(L24="Airp",(1-P16),1)</f>
        <v>0</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491.64967450707553</v>
      </c>
      <c r="D37" s="68"/>
      <c r="E37" s="68">
        <f ca="1">E31*(IF(OR(G5="F",G5="B"),0.8,1))/IF(B2="BB",AD17,AD19)</f>
        <v>166.67202689319106</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306.10356311305742</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9">
    <dataValidation type="list" allowBlank="1" showInputMessage="1" showErrorMessage="1" sqref="V14" xr:uid="{8926E361-7F8C-4574-816D-E0CF6D884700}">
      <formula1>INDIRECT("YNTable[Type]")</formula1>
    </dataValidation>
    <dataValidation type="list" allowBlank="1" showInputMessage="1" showErrorMessage="1" sqref="B2" xr:uid="{F35B50D0-F7A2-43FE-9C32-5BB5C894DBBA}">
      <formula1>INDIRECT("Stype[Ship]")</formula1>
    </dataValidation>
    <dataValidation type="list" allowBlank="1" showInputMessage="1" showErrorMessage="1" sqref="C2" xr:uid="{CA368414-3DE4-4570-B836-83CBE0B22A3E}">
      <formula1>INDIRECT(INDEX(INDIRECT("SType[Type]"), MATCH(B2,INDIRECT("Stype[Ship]"), 0))&amp;"Table[Name]")</formula1>
    </dataValidation>
    <dataValidation type="list" allowBlank="1" showInputMessage="1" showErrorMessage="1" sqref="F3:H3" xr:uid="{E9945C25-F975-4D5F-BEB5-DC1B53B3AA6D}">
      <formula1>INDIRECT("EquipType[Type]")</formula1>
    </dataValidation>
    <dataValidation type="list" allowBlank="1" showInputMessage="1" showErrorMessage="1" sqref="E4:F4" xr:uid="{1EEB74D9-86B7-4F40-976B-EADA8D342CCD}">
      <formula1>INDIRECT($F$3&amp;"Table[Name]")</formula1>
    </dataValidation>
    <dataValidation type="list" allowBlank="1" showInputMessage="1" showErrorMessage="1" sqref="G4" xr:uid="{C4661536-72D3-471C-AAB6-1F2278B1A538}">
      <formula1>INDIRECT($G$3&amp;"Table[Name]")</formula1>
    </dataValidation>
    <dataValidation type="list" allowBlank="1" showInputMessage="1" showErrorMessage="1" sqref="D3:E3" xr:uid="{CEA82F43-7905-4658-9A14-026FD6ABC86A}">
      <formula1>INDIRECT("AuxType[Type]")</formula1>
    </dataValidation>
    <dataValidation type="list" allowBlank="1" showInputMessage="1" showErrorMessage="1" sqref="D4" xr:uid="{F2480B76-4CB2-408F-913E-3364943AF13A}">
      <formula1>INDIRECT($E$3&amp;"Table[Name]")</formula1>
    </dataValidation>
    <dataValidation type="list" allowBlank="1" showInputMessage="1" showErrorMessage="1" sqref="H4" xr:uid="{7831D72C-BEAF-4C23-8367-DB3D62832012}">
      <formula1>INDIRECT($H$3&amp;"Table[Name]")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803BE6B-6CE7-435F-9452-CF5469A32A7B}">
          <x14:formula1>
            <xm:f>'Ship Stats'!$A$928:$A$930</xm:f>
          </x14:formula1>
          <xm:sqref>L23:L26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6A04-4F55-4F83-908D-3C5B0250ED57}">
  <dimension ref="A1:AN75"/>
  <sheetViews>
    <sheetView workbookViewId="0">
      <selection activeCell="G11" sqref="G11"/>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146</v>
      </c>
      <c r="D2" s="43" t="s">
        <v>637</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189" t="s">
        <v>1057</v>
      </c>
      <c r="AE2" s="190"/>
      <c r="AF2" s="190"/>
      <c r="AG2" s="11"/>
      <c r="AH2" s="11"/>
      <c r="AI2" s="11"/>
      <c r="AJ2" s="11"/>
      <c r="AK2" s="11"/>
      <c r="AL2" s="11"/>
      <c r="AM2" s="11"/>
      <c r="AN2" s="11"/>
    </row>
    <row r="3" spans="1:40" x14ac:dyDescent="0.3">
      <c r="A3" s="10"/>
      <c r="B3" s="10"/>
      <c r="C3" s="42" t="s">
        <v>107</v>
      </c>
      <c r="D3" s="31" t="str">
        <f>IFERROR(INDEX(SType[],MATCH(D4,SType[Ship],0),COLUMN(SType[Type])),0)</f>
        <v>Battleship</v>
      </c>
      <c r="E3" s="44" t="s">
        <v>256</v>
      </c>
      <c r="F3" s="44" t="s">
        <v>256</v>
      </c>
      <c r="G3" s="44" t="s">
        <v>220</v>
      </c>
      <c r="H3" s="44" t="s">
        <v>146</v>
      </c>
      <c r="I3" s="44" t="s">
        <v>1384</v>
      </c>
      <c r="J3" s="29"/>
      <c r="K3" s="117" t="str">
        <f>D2</f>
        <v>Hyuuga Kai</v>
      </c>
      <c r="L3" s="118"/>
      <c r="M3" s="50" t="s">
        <v>24</v>
      </c>
      <c r="N3" s="50" t="s">
        <v>25</v>
      </c>
      <c r="O3" s="34"/>
      <c r="P3" s="50" t="s">
        <v>48</v>
      </c>
      <c r="Q3" s="34"/>
      <c r="R3" s="50" t="s">
        <v>764</v>
      </c>
      <c r="S3" s="34"/>
      <c r="T3" s="50" t="s">
        <v>1401</v>
      </c>
      <c r="U3" s="34"/>
      <c r="V3" s="50" t="s">
        <v>1398</v>
      </c>
      <c r="W3" s="35"/>
      <c r="X3" s="50" t="s">
        <v>1399</v>
      </c>
      <c r="Y3" s="34"/>
      <c r="Z3" s="50" t="s">
        <v>1400</v>
      </c>
      <c r="AA3" s="35"/>
      <c r="AB3" s="11"/>
      <c r="AC3" s="5"/>
      <c r="AD3" s="117" t="s">
        <v>108</v>
      </c>
      <c r="AE3" s="117" t="s">
        <v>223</v>
      </c>
      <c r="AF3" s="168" t="s">
        <v>3</v>
      </c>
      <c r="AG3" s="191" t="s">
        <v>2573</v>
      </c>
      <c r="AH3" s="191"/>
      <c r="AI3" s="11"/>
      <c r="AJ3" s="11"/>
      <c r="AK3" s="11"/>
      <c r="AL3" s="11"/>
      <c r="AM3" s="11"/>
      <c r="AN3" s="11"/>
    </row>
    <row r="4" spans="1:40" x14ac:dyDescent="0.3">
      <c r="A4" s="10"/>
      <c r="B4" s="10"/>
      <c r="C4" s="42" t="s">
        <v>106</v>
      </c>
      <c r="D4" s="31" t="str">
        <f>IFERROR(INDEX(Base[],MATCH(D2,Base[Name],0),COLUMN(Base[Type])),0)</f>
        <v>BB</v>
      </c>
      <c r="E4" s="43" t="s">
        <v>258</v>
      </c>
      <c r="F4" s="43" t="s">
        <v>246</v>
      </c>
      <c r="G4" s="43" t="s">
        <v>726</v>
      </c>
      <c r="H4" s="43" t="s">
        <v>201</v>
      </c>
      <c r="I4" s="43" t="s">
        <v>216</v>
      </c>
      <c r="J4" s="29"/>
      <c r="K4" s="52"/>
      <c r="L4" s="53" t="s">
        <v>7</v>
      </c>
      <c r="M4" s="131">
        <f ca="1">D35+I34+F35+K34+SUM($I$38:$O$38)+M34+O34+$D$38+(IF(NOT($T$23=0),N29,0)+IF(NOT($T$24=0),P29,0)+IF(NOT($T$25=0),R29,0)+IF(NOT($T$26=0),T29,0)+D29*$Y$15+F29*$Y$20)/$V$14</f>
        <v>1843.8101322836897</v>
      </c>
      <c r="N4" s="68">
        <f ca="1">((D35+I34+F35+K34+M34+O34+(IF(NOT($T$23=0),N29,0)+IF(NOT($T$24=0),P29,0)+IF(NOT($T$25=0),R29,0)+IF(NOT($T$26=0),T29,0))/$V$14+(D29*$Y$15+F29*$Y$20)/$V$14)*$AF$26+SUM($I$38:$O$38))+$D$38</f>
        <v>1424.9274724225784</v>
      </c>
      <c r="O4" s="34"/>
      <c r="P4" s="68">
        <f ca="1">D35*$Q$9</f>
        <v>556.4543620563004</v>
      </c>
      <c r="Q4" s="34"/>
      <c r="R4" s="68">
        <f ca="1">SUM(N29:T29)*$AF$26</f>
        <v>7109.4701602322848</v>
      </c>
      <c r="S4" s="34"/>
      <c r="T4" s="51" t="e">
        <f ca="1">SUM(V4,X4,Z4)</f>
        <v>#DIV/0!</v>
      </c>
      <c r="U4" s="34"/>
      <c r="V4" s="51">
        <f ca="1">((D29+$D$32)*FLOOR(($V$14-$M$8*(1-$I$20))/$M$8+IF(FLOOR($V$14/($M$8*(1-$I$20)),1)&gt;0,1,0),1)+D29*$Y$15)*$Q$9</f>
        <v>34754.250357561723</v>
      </c>
      <c r="W4" s="35"/>
      <c r="X4" s="51" t="e">
        <f ca="1">(F29*FLOOR($V$14/$M$9,1)+F29*$Y$20)*$Q$9</f>
        <v>#DIV/0!</v>
      </c>
      <c r="Y4" s="34"/>
      <c r="Z4" s="51">
        <f ca="1">((N29+$I$37)*FLOOR($V$14/IF($S$23=0,$AF$30,$S$23),1)+(P29+$K$37)*FLOOR($V$14/IF($S$24=0,$AF$30,$S$24),1)+(R29+$M$37)*FLOOR($V$14/IF($S$25=0,$AF$30,$S$25),1)+(T29+$O$37)*FLOOR($V$14/IF($S$26=0,$AF$30,$S$26),1)+(IF(NOT($T$23=0),N29,0)+IF(NOT($T$24=0),P29,0)+IF(NOT($T$25=0),R29,0)+IF(NOT($T$26=0),T29,0)))*$Q$9</f>
        <v>28437.880640929139</v>
      </c>
      <c r="AA4" s="35"/>
      <c r="AB4" s="11"/>
      <c r="AC4" s="5"/>
      <c r="AD4" s="117" t="s">
        <v>107</v>
      </c>
      <c r="AE4" s="117" t="str">
        <f ca="1">IFERROR(INDEX(INDIRECT(H3&amp;"Table"),MATCH(H4,INDIRECT(H3&amp;"Table"&amp;"[Name]"),0),COLUMN(INDIRECT(H3&amp;"Table"&amp;"[Ammo]"))),0)</f>
        <v>HE</v>
      </c>
      <c r="AF4" s="168">
        <f ca="1">IFERROR(INDEX(INDIRECT(I3&amp;"Table"),MATCH(I4,INDIRECT(I3&amp;"Table"&amp;"[Name]"),0),COLUMN(INDIRECT(I3&amp;"Table"&amp;"[Ammo]"))),0)</f>
        <v>0</v>
      </c>
      <c r="AG4" s="117" t="s">
        <v>149</v>
      </c>
      <c r="AH4" s="117" t="str">
        <f ca="1">IFERROR(INDEX(INDIRECT(D3&amp;"Table"),MATCH(D2,INDIRECT(D3&amp;"Table"&amp;"[Name]"),0),COLUMN(INDIRECT(D3&amp;"Table"&amp;"[Nation]"))),0)</f>
        <v>IJN</v>
      </c>
      <c r="AI4" s="11"/>
      <c r="AJ4" s="11"/>
      <c r="AK4" s="11"/>
      <c r="AL4" s="11"/>
      <c r="AM4" s="11"/>
      <c r="AN4" s="11"/>
    </row>
    <row r="5" spans="1:40" x14ac:dyDescent="0.3">
      <c r="A5" s="10"/>
      <c r="B5" s="10"/>
      <c r="C5" s="42" t="s">
        <v>6</v>
      </c>
      <c r="D5" s="41">
        <f ca="1">IFERROR(INDEX(INDIRECT(D3&amp;"Table"),MATCH(D2,INDIRECT(D3&amp;"Table"&amp;"[Name]"),0),COLUMN(INDIRECT(D3&amp;"Table"&amp;"["&amp;C5&amp;"]"))),0)</f>
        <v>7243</v>
      </c>
      <c r="E5" s="41">
        <f ca="1">IFERROR(INDEX(INDIRECT(E3&amp;"Table"),MATCH(E4,INDIRECT(E3&amp;"Table"&amp;"[Name]"),0),COLUMN(INDIRECT(E3&amp;"Table"&amp;"["&amp;C5&amp;"]"))),0)</f>
        <v>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1555.5259011495166</v>
      </c>
      <c r="N5" s="68">
        <f ca="1">((D36+I35+F36+K35+M35+O35+(IF(NOT($T$23=0),N30,0)+IF(NOT($T$24=0),P30,0)+IF(NOT($T$25=0),R30,0)+IF(NOT($T$26=0),T30,0))/$V$14+(D30*$Y$15+F30*$Y$20)/$V$14)*$AF$26+SUM($I$38:$O$38))+$D$38</f>
        <v>1215.1740012881035</v>
      </c>
      <c r="O5" s="34"/>
      <c r="P5" s="68">
        <f ca="1">D36*$Q$9</f>
        <v>437.21414161566469</v>
      </c>
      <c r="Q5" s="34"/>
      <c r="R5" s="68">
        <f ca="1">SUM(N30:T30)*$AF$26</f>
        <v>5586.0122687539388</v>
      </c>
      <c r="S5" s="34"/>
      <c r="T5" s="51" t="e">
        <f ca="1">SUM(V5,X5,Z5)</f>
        <v>#DIV/0!</v>
      </c>
      <c r="U5" s="34"/>
      <c r="V5" s="51">
        <f ca="1">((D30+$D$32)*FLOOR(($V$14-$M$8*(1-$I$20))/$M$8+IF(FLOOR($V$14/($M$8*(1-$I$20)),1)&gt;0,1,0),1)+D30*$Y$15)*$Q$9</f>
        <v>29435.657152782707</v>
      </c>
      <c r="W5" s="35"/>
      <c r="X5" s="51" t="e">
        <f ca="1">(F30*FLOOR($V$14/$M$9,1)+F30*$Y$20)*$Q$9</f>
        <v>#DIV/0!</v>
      </c>
      <c r="Y5" s="34"/>
      <c r="Z5" s="51">
        <f ca="1">((N30+$I$37)*FLOOR($V$14/IF($S$23=0,$AF$30,$S$23),1)+(P30+$K$37)*FLOOR($V$14/IF($S$24=0,$AF$30,$S$24),1)+(R30+$M$37)*FLOOR($V$14/IF($S$25=0,$AF$30,$S$25),1)+(T30+$O$37)*FLOOR($V$14/IF($S$26=0,$AF$30,$S$26),1)+(IF(NOT($T$23=0),N30,0)+IF(NOT($T$24=0),P30,0)+IF(NOT($T$25=0),R30,0)+IF(NOT($T$26=0),T30,0)))*$Q$9</f>
        <v>22344.049075015755</v>
      </c>
      <c r="AA5" s="35"/>
      <c r="AB5" s="11"/>
      <c r="AC5" s="5"/>
      <c r="AD5" s="62" t="s">
        <v>7</v>
      </c>
      <c r="AE5" s="41">
        <f ca="1">IF(D2="Kitakaze",1.15,IF(D2="Baltimore",0.85,IF(D2="Massachusetts",0.6,IFERROR(INDEX(INDIRECT(H3&amp;"Coef"),MATCH(AE4,INDIRECT(H3&amp;"Coef"&amp;"[Ammo]"),0),COLUMN(INDIRECT(H3&amp;"Coef"&amp;"["&amp;AD5&amp;"]"))),0))))</f>
        <v>1.4</v>
      </c>
      <c r="AF5" s="169">
        <f ca="1">IF(D2="Kawakaze",1.15,IFERROR(INDEX(INDIRECT(I3&amp;"Coef"),MATCH(AF4,INDIRECT(I3&amp;"Coef"&amp;"[Ammo]"),0),COLUMN(INDIRECT(I3&amp;"Coef"&amp;"["&amp;AD5&amp;"]"))),0))</f>
        <v>0</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389</v>
      </c>
      <c r="E6" s="41">
        <f ca="1">IFERROR(INDEX(INDIRECT(E3&amp;"Table"),MATCH(E4,INDIRECT(E3&amp;"Table"&amp;"[Name]"),0),COLUMN(INDIRECT(E3&amp;"Table"&amp;"["&amp;C6&amp;"]"))),0)</f>
        <v>55</v>
      </c>
      <c r="F6" s="41">
        <f ca="1">IFERROR(INDEX(INDIRECT(F3&amp;"Table"),MATCH(F4,INDIRECT(F3&amp;"Table"&amp;"[Name]"),0),COLUMN(INDIRECT(F3&amp;"Table"&amp;"["&amp;C6&amp;"]"))),0)</f>
        <v>70</v>
      </c>
      <c r="G6" s="41">
        <f ca="1">IFERROR(INDEX(INDIRECT(G3&amp;"Table"),MATCH(G4,INDIRECT(G3&amp;"Table"&amp;"[Name]"),0),COLUMN(INDIRECT(G3&amp;"Table"&amp;"["&amp;C6&amp;"]"))),0)</f>
        <v>0</v>
      </c>
      <c r="H6" s="41">
        <f ca="1">IFERROR(INDEX(INDIRECT(H3&amp;"Table"),MATCH(H4,INDIRECT(H3&amp;"Table"&amp;"[Name]"),0),COLUMN(INDIRECT(H3&amp;"Table"&amp;"["&amp;C6&amp;"]"))),0)</f>
        <v>25</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1383.5869565910664</v>
      </c>
      <c r="N6" s="68">
        <f ca="1">((D37+I36+F37+K36+M36+O36+(IF(NOT($T$23=0),N31,0)+IF(NOT($T$24=0),P31,0)+IF(NOT($T$25=0),R31,0)+IF(NOT($T$26=0),T31,0))/$V$14+(D31*$Y$15+F31*$Y$20)/$V$14)*$AF$26+SUM($I$38:$O$38))+$D$38</f>
        <v>1090.0724988491866</v>
      </c>
      <c r="O6" s="34"/>
      <c r="P6" s="68">
        <f ca="1">D37*$Q$9</f>
        <v>357.72066132190741</v>
      </c>
      <c r="Q6" s="34"/>
      <c r="R6" s="68">
        <f ca="1">SUM(N31:T31)*$AF$26</f>
        <v>4570.3736744350399</v>
      </c>
      <c r="S6" s="34"/>
      <c r="T6" s="51" t="e">
        <f ca="1">SUM(V6,X6,Z6)</f>
        <v>#DIV/0!</v>
      </c>
      <c r="U6" s="34"/>
      <c r="V6" s="51">
        <f ca="1">((D31+$D$32)*FLOOR(($V$14-$M$8*(1-$I$20))/$M$8+IF(FLOOR($V$14/($M$8*(1-$I$20)),1)&gt;0,1,0),1)+D31*$Y$15)*$Q$9</f>
        <v>25889.928349596681</v>
      </c>
      <c r="W6" s="35"/>
      <c r="X6" s="51" t="e">
        <f ca="1">(F31*FLOOR($V$14/$M$9,1)+F31*$Y$20)*$Q$9</f>
        <v>#DIV/0!</v>
      </c>
      <c r="Y6" s="34"/>
      <c r="Z6" s="51">
        <f ca="1">((N31+$I$37)*FLOOR($V$14/IF($S$23=0,$AF$30,$S$23),1)+(P31+$K$37)*FLOOR($V$14/IF($S$24=0,$AF$30,$S$24),1)+(R31+$M$37)*FLOOR($V$14/IF($S$25=0,$AF$30,$S$25),1)+(T31+$O$37)*FLOOR($V$14/IF($S$26=0,$AF$30,$S$26),1)+(IF(NOT($T$23=0),N31,0)+IF(NOT($T$24=0),P31,0)+IF(NOT($T$25=0),R31,0)+IF(NOT($T$26=0),T31,0)))*$Q$9</f>
        <v>18281.49469774016</v>
      </c>
      <c r="AA6" s="35"/>
      <c r="AB6" s="11"/>
      <c r="AC6" s="5"/>
      <c r="AD6" s="62" t="s">
        <v>9</v>
      </c>
      <c r="AE6" s="41">
        <f ca="1">IF(D2="Kitakaze",1.15,IF(D2="Baltimore",1.2,IF(D2="Massachusetts",1.35,IFERROR(INDEX(INDIRECT(H3&amp;"Coef"),MATCH(AE4,INDIRECT(H3&amp;"Coef"&amp;"[Ammo]"),0),COLUMN(INDIRECT(H3&amp;"Coef"&amp;"["&amp;AD6&amp;"]"))),0))))</f>
        <v>1.1000000000000001</v>
      </c>
      <c r="AF6" s="169">
        <f ca="1">IF(D2="Kawakaze",1.15,IFERROR(INDEX(INDIRECT(I3&amp;"Coef"),MATCH(AF4,INDIRECT(I3&amp;"Coef"&amp;"[Ammo]"),0),COLUMN(INDIRECT(I3&amp;"Coef"&amp;"["&amp;AD6&amp;"]"))),0))</f>
        <v>0</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0</v>
      </c>
      <c r="E7" s="41">
        <f ca="1">IFERROR(INDEX(INDIRECT(E3&amp;"Table"),MATCH(E4,INDIRECT(E3&amp;"Table"&amp;"[Name]"),0),COLUMN(INDIRECT(E3&amp;"Table"&amp;"["&amp;C7&amp;"]"))),0)</f>
        <v>0</v>
      </c>
      <c r="F7" s="41">
        <f ca="1">IFERROR(INDEX(INDIRECT(F3&amp;"Table"),MATCH(F4,INDIRECT(F3&amp;"Table"&amp;"[Name]"),0),COLUMN(INDIRECT(F3&amp;"Table"&amp;"["&amp;C7&amp;"]"))),0)</f>
        <v>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0</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0.9</v>
      </c>
      <c r="AF7" s="169">
        <f ca="1">IF(D2="Kawakaze",1.15,IFERROR(INDEX(INDIRECT(I3&amp;"Coef"),MATCH(AF4,INDIRECT(I3&amp;"Coef"&amp;"[Ammo]"),0),COLUMN(INDIRECT(I3&amp;"Coef"&amp;"["&amp;AD7&amp;"]"))),0))</f>
        <v>0</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373</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0</v>
      </c>
      <c r="I8" s="41">
        <f ca="1">IFERROR(INDEX(INDIRECT(I3&amp;"Table"),MATCH(I4,INDIRECT(I3&amp;"Table"&amp;"[Name]"),0),COLUMN(INDIRECT(I3&amp;"Table"&amp;"["&amp;C8&amp;"]"))),0)</f>
        <v>0</v>
      </c>
      <c r="J8" s="29"/>
      <c r="K8" s="52" t="s">
        <v>1342</v>
      </c>
      <c r="L8" s="53"/>
      <c r="M8" s="68">
        <f ca="1">IF(AND(P12=2,NOT(OR(C2="BB",C2="BC"))),MAX(36/30,AF31)+(H18+0.1+MAX((12-(H18+0.1)*30)/30,0)+AF32),AF31)</f>
        <v>22.302010115063929</v>
      </c>
      <c r="N8" s="34"/>
      <c r="O8" s="52" t="s">
        <v>27</v>
      </c>
      <c r="P8" s="53"/>
      <c r="Q8" s="68">
        <f ca="1">AF24</f>
        <v>72430</v>
      </c>
      <c r="R8" s="52"/>
      <c r="S8" s="52" t="s">
        <v>2508</v>
      </c>
      <c r="T8" s="53"/>
      <c r="U8" s="68">
        <f ca="1">FLOOR($V$14/M8,1)</f>
        <v>2</v>
      </c>
      <c r="V8" s="34"/>
      <c r="W8" s="48" t="str">
        <f>H4</f>
        <v>3x406mm (Mark 6)</v>
      </c>
      <c r="X8" s="48"/>
      <c r="Y8" s="48" t="str">
        <f>F4</f>
        <v>Super Heavy Shell</v>
      </c>
      <c r="Z8" s="35"/>
      <c r="AA8" s="35"/>
      <c r="AB8" s="11"/>
      <c r="AC8" s="5"/>
      <c r="AD8" s="117"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132</v>
      </c>
      <c r="E9" s="41">
        <f ca="1">IFERROR(INDEX(INDIRECT(E3&amp;"Table"),MATCH(E4,INDIRECT(E3&amp;"Table"&amp;"[Name]"),0),COLUMN(INDIRECT(E3&amp;"Table"&amp;"["&amp;C9&amp;"]"))),0)</f>
        <v>0</v>
      </c>
      <c r="F9" s="41">
        <f ca="1">IFERROR(INDEX(INDIRECT(F3&amp;"Table"),MATCH(F4,INDIRECT(F3&amp;"Table"&amp;"[Name]"),0),COLUMN(INDIRECT(F3&amp;"Table"&amp;"["&amp;C9&amp;"]"))),0)</f>
        <v>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0</v>
      </c>
      <c r="N9" s="34"/>
      <c r="O9" s="52" t="s">
        <v>804</v>
      </c>
      <c r="P9" s="38"/>
      <c r="Q9" s="49">
        <f ca="1">AF26</f>
        <v>0.72759259259259257</v>
      </c>
      <c r="R9" s="52"/>
      <c r="S9" s="52" t="s">
        <v>2507</v>
      </c>
      <c r="T9" s="38"/>
      <c r="U9" s="68" t="e">
        <f ca="1">FLOOR($V$14/M9,1)</f>
        <v>#DIV/0!</v>
      </c>
      <c r="V9" s="34"/>
      <c r="W9" s="48" t="str">
        <f>I4</f>
        <v>5x533mm</v>
      </c>
      <c r="X9" s="48"/>
      <c r="Y9" s="48" t="str">
        <f>G4</f>
        <v>2x40mm STAAG</v>
      </c>
      <c r="Z9" s="35"/>
      <c r="AA9" s="35"/>
      <c r="AB9" s="11"/>
      <c r="AC9" s="5"/>
      <c r="AD9" s="117" t="s">
        <v>41</v>
      </c>
      <c r="AE9" s="60"/>
      <c r="AF9" s="170">
        <f ca="1">(MAX(IF(OR(AE4="Normal", AE4="Magnetic",AE4="AP",AE4="AP+"), 0,IFERROR(INDEX(BurnT[],MATCH(H3,BurnT[Type],0),COLUMN(BurnT[Burn])),0))+IF(D2="Belfast",0.03,IF(D2="Saint Louis",-0.03,IF(D2="Atago",0.12,0))),0))*IF(OR(D2="Baltimore",D2="Massachusetts",D2="Zara"),0,1)</f>
        <v>0.5</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1.75</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1.05</v>
      </c>
      <c r="I10" s="41">
        <f ca="1">IFERROR(INDEX(INDIRECT(I3&amp;"Table"),MATCH(I4,INDIRECT(I3&amp;"Table"&amp;"[Name]"),0),COLUMN(INDIRECT(I3&amp;"Table"&amp;"["&amp;C10&amp;"]"))),0)</f>
        <v>0</v>
      </c>
      <c r="J10" s="29"/>
      <c r="K10" s="52" t="s">
        <v>715</v>
      </c>
      <c r="L10" s="53"/>
      <c r="M10" s="68">
        <f ca="1">AF30</f>
        <v>22.302010115063929</v>
      </c>
      <c r="N10" s="34"/>
      <c r="O10" s="52" t="s">
        <v>805</v>
      </c>
      <c r="P10" s="38"/>
      <c r="Q10" s="49">
        <f ca="1">AF28</f>
        <v>0.1</v>
      </c>
      <c r="R10" s="52"/>
      <c r="S10" s="52"/>
      <c r="T10" s="38"/>
      <c r="U10" s="49"/>
      <c r="V10" s="34"/>
      <c r="W10" s="48" t="str">
        <f>E4</f>
        <v>Type 1 APS</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2</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92" t="s">
        <v>225</v>
      </c>
      <c r="L11" s="193"/>
      <c r="M11" s="193"/>
      <c r="N11" s="193"/>
      <c r="O11" s="193"/>
      <c r="P11" s="193"/>
      <c r="Q11" s="193"/>
      <c r="R11" s="193"/>
      <c r="S11" s="193"/>
      <c r="T11" s="193"/>
      <c r="U11" s="193"/>
      <c r="V11" s="193"/>
      <c r="W11" s="193"/>
      <c r="X11" s="193"/>
      <c r="Y11" s="193"/>
      <c r="Z11" s="11"/>
      <c r="AA11" s="11"/>
      <c r="AB11" s="11"/>
      <c r="AC11" s="5"/>
      <c r="AD11" s="117"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31</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1.5</v>
      </c>
      <c r="Q12" s="186" t="s">
        <v>791</v>
      </c>
      <c r="R12" s="187"/>
      <c r="S12" s="144">
        <v>1.35</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60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1</v>
      </c>
      <c r="Q13" s="186" t="s">
        <v>790</v>
      </c>
      <c r="R13" s="187"/>
      <c r="S13" s="144">
        <v>1</v>
      </c>
      <c r="T13" s="34"/>
      <c r="U13" s="34"/>
      <c r="V13" s="143"/>
      <c r="W13" s="55" t="s">
        <v>1377</v>
      </c>
      <c r="X13" s="55"/>
      <c r="Y13" s="144">
        <v>0</v>
      </c>
      <c r="Z13" s="5"/>
      <c r="AA13" s="5"/>
      <c r="AB13" s="5"/>
      <c r="AC13" s="5"/>
      <c r="AD13" s="117" t="s">
        <v>270</v>
      </c>
      <c r="AE13" s="60"/>
      <c r="AF13" s="169">
        <f ca="1">IFERROR(INDEX(INDIRECT(E3&amp;"Table"),MATCH(E4,INDIRECT(E3&amp;"Table"&amp;"[Name]"),0),COLUMN(INDIRECT(E3&amp;"Table"&amp;"[CritDamage]"))),0)+IFERROR(INDEX(INDIRECT(F3&amp;"Table"),MATCH(F4,INDIRECT(F3&amp;"Table"&amp;"[Name]"),0),COLUMN(INDIRECT(F3&amp;"Table"&amp;"[CritDamage]"))),0)</f>
        <v>0.25</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87</v>
      </c>
      <c r="E14" s="41">
        <f ca="1">IFERROR(INDEX(INDIRECT(E3&amp;"Table"),MATCH(E4,INDIRECT(E3&amp;"Table"&amp;"[Name]"),0),COLUMN(INDIRECT(E3&amp;"Table"&amp;"["&amp;C14&amp;"]"))),0)</f>
        <v>15</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86" t="s">
        <v>789</v>
      </c>
      <c r="R14" s="187"/>
      <c r="S14" s="144">
        <v>1</v>
      </c>
      <c r="T14" s="55" t="s">
        <v>1392</v>
      </c>
      <c r="U14" s="55"/>
      <c r="V14" s="147">
        <v>60</v>
      </c>
      <c r="W14" s="55" t="s">
        <v>2498</v>
      </c>
      <c r="X14" s="55"/>
      <c r="Y14" s="144">
        <v>1</v>
      </c>
      <c r="Z14" s="5"/>
      <c r="AA14" s="5"/>
      <c r="AB14" s="5"/>
      <c r="AC14" s="5"/>
      <c r="AD14" s="117" t="s">
        <v>268</v>
      </c>
      <c r="AE14" s="60"/>
      <c r="AF14" s="170">
        <f ca="1">IFERROR(INDEX(INDIRECT(E3&amp;"Table"),MATCH(E4,INDIRECT(E3&amp;"Table"&amp;"[Name]"),0),COLUMN(INDIRECT(E3&amp;"Table"&amp;"[Crit%]"))),0)+IFERROR(INDEX(INDIRECT(F3&amp;"Table"),MATCH(F4,INDIRECT(F3&amp;"Table"&amp;"[Name]"),0),COLUMN(INDIRECT(F3&amp;"Table"&amp;"[Crit%]"))),0)</f>
        <v>0.08</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156</v>
      </c>
      <c r="I15" s="41">
        <f ca="1">IFERROR(INDEX(INDIRECT(I3&amp;"Table"),MATCH(I4,INDIRECT(I3&amp;"Table"&amp;"[Name]"),0),COLUMN(INDIRECT(I3&amp;"Table"&amp;"["&amp;C15&amp;"]"))),0)</f>
        <v>0</v>
      </c>
      <c r="J15" s="29"/>
      <c r="K15" s="54" t="s">
        <v>1387</v>
      </c>
      <c r="L15" s="44"/>
      <c r="M15" s="142">
        <v>0</v>
      </c>
      <c r="N15" s="55" t="s">
        <v>4</v>
      </c>
      <c r="O15" s="40"/>
      <c r="P15" s="145">
        <v>25</v>
      </c>
      <c r="Q15" s="186" t="s">
        <v>788</v>
      </c>
      <c r="R15" s="187"/>
      <c r="S15" s="144">
        <v>1</v>
      </c>
      <c r="T15" s="55" t="s">
        <v>1431</v>
      </c>
      <c r="U15" s="55"/>
      <c r="V15" s="144">
        <v>0.08</v>
      </c>
      <c r="W15" s="55" t="s">
        <v>1444</v>
      </c>
      <c r="X15" s="55"/>
      <c r="Y15" s="147">
        <v>0</v>
      </c>
      <c r="Z15" s="5"/>
      <c r="AA15" s="5"/>
      <c r="AB15" s="5"/>
      <c r="AC15" s="5"/>
      <c r="AD15" s="116" t="s">
        <v>797</v>
      </c>
      <c r="AE15" s="37"/>
      <c r="AF15" s="170">
        <f ca="1">1+(0.05+((SUM(D14:I14)*S14)/(SUM(D14:I14)*S14+2000+P17))+((SUM(D13:I13)-P15)/5000)+AF14)*(M14+AF13)</f>
        <v>1.1411587791495199</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3</v>
      </c>
      <c r="I16" s="41">
        <f ca="1">IFERROR(INDEX(INDIRECT(I3&amp;"Table"),MATCH(I4,INDIRECT(I3&amp;"Table"&amp;"[Name]"),0),COLUMN(INDIRECT(I3&amp;"Table"&amp;"["&amp;C16&amp;"]"))),0)</f>
        <v>0</v>
      </c>
      <c r="J16" s="29"/>
      <c r="K16" s="54" t="s">
        <v>1388</v>
      </c>
      <c r="L16" s="44"/>
      <c r="M16" s="142">
        <v>0</v>
      </c>
      <c r="N16" s="55" t="s">
        <v>42</v>
      </c>
      <c r="O16" s="40"/>
      <c r="P16" s="145">
        <v>0</v>
      </c>
      <c r="Q16" s="186" t="s">
        <v>861</v>
      </c>
      <c r="R16" s="187"/>
      <c r="S16" s="144">
        <v>1</v>
      </c>
      <c r="T16" s="55" t="s">
        <v>808</v>
      </c>
      <c r="U16" s="55"/>
      <c r="V16" s="144">
        <v>0.2</v>
      </c>
      <c r="W16" s="34"/>
      <c r="X16" s="34"/>
      <c r="Y16" s="143"/>
      <c r="Z16" s="5"/>
      <c r="AA16" s="5"/>
      <c r="AB16" s="5"/>
      <c r="AC16" s="5"/>
      <c r="AD16" s="116" t="s">
        <v>796</v>
      </c>
      <c r="AE16" s="37"/>
      <c r="AF16" s="170">
        <f ca="1">1+IF(AF20&gt;1,1,(M13+0.05+((SUM(D14:I14)*S14)/(SUM(D14:I14)*S14+2000+P17))+((SUM(D13:I13)-P15)/5000)+AF14))*(M14+AF13+M16)</f>
        <v>1.1411587791495199</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24.02</v>
      </c>
      <c r="I17" s="41">
        <f ca="1">IFERROR(INDEX(INDIRECT(I3&amp;"Table"),MATCH(I4,INDIRECT(I3&amp;"Table"&amp;"[Name]"),0),COLUMN(INDIRECT(I3&amp;"Table"&amp;"["&amp;C17&amp;"]"))),0)</f>
        <v>0</v>
      </c>
      <c r="J17" s="29"/>
      <c r="K17" s="34"/>
      <c r="L17" s="34"/>
      <c r="M17" s="143"/>
      <c r="N17" s="55" t="s">
        <v>43</v>
      </c>
      <c r="O17" s="40"/>
      <c r="P17" s="145">
        <v>75</v>
      </c>
      <c r="Q17" s="186" t="s">
        <v>1323</v>
      </c>
      <c r="R17" s="187"/>
      <c r="S17" s="144">
        <v>1</v>
      </c>
      <c r="T17" s="34"/>
      <c r="U17" s="34"/>
      <c r="V17" s="143"/>
      <c r="W17" s="55" t="s">
        <v>1349</v>
      </c>
      <c r="X17" s="55"/>
      <c r="Y17" s="144">
        <v>1</v>
      </c>
      <c r="Z17" s="5"/>
      <c r="AA17" s="5"/>
      <c r="AB17" s="5"/>
      <c r="AC17" s="5"/>
      <c r="AD17" s="116" t="s">
        <v>859</v>
      </c>
      <c r="AE17" s="37"/>
      <c r="AF17" s="170">
        <f ca="1">1+IF(AF19&gt;1,1,(M12+0.05+((SUM(D14:I14)*S14)/(SUM(D14:I14)*S14+2000+P17))+((SUM(D13:I13)-P15)/5000)+AF14))*(M14+AF13+M15)</f>
        <v>1.1411587791495199</v>
      </c>
      <c r="AG17" s="49"/>
      <c r="AH17" s="49"/>
      <c r="AI17" s="11"/>
      <c r="AJ17" s="11"/>
      <c r="AK17" s="11"/>
      <c r="AL17" s="11"/>
      <c r="AM17" s="11"/>
      <c r="AN17" s="11"/>
    </row>
    <row r="18" spans="1:40" x14ac:dyDescent="0.3">
      <c r="A18" s="10"/>
      <c r="B18" s="10"/>
      <c r="C18" s="42" t="s">
        <v>22</v>
      </c>
      <c r="D18" s="41">
        <f ca="1">SUM(D6:I6)</f>
        <v>539</v>
      </c>
      <c r="E18" s="33"/>
      <c r="F18" s="33"/>
      <c r="G18" s="37" t="s">
        <v>19</v>
      </c>
      <c r="H18" s="41">
        <f ca="1">IFERROR(INDEX(INDIRECT(H3&amp;"Table"),MATCH(H4,INDIRECT(H3&amp;"Table"&amp;"[Name]"),0),COLUMN(INDIRECT(H3&amp;"Table"&amp;"["&amp;G18&amp;"]"))),0)</f>
        <v>0</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16" t="s">
        <v>957</v>
      </c>
      <c r="AE18" s="37"/>
      <c r="AF18" s="170">
        <f ca="1">1+(0.05+((SUM(D14:I14)*S14)/(SUM(D14:I14)*S14+2000+P17))+((SUM(D13:I13)-P15)/5000))*(M14)</f>
        <v>1.0541058527663465</v>
      </c>
      <c r="AG18" s="49"/>
      <c r="AH18" s="49"/>
      <c r="AI18" s="11"/>
      <c r="AJ18" s="11"/>
      <c r="AK18" s="11"/>
      <c r="AL18" s="11"/>
      <c r="AM18" s="11"/>
      <c r="AN18" s="11"/>
    </row>
    <row r="19" spans="1:40" x14ac:dyDescent="0.3">
      <c r="A19" s="10"/>
      <c r="B19" s="10"/>
      <c r="C19" s="42" t="s">
        <v>23</v>
      </c>
      <c r="D19" s="41">
        <f ca="1">SUM(D7:I7)</f>
        <v>0</v>
      </c>
      <c r="E19" s="33"/>
      <c r="F19" s="33"/>
      <c r="G19" s="37" t="s">
        <v>17</v>
      </c>
      <c r="H19" s="41">
        <f>IFERROR(INDEX(BurnT[],MATCH(C2,BurnT[Type],0),COLUMN(BurnT[CD])),0)</f>
        <v>0</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0.18821170553269317</v>
      </c>
      <c r="AG19" s="49"/>
      <c r="AH19" s="49"/>
      <c r="AI19" s="11"/>
      <c r="AJ19" s="11"/>
      <c r="AK19" s="11"/>
      <c r="AL19" s="11"/>
      <c r="AM19" s="11"/>
      <c r="AN19" s="11"/>
    </row>
    <row r="20" spans="1:40" x14ac:dyDescent="0.3">
      <c r="A20" s="10"/>
      <c r="B20" s="10"/>
      <c r="C20" s="42" t="s">
        <v>748</v>
      </c>
      <c r="D20" s="41">
        <f ca="1">SUM(D8:I8)</f>
        <v>418</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0.18821170553269317</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188" t="s">
        <v>1441</v>
      </c>
      <c r="P22" s="188"/>
      <c r="Q22" s="183" t="s">
        <v>788</v>
      </c>
      <c r="R22" s="79" t="s">
        <v>26</v>
      </c>
      <c r="S22" s="183" t="s">
        <v>44</v>
      </c>
      <c r="T22" s="188" t="s">
        <v>1442</v>
      </c>
      <c r="U22" s="188"/>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Melee Artillery</v>
      </c>
      <c r="D23" s="41"/>
      <c r="E23" s="41">
        <f ca="1">IFERROR(INDEX(Barrage[],MATCH(C23,Barrage[Name],0),COLUMN(Barrage[Total Damage])),0)</f>
        <v>800</v>
      </c>
      <c r="F23" s="41">
        <f ca="1">IFERROR(INDEX(Barrage[],MATCH(C23,Barrage[Name],0),COLUMN(Barrage[Base Damage])),0)</f>
        <v>100</v>
      </c>
      <c r="G23" s="41">
        <f ca="1">IFERROR(INDEX(Barrage[],MATCH(C23,Barrage[Name],0),COLUMN(Barrage[Total Rounds])),0)</f>
        <v>8</v>
      </c>
      <c r="H23" s="41">
        <f ca="1">IFERROR(INDEX(Barrage[],MATCH(C23,Barrage[Name],0),COLUMN(Barrage[Light Armor])),0)</f>
        <v>1.4</v>
      </c>
      <c r="I23" s="41">
        <f ca="1">IFERROR(INDEX(Barrage[],MATCH(C23,Barrage[Name],0),COLUMN(Barrage[Medium Armor])),0)</f>
        <v>1.1000000000000001</v>
      </c>
      <c r="J23" s="41">
        <f ca="1">IFERROR(INDEX(Barrage[],MATCH(C23,Barrage[Name],0),COLUMN(Barrage[Heavy Armor])),0)</f>
        <v>0.9</v>
      </c>
      <c r="K23" s="41">
        <f ca="1">IFERROR(INDEX(Barrage[],MATCH(C23,Barrage[Name],0),COLUMN(Barrage[Burn %])),0)</f>
        <v>0</v>
      </c>
      <c r="L23" s="41" t="str">
        <f ca="1">IFERROR(INDEX(Barrage[],MATCH(C23,Barrage[Name],0),COLUMN(Barrage[Type2])),0)</f>
        <v>FP</v>
      </c>
      <c r="M23" s="41">
        <f ca="1">IFERROR(INDEX(Barrage[],MATCH(C23,Barrage[Name],0),COLUMN(Barrage[Stat Mod])),0)</f>
        <v>1</v>
      </c>
      <c r="N23" s="47">
        <f ca="1">IF(O23="Y",IF(L23="FP",$AF$17,$AF$16),IFERROR(INDEX(Barrage[],MATCH(C23,Barrage[Name],0),COLUMN(Barrage[Crit %])),0))</f>
        <v>0</v>
      </c>
      <c r="O23" s="185" t="s">
        <v>1427</v>
      </c>
      <c r="P23" s="185"/>
      <c r="Q23" s="57">
        <v>1</v>
      </c>
      <c r="R23" s="56">
        <v>1</v>
      </c>
      <c r="S23" s="58">
        <v>15</v>
      </c>
      <c r="T23" s="185">
        <v>0</v>
      </c>
      <c r="U23" s="185"/>
      <c r="V23" s="5"/>
      <c r="W23" s="5"/>
      <c r="X23" s="5"/>
      <c r="Y23" s="5"/>
      <c r="Z23" s="11"/>
      <c r="AA23" s="11"/>
      <c r="AB23" s="11"/>
      <c r="AC23" s="5"/>
      <c r="AD23" s="116" t="s">
        <v>28</v>
      </c>
      <c r="AE23" s="118"/>
      <c r="AF23" s="169">
        <f ca="1">SUM(D5:I5)</f>
        <v>7243</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85" t="s">
        <v>1427</v>
      </c>
      <c r="P24" s="185"/>
      <c r="Q24" s="57">
        <v>1</v>
      </c>
      <c r="R24" s="56">
        <v>1</v>
      </c>
      <c r="S24" s="58">
        <v>0</v>
      </c>
      <c r="T24" s="185">
        <v>0</v>
      </c>
      <c r="U24" s="185"/>
      <c r="V24" s="5"/>
      <c r="W24" s="5"/>
      <c r="X24" s="5"/>
      <c r="Y24" s="5"/>
      <c r="Z24" s="11"/>
      <c r="AA24" s="11"/>
      <c r="AB24" s="11"/>
      <c r="AC24" s="5"/>
      <c r="AD24" s="116" t="s">
        <v>30</v>
      </c>
      <c r="AE24" s="118"/>
      <c r="AF24" s="172">
        <f ca="1">AF23/(AF28*(1-M20))</f>
        <v>72430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85" t="s">
        <v>1427</v>
      </c>
      <c r="P25" s="185"/>
      <c r="Q25" s="57">
        <v>1</v>
      </c>
      <c r="R25" s="56">
        <v>1</v>
      </c>
      <c r="S25" s="58">
        <v>0</v>
      </c>
      <c r="T25" s="185">
        <v>0</v>
      </c>
      <c r="U25" s="185"/>
      <c r="V25" s="5"/>
      <c r="W25" s="5"/>
      <c r="X25" s="5"/>
      <c r="Y25" s="5"/>
      <c r="Z25" s="11"/>
      <c r="AA25" s="11"/>
      <c r="AB25" s="11"/>
      <c r="AC25" s="5"/>
      <c r="AD25" s="116" t="s">
        <v>33</v>
      </c>
      <c r="AE25" s="118"/>
      <c r="AF25" s="170">
        <f ca="1">0.1+((SUM(D14:I14)*S14)/((SUM(D14:I14)*S14)+2+P17))+((SUM(D13:I13)-P15)/1000)</f>
        <v>0.72759259259259257</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85" t="s">
        <v>1427</v>
      </c>
      <c r="P26" s="185"/>
      <c r="Q26" s="57">
        <v>1</v>
      </c>
      <c r="R26" s="56">
        <v>1</v>
      </c>
      <c r="S26" s="58">
        <v>0</v>
      </c>
      <c r="T26" s="185">
        <v>0</v>
      </c>
      <c r="U26" s="185"/>
      <c r="V26" s="5"/>
      <c r="W26" s="5"/>
      <c r="X26" s="5"/>
      <c r="Y26" s="5"/>
      <c r="Z26" s="11"/>
      <c r="AA26" s="11"/>
      <c r="AB26" s="11"/>
      <c r="AC26" s="5"/>
      <c r="AD26" s="116" t="s">
        <v>37</v>
      </c>
      <c r="AE26" s="118"/>
      <c r="AF26" s="170">
        <f ca="1">IF(AF25&lt;=0.1, 0.1, IF(AF25&gt;=1, 1, AF25))</f>
        <v>0.72759259259259257</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16" t="s">
        <v>34</v>
      </c>
      <c r="AE27" s="118"/>
      <c r="AF27" s="173">
        <f ca="1">0.1+(P16/(P16+2+M19*SUM(D12:I12)))+((P15-SUM(D13:I13))/1000)-M18</f>
        <v>6.5000000000000002E-2</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16" t="s">
        <v>36</v>
      </c>
      <c r="AE28" s="118"/>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17056.318243882848</v>
      </c>
      <c r="E29" s="64"/>
      <c r="F29" s="68">
        <v>4349.1791127272718</v>
      </c>
      <c r="G29" s="64"/>
      <c r="H29" s="68">
        <f ca="1">D29*AF26</f>
        <v>12410.050811151057</v>
      </c>
      <c r="I29" s="64"/>
      <c r="J29" s="32"/>
      <c r="K29" s="68">
        <f ca="1">F29*AF26</f>
        <v>3164.4305062787871</v>
      </c>
      <c r="L29" s="32"/>
      <c r="M29" s="50" t="s">
        <v>7</v>
      </c>
      <c r="N29" s="68">
        <f ca="1">IFERROR((E23*H23*((100+IF(L23="FP",S20,0)+IF(L23="FP",D18*S12,D19*S13)*M23)/100))*IF(N23=0,IF(L23="TP",AF18,AF18),N23*IF(L23="FP",M14+1,M14+1)),0)*Q23*R23*S17*V12</f>
        <v>9771.2239412711479</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13401.392905907956</v>
      </c>
      <c r="E30" s="64"/>
      <c r="F30" s="68">
        <v>4892.826501818181</v>
      </c>
      <c r="G30" s="64"/>
      <c r="H30" s="68">
        <f ca="1">D30*AF26</f>
        <v>9750.7542087615475</v>
      </c>
      <c r="I30" s="64"/>
      <c r="J30" s="32"/>
      <c r="K30" s="68">
        <f ca="1">F30*AF26</f>
        <v>3559.9843195636358</v>
      </c>
      <c r="L30" s="32"/>
      <c r="M30" s="50" t="s">
        <v>9</v>
      </c>
      <c r="N30" s="68">
        <f ca="1">IFERROR((E23*I23*((100+IF(L23="FP",S20,0)+IF(L23="FP",D18*S12,D19*S13)*M23)/100))*IF(N23=0,IF(L23="TP",AF18,AF18),N23*IF(L23="FP",M14+1,M14+1)),0)*Q23*R23*S17*V12</f>
        <v>7677.390239570188</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16" t="s">
        <v>715</v>
      </c>
      <c r="AE30" s="118"/>
      <c r="AF30" s="174">
        <f ca="1">(H17*P20+H18+H19)*P13</f>
        <v>22.302010115063929</v>
      </c>
      <c r="AG30" s="68"/>
      <c r="AH30" s="68"/>
      <c r="AI30" s="11"/>
      <c r="AJ30" s="11"/>
      <c r="AK30" s="11"/>
      <c r="AL30" s="11"/>
      <c r="AM30" s="11"/>
      <c r="AN30" s="11"/>
    </row>
    <row r="31" spans="1:40" x14ac:dyDescent="0.3">
      <c r="A31" s="10"/>
      <c r="B31" s="10"/>
      <c r="C31" s="50" t="s">
        <v>11</v>
      </c>
      <c r="D31" s="68">
        <f ca="1">((100+S20+D18*S12)/100)*(D10+Y13)*H10*H15*H16*AE7*(AF17)*P12*S15*AF11*S17*V12*Y12*Y14</f>
        <v>10964.776013924689</v>
      </c>
      <c r="E31" s="64"/>
      <c r="F31" s="68">
        <v>5980.1212799999994</v>
      </c>
      <c r="G31" s="64"/>
      <c r="H31" s="68">
        <f ca="1">D31*AF26</f>
        <v>7977.889807168538</v>
      </c>
      <c r="I31" s="64"/>
      <c r="J31" s="32"/>
      <c r="K31" s="68">
        <f ca="1">F31*AF26</f>
        <v>4351.0919461333324</v>
      </c>
      <c r="L31" s="32"/>
      <c r="M31" s="50" t="s">
        <v>11</v>
      </c>
      <c r="N31" s="68">
        <f ca="1">IFERROR((E23*J23*((100+IF(L23="FP",S20,0)+IF(L23="FP",D18*S12,D19*S13)*M23)/100))*IF(N23=0,IF(L23="TP",AF18,AF18),N23*IF(L23="FP",M14+1,M14+1)),0)*Q23*R23*S17*V12</f>
        <v>6281.5011051028796</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22.302010115063929</v>
      </c>
      <c r="AG31" s="68"/>
      <c r="AH31" s="68"/>
      <c r="AI31" s="11"/>
      <c r="AJ31" s="11"/>
      <c r="AK31" s="11"/>
      <c r="AL31" s="11"/>
      <c r="AM31" s="11"/>
      <c r="AN31" s="11"/>
    </row>
    <row r="32" spans="1:40" x14ac:dyDescent="0.3">
      <c r="A32" s="10"/>
      <c r="B32" s="10"/>
      <c r="C32" s="50" t="s">
        <v>761</v>
      </c>
      <c r="D32" s="68">
        <f ca="1">(((100+S20+D18*S12)/100)*D10*H10*H15*AF8+5)*5*(1-(1-AF9)^(H16*P12))*IF(OR(D2="Baltimore",D2="Massachusetts",D2="Zara"),0,1)</f>
        <v>6826.7247608045163</v>
      </c>
      <c r="E32" s="64"/>
      <c r="F32" s="68">
        <v>0</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90</v>
      </c>
      <c r="G34" s="64"/>
      <c r="H34" s="69" t="s">
        <v>7</v>
      </c>
      <c r="I34" s="68">
        <f ca="1">IFERROR((E23*H23*((100+IF(L23="FP",S20,0)+IF(L23="FP",D18*S12,D19*S13)*M23)/100))/(IF(S23=0,AF30,S23))*IF(N23=0,IF(L23="TP",AF18,AF18),N23*IF(L23="FP",M14+1,M14+1)),0)*Q23*R23*S17</f>
        <v>651.41492941807644</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D29/IF(AND(P12=2,NOT(OR(C2="BB",C2="BC"))),MAX(36/30,AF31)+(H18+0.1+MAX((12-(H18+0.1)*30)/30,0)+AF32),AF31)</f>
        <v>764.78838256656206</v>
      </c>
      <c r="E35" s="64"/>
      <c r="F35" s="68">
        <v>121.50325718599385</v>
      </c>
      <c r="G35" s="64"/>
      <c r="H35" s="69" t="s">
        <v>9</v>
      </c>
      <c r="I35" s="68">
        <f ca="1">IFERROR((E23*I23*((100+IF(L23="FP",S20,0)+IF(L23="FP",D18*S12,D19*S13)*M23)/100))/(IF(S23=0,AF30,S23))*IF(N23=0,IF(L23="TP",AF18,AF18),N23*IF(L23="FP",M14+1,M14+1)),0)*Q23*R23*S17</f>
        <v>511.8260159713459</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D30/IF(AND(P12=2,NOT(OR(C2="BB",C2="BC"))),MAX(36/30,AF31)+(H18+0.1+MAX((12-(H18+0.1)*30)/30,0)+AF32),AF31)</f>
        <v>600.90515773087031</v>
      </c>
      <c r="E36" s="64"/>
      <c r="F36" s="68">
        <v>136.69116433424307</v>
      </c>
      <c r="G36" s="64"/>
      <c r="H36" s="69" t="s">
        <v>11</v>
      </c>
      <c r="I36" s="68">
        <f ca="1">IFERROR((E23*J23*((100+IF(L23="FP",S20,0)+IF(L23="FP",D18*S12,D19*S13)*M23)/100))/(IF(S23=0,AF30,S23))*IF(N23=0,IF(L23="TP",AF18,AF18),N23*IF(L23="FP",M14+1,M14+1)),0)*Q23*R23*S17</f>
        <v>418.76674034019197</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D31/IF(AND(P12=2,NOT(OR(C2="BB",C2="BC"))),MAX(36/30,AF31)+(H18+0.1+MAX((12-(H18+0.1)*30)/30,0)+AF32),AF31)</f>
        <v>491.64967450707564</v>
      </c>
      <c r="E37" s="64"/>
      <c r="F37" s="68">
        <v>167.06697863074154</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306.10356311305742</v>
      </c>
      <c r="E38" s="64"/>
      <c r="F38" s="68">
        <v>0</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3:P23"/>
    <mergeCell ref="T23:U23"/>
    <mergeCell ref="AD2:AF2"/>
    <mergeCell ref="AG3:AH3"/>
    <mergeCell ref="K11:Y11"/>
    <mergeCell ref="Q12:R12"/>
    <mergeCell ref="Q13:R13"/>
    <mergeCell ref="Q14:R14"/>
    <mergeCell ref="Q15:R15"/>
    <mergeCell ref="Q16:R16"/>
    <mergeCell ref="Q17:R17"/>
    <mergeCell ref="O22:P22"/>
    <mergeCell ref="T22:U22"/>
    <mergeCell ref="O24:P24"/>
    <mergeCell ref="T24:U24"/>
    <mergeCell ref="O25:P25"/>
    <mergeCell ref="T25:U25"/>
    <mergeCell ref="O26:P26"/>
    <mergeCell ref="T26:U26"/>
  </mergeCells>
  <dataValidations count="10">
    <dataValidation type="list" allowBlank="1" showInputMessage="1" showErrorMessage="1" sqref="O23:O26" xr:uid="{353FC9EB-E8D0-43E3-8991-2F26CCE50D83}">
      <formula1>INDIRECT("YNTable[Type]")</formula1>
    </dataValidation>
    <dataValidation type="list" allowBlank="1" showInputMessage="1" showErrorMessage="1" sqref="E3:F3" xr:uid="{3906E8BD-9508-4F86-BAEF-82460A3E9769}">
      <formula1>INDIRECT("AuxType[Type]")</formula1>
    </dataValidation>
    <dataValidation type="list" allowBlank="1" showInputMessage="1" showErrorMessage="1" sqref="G3:I3" xr:uid="{20A163DA-7CBC-454F-8F02-0326D38DC862}">
      <formula1>INDIRECT("EquipType[Type]")</formula1>
    </dataValidation>
    <dataValidation type="list" allowBlank="1" showInputMessage="1" showErrorMessage="1" sqref="I4" xr:uid="{FEF2FCD9-BD27-4BF0-971A-4FE7AD36045B}">
      <formula1>INDIRECT($I$3&amp;"Table[Name]")</formula1>
    </dataValidation>
    <dataValidation type="list" allowBlank="1" showInputMessage="1" showErrorMessage="1" sqref="H4" xr:uid="{89207039-A003-4BED-818A-2BFD71E4D0C9}">
      <formula1>INDIRECT($H$3&amp;"Table[Name]")</formula1>
    </dataValidation>
    <dataValidation type="list" allowBlank="1" showInputMessage="1" showErrorMessage="1" sqref="F4" xr:uid="{F51B56FC-71B9-4DB5-9A35-88A873046790}">
      <formula1>INDIRECT($F$3&amp;"Table[Name]")</formula1>
    </dataValidation>
    <dataValidation type="list" allowBlank="1" showInputMessage="1" showErrorMessage="1" sqref="E4" xr:uid="{845D41E3-2F9F-4C05-9574-AC838603A153}">
      <formula1>INDIRECT($E$3&amp;"Table[Name]")</formula1>
    </dataValidation>
    <dataValidation type="list" allowBlank="1" showInputMessage="1" showErrorMessage="1" sqref="C2" xr:uid="{711C8854-E223-449E-A9B4-308BA29E237B}">
      <formula1>INDIRECT("Stype[Ship]")</formula1>
    </dataValidation>
    <dataValidation type="list" allowBlank="1" showInputMessage="1" showErrorMessage="1" sqref="D2" xr:uid="{676E16D6-992C-4443-8327-4DF76222C416}">
      <formula1>INDIRECT(INDEX(INDIRECT("SType[Type]"), MATCH(C2,INDIRECT("Stype[Ship]"), 0))&amp;"Table[Name]")</formula1>
    </dataValidation>
    <dataValidation type="list" allowBlank="1" showInputMessage="1" showErrorMessage="1" sqref="G4" xr:uid="{C037BE52-789B-4C31-845A-5306695BE09C}">
      <formula1>INDIRECT($G$3&amp;"Table[Name]")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B5BC92C-6593-4A82-B807-8C1D73BF50B2}">
          <x14:formula1>
            <xm:f>'Ship Stats'!$A$928:$A$930</xm:f>
          </x14:formula1>
          <xm:sqref>L23:L26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223" t="s">
        <v>2503</v>
      </c>
      <c r="C2" s="224"/>
      <c r="D2" s="224"/>
      <c r="E2" s="224"/>
      <c r="F2" s="224"/>
      <c r="G2" s="224"/>
      <c r="H2" s="224"/>
      <c r="I2" s="224"/>
      <c r="J2" s="224"/>
      <c r="K2" s="224"/>
      <c r="L2" s="224"/>
      <c r="M2" s="224"/>
      <c r="N2" s="224"/>
      <c r="O2" s="224"/>
      <c r="P2" s="224"/>
      <c r="Q2" s="224"/>
      <c r="R2" s="224"/>
      <c r="S2" s="224"/>
      <c r="T2" s="224"/>
      <c r="U2" s="225"/>
    </row>
    <row r="3" spans="2:21" x14ac:dyDescent="0.3">
      <c r="B3" s="226"/>
      <c r="C3" s="227"/>
      <c r="D3" s="227"/>
      <c r="E3" s="227"/>
      <c r="F3" s="227"/>
      <c r="G3" s="227"/>
      <c r="H3" s="227"/>
      <c r="I3" s="227"/>
      <c r="J3" s="227"/>
      <c r="K3" s="227"/>
      <c r="L3" s="227"/>
      <c r="M3" s="227"/>
      <c r="N3" s="227"/>
      <c r="O3" s="227"/>
      <c r="P3" s="227"/>
      <c r="Q3" s="227"/>
      <c r="R3" s="227"/>
      <c r="S3" s="227"/>
      <c r="T3" s="227"/>
      <c r="U3" s="228"/>
    </row>
    <row r="4" spans="2:21" ht="15" thickBot="1" x14ac:dyDescent="0.35">
      <c r="B4" s="229"/>
      <c r="C4" s="230"/>
      <c r="D4" s="230"/>
      <c r="E4" s="230"/>
      <c r="F4" s="230"/>
      <c r="G4" s="230"/>
      <c r="H4" s="230"/>
      <c r="I4" s="230"/>
      <c r="J4" s="230"/>
      <c r="K4" s="230"/>
      <c r="L4" s="230"/>
      <c r="M4" s="230"/>
      <c r="N4" s="230"/>
      <c r="O4" s="230"/>
      <c r="P4" s="230"/>
      <c r="Q4" s="230"/>
      <c r="R4" s="230"/>
      <c r="S4" s="230"/>
      <c r="T4" s="230"/>
      <c r="U4" s="231"/>
    </row>
    <row r="5" spans="2:21" x14ac:dyDescent="0.3">
      <c r="B5" s="232" t="s">
        <v>1380</v>
      </c>
      <c r="C5" s="233"/>
      <c r="D5" s="233"/>
      <c r="E5" s="233"/>
      <c r="F5" s="233"/>
      <c r="G5" s="233"/>
      <c r="H5" s="233"/>
      <c r="I5" s="233"/>
      <c r="J5" s="233"/>
      <c r="K5" s="233"/>
      <c r="L5" s="233"/>
      <c r="M5" s="233"/>
      <c r="N5" s="233"/>
      <c r="O5" s="233"/>
      <c r="P5" s="233"/>
      <c r="Q5" s="233"/>
      <c r="R5" s="233"/>
      <c r="S5" s="233"/>
      <c r="T5" s="233"/>
      <c r="U5" s="234"/>
    </row>
    <row r="6" spans="2:21" ht="15" thickBot="1" x14ac:dyDescent="0.35">
      <c r="B6" s="235"/>
      <c r="C6" s="236"/>
      <c r="D6" s="236"/>
      <c r="E6" s="236"/>
      <c r="F6" s="236"/>
      <c r="G6" s="236"/>
      <c r="H6" s="236"/>
      <c r="I6" s="236"/>
      <c r="J6" s="236"/>
      <c r="K6" s="236"/>
      <c r="L6" s="236"/>
      <c r="M6" s="236"/>
      <c r="N6" s="236"/>
      <c r="O6" s="236"/>
      <c r="P6" s="236"/>
      <c r="Q6" s="236"/>
      <c r="R6" s="236"/>
      <c r="S6" s="236"/>
      <c r="T6" s="236"/>
      <c r="U6" s="237"/>
    </row>
    <row r="7" spans="2:21" ht="18.600000000000001" customHeight="1" x14ac:dyDescent="0.3">
      <c r="B7" s="194" t="s">
        <v>918</v>
      </c>
      <c r="C7" s="195"/>
      <c r="D7" s="206" t="s">
        <v>919</v>
      </c>
      <c r="E7" s="206"/>
      <c r="F7" s="206"/>
      <c r="G7" s="206"/>
      <c r="H7" s="206"/>
      <c r="I7" s="206"/>
      <c r="J7" s="206"/>
      <c r="K7" s="206"/>
      <c r="L7" s="206"/>
      <c r="M7" s="206"/>
      <c r="N7" s="206"/>
      <c r="O7" s="206"/>
      <c r="P7" s="206"/>
      <c r="Q7" s="206"/>
      <c r="R7" s="206"/>
      <c r="S7" s="206"/>
      <c r="T7" s="206"/>
      <c r="U7" s="207"/>
    </row>
    <row r="8" spans="2:21" x14ac:dyDescent="0.3">
      <c r="B8" s="196"/>
      <c r="C8" s="197"/>
      <c r="D8" s="208"/>
      <c r="E8" s="208"/>
      <c r="F8" s="208"/>
      <c r="G8" s="208"/>
      <c r="H8" s="208"/>
      <c r="I8" s="208"/>
      <c r="J8" s="208"/>
      <c r="K8" s="208"/>
      <c r="L8" s="208"/>
      <c r="M8" s="208"/>
      <c r="N8" s="208"/>
      <c r="O8" s="208"/>
      <c r="P8" s="208"/>
      <c r="Q8" s="208"/>
      <c r="R8" s="208"/>
      <c r="S8" s="208"/>
      <c r="T8" s="208"/>
      <c r="U8" s="209"/>
    </row>
    <row r="9" spans="2:21" ht="15" thickBot="1" x14ac:dyDescent="0.35">
      <c r="B9" s="198"/>
      <c r="C9" s="199"/>
      <c r="D9" s="210"/>
      <c r="E9" s="210"/>
      <c r="F9" s="210"/>
      <c r="G9" s="210"/>
      <c r="H9" s="210"/>
      <c r="I9" s="210"/>
      <c r="J9" s="210"/>
      <c r="K9" s="210"/>
      <c r="L9" s="210"/>
      <c r="M9" s="210"/>
      <c r="N9" s="210"/>
      <c r="O9" s="210"/>
      <c r="P9" s="210"/>
      <c r="Q9" s="210"/>
      <c r="R9" s="210"/>
      <c r="S9" s="210"/>
      <c r="T9" s="210"/>
      <c r="U9" s="211"/>
    </row>
    <row r="10" spans="2:21" ht="14.4" customHeight="1" x14ac:dyDescent="0.3">
      <c r="B10" s="194" t="s">
        <v>920</v>
      </c>
      <c r="C10" s="220"/>
      <c r="D10" s="238" t="s">
        <v>921</v>
      </c>
      <c r="E10" s="206"/>
      <c r="F10" s="206"/>
      <c r="G10" s="206"/>
      <c r="H10" s="206"/>
      <c r="I10" s="206"/>
      <c r="J10" s="206"/>
      <c r="K10" s="206"/>
      <c r="L10" s="206"/>
      <c r="M10" s="206"/>
      <c r="N10" s="206"/>
      <c r="O10" s="206"/>
      <c r="P10" s="206"/>
      <c r="Q10" s="206"/>
      <c r="R10" s="206"/>
      <c r="S10" s="206"/>
      <c r="T10" s="206"/>
      <c r="U10" s="207"/>
    </row>
    <row r="11" spans="2:21" ht="14.4" customHeight="1" x14ac:dyDescent="0.3">
      <c r="B11" s="196"/>
      <c r="C11" s="221"/>
      <c r="D11" s="239"/>
      <c r="E11" s="208"/>
      <c r="F11" s="208"/>
      <c r="G11" s="208"/>
      <c r="H11" s="208"/>
      <c r="I11" s="208"/>
      <c r="J11" s="208"/>
      <c r="K11" s="208"/>
      <c r="L11" s="208"/>
      <c r="M11" s="208"/>
      <c r="N11" s="208"/>
      <c r="O11" s="208"/>
      <c r="P11" s="208"/>
      <c r="Q11" s="208"/>
      <c r="R11" s="208"/>
      <c r="S11" s="208"/>
      <c r="T11" s="208"/>
      <c r="U11" s="209"/>
    </row>
    <row r="12" spans="2:21" ht="14.4" customHeight="1" x14ac:dyDescent="0.3">
      <c r="B12" s="196"/>
      <c r="C12" s="221"/>
      <c r="D12" s="239"/>
      <c r="E12" s="208"/>
      <c r="F12" s="208"/>
      <c r="G12" s="208"/>
      <c r="H12" s="208"/>
      <c r="I12" s="208"/>
      <c r="J12" s="208"/>
      <c r="K12" s="208"/>
      <c r="L12" s="208"/>
      <c r="M12" s="208"/>
      <c r="N12" s="208"/>
      <c r="O12" s="208"/>
      <c r="P12" s="208"/>
      <c r="Q12" s="208"/>
      <c r="R12" s="208"/>
      <c r="S12" s="208"/>
      <c r="T12" s="208"/>
      <c r="U12" s="209"/>
    </row>
    <row r="13" spans="2:21" ht="15" customHeight="1" thickBot="1" x14ac:dyDescent="0.35">
      <c r="B13" s="198"/>
      <c r="C13" s="222"/>
      <c r="D13" s="240"/>
      <c r="E13" s="210"/>
      <c r="F13" s="210"/>
      <c r="G13" s="210"/>
      <c r="H13" s="210"/>
      <c r="I13" s="210"/>
      <c r="J13" s="210"/>
      <c r="K13" s="210"/>
      <c r="L13" s="210"/>
      <c r="M13" s="210"/>
      <c r="N13" s="210"/>
      <c r="O13" s="210"/>
      <c r="P13" s="210"/>
      <c r="Q13" s="210"/>
      <c r="R13" s="210"/>
      <c r="S13" s="210"/>
      <c r="T13" s="210"/>
      <c r="U13" s="211"/>
    </row>
    <row r="14" spans="2:21" ht="14.4" customHeight="1" x14ac:dyDescent="0.3">
      <c r="B14" s="194" t="s">
        <v>922</v>
      </c>
      <c r="C14" s="195"/>
      <c r="D14" s="206" t="s">
        <v>923</v>
      </c>
      <c r="E14" s="206"/>
      <c r="F14" s="206"/>
      <c r="G14" s="206"/>
      <c r="H14" s="206"/>
      <c r="I14" s="206"/>
      <c r="J14" s="206"/>
      <c r="K14" s="206"/>
      <c r="L14" s="206"/>
      <c r="M14" s="206"/>
      <c r="N14" s="206"/>
      <c r="O14" s="206"/>
      <c r="P14" s="206"/>
      <c r="Q14" s="206"/>
      <c r="R14" s="206"/>
      <c r="S14" s="206"/>
      <c r="T14" s="206"/>
      <c r="U14" s="207"/>
    </row>
    <row r="15" spans="2:21" ht="14.4" customHeight="1" x14ac:dyDescent="0.3">
      <c r="B15" s="196"/>
      <c r="C15" s="197"/>
      <c r="D15" s="208"/>
      <c r="E15" s="208"/>
      <c r="F15" s="208"/>
      <c r="G15" s="208"/>
      <c r="H15" s="208"/>
      <c r="I15" s="208"/>
      <c r="J15" s="208"/>
      <c r="K15" s="208"/>
      <c r="L15" s="208"/>
      <c r="M15" s="208"/>
      <c r="N15" s="208"/>
      <c r="O15" s="208"/>
      <c r="P15" s="208"/>
      <c r="Q15" s="208"/>
      <c r="R15" s="208"/>
      <c r="S15" s="208"/>
      <c r="T15" s="208"/>
      <c r="U15" s="209"/>
    </row>
    <row r="16" spans="2:21" ht="15" customHeight="1" x14ac:dyDescent="0.3">
      <c r="B16" s="196"/>
      <c r="C16" s="197"/>
      <c r="D16" s="208"/>
      <c r="E16" s="208"/>
      <c r="F16" s="208"/>
      <c r="G16" s="208"/>
      <c r="H16" s="208"/>
      <c r="I16" s="208"/>
      <c r="J16" s="208"/>
      <c r="K16" s="208"/>
      <c r="L16" s="208"/>
      <c r="M16" s="208"/>
      <c r="N16" s="208"/>
      <c r="O16" s="208"/>
      <c r="P16" s="208"/>
      <c r="Q16" s="208"/>
      <c r="R16" s="208"/>
      <c r="S16" s="208"/>
      <c r="T16" s="208"/>
      <c r="U16" s="209"/>
    </row>
    <row r="17" spans="2:21" ht="15" customHeight="1" thickBot="1" x14ac:dyDescent="0.35">
      <c r="B17" s="198"/>
      <c r="C17" s="199"/>
      <c r="D17" s="210"/>
      <c r="E17" s="210"/>
      <c r="F17" s="210"/>
      <c r="G17" s="210"/>
      <c r="H17" s="210"/>
      <c r="I17" s="210"/>
      <c r="J17" s="210"/>
      <c r="K17" s="210"/>
      <c r="L17" s="210"/>
      <c r="M17" s="210"/>
      <c r="N17" s="210"/>
      <c r="O17" s="210"/>
      <c r="P17" s="210"/>
      <c r="Q17" s="210"/>
      <c r="R17" s="210"/>
      <c r="S17" s="210"/>
      <c r="T17" s="210"/>
      <c r="U17" s="211"/>
    </row>
    <row r="18" spans="2:21" x14ac:dyDescent="0.3">
      <c r="B18" s="194" t="s">
        <v>924</v>
      </c>
      <c r="C18" s="195"/>
      <c r="D18" s="218" t="s">
        <v>925</v>
      </c>
      <c r="E18" s="218"/>
      <c r="F18" s="218"/>
      <c r="G18" s="218"/>
      <c r="H18" s="218"/>
      <c r="I18" s="218"/>
      <c r="J18" s="218"/>
      <c r="K18" s="218"/>
      <c r="L18" s="218"/>
      <c r="M18" s="218"/>
      <c r="N18" s="218"/>
      <c r="O18" s="218"/>
      <c r="P18" s="218"/>
      <c r="Q18" s="218"/>
      <c r="R18" s="218"/>
      <c r="S18" s="218"/>
      <c r="T18" s="218"/>
      <c r="U18" s="219"/>
    </row>
    <row r="19" spans="2:21" ht="14.4" customHeight="1" x14ac:dyDescent="0.3">
      <c r="B19" s="196"/>
      <c r="C19" s="197"/>
      <c r="D19" s="202"/>
      <c r="E19" s="202"/>
      <c r="F19" s="202"/>
      <c r="G19" s="202"/>
      <c r="H19" s="202"/>
      <c r="I19" s="202"/>
      <c r="J19" s="202"/>
      <c r="K19" s="202"/>
      <c r="L19" s="202"/>
      <c r="M19" s="202"/>
      <c r="N19" s="202"/>
      <c r="O19" s="202"/>
      <c r="P19" s="202"/>
      <c r="Q19" s="202"/>
      <c r="R19" s="202"/>
      <c r="S19" s="202"/>
      <c r="T19" s="202"/>
      <c r="U19" s="203"/>
    </row>
    <row r="20" spans="2:21" ht="14.4" customHeight="1" x14ac:dyDescent="0.3">
      <c r="B20" s="196"/>
      <c r="C20" s="197"/>
      <c r="D20" s="202"/>
      <c r="E20" s="202"/>
      <c r="F20" s="202"/>
      <c r="G20" s="202"/>
      <c r="H20" s="202"/>
      <c r="I20" s="202"/>
      <c r="J20" s="202"/>
      <c r="K20" s="202"/>
      <c r="L20" s="202"/>
      <c r="M20" s="202"/>
      <c r="N20" s="202"/>
      <c r="O20" s="202"/>
      <c r="P20" s="202"/>
      <c r="Q20" s="202"/>
      <c r="R20" s="202"/>
      <c r="S20" s="202"/>
      <c r="T20" s="202"/>
      <c r="U20" s="203"/>
    </row>
    <row r="21" spans="2:21" ht="14.4" customHeight="1" thickBot="1" x14ac:dyDescent="0.35">
      <c r="B21" s="198"/>
      <c r="C21" s="199"/>
      <c r="D21" s="202"/>
      <c r="E21" s="202"/>
      <c r="F21" s="202"/>
      <c r="G21" s="202"/>
      <c r="H21" s="202"/>
      <c r="I21" s="202"/>
      <c r="J21" s="202"/>
      <c r="K21" s="202"/>
      <c r="L21" s="202"/>
      <c r="M21" s="202"/>
      <c r="N21" s="202"/>
      <c r="O21" s="202"/>
      <c r="P21" s="202"/>
      <c r="Q21" s="202"/>
      <c r="R21" s="202"/>
      <c r="S21" s="202"/>
      <c r="T21" s="202"/>
      <c r="U21" s="203"/>
    </row>
    <row r="22" spans="2:21" ht="15" customHeight="1" x14ac:dyDescent="0.3">
      <c r="B22" s="194" t="s">
        <v>924</v>
      </c>
      <c r="C22" s="195"/>
      <c r="D22" s="200" t="s">
        <v>1370</v>
      </c>
      <c r="E22" s="200"/>
      <c r="F22" s="200"/>
      <c r="G22" s="200"/>
      <c r="H22" s="200"/>
      <c r="I22" s="200"/>
      <c r="J22" s="200"/>
      <c r="K22" s="200"/>
      <c r="L22" s="200"/>
      <c r="M22" s="200"/>
      <c r="N22" s="200"/>
      <c r="O22" s="200"/>
      <c r="P22" s="200"/>
      <c r="Q22" s="200"/>
      <c r="R22" s="200"/>
      <c r="S22" s="200"/>
      <c r="T22" s="200"/>
      <c r="U22" s="201"/>
    </row>
    <row r="23" spans="2:21" ht="15" customHeight="1" x14ac:dyDescent="0.3">
      <c r="B23" s="196"/>
      <c r="C23" s="197"/>
      <c r="D23" s="202"/>
      <c r="E23" s="202"/>
      <c r="F23" s="202"/>
      <c r="G23" s="202"/>
      <c r="H23" s="202"/>
      <c r="I23" s="202"/>
      <c r="J23" s="202"/>
      <c r="K23" s="202"/>
      <c r="L23" s="202"/>
      <c r="M23" s="202"/>
      <c r="N23" s="202"/>
      <c r="O23" s="202"/>
      <c r="P23" s="202"/>
      <c r="Q23" s="202"/>
      <c r="R23" s="202"/>
      <c r="S23" s="202"/>
      <c r="T23" s="202"/>
      <c r="U23" s="203"/>
    </row>
    <row r="24" spans="2:21" ht="14.4" customHeight="1" x14ac:dyDescent="0.3">
      <c r="B24" s="196"/>
      <c r="C24" s="197"/>
      <c r="D24" s="202"/>
      <c r="E24" s="202"/>
      <c r="F24" s="202"/>
      <c r="G24" s="202"/>
      <c r="H24" s="202"/>
      <c r="I24" s="202"/>
      <c r="J24" s="202"/>
      <c r="K24" s="202"/>
      <c r="L24" s="202"/>
      <c r="M24" s="202"/>
      <c r="N24" s="202"/>
      <c r="O24" s="202"/>
      <c r="P24" s="202"/>
      <c r="Q24" s="202"/>
      <c r="R24" s="202"/>
      <c r="S24" s="202"/>
      <c r="T24" s="202"/>
      <c r="U24" s="203"/>
    </row>
    <row r="25" spans="2:21" ht="15" customHeight="1" thickBot="1" x14ac:dyDescent="0.35">
      <c r="B25" s="198"/>
      <c r="C25" s="199"/>
      <c r="D25" s="204"/>
      <c r="E25" s="204"/>
      <c r="F25" s="204"/>
      <c r="G25" s="204"/>
      <c r="H25" s="204"/>
      <c r="I25" s="204"/>
      <c r="J25" s="204"/>
      <c r="K25" s="204"/>
      <c r="L25" s="204"/>
      <c r="M25" s="204"/>
      <c r="N25" s="204"/>
      <c r="O25" s="204"/>
      <c r="P25" s="204"/>
      <c r="Q25" s="204"/>
      <c r="R25" s="204"/>
      <c r="S25" s="204"/>
      <c r="T25" s="204"/>
      <c r="U25" s="205"/>
    </row>
    <row r="26" spans="2:21" ht="15" customHeight="1" x14ac:dyDescent="0.3">
      <c r="B26" s="194" t="s">
        <v>924</v>
      </c>
      <c r="C26" s="195"/>
      <c r="D26" s="200" t="s">
        <v>1454</v>
      </c>
      <c r="E26" s="200"/>
      <c r="F26" s="200"/>
      <c r="G26" s="200"/>
      <c r="H26" s="200"/>
      <c r="I26" s="200"/>
      <c r="J26" s="200"/>
      <c r="K26" s="200"/>
      <c r="L26" s="200"/>
      <c r="M26" s="200"/>
      <c r="N26" s="200"/>
      <c r="O26" s="200"/>
      <c r="P26" s="200"/>
      <c r="Q26" s="200"/>
      <c r="R26" s="200"/>
      <c r="S26" s="200"/>
      <c r="T26" s="200"/>
      <c r="U26" s="201"/>
    </row>
    <row r="27" spans="2:21" ht="15" customHeight="1" x14ac:dyDescent="0.3">
      <c r="B27" s="196"/>
      <c r="C27" s="197"/>
      <c r="D27" s="202"/>
      <c r="E27" s="202"/>
      <c r="F27" s="202"/>
      <c r="G27" s="202"/>
      <c r="H27" s="202"/>
      <c r="I27" s="202"/>
      <c r="J27" s="202"/>
      <c r="K27" s="202"/>
      <c r="L27" s="202"/>
      <c r="M27" s="202"/>
      <c r="N27" s="202"/>
      <c r="O27" s="202"/>
      <c r="P27" s="202"/>
      <c r="Q27" s="202"/>
      <c r="R27" s="202"/>
      <c r="S27" s="202"/>
      <c r="T27" s="202"/>
      <c r="U27" s="203"/>
    </row>
    <row r="28" spans="2:21" ht="14.4" customHeight="1" x14ac:dyDescent="0.3">
      <c r="B28" s="196"/>
      <c r="C28" s="197"/>
      <c r="D28" s="202"/>
      <c r="E28" s="202"/>
      <c r="F28" s="202"/>
      <c r="G28" s="202"/>
      <c r="H28" s="202"/>
      <c r="I28" s="202"/>
      <c r="J28" s="202"/>
      <c r="K28" s="202"/>
      <c r="L28" s="202"/>
      <c r="M28" s="202"/>
      <c r="N28" s="202"/>
      <c r="O28" s="202"/>
      <c r="P28" s="202"/>
      <c r="Q28" s="202"/>
      <c r="R28" s="202"/>
      <c r="S28" s="202"/>
      <c r="T28" s="202"/>
      <c r="U28" s="203"/>
    </row>
    <row r="29" spans="2:21" ht="15" customHeight="1" thickBot="1" x14ac:dyDescent="0.35">
      <c r="B29" s="198"/>
      <c r="C29" s="199"/>
      <c r="D29" s="204"/>
      <c r="E29" s="204"/>
      <c r="F29" s="204"/>
      <c r="G29" s="204"/>
      <c r="H29" s="204"/>
      <c r="I29" s="204"/>
      <c r="J29" s="204"/>
      <c r="K29" s="204"/>
      <c r="L29" s="204"/>
      <c r="M29" s="204"/>
      <c r="N29" s="204"/>
      <c r="O29" s="204"/>
      <c r="P29" s="204"/>
      <c r="Q29" s="204"/>
      <c r="R29" s="204"/>
      <c r="S29" s="204"/>
      <c r="T29" s="204"/>
      <c r="U29" s="205"/>
    </row>
    <row r="30" spans="2:21" ht="15" customHeight="1" x14ac:dyDescent="0.3">
      <c r="B30" s="194" t="s">
        <v>926</v>
      </c>
      <c r="C30" s="195"/>
      <c r="D30" s="212" t="s">
        <v>1371</v>
      </c>
      <c r="E30" s="212"/>
      <c r="F30" s="212"/>
      <c r="G30" s="212"/>
      <c r="H30" s="212"/>
      <c r="I30" s="212"/>
      <c r="J30" s="212"/>
      <c r="K30" s="212"/>
      <c r="L30" s="212"/>
      <c r="M30" s="212"/>
      <c r="N30" s="212"/>
      <c r="O30" s="212"/>
      <c r="P30" s="212"/>
      <c r="Q30" s="212"/>
      <c r="R30" s="212"/>
      <c r="S30" s="212"/>
      <c r="T30" s="212"/>
      <c r="U30" s="213"/>
    </row>
    <row r="31" spans="2:21" ht="14.4" customHeight="1" x14ac:dyDescent="0.3">
      <c r="B31" s="196"/>
      <c r="C31" s="197"/>
      <c r="D31" s="214"/>
      <c r="E31" s="214"/>
      <c r="F31" s="214"/>
      <c r="G31" s="214"/>
      <c r="H31" s="214"/>
      <c r="I31" s="214"/>
      <c r="J31" s="214"/>
      <c r="K31" s="214"/>
      <c r="L31" s="214"/>
      <c r="M31" s="214"/>
      <c r="N31" s="214"/>
      <c r="O31" s="214"/>
      <c r="P31" s="214"/>
      <c r="Q31" s="214"/>
      <c r="R31" s="214"/>
      <c r="S31" s="214"/>
      <c r="T31" s="214"/>
      <c r="U31" s="215"/>
    </row>
    <row r="32" spans="2:21" ht="14.4" customHeight="1" x14ac:dyDescent="0.3">
      <c r="B32" s="196"/>
      <c r="C32" s="197"/>
      <c r="D32" s="214"/>
      <c r="E32" s="214"/>
      <c r="F32" s="214"/>
      <c r="G32" s="214"/>
      <c r="H32" s="214"/>
      <c r="I32" s="214"/>
      <c r="J32" s="214"/>
      <c r="K32" s="214"/>
      <c r="L32" s="214"/>
      <c r="M32" s="214"/>
      <c r="N32" s="214"/>
      <c r="O32" s="214"/>
      <c r="P32" s="214"/>
      <c r="Q32" s="214"/>
      <c r="R32" s="214"/>
      <c r="S32" s="214"/>
      <c r="T32" s="214"/>
      <c r="U32" s="215"/>
    </row>
    <row r="33" spans="2:21" ht="14.4" customHeight="1" thickBot="1" x14ac:dyDescent="0.35">
      <c r="B33" s="198"/>
      <c r="C33" s="199"/>
      <c r="D33" s="216"/>
      <c r="E33" s="216"/>
      <c r="F33" s="216"/>
      <c r="G33" s="216"/>
      <c r="H33" s="216"/>
      <c r="I33" s="216"/>
      <c r="J33" s="216"/>
      <c r="K33" s="216"/>
      <c r="L33" s="216"/>
      <c r="M33" s="216"/>
      <c r="N33" s="216"/>
      <c r="O33" s="216"/>
      <c r="P33" s="216"/>
      <c r="Q33" s="216"/>
      <c r="R33" s="216"/>
      <c r="S33" s="216"/>
      <c r="T33" s="216"/>
      <c r="U33" s="217"/>
    </row>
    <row r="34" spans="2:21" ht="15" customHeight="1" x14ac:dyDescent="0.3">
      <c r="B34" s="194" t="s">
        <v>926</v>
      </c>
      <c r="C34" s="195"/>
      <c r="D34" s="206" t="s">
        <v>1372</v>
      </c>
      <c r="E34" s="212"/>
      <c r="F34" s="212"/>
      <c r="G34" s="212"/>
      <c r="H34" s="212"/>
      <c r="I34" s="212"/>
      <c r="J34" s="212"/>
      <c r="K34" s="212"/>
      <c r="L34" s="212"/>
      <c r="M34" s="212"/>
      <c r="N34" s="212"/>
      <c r="O34" s="212"/>
      <c r="P34" s="212"/>
      <c r="Q34" s="212"/>
      <c r="R34" s="212"/>
      <c r="S34" s="212"/>
      <c r="T34" s="212"/>
      <c r="U34" s="213"/>
    </row>
    <row r="35" spans="2:21" x14ac:dyDescent="0.3">
      <c r="B35" s="196"/>
      <c r="C35" s="197"/>
      <c r="D35" s="214"/>
      <c r="E35" s="214"/>
      <c r="F35" s="214"/>
      <c r="G35" s="214"/>
      <c r="H35" s="214"/>
      <c r="I35" s="214"/>
      <c r="J35" s="214"/>
      <c r="K35" s="214"/>
      <c r="L35" s="214"/>
      <c r="M35" s="214"/>
      <c r="N35" s="214"/>
      <c r="O35" s="214"/>
      <c r="P35" s="214"/>
      <c r="Q35" s="214"/>
      <c r="R35" s="214"/>
      <c r="S35" s="214"/>
      <c r="T35" s="214"/>
      <c r="U35" s="215"/>
    </row>
    <row r="36" spans="2:21" x14ac:dyDescent="0.3">
      <c r="B36" s="196"/>
      <c r="C36" s="197"/>
      <c r="D36" s="214"/>
      <c r="E36" s="214"/>
      <c r="F36" s="214"/>
      <c r="G36" s="214"/>
      <c r="H36" s="214"/>
      <c r="I36" s="214"/>
      <c r="J36" s="214"/>
      <c r="K36" s="214"/>
      <c r="L36" s="214"/>
      <c r="M36" s="214"/>
      <c r="N36" s="214"/>
      <c r="O36" s="214"/>
      <c r="P36" s="214"/>
      <c r="Q36" s="214"/>
      <c r="R36" s="214"/>
      <c r="S36" s="214"/>
      <c r="T36" s="214"/>
      <c r="U36" s="215"/>
    </row>
    <row r="37" spans="2:21" ht="15" thickBot="1" x14ac:dyDescent="0.35">
      <c r="B37" s="198"/>
      <c r="C37" s="199"/>
      <c r="D37" s="216"/>
      <c r="E37" s="216"/>
      <c r="F37" s="216"/>
      <c r="G37" s="216"/>
      <c r="H37" s="216"/>
      <c r="I37" s="216"/>
      <c r="J37" s="216"/>
      <c r="K37" s="216"/>
      <c r="L37" s="216"/>
      <c r="M37" s="216"/>
      <c r="N37" s="216"/>
      <c r="O37" s="216"/>
      <c r="P37" s="216"/>
      <c r="Q37" s="216"/>
      <c r="R37" s="216"/>
      <c r="S37" s="216"/>
      <c r="T37" s="216"/>
      <c r="U37" s="217"/>
    </row>
    <row r="38" spans="2:21" x14ac:dyDescent="0.3">
      <c r="B38" s="194" t="s">
        <v>927</v>
      </c>
      <c r="C38" s="195"/>
      <c r="D38" s="206" t="s">
        <v>1373</v>
      </c>
      <c r="E38" s="206"/>
      <c r="F38" s="206"/>
      <c r="G38" s="206"/>
      <c r="H38" s="206"/>
      <c r="I38" s="206"/>
      <c r="J38" s="206"/>
      <c r="K38" s="206"/>
      <c r="L38" s="206"/>
      <c r="M38" s="206"/>
      <c r="N38" s="206"/>
      <c r="O38" s="206"/>
      <c r="P38" s="206"/>
      <c r="Q38" s="206"/>
      <c r="R38" s="206"/>
      <c r="S38" s="206"/>
      <c r="T38" s="206"/>
      <c r="U38" s="207"/>
    </row>
    <row r="39" spans="2:21" x14ac:dyDescent="0.3">
      <c r="B39" s="196"/>
      <c r="C39" s="197"/>
      <c r="D39" s="208"/>
      <c r="E39" s="208"/>
      <c r="F39" s="208"/>
      <c r="G39" s="208"/>
      <c r="H39" s="208"/>
      <c r="I39" s="208"/>
      <c r="J39" s="208"/>
      <c r="K39" s="208"/>
      <c r="L39" s="208"/>
      <c r="M39" s="208"/>
      <c r="N39" s="208"/>
      <c r="O39" s="208"/>
      <c r="P39" s="208"/>
      <c r="Q39" s="208"/>
      <c r="R39" s="208"/>
      <c r="S39" s="208"/>
      <c r="T39" s="208"/>
      <c r="U39" s="209"/>
    </row>
    <row r="40" spans="2:21" x14ac:dyDescent="0.3">
      <c r="B40" s="196"/>
      <c r="C40" s="197"/>
      <c r="D40" s="208"/>
      <c r="E40" s="208"/>
      <c r="F40" s="208"/>
      <c r="G40" s="208"/>
      <c r="H40" s="208"/>
      <c r="I40" s="208"/>
      <c r="J40" s="208"/>
      <c r="K40" s="208"/>
      <c r="L40" s="208"/>
      <c r="M40" s="208"/>
      <c r="N40" s="208"/>
      <c r="O40" s="208"/>
      <c r="P40" s="208"/>
      <c r="Q40" s="208"/>
      <c r="R40" s="208"/>
      <c r="S40" s="208"/>
      <c r="T40" s="208"/>
      <c r="U40" s="209"/>
    </row>
    <row r="41" spans="2:21" ht="15" thickBot="1" x14ac:dyDescent="0.35">
      <c r="B41" s="198"/>
      <c r="C41" s="199"/>
      <c r="D41" s="210"/>
      <c r="E41" s="210"/>
      <c r="F41" s="210"/>
      <c r="G41" s="210"/>
      <c r="H41" s="210"/>
      <c r="I41" s="210"/>
      <c r="J41" s="210"/>
      <c r="K41" s="210"/>
      <c r="L41" s="210"/>
      <c r="M41" s="210"/>
      <c r="N41" s="210"/>
      <c r="O41" s="210"/>
      <c r="P41" s="210"/>
      <c r="Q41" s="210"/>
      <c r="R41" s="210"/>
      <c r="S41" s="210"/>
      <c r="T41" s="210"/>
      <c r="U41" s="211"/>
    </row>
    <row r="42" spans="2:21" x14ac:dyDescent="0.3">
      <c r="B42" s="194" t="s">
        <v>927</v>
      </c>
      <c r="C42" s="195"/>
      <c r="D42" s="206" t="s">
        <v>1389</v>
      </c>
      <c r="E42" s="206"/>
      <c r="F42" s="206"/>
      <c r="G42" s="206"/>
      <c r="H42" s="206"/>
      <c r="I42" s="206"/>
      <c r="J42" s="206"/>
      <c r="K42" s="206"/>
      <c r="L42" s="206"/>
      <c r="M42" s="206"/>
      <c r="N42" s="206"/>
      <c r="O42" s="206"/>
      <c r="P42" s="206"/>
      <c r="Q42" s="206"/>
      <c r="R42" s="206"/>
      <c r="S42" s="206"/>
      <c r="T42" s="206"/>
      <c r="U42" s="207"/>
    </row>
    <row r="43" spans="2:21" x14ac:dyDescent="0.3">
      <c r="B43" s="196"/>
      <c r="C43" s="197"/>
      <c r="D43" s="208"/>
      <c r="E43" s="208"/>
      <c r="F43" s="208"/>
      <c r="G43" s="208"/>
      <c r="H43" s="208"/>
      <c r="I43" s="208"/>
      <c r="J43" s="208"/>
      <c r="K43" s="208"/>
      <c r="L43" s="208"/>
      <c r="M43" s="208"/>
      <c r="N43" s="208"/>
      <c r="O43" s="208"/>
      <c r="P43" s="208"/>
      <c r="Q43" s="208"/>
      <c r="R43" s="208"/>
      <c r="S43" s="208"/>
      <c r="T43" s="208"/>
      <c r="U43" s="209"/>
    </row>
    <row r="44" spans="2:21" x14ac:dyDescent="0.3">
      <c r="B44" s="196"/>
      <c r="C44" s="197"/>
      <c r="D44" s="208"/>
      <c r="E44" s="208"/>
      <c r="F44" s="208"/>
      <c r="G44" s="208"/>
      <c r="H44" s="208"/>
      <c r="I44" s="208"/>
      <c r="J44" s="208"/>
      <c r="K44" s="208"/>
      <c r="L44" s="208"/>
      <c r="M44" s="208"/>
      <c r="N44" s="208"/>
      <c r="O44" s="208"/>
      <c r="P44" s="208"/>
      <c r="Q44" s="208"/>
      <c r="R44" s="208"/>
      <c r="S44" s="208"/>
      <c r="T44" s="208"/>
      <c r="U44" s="209"/>
    </row>
    <row r="45" spans="2:21" ht="15" thickBot="1" x14ac:dyDescent="0.35">
      <c r="B45" s="198"/>
      <c r="C45" s="199"/>
      <c r="D45" s="210"/>
      <c r="E45" s="210"/>
      <c r="F45" s="210"/>
      <c r="G45" s="210"/>
      <c r="H45" s="210"/>
      <c r="I45" s="210"/>
      <c r="J45" s="210"/>
      <c r="K45" s="210"/>
      <c r="L45" s="210"/>
      <c r="M45" s="210"/>
      <c r="N45" s="210"/>
      <c r="O45" s="210"/>
      <c r="P45" s="210"/>
      <c r="Q45" s="210"/>
      <c r="R45" s="210"/>
      <c r="S45" s="210"/>
      <c r="T45" s="210"/>
      <c r="U45" s="211"/>
    </row>
    <row r="46" spans="2:21" x14ac:dyDescent="0.3">
      <c r="B46" s="194" t="s">
        <v>927</v>
      </c>
      <c r="C46" s="195"/>
      <c r="D46" s="206" t="s">
        <v>1374</v>
      </c>
      <c r="E46" s="206"/>
      <c r="F46" s="206"/>
      <c r="G46" s="206"/>
      <c r="H46" s="206"/>
      <c r="I46" s="206"/>
      <c r="J46" s="206"/>
      <c r="K46" s="206"/>
      <c r="L46" s="206"/>
      <c r="M46" s="206"/>
      <c r="N46" s="206"/>
      <c r="O46" s="206"/>
      <c r="P46" s="206"/>
      <c r="Q46" s="206"/>
      <c r="R46" s="206"/>
      <c r="S46" s="206"/>
      <c r="T46" s="206"/>
      <c r="U46" s="207"/>
    </row>
    <row r="47" spans="2:21" x14ac:dyDescent="0.3">
      <c r="B47" s="196"/>
      <c r="C47" s="197"/>
      <c r="D47" s="208"/>
      <c r="E47" s="208"/>
      <c r="F47" s="208"/>
      <c r="G47" s="208"/>
      <c r="H47" s="208"/>
      <c r="I47" s="208"/>
      <c r="J47" s="208"/>
      <c r="K47" s="208"/>
      <c r="L47" s="208"/>
      <c r="M47" s="208"/>
      <c r="N47" s="208"/>
      <c r="O47" s="208"/>
      <c r="P47" s="208"/>
      <c r="Q47" s="208"/>
      <c r="R47" s="208"/>
      <c r="S47" s="208"/>
      <c r="T47" s="208"/>
      <c r="U47" s="209"/>
    </row>
    <row r="48" spans="2:21" x14ac:dyDescent="0.3">
      <c r="B48" s="196"/>
      <c r="C48" s="197"/>
      <c r="D48" s="208"/>
      <c r="E48" s="208"/>
      <c r="F48" s="208"/>
      <c r="G48" s="208"/>
      <c r="H48" s="208"/>
      <c r="I48" s="208"/>
      <c r="J48" s="208"/>
      <c r="K48" s="208"/>
      <c r="L48" s="208"/>
      <c r="M48" s="208"/>
      <c r="N48" s="208"/>
      <c r="O48" s="208"/>
      <c r="P48" s="208"/>
      <c r="Q48" s="208"/>
      <c r="R48" s="208"/>
      <c r="S48" s="208"/>
      <c r="T48" s="208"/>
      <c r="U48" s="209"/>
    </row>
    <row r="49" spans="2:21" ht="15" thickBot="1" x14ac:dyDescent="0.35">
      <c r="B49" s="198"/>
      <c r="C49" s="199"/>
      <c r="D49" s="210"/>
      <c r="E49" s="210"/>
      <c r="F49" s="210"/>
      <c r="G49" s="210"/>
      <c r="H49" s="210"/>
      <c r="I49" s="210"/>
      <c r="J49" s="210"/>
      <c r="K49" s="210"/>
      <c r="L49" s="210"/>
      <c r="M49" s="210"/>
      <c r="N49" s="210"/>
      <c r="O49" s="210"/>
      <c r="P49" s="210"/>
      <c r="Q49" s="210"/>
      <c r="R49" s="210"/>
      <c r="S49" s="210"/>
      <c r="T49" s="210"/>
      <c r="U49" s="211"/>
    </row>
    <row r="50" spans="2:21" ht="14.4" customHeight="1" x14ac:dyDescent="0.3">
      <c r="B50" s="194" t="s">
        <v>927</v>
      </c>
      <c r="C50" s="195"/>
      <c r="D50" s="206" t="s">
        <v>1382</v>
      </c>
      <c r="E50" s="206"/>
      <c r="F50" s="206"/>
      <c r="G50" s="206"/>
      <c r="H50" s="206"/>
      <c r="I50" s="206"/>
      <c r="J50" s="206"/>
      <c r="K50" s="206"/>
      <c r="L50" s="206"/>
      <c r="M50" s="206"/>
      <c r="N50" s="206"/>
      <c r="O50" s="206"/>
      <c r="P50" s="206"/>
      <c r="Q50" s="206"/>
      <c r="R50" s="206"/>
      <c r="S50" s="206"/>
      <c r="T50" s="206"/>
      <c r="U50" s="207"/>
    </row>
    <row r="51" spans="2:21" ht="14.4" customHeight="1" x14ac:dyDescent="0.3">
      <c r="B51" s="196"/>
      <c r="C51" s="197"/>
      <c r="D51" s="208"/>
      <c r="E51" s="208"/>
      <c r="F51" s="208"/>
      <c r="G51" s="208"/>
      <c r="H51" s="208"/>
      <c r="I51" s="208"/>
      <c r="J51" s="208"/>
      <c r="K51" s="208"/>
      <c r="L51" s="208"/>
      <c r="M51" s="208"/>
      <c r="N51" s="208"/>
      <c r="O51" s="208"/>
      <c r="P51" s="208"/>
      <c r="Q51" s="208"/>
      <c r="R51" s="208"/>
      <c r="S51" s="208"/>
      <c r="T51" s="208"/>
      <c r="U51" s="209"/>
    </row>
    <row r="52" spans="2:21" ht="14.4" customHeight="1" x14ac:dyDescent="0.3">
      <c r="B52" s="196"/>
      <c r="C52" s="197"/>
      <c r="D52" s="208"/>
      <c r="E52" s="208"/>
      <c r="F52" s="208"/>
      <c r="G52" s="208"/>
      <c r="H52" s="208"/>
      <c r="I52" s="208"/>
      <c r="J52" s="208"/>
      <c r="K52" s="208"/>
      <c r="L52" s="208"/>
      <c r="M52" s="208"/>
      <c r="N52" s="208"/>
      <c r="O52" s="208"/>
      <c r="P52" s="208"/>
      <c r="Q52" s="208"/>
      <c r="R52" s="208"/>
      <c r="S52" s="208"/>
      <c r="T52" s="208"/>
      <c r="U52" s="209"/>
    </row>
    <row r="53" spans="2:21" ht="15" customHeight="1" thickBot="1" x14ac:dyDescent="0.35">
      <c r="B53" s="198"/>
      <c r="C53" s="199"/>
      <c r="D53" s="210"/>
      <c r="E53" s="210"/>
      <c r="F53" s="210"/>
      <c r="G53" s="210"/>
      <c r="H53" s="210"/>
      <c r="I53" s="210"/>
      <c r="J53" s="210"/>
      <c r="K53" s="210"/>
      <c r="L53" s="210"/>
      <c r="M53" s="210"/>
      <c r="N53" s="210"/>
      <c r="O53" s="210"/>
      <c r="P53" s="210"/>
      <c r="Q53" s="210"/>
      <c r="R53" s="210"/>
      <c r="S53" s="210"/>
      <c r="T53" s="210"/>
      <c r="U53" s="211"/>
    </row>
    <row r="54" spans="2:21" ht="14.4" customHeight="1" x14ac:dyDescent="0.3">
      <c r="B54" s="194" t="s">
        <v>927</v>
      </c>
      <c r="C54" s="195"/>
      <c r="D54" s="206" t="s">
        <v>1455</v>
      </c>
      <c r="E54" s="206"/>
      <c r="F54" s="206"/>
      <c r="G54" s="206"/>
      <c r="H54" s="206"/>
      <c r="I54" s="206"/>
      <c r="J54" s="206"/>
      <c r="K54" s="206"/>
      <c r="L54" s="206"/>
      <c r="M54" s="206"/>
      <c r="N54" s="206"/>
      <c r="O54" s="206"/>
      <c r="P54" s="206"/>
      <c r="Q54" s="206"/>
      <c r="R54" s="206"/>
      <c r="S54" s="206"/>
      <c r="T54" s="206"/>
      <c r="U54" s="207"/>
    </row>
    <row r="55" spans="2:21" ht="14.4" customHeight="1" x14ac:dyDescent="0.3">
      <c r="B55" s="196"/>
      <c r="C55" s="197"/>
      <c r="D55" s="208"/>
      <c r="E55" s="208"/>
      <c r="F55" s="208"/>
      <c r="G55" s="208"/>
      <c r="H55" s="208"/>
      <c r="I55" s="208"/>
      <c r="J55" s="208"/>
      <c r="K55" s="208"/>
      <c r="L55" s="208"/>
      <c r="M55" s="208"/>
      <c r="N55" s="208"/>
      <c r="O55" s="208"/>
      <c r="P55" s="208"/>
      <c r="Q55" s="208"/>
      <c r="R55" s="208"/>
      <c r="S55" s="208"/>
      <c r="T55" s="208"/>
      <c r="U55" s="209"/>
    </row>
    <row r="56" spans="2:21" ht="14.4" customHeight="1" x14ac:dyDescent="0.3">
      <c r="B56" s="196"/>
      <c r="C56" s="197"/>
      <c r="D56" s="208"/>
      <c r="E56" s="208"/>
      <c r="F56" s="208"/>
      <c r="G56" s="208"/>
      <c r="H56" s="208"/>
      <c r="I56" s="208"/>
      <c r="J56" s="208"/>
      <c r="K56" s="208"/>
      <c r="L56" s="208"/>
      <c r="M56" s="208"/>
      <c r="N56" s="208"/>
      <c r="O56" s="208"/>
      <c r="P56" s="208"/>
      <c r="Q56" s="208"/>
      <c r="R56" s="208"/>
      <c r="S56" s="208"/>
      <c r="T56" s="208"/>
      <c r="U56" s="209"/>
    </row>
    <row r="57" spans="2:21" ht="15" customHeight="1" thickBot="1" x14ac:dyDescent="0.35">
      <c r="B57" s="198"/>
      <c r="C57" s="199"/>
      <c r="D57" s="210"/>
      <c r="E57" s="210"/>
      <c r="F57" s="210"/>
      <c r="G57" s="210"/>
      <c r="H57" s="210"/>
      <c r="I57" s="210"/>
      <c r="J57" s="210"/>
      <c r="K57" s="210"/>
      <c r="L57" s="210"/>
      <c r="M57" s="210"/>
      <c r="N57" s="210"/>
      <c r="O57" s="210"/>
      <c r="P57" s="210"/>
      <c r="Q57" s="210"/>
      <c r="R57" s="210"/>
      <c r="S57" s="210"/>
      <c r="T57" s="210"/>
      <c r="U57" s="211"/>
    </row>
    <row r="58" spans="2:21" ht="19.95" customHeight="1" x14ac:dyDescent="0.3">
      <c r="B58" s="194" t="s">
        <v>928</v>
      </c>
      <c r="C58" s="195"/>
      <c r="D58" s="206" t="s">
        <v>1383</v>
      </c>
      <c r="E58" s="206"/>
      <c r="F58" s="206"/>
      <c r="G58" s="206"/>
      <c r="H58" s="206"/>
      <c r="I58" s="206"/>
      <c r="J58" s="206"/>
      <c r="K58" s="206"/>
      <c r="L58" s="206"/>
      <c r="M58" s="206"/>
      <c r="N58" s="206"/>
      <c r="O58" s="206"/>
      <c r="P58" s="206"/>
      <c r="Q58" s="206"/>
      <c r="R58" s="206"/>
      <c r="S58" s="206"/>
      <c r="T58" s="206"/>
      <c r="U58" s="207"/>
    </row>
    <row r="59" spans="2:21" ht="19.95" customHeight="1" x14ac:dyDescent="0.3">
      <c r="B59" s="196"/>
      <c r="C59" s="197"/>
      <c r="D59" s="208"/>
      <c r="E59" s="208"/>
      <c r="F59" s="208"/>
      <c r="G59" s="208"/>
      <c r="H59" s="208"/>
      <c r="I59" s="208"/>
      <c r="J59" s="208"/>
      <c r="K59" s="208"/>
      <c r="L59" s="208"/>
      <c r="M59" s="208"/>
      <c r="N59" s="208"/>
      <c r="O59" s="208"/>
      <c r="P59" s="208"/>
      <c r="Q59" s="208"/>
      <c r="R59" s="208"/>
      <c r="S59" s="208"/>
      <c r="T59" s="208"/>
      <c r="U59" s="209"/>
    </row>
    <row r="60" spans="2:21" ht="19.95" customHeight="1" x14ac:dyDescent="0.3">
      <c r="B60" s="196"/>
      <c r="C60" s="197"/>
      <c r="D60" s="208"/>
      <c r="E60" s="208"/>
      <c r="F60" s="208"/>
      <c r="G60" s="208"/>
      <c r="H60" s="208"/>
      <c r="I60" s="208"/>
      <c r="J60" s="208"/>
      <c r="K60" s="208"/>
      <c r="L60" s="208"/>
      <c r="M60" s="208"/>
      <c r="N60" s="208"/>
      <c r="O60" s="208"/>
      <c r="P60" s="208"/>
      <c r="Q60" s="208"/>
      <c r="R60" s="208"/>
      <c r="S60" s="208"/>
      <c r="T60" s="208"/>
      <c r="U60" s="209"/>
    </row>
    <row r="61" spans="2:21" ht="19.95" customHeight="1" thickBot="1" x14ac:dyDescent="0.35">
      <c r="B61" s="198"/>
      <c r="C61" s="199"/>
      <c r="D61" s="210"/>
      <c r="E61" s="210"/>
      <c r="F61" s="210"/>
      <c r="G61" s="210"/>
      <c r="H61" s="210"/>
      <c r="I61" s="210"/>
      <c r="J61" s="210"/>
      <c r="K61" s="210"/>
      <c r="L61" s="210"/>
      <c r="M61" s="210"/>
      <c r="N61" s="210"/>
      <c r="O61" s="210"/>
      <c r="P61" s="210"/>
      <c r="Q61" s="210"/>
      <c r="R61" s="210"/>
      <c r="S61" s="210"/>
      <c r="T61" s="210"/>
      <c r="U61" s="211"/>
    </row>
    <row r="62" spans="2:21" x14ac:dyDescent="0.3">
      <c r="B62" s="194" t="s">
        <v>928</v>
      </c>
      <c r="C62" s="195"/>
      <c r="D62" s="206" t="s">
        <v>1381</v>
      </c>
      <c r="E62" s="206"/>
      <c r="F62" s="206"/>
      <c r="G62" s="206"/>
      <c r="H62" s="206"/>
      <c r="I62" s="206"/>
      <c r="J62" s="206"/>
      <c r="K62" s="206"/>
      <c r="L62" s="206"/>
      <c r="M62" s="206"/>
      <c r="N62" s="206"/>
      <c r="O62" s="206"/>
      <c r="P62" s="206"/>
      <c r="Q62" s="206"/>
      <c r="R62" s="206"/>
      <c r="S62" s="206"/>
      <c r="T62" s="206"/>
      <c r="U62" s="207"/>
    </row>
    <row r="63" spans="2:21" x14ac:dyDescent="0.3">
      <c r="B63" s="196"/>
      <c r="C63" s="197"/>
      <c r="D63" s="208"/>
      <c r="E63" s="208"/>
      <c r="F63" s="208"/>
      <c r="G63" s="208"/>
      <c r="H63" s="208"/>
      <c r="I63" s="208"/>
      <c r="J63" s="208"/>
      <c r="K63" s="208"/>
      <c r="L63" s="208"/>
      <c r="M63" s="208"/>
      <c r="N63" s="208"/>
      <c r="O63" s="208"/>
      <c r="P63" s="208"/>
      <c r="Q63" s="208"/>
      <c r="R63" s="208"/>
      <c r="S63" s="208"/>
      <c r="T63" s="208"/>
      <c r="U63" s="209"/>
    </row>
    <row r="64" spans="2:21" x14ac:dyDescent="0.3">
      <c r="B64" s="196"/>
      <c r="C64" s="197"/>
      <c r="D64" s="208"/>
      <c r="E64" s="208"/>
      <c r="F64" s="208"/>
      <c r="G64" s="208"/>
      <c r="H64" s="208"/>
      <c r="I64" s="208"/>
      <c r="J64" s="208"/>
      <c r="K64" s="208"/>
      <c r="L64" s="208"/>
      <c r="M64" s="208"/>
      <c r="N64" s="208"/>
      <c r="O64" s="208"/>
      <c r="P64" s="208"/>
      <c r="Q64" s="208"/>
      <c r="R64" s="208"/>
      <c r="S64" s="208"/>
      <c r="T64" s="208"/>
      <c r="U64" s="209"/>
    </row>
    <row r="65" spans="2:21" ht="15" thickBot="1" x14ac:dyDescent="0.35">
      <c r="B65" s="198"/>
      <c r="C65" s="199"/>
      <c r="D65" s="210"/>
      <c r="E65" s="210"/>
      <c r="F65" s="210"/>
      <c r="G65" s="210"/>
      <c r="H65" s="210"/>
      <c r="I65" s="210"/>
      <c r="J65" s="210"/>
      <c r="K65" s="210"/>
      <c r="L65" s="210"/>
      <c r="M65" s="210"/>
      <c r="N65" s="210"/>
      <c r="O65" s="210"/>
      <c r="P65" s="210"/>
      <c r="Q65" s="210"/>
      <c r="R65" s="210"/>
      <c r="S65" s="210"/>
      <c r="T65" s="210"/>
      <c r="U65" s="211"/>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41" t="s">
        <v>368</v>
      </c>
      <c r="D3" s="241"/>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45" t="str">
        <f ca="1">IFERROR(INDEX(INDIRECT(C2&amp;"Table"),MATCH(C3,INDIRECT(C2&amp;"Table"&amp;"[Name]"),0),COLUMN(INDIRECT(C2&amp;"Table"&amp;"["&amp;"[SkillName1]"&amp;"]"))),0)</f>
        <v>Remodel Girl</v>
      </c>
      <c r="C12" s="246"/>
      <c r="D12" s="244" t="str">
        <f ca="1">IFERROR(INDEX(INDIRECT(C2&amp;"Table"),MATCH(C3,INDIRECT(C2&amp;"Table"&amp;"[Name]"),0),COLUMN(INDIRECT(C2&amp;"Table"&amp;"["&amp;"[Skill1]"&amp;"]"))),0)</f>
        <v>Can be used as material to Limit Break any ship of Elite (SR) quality and below.</v>
      </c>
      <c r="E12" s="244"/>
      <c r="F12" s="244"/>
      <c r="G12" s="244"/>
      <c r="H12" s="244"/>
      <c r="I12" s="244"/>
      <c r="J12" s="244"/>
      <c r="K12" s="244"/>
      <c r="L12" s="244"/>
      <c r="M12" s="244"/>
      <c r="N12" s="244"/>
      <c r="O12" s="244"/>
      <c r="P12" s="244"/>
      <c r="Q12" s="244"/>
      <c r="R12" s="10"/>
      <c r="S12" s="10"/>
      <c r="T12" s="10"/>
      <c r="U12" s="10"/>
      <c r="V12" s="10"/>
      <c r="W12" s="10"/>
      <c r="X12" s="10"/>
      <c r="Y12" s="10"/>
      <c r="Z12" s="10"/>
      <c r="AA12" s="10"/>
      <c r="AB12" s="10"/>
      <c r="AC12" s="10"/>
      <c r="AD12" s="10"/>
      <c r="AE12" s="10"/>
      <c r="AF12" s="10"/>
      <c r="AG12" s="10"/>
    </row>
    <row r="13" spans="1:33" x14ac:dyDescent="0.3">
      <c r="A13" s="10"/>
      <c r="B13" s="245"/>
      <c r="C13" s="246"/>
      <c r="D13" s="244"/>
      <c r="E13" s="244"/>
      <c r="F13" s="244"/>
      <c r="G13" s="244"/>
      <c r="H13" s="244"/>
      <c r="I13" s="244"/>
      <c r="J13" s="244"/>
      <c r="K13" s="244"/>
      <c r="L13" s="244"/>
      <c r="M13" s="244"/>
      <c r="N13" s="244"/>
      <c r="O13" s="244"/>
      <c r="P13" s="244"/>
      <c r="Q13" s="244"/>
      <c r="R13" s="10"/>
      <c r="S13" s="10"/>
      <c r="T13" s="10"/>
      <c r="U13" s="10"/>
      <c r="V13" s="10"/>
      <c r="W13" s="10"/>
      <c r="X13" s="10"/>
      <c r="Y13" s="10"/>
      <c r="Z13" s="10"/>
      <c r="AA13" s="10"/>
      <c r="AB13" s="10"/>
      <c r="AC13" s="10"/>
      <c r="AD13" s="10"/>
      <c r="AE13" s="10"/>
      <c r="AF13" s="10"/>
      <c r="AG13" s="10"/>
    </row>
    <row r="14" spans="1:33" x14ac:dyDescent="0.3">
      <c r="A14" s="10"/>
      <c r="B14" s="245"/>
      <c r="C14" s="246"/>
      <c r="D14" s="244"/>
      <c r="E14" s="244"/>
      <c r="F14" s="244"/>
      <c r="G14" s="244"/>
      <c r="H14" s="244"/>
      <c r="I14" s="244"/>
      <c r="J14" s="244"/>
      <c r="K14" s="244"/>
      <c r="L14" s="244"/>
      <c r="M14" s="244"/>
      <c r="N14" s="244"/>
      <c r="O14" s="244"/>
      <c r="P14" s="244"/>
      <c r="Q14" s="244"/>
      <c r="R14" s="10"/>
      <c r="S14" s="10"/>
      <c r="T14" s="10"/>
      <c r="U14" s="10"/>
      <c r="V14" s="10"/>
      <c r="W14" s="10"/>
      <c r="X14" s="10"/>
      <c r="Y14" s="10"/>
      <c r="Z14" s="10"/>
      <c r="AA14" s="10"/>
      <c r="AB14" s="10"/>
      <c r="AC14" s="10"/>
      <c r="AD14" s="10"/>
      <c r="AE14" s="10"/>
      <c r="AF14" s="10"/>
      <c r="AG14" s="10"/>
    </row>
    <row r="15" spans="1:33" ht="14.4" customHeight="1" x14ac:dyDescent="0.3">
      <c r="A15" s="10"/>
      <c r="B15" s="245" t="str">
        <f ca="1">IFERROR(INDEX(INDIRECT(C2&amp;"Table"),MATCH(C3,INDIRECT(C2&amp;"Table"&amp;"[Name]"),0),COLUMN(INDIRECT(C2&amp;"Table"&amp;"["&amp;"[SkillName2]"&amp;"]"))),0)</f>
        <v>N/A</v>
      </c>
      <c r="C15" s="246"/>
      <c r="D15" s="244" t="str">
        <f ca="1">IFERROR(INDEX(INDIRECT(C2&amp;"Table"),MATCH(C3,INDIRECT(C2&amp;"Table"&amp;"[Name]"),0),COLUMN(INDIRECT(C2&amp;"Table"&amp;"["&amp;"[Skill2]"&amp;"]"))),0)</f>
        <v>N/A</v>
      </c>
      <c r="E15" s="244"/>
      <c r="F15" s="244"/>
      <c r="G15" s="244"/>
      <c r="H15" s="244"/>
      <c r="I15" s="244"/>
      <c r="J15" s="244"/>
      <c r="K15" s="244"/>
      <c r="L15" s="244"/>
      <c r="M15" s="244"/>
      <c r="N15" s="244"/>
      <c r="O15" s="244"/>
      <c r="P15" s="244"/>
      <c r="Q15" s="244"/>
      <c r="R15" s="10"/>
      <c r="S15" s="10"/>
      <c r="T15" s="10"/>
      <c r="U15" s="10"/>
      <c r="V15" s="10"/>
      <c r="W15" s="10"/>
      <c r="X15" s="10"/>
      <c r="Y15" s="10"/>
      <c r="Z15" s="10"/>
      <c r="AA15" s="10"/>
      <c r="AB15" s="10"/>
      <c r="AC15" s="10"/>
      <c r="AD15" s="10"/>
      <c r="AE15" s="10"/>
      <c r="AF15" s="10"/>
      <c r="AG15" s="10"/>
    </row>
    <row r="16" spans="1:33" x14ac:dyDescent="0.3">
      <c r="A16" s="10"/>
      <c r="B16" s="245"/>
      <c r="C16" s="246"/>
      <c r="D16" s="244"/>
      <c r="E16" s="244"/>
      <c r="F16" s="244"/>
      <c r="G16" s="244"/>
      <c r="H16" s="244"/>
      <c r="I16" s="244"/>
      <c r="J16" s="244"/>
      <c r="K16" s="244"/>
      <c r="L16" s="244"/>
      <c r="M16" s="244"/>
      <c r="N16" s="244"/>
      <c r="O16" s="244"/>
      <c r="P16" s="244"/>
      <c r="Q16" s="244"/>
      <c r="R16" s="10"/>
      <c r="S16" s="10"/>
      <c r="T16" s="10"/>
      <c r="U16" s="10"/>
      <c r="V16" s="10"/>
      <c r="W16" s="10"/>
      <c r="X16" s="10"/>
      <c r="Y16" s="10"/>
      <c r="Z16" s="10"/>
      <c r="AA16" s="10"/>
      <c r="AB16" s="10"/>
      <c r="AC16" s="10"/>
      <c r="AD16" s="10"/>
      <c r="AE16" s="10"/>
      <c r="AF16" s="10"/>
      <c r="AG16" s="10"/>
    </row>
    <row r="17" spans="1:33" x14ac:dyDescent="0.3">
      <c r="A17" s="10"/>
      <c r="B17" s="245"/>
      <c r="C17" s="246"/>
      <c r="D17" s="244"/>
      <c r="E17" s="244"/>
      <c r="F17" s="244"/>
      <c r="G17" s="244"/>
      <c r="H17" s="244"/>
      <c r="I17" s="244"/>
      <c r="J17" s="244"/>
      <c r="K17" s="244"/>
      <c r="L17" s="244"/>
      <c r="M17" s="244"/>
      <c r="N17" s="244"/>
      <c r="O17" s="244"/>
      <c r="P17" s="244"/>
      <c r="Q17" s="244"/>
      <c r="R17" s="10"/>
      <c r="S17" s="10"/>
      <c r="T17" s="10"/>
      <c r="U17" s="10"/>
      <c r="V17" s="10"/>
      <c r="W17" s="10"/>
      <c r="X17" s="10"/>
      <c r="Y17" s="10"/>
      <c r="Z17" s="10"/>
      <c r="AA17" s="10"/>
      <c r="AB17" s="10"/>
      <c r="AC17" s="10"/>
      <c r="AD17" s="10"/>
      <c r="AE17" s="10"/>
      <c r="AF17" s="10"/>
      <c r="AG17" s="10"/>
    </row>
    <row r="18" spans="1:33" x14ac:dyDescent="0.3">
      <c r="A18" s="10"/>
      <c r="B18" s="242" t="str">
        <f ca="1">IFERROR(INDEX(INDIRECT(C2&amp;"Table"),MATCH(C3,INDIRECT(C2&amp;"Table"&amp;"[Name]"),0),COLUMN(INDIRECT(C2&amp;"Table"&amp;"["&amp;"[SkillName3]"&amp;"]"))),0)</f>
        <v>N/A</v>
      </c>
      <c r="C18" s="243"/>
      <c r="D18" s="244" t="str">
        <f ca="1">IFERROR(INDEX(INDIRECT(C2&amp;"Table"),MATCH(C3,INDIRECT(C2&amp;"Table"&amp;"[Name]"),0),COLUMN(INDIRECT(C2&amp;"Table"&amp;"["&amp;"[Skill3]"&amp;"]"))),0)</f>
        <v>N/A</v>
      </c>
      <c r="E18" s="244"/>
      <c r="F18" s="244"/>
      <c r="G18" s="244"/>
      <c r="H18" s="244"/>
      <c r="I18" s="244"/>
      <c r="J18" s="244"/>
      <c r="K18" s="244"/>
      <c r="L18" s="244"/>
      <c r="M18" s="244"/>
      <c r="N18" s="244"/>
      <c r="O18" s="244"/>
      <c r="P18" s="244"/>
      <c r="Q18" s="244"/>
      <c r="R18" s="10"/>
      <c r="S18" s="10"/>
      <c r="T18" s="10"/>
      <c r="U18" s="10"/>
      <c r="V18" s="10"/>
      <c r="W18" s="10"/>
      <c r="X18" s="10"/>
      <c r="Y18" s="10"/>
      <c r="Z18" s="10"/>
      <c r="AA18" s="10"/>
      <c r="AB18" s="10"/>
      <c r="AC18" s="10"/>
      <c r="AD18" s="10"/>
      <c r="AE18" s="10"/>
      <c r="AF18" s="10"/>
      <c r="AG18" s="10"/>
    </row>
    <row r="19" spans="1:33" x14ac:dyDescent="0.3">
      <c r="A19" s="10"/>
      <c r="B19" s="242"/>
      <c r="C19" s="243"/>
      <c r="D19" s="244"/>
      <c r="E19" s="244"/>
      <c r="F19" s="244"/>
      <c r="G19" s="244"/>
      <c r="H19" s="244"/>
      <c r="I19" s="244"/>
      <c r="J19" s="244"/>
      <c r="K19" s="244"/>
      <c r="L19" s="244"/>
      <c r="M19" s="244"/>
      <c r="N19" s="244"/>
      <c r="O19" s="244"/>
      <c r="P19" s="244"/>
      <c r="Q19" s="244"/>
      <c r="R19" s="10"/>
      <c r="S19" s="10"/>
      <c r="T19" s="10"/>
      <c r="U19" s="10"/>
      <c r="V19" s="10"/>
      <c r="W19" s="10"/>
      <c r="X19" s="10"/>
      <c r="Y19" s="10"/>
      <c r="Z19" s="10"/>
      <c r="AA19" s="10"/>
      <c r="AB19" s="10"/>
      <c r="AC19" s="10"/>
      <c r="AD19" s="10"/>
      <c r="AE19" s="10"/>
      <c r="AF19" s="10"/>
      <c r="AG19" s="10"/>
    </row>
    <row r="20" spans="1:33" x14ac:dyDescent="0.3">
      <c r="A20" s="10"/>
      <c r="B20" s="242"/>
      <c r="C20" s="243"/>
      <c r="D20" s="244"/>
      <c r="E20" s="244"/>
      <c r="F20" s="244"/>
      <c r="G20" s="244"/>
      <c r="H20" s="244"/>
      <c r="I20" s="244"/>
      <c r="J20" s="244"/>
      <c r="K20" s="244"/>
      <c r="L20" s="244"/>
      <c r="M20" s="244"/>
      <c r="N20" s="244"/>
      <c r="O20" s="244"/>
      <c r="P20" s="244"/>
      <c r="Q20" s="244"/>
      <c r="R20" s="10"/>
      <c r="S20" s="10"/>
      <c r="T20" s="10"/>
      <c r="U20" s="10"/>
      <c r="V20" s="10"/>
      <c r="W20" s="10"/>
      <c r="X20" s="10"/>
      <c r="Y20" s="10"/>
      <c r="Z20" s="10"/>
      <c r="AA20" s="10"/>
      <c r="AB20" s="10"/>
      <c r="AC20" s="10"/>
      <c r="AD20" s="10"/>
      <c r="AE20" s="10"/>
      <c r="AF20" s="10"/>
      <c r="AG20" s="10"/>
    </row>
    <row r="21" spans="1:33" x14ac:dyDescent="0.3">
      <c r="A21" s="10"/>
      <c r="B21" s="242" t="str">
        <f ca="1">IFERROR(INDEX(INDIRECT(C2&amp;"Table"),MATCH(C3,INDIRECT(C2&amp;"Table"&amp;"[Name]"),0),COLUMN(INDIRECT(C2&amp;"Table"&amp;"["&amp;"[SkillName4]"&amp;"]"))),0)</f>
        <v>N/A</v>
      </c>
      <c r="C21" s="243"/>
      <c r="D21" s="244" t="str">
        <f ca="1">IFERROR(INDEX(INDIRECT(C2&amp;"Table"),MATCH(C3,INDIRECT(C2&amp;"Table"&amp;"[Name]"),0),COLUMN(INDIRECT(C2&amp;"Table"&amp;"["&amp;"[Skill4]"&amp;"]"))),0)</f>
        <v>N/A</v>
      </c>
      <c r="E21" s="244"/>
      <c r="F21" s="244"/>
      <c r="G21" s="244"/>
      <c r="H21" s="244"/>
      <c r="I21" s="244"/>
      <c r="J21" s="244"/>
      <c r="K21" s="244"/>
      <c r="L21" s="244"/>
      <c r="M21" s="244"/>
      <c r="N21" s="244"/>
      <c r="O21" s="244"/>
      <c r="P21" s="244"/>
      <c r="Q21" s="244"/>
      <c r="R21" s="10"/>
      <c r="S21" s="10"/>
      <c r="T21" s="10"/>
      <c r="U21" s="10"/>
      <c r="V21" s="10"/>
      <c r="W21" s="10"/>
      <c r="X21" s="10"/>
      <c r="Y21" s="10"/>
      <c r="Z21" s="10"/>
      <c r="AA21" s="10"/>
      <c r="AB21" s="10"/>
      <c r="AC21" s="10"/>
      <c r="AD21" s="10"/>
      <c r="AE21" s="10"/>
      <c r="AF21" s="10"/>
      <c r="AG21" s="10"/>
    </row>
    <row r="22" spans="1:33" x14ac:dyDescent="0.3">
      <c r="A22" s="10"/>
      <c r="B22" s="242"/>
      <c r="C22" s="243"/>
      <c r="D22" s="244"/>
      <c r="E22" s="244"/>
      <c r="F22" s="244"/>
      <c r="G22" s="244"/>
      <c r="H22" s="244"/>
      <c r="I22" s="244"/>
      <c r="J22" s="244"/>
      <c r="K22" s="244"/>
      <c r="L22" s="244"/>
      <c r="M22" s="244"/>
      <c r="N22" s="244"/>
      <c r="O22" s="244"/>
      <c r="P22" s="244"/>
      <c r="Q22" s="244"/>
      <c r="R22" s="10"/>
      <c r="S22" s="10"/>
      <c r="T22" s="10"/>
      <c r="U22" s="10"/>
      <c r="V22" s="10"/>
      <c r="W22" s="10"/>
      <c r="X22" s="10"/>
      <c r="Y22" s="10"/>
      <c r="Z22" s="10"/>
      <c r="AA22" s="10"/>
      <c r="AB22" s="10"/>
      <c r="AC22" s="10"/>
      <c r="AD22" s="10"/>
      <c r="AE22" s="10"/>
      <c r="AF22" s="10"/>
      <c r="AG22" s="10"/>
    </row>
    <row r="23" spans="1:33" x14ac:dyDescent="0.3">
      <c r="A23" s="10"/>
      <c r="B23" s="242"/>
      <c r="C23" s="243"/>
      <c r="D23" s="244"/>
      <c r="E23" s="244"/>
      <c r="F23" s="244"/>
      <c r="G23" s="244"/>
      <c r="H23" s="244"/>
      <c r="I23" s="244"/>
      <c r="J23" s="244"/>
      <c r="K23" s="244"/>
      <c r="L23" s="244"/>
      <c r="M23" s="244"/>
      <c r="N23" s="244"/>
      <c r="O23" s="244"/>
      <c r="P23" s="244"/>
      <c r="Q23" s="244"/>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abSelected="1" topLeftCell="A13" workbookViewId="0">
      <selection activeCell="K28" sqref="K28"/>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189" t="s">
        <v>1057</v>
      </c>
      <c r="AE2" s="190"/>
      <c r="AF2" s="190"/>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191" t="s">
        <v>2573</v>
      </c>
      <c r="AH3" s="191"/>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92" t="s">
        <v>225</v>
      </c>
      <c r="L11" s="193"/>
      <c r="M11" s="193"/>
      <c r="N11" s="193"/>
      <c r="O11" s="193"/>
      <c r="P11" s="193"/>
      <c r="Q11" s="193"/>
      <c r="R11" s="193"/>
      <c r="S11" s="193"/>
      <c r="T11" s="193"/>
      <c r="U11" s="193"/>
      <c r="V11" s="193"/>
      <c r="W11" s="193"/>
      <c r="X11" s="193"/>
      <c r="Y11" s="193"/>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186" t="s">
        <v>791</v>
      </c>
      <c r="R12" s="187"/>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186" t="s">
        <v>790</v>
      </c>
      <c r="R13" s="187"/>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186" t="s">
        <v>789</v>
      </c>
      <c r="R14" s="187"/>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186" t="s">
        <v>788</v>
      </c>
      <c r="R15" s="187"/>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186" t="s">
        <v>861</v>
      </c>
      <c r="R16" s="187"/>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186" t="s">
        <v>1323</v>
      </c>
      <c r="R17" s="187"/>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188" t="s">
        <v>1441</v>
      </c>
      <c r="P22" s="188"/>
      <c r="Q22" s="78" t="s">
        <v>788</v>
      </c>
      <c r="R22" s="79" t="s">
        <v>26</v>
      </c>
      <c r="S22" s="78" t="s">
        <v>44</v>
      </c>
      <c r="T22" s="188" t="s">
        <v>1442</v>
      </c>
      <c r="U22" s="188"/>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85" t="s">
        <v>1427</v>
      </c>
      <c r="P23" s="185"/>
      <c r="Q23" s="57">
        <v>1</v>
      </c>
      <c r="R23" s="56">
        <v>1</v>
      </c>
      <c r="S23" s="58">
        <v>0</v>
      </c>
      <c r="T23" s="185">
        <v>0</v>
      </c>
      <c r="U23" s="185"/>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85" t="s">
        <v>1427</v>
      </c>
      <c r="P24" s="185"/>
      <c r="Q24" s="57">
        <v>1</v>
      </c>
      <c r="R24" s="56">
        <v>1</v>
      </c>
      <c r="S24" s="58">
        <v>0</v>
      </c>
      <c r="T24" s="185">
        <v>0</v>
      </c>
      <c r="U24" s="185"/>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85" t="s">
        <v>1427</v>
      </c>
      <c r="P25" s="185"/>
      <c r="Q25" s="57">
        <v>1</v>
      </c>
      <c r="R25" s="56">
        <v>1</v>
      </c>
      <c r="S25" s="58">
        <v>0</v>
      </c>
      <c r="T25" s="185">
        <v>0</v>
      </c>
      <c r="U25" s="185"/>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85" t="s">
        <v>1427</v>
      </c>
      <c r="P26" s="185"/>
      <c r="Q26" s="57">
        <v>1</v>
      </c>
      <c r="R26" s="56">
        <v>1</v>
      </c>
      <c r="S26" s="58">
        <v>0</v>
      </c>
      <c r="T26" s="185">
        <v>0</v>
      </c>
      <c r="U26" s="185"/>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(((100+S20+D18*S12)/100)*D10*H10*H15*AF8+5)*5*(1-(1-AF9)^(H16*P12))*IF(OR(D2="Baltimore",D2="Massachusetts",D2="Zara"),0,1)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D29/IF(AND(P12=2,NOT(OR(C2="BB",C2="BC"))),MAX(36/30,AF31)+(H18+0.1+MAX((12-(H18+0.1)*30)/30,0)+AF32),AF31)</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D30/IF(AND(P12=2,NOT(OR(C2="BB",C2="BC"))),MAX(36/30,AF31)+(H18+0.1+MAX((12-(H18+0.1)*30)/30,0)+AF32),AF31)</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D31/IF(AND(P12=2,NOT(OR(C2="BB",C2="BC"))),MAX(36/30,AF31)+(H18+0.1+MAX((12-(H18+0.1)*30)/30,0)+AF32),AF31)</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AG3:AH3"/>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disablePrompts="1"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J20" sqref="J20"/>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7" t="s">
        <v>224</v>
      </c>
      <c r="AC2" s="247"/>
      <c r="AD2" s="247"/>
      <c r="AE2" s="247"/>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92" t="s">
        <v>225</v>
      </c>
      <c r="K11" s="193"/>
      <c r="L11" s="193"/>
      <c r="M11" s="193"/>
      <c r="N11" s="193"/>
      <c r="O11" s="193"/>
      <c r="P11" s="193"/>
      <c r="Q11" s="193"/>
      <c r="R11" s="193"/>
      <c r="S11" s="193"/>
      <c r="T11" s="193"/>
      <c r="U11" s="193"/>
      <c r="V11" s="193"/>
      <c r="W11" s="193"/>
      <c r="X11" s="193"/>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188" t="s">
        <v>1446</v>
      </c>
      <c r="T22" s="188"/>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85">
        <v>0</v>
      </c>
      <c r="T23" s="185"/>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85">
        <v>0</v>
      </c>
      <c r="T24" s="185"/>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85">
        <v>0</v>
      </c>
      <c r="T25" s="185"/>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85">
        <v>0</v>
      </c>
      <c r="T26" s="185"/>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85">
        <v>0</v>
      </c>
      <c r="T27" s="185"/>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85">
        <v>0</v>
      </c>
      <c r="T28" s="185"/>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85">
        <v>0</v>
      </c>
      <c r="T29" s="185"/>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85">
        <v>0</v>
      </c>
      <c r="T30" s="185"/>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H21" sqref="H21"/>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8" t="s">
        <v>224</v>
      </c>
      <c r="AB2" s="248"/>
      <c r="AC2" s="248"/>
      <c r="AD2" s="248"/>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(E29)*FLOOR($V$12/IF(B2="BB",$AD$17,$AD$19),1)*$R$8+E29*$V$18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(E30)*FLOOR($V$12/IF(B2="BB",$AD$17,$AD$19),1)*$R$8+E30*$V$18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(E31)*FLOOR($V$12/IF(B2="BB",$AD$17,$AD$19),1)*$R$8+E31*$V$18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9" t="s">
        <v>707</v>
      </c>
      <c r="L11" s="249"/>
      <c r="M11" s="249"/>
      <c r="N11" s="249"/>
      <c r="O11" s="249"/>
      <c r="P11" s="249"/>
      <c r="Q11" s="249"/>
      <c r="R11" s="249"/>
      <c r="S11" s="249"/>
      <c r="T11" s="249"/>
      <c r="U11" s="249"/>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42" t="s">
        <v>22</v>
      </c>
      <c r="E19" s="41">
        <f ca="1">SUM(C9:H9)*P17</f>
        <v>414</v>
      </c>
      <c r="F19" s="42"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188" t="s">
        <v>1442</v>
      </c>
      <c r="R22" s="188"/>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85">
        <v>0</v>
      </c>
      <c r="R23" s="185"/>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85">
        <v>0</v>
      </c>
      <c r="R24" s="185"/>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85">
        <v>0</v>
      </c>
      <c r="R25" s="185"/>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85">
        <v>0</v>
      </c>
      <c r="R26" s="185"/>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1.1397979797979798</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(D23*G23*((100+IF(L23="AirP",C19,IF(L23="FP",E19,C20))*K23)/100)/IF(P23=0,AD17,P23)*AD20*O23)*P19*IF(L23="Airp",(1-P16),1)</f>
        <v>97.771476674107646</v>
      </c>
      <c r="K29" s="68"/>
      <c r="L29" s="68">
        <f ca="1">(D24*G24*((100+IF(L24="AirP",C19,E19)*K24)/100)/IF(P24=0,AD17,P24)*AD20*O24)*P19*IF(L24="Airp",(1-P16),1)</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(D23*H23*((100+IF(L23="AirP",C19,IF(L23="FP",E19,C20))*K23)/100)/IF(P23=0,AD17,P23)*AD20*O23)*P19*IF(L23="Airp",(1-P16),1)</f>
        <v>116.10362855050282</v>
      </c>
      <c r="K30" s="68"/>
      <c r="L30" s="68">
        <f ca="1">(D24*H24*((100+IF(L24="AirP",C19,E19)*K24)/100)/IF(P24=0,AD17,P24)*AD20*O24)*P19*IF(L24="Airp",(1-P16),1)</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(D23*I23*((100+IF(L23="AirP",C19,IF(L23="FP",E19,C20))*K23)/100)/IF(P23=0,AD17,P23)*AD20*O23)*P19*IF(L23="Airp",(1-P16),1)</f>
        <v>140.5464977190297</v>
      </c>
      <c r="K31" s="68"/>
      <c r="L31" s="68">
        <f ca="1">(D24*I24*((100+IF(L24="AirP",C19,E19)*K24)/100)/IF(P24=0,AD17,P24)*AD20*O24)*P19*IF(L24="Airp",(1-P16),1)</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(D23*G23*((100+IF(L23="AirP",C19,IF(L23="FP",E19,C20))*K23)/100)*AD20*O23)*P19*IF(L23="Airp",(1-P16),1)</f>
        <v>2799.7647076776348</v>
      </c>
      <c r="K34" s="68"/>
      <c r="L34" s="68">
        <f ca="1">(D24*G24*((100+IF(L24="AirP",C19,E19)*K24)/100)*AD20*O24)*P19*IF(L24="Airp",(1-P16),1)</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(D23*H23*((100+IF(L23="AirP",C19,IF(L23="FP",E19,C20))*K23)/100)*AD20*O23)*P19*IF(L23="Airp",(1-P16),1)</f>
        <v>3324.7205903671916</v>
      </c>
      <c r="K35" s="68"/>
      <c r="L35" s="68">
        <f ca="1">(D24*H24*((100+IF(L24="AirP",C19,E19)*K24)/100)*AD20*O24)*P19*IF(L24="Airp",(1-P16),1)</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(D23*I23*((100+IF(L23="AirP",C19,IF(L23="FP",E19,C20))*K23)/100)*AD20*O23)*P19*IF(L23="Airp",(1-P16),1)</f>
        <v>4024.6617672865996</v>
      </c>
      <c r="K36" s="68"/>
      <c r="L36" s="68">
        <f ca="1">(D24*I24*((100+IF(L24="AirP",C19,E19)*K24)/100)*AD20*O24)*P19*IF(L24="Airp",(1-P16),1)</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disablePrompts="1"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8" t="s">
        <v>224</v>
      </c>
      <c r="X2" s="248"/>
      <c r="Y2" s="248"/>
      <c r="Z2" s="248"/>
      <c r="AA2" s="248"/>
      <c r="AB2" s="248"/>
      <c r="AC2" s="248"/>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9" t="s">
        <v>225</v>
      </c>
      <c r="K13" s="249"/>
      <c r="L13" s="249"/>
      <c r="M13" s="249"/>
      <c r="N13" s="249"/>
      <c r="O13" s="249"/>
      <c r="P13" s="249"/>
      <c r="Q13" s="249"/>
      <c r="R13" s="249"/>
      <c r="S13" s="249"/>
      <c r="T13" s="249"/>
      <c r="U13" s="249"/>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Documentation (Old)</vt:lpstr>
      <vt:lpstr>BBV (2)</vt:lpstr>
      <vt:lpstr>Non-CV (2)</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2019-12-09T12:22:17Z</dcterms:modified>
</cp:coreProperties>
</file>