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5360" yWindow="0" windowWidth="29140" windowHeight="192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E24" i="1"/>
  <c r="F24" i="1"/>
  <c r="E23" i="1"/>
  <c r="F23" i="1"/>
  <c r="C22" i="1"/>
  <c r="E22" i="1"/>
  <c r="F22" i="1"/>
  <c r="C21" i="1"/>
  <c r="E21" i="1"/>
  <c r="F21" i="1"/>
  <c r="E20" i="1"/>
  <c r="F20" i="1"/>
  <c r="E43" i="1"/>
  <c r="F43" i="1"/>
  <c r="H43" i="1"/>
  <c r="I43" i="1"/>
  <c r="J43" i="1"/>
  <c r="M21" i="1"/>
  <c r="N21" i="1"/>
  <c r="O21" i="1"/>
  <c r="M22" i="1"/>
  <c r="N22" i="1"/>
  <c r="O22" i="1"/>
  <c r="M23" i="1"/>
  <c r="N23" i="1"/>
  <c r="O23" i="1"/>
  <c r="F44" i="1"/>
  <c r="H44" i="1"/>
  <c r="I44" i="1"/>
  <c r="J44" i="1"/>
  <c r="M24" i="1"/>
  <c r="N24" i="1"/>
  <c r="O24" i="1"/>
  <c r="O25" i="1"/>
  <c r="P25" i="1"/>
  <c r="E39" i="1"/>
  <c r="F39" i="1"/>
  <c r="H39" i="1"/>
  <c r="I39" i="1"/>
  <c r="J39" i="1"/>
  <c r="M13" i="1"/>
  <c r="N13" i="1"/>
  <c r="O13" i="1"/>
  <c r="M14" i="1"/>
  <c r="N14" i="1"/>
  <c r="O14" i="1"/>
  <c r="M15" i="1"/>
  <c r="N15" i="1"/>
  <c r="O15" i="1"/>
  <c r="F40" i="1"/>
  <c r="H40" i="1"/>
  <c r="I40" i="1"/>
  <c r="J40" i="1"/>
  <c r="M16" i="1"/>
  <c r="N16" i="1"/>
  <c r="O16" i="1"/>
  <c r="O17" i="1"/>
  <c r="P17" i="1"/>
  <c r="E35" i="1"/>
  <c r="F35" i="1"/>
  <c r="H35" i="1"/>
  <c r="I35" i="1"/>
  <c r="J35" i="1"/>
  <c r="M5" i="1"/>
  <c r="N5" i="1"/>
  <c r="O5" i="1"/>
  <c r="M6" i="1"/>
  <c r="N6" i="1"/>
  <c r="O6" i="1"/>
  <c r="M7" i="1"/>
  <c r="N7" i="1"/>
  <c r="O7" i="1"/>
  <c r="F36" i="1"/>
  <c r="H36" i="1"/>
  <c r="I36" i="1"/>
  <c r="J36" i="1"/>
  <c r="M8" i="1"/>
  <c r="N8" i="1"/>
  <c r="O8" i="1"/>
  <c r="O9" i="1"/>
  <c r="P9" i="1"/>
  <c r="J24" i="1"/>
  <c r="K24" i="1"/>
  <c r="J23" i="1"/>
  <c r="K23" i="1"/>
  <c r="J22" i="1"/>
  <c r="K22" i="1"/>
  <c r="J21" i="1"/>
  <c r="K21" i="1"/>
  <c r="J20" i="1"/>
  <c r="K20" i="1"/>
  <c r="G20" i="1"/>
  <c r="H20" i="1"/>
  <c r="G21" i="1"/>
  <c r="H21" i="1"/>
  <c r="G22" i="1"/>
  <c r="H22" i="1"/>
  <c r="G23" i="1"/>
  <c r="H23" i="1"/>
  <c r="G24" i="1"/>
  <c r="H24" i="1"/>
  <c r="F25" i="1"/>
  <c r="K25" i="1"/>
  <c r="E8" i="1"/>
  <c r="J8" i="1"/>
  <c r="K8" i="1"/>
  <c r="E7" i="1"/>
  <c r="J7" i="1"/>
  <c r="K7" i="1"/>
  <c r="E6" i="1"/>
  <c r="J6" i="1"/>
  <c r="K6" i="1"/>
  <c r="E5" i="1"/>
  <c r="J5" i="1"/>
  <c r="K5" i="1"/>
  <c r="E4" i="1"/>
  <c r="J4" i="1"/>
  <c r="K4" i="1"/>
  <c r="E16" i="1"/>
  <c r="J16" i="1"/>
  <c r="K16" i="1"/>
  <c r="E15" i="1"/>
  <c r="J15" i="1"/>
  <c r="K15" i="1"/>
  <c r="E14" i="1"/>
  <c r="J14" i="1"/>
  <c r="K14" i="1"/>
  <c r="E13" i="1"/>
  <c r="J13" i="1"/>
  <c r="K13" i="1"/>
  <c r="E12" i="1"/>
  <c r="J12" i="1"/>
  <c r="K12" i="1"/>
  <c r="C13" i="1"/>
  <c r="H13" i="1"/>
  <c r="C14" i="1"/>
  <c r="H14" i="1"/>
  <c r="H15" i="1"/>
  <c r="C16" i="1"/>
  <c r="H16" i="1"/>
  <c r="H12" i="1"/>
  <c r="F12" i="1"/>
  <c r="G12" i="1"/>
  <c r="F13" i="1"/>
  <c r="G13" i="1"/>
  <c r="F14" i="1"/>
  <c r="G14" i="1"/>
  <c r="F15" i="1"/>
  <c r="G15" i="1"/>
  <c r="F16" i="1"/>
  <c r="G16" i="1"/>
  <c r="F17" i="1"/>
  <c r="K17" i="1"/>
  <c r="K9" i="1"/>
  <c r="C4" i="1"/>
  <c r="F4" i="1"/>
  <c r="C5" i="1"/>
  <c r="F5" i="1"/>
  <c r="C6" i="1"/>
  <c r="F6" i="1"/>
  <c r="F7" i="1"/>
  <c r="C8" i="1"/>
  <c r="F8" i="1"/>
  <c r="F9" i="1"/>
  <c r="H8" i="1"/>
  <c r="G8" i="1"/>
  <c r="H7" i="1"/>
  <c r="G7" i="1"/>
  <c r="H6" i="1"/>
  <c r="G6" i="1"/>
  <c r="H5" i="1"/>
  <c r="G5" i="1"/>
  <c r="H4" i="1"/>
  <c r="G4" i="1"/>
</calcChain>
</file>

<file path=xl/sharedStrings.xml><?xml version="1.0" encoding="utf-8"?>
<sst xmlns="http://schemas.openxmlformats.org/spreadsheetml/2006/main" count="78" uniqueCount="46">
  <si>
    <t>Q. At cellular concentrations, how long would an amino acid take to be loaded on a ribosome assuming instantaneous &amp; always correct reactions?</t>
  </si>
  <si>
    <t># molecules in 1um^3 (slow dividing, ~0.4 divisions/hr)</t>
  </si>
  <si>
    <t>molecule volume(um^3)</t>
  </si>
  <si>
    <t>volume occupied in 1um^3 coli (equivalent to percent of 1um^3)</t>
  </si>
  <si>
    <t>% of total coli volume occupied</t>
  </si>
  <si>
    <t>D coefficient(um^2/s)</t>
  </si>
  <si>
    <t>Total search needed (um) for half of vol. for 1 molecule</t>
  </si>
  <si>
    <t>Total search (um) for proper # molecules</t>
  </si>
  <si>
    <t>time (s)</t>
  </si>
  <si>
    <t>Slow doubling (0.4/hr)</t>
  </si>
  <si>
    <t>EF-Tu</t>
  </si>
  <si>
    <t>Ribosomes</t>
  </si>
  <si>
    <t>molecule size</t>
  </si>
  <si>
    <t># boxes in 1D</t>
  </si>
  <si>
    <t>#boxes in 3D</t>
  </si>
  <si>
    <t>Total dist.</t>
  </si>
  <si>
    <t>um</t>
  </si>
  <si>
    <t>Total:</t>
  </si>
  <si>
    <t>(Since around 5x more than slow)</t>
  </si>
  <si>
    <t>From Kapanidis</t>
  </si>
  <si>
    <t>Cube side</t>
  </si>
  <si>
    <t>~1/62000</t>
  </si>
  <si>
    <t>Total vol</t>
  </si>
  <si>
    <t xml:space="preserve">aa </t>
  </si>
  <si>
    <t>tRNA</t>
  </si>
  <si>
    <t>tRNA synthetase</t>
  </si>
  <si>
    <t>Molecule radius (nm)*</t>
  </si>
  <si>
    <t xml:space="preserve"> *Glutamyl-tRNA Synthetase, Ala1b, and Proline molecule sizes used</t>
  </si>
  <si>
    <t>aa</t>
  </si>
  <si>
    <t>1/12800</t>
  </si>
  <si>
    <t>Sub-region</t>
  </si>
  <si>
    <t>E coli volume (um^3)</t>
  </si>
  <si>
    <t>sub-region vol (um^3)</t>
  </si>
  <si>
    <t># molecules in sub- volume</t>
  </si>
  <si>
    <t>Rounded # molecules in sub- volume</t>
  </si>
  <si>
    <t>Fast doubling (~2/hr), high volume fraction</t>
  </si>
  <si>
    <t>Fast doubling (~2/hr), typical volume fraction</t>
  </si>
  <si>
    <t>Total Volume occupied by molecule</t>
  </si>
  <si>
    <t>Vol. frac. occupied in subvolume</t>
  </si>
  <si>
    <t>Fast doubling (~2/hr), high volume fraction (1um^3 cell)</t>
  </si>
  <si>
    <t>Fast doubling (~2/hr), typical volume fraction (2um^3 cell)</t>
  </si>
  <si>
    <t>Slow doubling (0.4/hr), typical vol. fraction (1um^3 cell)</t>
  </si>
  <si>
    <t>aa/s.</t>
  </si>
  <si>
    <t>~1/6200</t>
  </si>
  <si>
    <t>~1/12800</t>
  </si>
  <si>
    <r>
      <rPr>
        <b/>
        <sz val="12"/>
        <color theme="1"/>
        <rFont val="Calibri"/>
        <family val="2"/>
        <scheme val="minor"/>
      </rPr>
      <t xml:space="preserve">Model: </t>
    </r>
    <r>
      <rPr>
        <sz val="12"/>
        <color theme="1"/>
        <rFont val="Calibri"/>
        <family val="2"/>
        <scheme val="minor"/>
      </rPr>
      <t xml:space="preserve">Divide E. coli volume into sub-volume cubes such that each sub-vol has as few molecules as possible while still having at least approx. 1 of each type. Discretize sub-volumes into 2-nm cubes (approx size of tRNA) and calculate distance needed for a particular group of molecules to (in sum) explore half of the sub-volume with 3D diffusion (t=&lt;x&gt;^2/6D). The half-volume search assumption can only be made easily if 1 molecule is being targeted at each step (true here). In such a case, a group of molecules searching for a single target is equivalent (in expecation) to the group traversing a total of half the volume together (since the target is randomly placed). The search time for aa-&gt;tRNA synthetase; tRNA -&gt; tRNA synthetase; tRNA synthetase -&gt; EF-Tu; Ef-Tu --&gt; ribosome are then calculated and summed (serial events). Instant reaction and 100% correct pairing between interacting molecules is assumed.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</si>
</sst>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scheme val="minor"/>
    </font>
    <font>
      <b/>
      <sz val="12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/>
    <xf numFmtId="0" fontId="6" fillId="0" borderId="0" xfId="0" applyFont="1"/>
    <xf numFmtId="2" fontId="7" fillId="2" borderId="1" xfId="0" applyNumberFormat="1" applyFont="1" applyFill="1" applyBorder="1"/>
    <xf numFmtId="0" fontId="7" fillId="2" borderId="1" xfId="0" applyFont="1" applyFill="1" applyBorder="1"/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4"/>
  <sheetViews>
    <sheetView tabSelected="1" workbookViewId="0">
      <selection activeCell="L43" sqref="L43"/>
    </sheetView>
  </sheetViews>
  <sheetFormatPr baseColWidth="10" defaultRowHeight="15" x14ac:dyDescent="0"/>
  <cols>
    <col min="1" max="1" width="47.1640625" customWidth="1"/>
    <col min="2" max="2" width="14.83203125" customWidth="1"/>
    <col min="3" max="3" width="17.6640625" customWidth="1"/>
    <col min="5" max="5" width="13.1640625" customWidth="1"/>
    <col min="6" max="6" width="12.83203125" customWidth="1"/>
  </cols>
  <sheetData>
    <row r="1" spans="1:16" ht="125" customHeight="1">
      <c r="A1" s="10" t="s">
        <v>0</v>
      </c>
      <c r="B1" s="9" t="s">
        <v>45</v>
      </c>
      <c r="C1" s="9"/>
      <c r="D1" s="9"/>
      <c r="E1" s="9"/>
      <c r="F1" s="9"/>
      <c r="G1" s="9"/>
      <c r="H1" s="9"/>
      <c r="I1" s="9"/>
    </row>
    <row r="2" spans="1:16" ht="75" customHeight="1">
      <c r="C2" s="1" t="s">
        <v>1</v>
      </c>
      <c r="D2" s="1" t="s">
        <v>26</v>
      </c>
      <c r="E2" s="1" t="s">
        <v>2</v>
      </c>
      <c r="F2" s="1" t="s">
        <v>3</v>
      </c>
      <c r="G2" s="1" t="s">
        <v>4</v>
      </c>
      <c r="H2" s="1" t="s">
        <v>33</v>
      </c>
      <c r="I2" s="1" t="s">
        <v>34</v>
      </c>
      <c r="J2" s="1" t="s">
        <v>37</v>
      </c>
      <c r="K2" s="1" t="s">
        <v>38</v>
      </c>
      <c r="L2" s="1" t="s">
        <v>5</v>
      </c>
      <c r="M2" s="1" t="s">
        <v>6</v>
      </c>
      <c r="N2" s="1" t="s">
        <v>7</v>
      </c>
      <c r="O2" t="s">
        <v>8</v>
      </c>
      <c r="P2" s="1" t="s">
        <v>42</v>
      </c>
    </row>
    <row r="3" spans="1:16">
      <c r="A3" s="2" t="s">
        <v>41</v>
      </c>
      <c r="H3" t="s">
        <v>44</v>
      </c>
      <c r="I3" t="s">
        <v>44</v>
      </c>
      <c r="K3" t="s">
        <v>29</v>
      </c>
    </row>
    <row r="4" spans="1:16">
      <c r="B4" s="3" t="s">
        <v>11</v>
      </c>
      <c r="C4">
        <f>C7/5.5</f>
        <v>11636.363636363636</v>
      </c>
      <c r="D4">
        <v>12</v>
      </c>
      <c r="E4" s="3">
        <f>(4/3)*3.1415*(D4*0.001)^3</f>
        <v>7.2380159999999996E-6</v>
      </c>
      <c r="F4" s="3">
        <f>C4*E4</f>
        <v>8.4224186181818178E-2</v>
      </c>
      <c r="G4">
        <f>F4*100</f>
        <v>8.4224186181818173</v>
      </c>
      <c r="H4">
        <f>C4/12800</f>
        <v>0.90909090909090906</v>
      </c>
      <c r="I4" s="4">
        <v>1</v>
      </c>
      <c r="J4" s="3">
        <f>I4*E4</f>
        <v>7.2380159999999996E-6</v>
      </c>
      <c r="K4" s="3">
        <f>J4/(1/D35)</f>
        <v>9.264660479999999E-2</v>
      </c>
      <c r="L4">
        <v>0.04</v>
      </c>
    </row>
    <row r="5" spans="1:16">
      <c r="B5" s="3" t="s">
        <v>10</v>
      </c>
      <c r="C5">
        <f>C7/0.84</f>
        <v>76190.476190476198</v>
      </c>
      <c r="D5">
        <v>2.3199999999999998</v>
      </c>
      <c r="E5" s="3">
        <f>(4/3)*3.1415*(D5*0.001)^3</f>
        <v>5.2304584362666663E-8</v>
      </c>
      <c r="F5" s="3">
        <f>C5*E5</f>
        <v>3.9851111895365084E-3</v>
      </c>
      <c r="G5">
        <f>F5*100</f>
        <v>0.39851111895365082</v>
      </c>
      <c r="H5">
        <f>C5/12800</f>
        <v>5.9523809523809526</v>
      </c>
      <c r="I5">
        <v>6</v>
      </c>
      <c r="J5" s="3">
        <f>I5*E5</f>
        <v>3.13827506176E-7</v>
      </c>
      <c r="K5" s="3">
        <f>J5/(1/D35)</f>
        <v>4.0169920790528004E-3</v>
      </c>
      <c r="L5">
        <v>8</v>
      </c>
      <c r="M5">
        <f>J35</f>
        <v>19.531250000000014</v>
      </c>
      <c r="N5">
        <f>M5/(I5*I4*10)</f>
        <v>0.32552083333333359</v>
      </c>
      <c r="O5">
        <f>N5^2/(6*L5)</f>
        <v>2.2075794361255821E-3</v>
      </c>
    </row>
    <row r="6" spans="1:16">
      <c r="B6" t="s">
        <v>25</v>
      </c>
      <c r="C6">
        <f>C7/4.7</f>
        <v>13617.021276595744</v>
      </c>
      <c r="D6">
        <v>2.5</v>
      </c>
      <c r="E6" s="3">
        <f>(4/3)*3.1415*(D6*0.001)^3</f>
        <v>6.5447916666666669E-8</v>
      </c>
      <c r="F6" s="3">
        <f>C6*E6</f>
        <v>8.9120567375886527E-4</v>
      </c>
      <c r="G6">
        <f>F6*100</f>
        <v>8.9120567375886528E-2</v>
      </c>
      <c r="H6">
        <f>C6/12800</f>
        <v>1.0638297872340425</v>
      </c>
      <c r="I6">
        <v>1</v>
      </c>
      <c r="J6" s="3">
        <f>I6*E6</f>
        <v>6.5447916666666669E-8</v>
      </c>
      <c r="K6" s="3">
        <f>J6/(1/D35)</f>
        <v>8.3773333333333339E-4</v>
      </c>
      <c r="L6">
        <v>8</v>
      </c>
      <c r="M6">
        <f>J35</f>
        <v>19.531250000000014</v>
      </c>
      <c r="N6">
        <f>M6/(I6*I5)</f>
        <v>3.2552083333333357</v>
      </c>
      <c r="O6">
        <f>N6^2/(6*L6)</f>
        <v>0.22075794361255818</v>
      </c>
    </row>
    <row r="7" spans="1:16">
      <c r="B7" s="3" t="s">
        <v>24</v>
      </c>
      <c r="C7">
        <v>64000</v>
      </c>
      <c r="D7">
        <v>2</v>
      </c>
      <c r="E7" s="3">
        <f>(4/3)*3.1415*(D7*0.001)^3</f>
        <v>3.3509333333333335E-8</v>
      </c>
      <c r="F7" s="3">
        <f>C7*E7</f>
        <v>2.1445973333333334E-3</v>
      </c>
      <c r="G7">
        <f>F7*100</f>
        <v>0.21445973333333335</v>
      </c>
      <c r="H7">
        <f>C7/12800</f>
        <v>5</v>
      </c>
      <c r="I7">
        <v>5</v>
      </c>
      <c r="J7" s="3">
        <f>I7*E7</f>
        <v>1.6754666666666667E-7</v>
      </c>
      <c r="K7" s="3">
        <f>J7/(1/D35)</f>
        <v>2.1445973333333334E-3</v>
      </c>
      <c r="L7">
        <v>8</v>
      </c>
      <c r="M7">
        <f>J35</f>
        <v>19.531250000000014</v>
      </c>
      <c r="N7">
        <f>M7/(I7*I6)</f>
        <v>3.9062500000000027</v>
      </c>
      <c r="O7">
        <f>N7^2/(6*L7)</f>
        <v>0.31789143880208376</v>
      </c>
    </row>
    <row r="8" spans="1:16">
      <c r="B8" s="3" t="s">
        <v>23</v>
      </c>
      <c r="C8">
        <f>70000*20</f>
        <v>1400000</v>
      </c>
      <c r="D8">
        <v>0.31</v>
      </c>
      <c r="E8" s="3">
        <f>(4/3)*3.1415*(D8*0.001)^3</f>
        <v>1.2478456866666664E-10</v>
      </c>
      <c r="F8" s="3">
        <f>C8*E8</f>
        <v>1.7469839613333329E-4</v>
      </c>
      <c r="G8">
        <f>F8*100</f>
        <v>1.7469839613333329E-2</v>
      </c>
      <c r="H8">
        <f>C8/12800</f>
        <v>109.375</v>
      </c>
      <c r="I8">
        <v>109</v>
      </c>
      <c r="J8" s="3">
        <f>I8*E8</f>
        <v>1.3601517984666664E-8</v>
      </c>
      <c r="K8" s="3">
        <f>J8/(1/D35)</f>
        <v>1.740994302037333E-4</v>
      </c>
      <c r="L8">
        <v>80</v>
      </c>
      <c r="M8">
        <f>J36</f>
        <v>812.95525494276865</v>
      </c>
      <c r="N8">
        <f>M8/(I8*I6)</f>
        <v>7.4583050912180608</v>
      </c>
      <c r="O8">
        <f>N8^2/(6*L8)</f>
        <v>0.11588815590351927</v>
      </c>
    </row>
    <row r="9" spans="1:16">
      <c r="A9" t="s">
        <v>17</v>
      </c>
      <c r="F9">
        <f>SUM(F4:F8)</f>
        <v>9.1419798774580216E-2</v>
      </c>
      <c r="K9" s="7">
        <f>SUM(K4:K8)</f>
        <v>9.9820026975923196E-2</v>
      </c>
      <c r="O9" s="8">
        <f>SUM(O5:O8)</f>
        <v>0.65674511775428679</v>
      </c>
      <c r="P9">
        <f>1/O9</f>
        <v>1.5226607293548817</v>
      </c>
    </row>
    <row r="11" spans="1:16">
      <c r="A11" s="2" t="s">
        <v>39</v>
      </c>
      <c r="H11" t="s">
        <v>43</v>
      </c>
      <c r="I11" t="s">
        <v>21</v>
      </c>
    </row>
    <row r="12" spans="1:16">
      <c r="A12" t="s">
        <v>19</v>
      </c>
      <c r="B12" s="3" t="s">
        <v>11</v>
      </c>
      <c r="C12">
        <v>50000</v>
      </c>
      <c r="D12">
        <v>12</v>
      </c>
      <c r="E12" s="3">
        <f>(4/3)*3.1415*(D12*0.001)^3</f>
        <v>7.2380159999999996E-6</v>
      </c>
      <c r="F12" s="3">
        <f>C12*E12</f>
        <v>0.36190079999999997</v>
      </c>
      <c r="G12">
        <f>F12*100</f>
        <v>36.190079999999995</v>
      </c>
      <c r="H12">
        <f>C12/62000</f>
        <v>0.80645161290322576</v>
      </c>
      <c r="I12" s="4">
        <v>1</v>
      </c>
      <c r="J12" s="3">
        <f>I12*E12</f>
        <v>7.2380159999999996E-6</v>
      </c>
      <c r="K12" s="3">
        <f>J12/(1/D39)</f>
        <v>0.44875699199999997</v>
      </c>
      <c r="L12">
        <v>0.04</v>
      </c>
    </row>
    <row r="13" spans="1:16">
      <c r="B13" s="3" t="s">
        <v>10</v>
      </c>
      <c r="C13">
        <f>C15/0.84</f>
        <v>446428.57142857142</v>
      </c>
      <c r="D13">
        <v>2.3199999999999998</v>
      </c>
      <c r="E13" s="3">
        <f>(4/3)*3.1415*(D13*0.001)^3</f>
        <v>5.2304584362666663E-8</v>
      </c>
      <c r="F13" s="3">
        <f>C13*E13</f>
        <v>2.3350260876190475E-2</v>
      </c>
      <c r="G13">
        <f>F13*100</f>
        <v>2.3350260876190476</v>
      </c>
      <c r="H13">
        <f t="shared" ref="H13:H16" si="0">C13/62000</f>
        <v>7.2004608294930872</v>
      </c>
      <c r="I13">
        <v>7</v>
      </c>
      <c r="J13" s="3">
        <f>I13*E13</f>
        <v>3.6613209053866665E-7</v>
      </c>
      <c r="K13" s="3">
        <f>J13/(1/D39)</f>
        <v>2.2700189613397332E-2</v>
      </c>
      <c r="L13">
        <v>8</v>
      </c>
      <c r="M13">
        <f>J39</f>
        <v>4.0322580645161263</v>
      </c>
      <c r="N13">
        <f>M13/(I13*I12*10)</f>
        <v>5.7603686635944659E-2</v>
      </c>
      <c r="O13">
        <f>N13^2/(6*L13)</f>
        <v>6.9128848209418941E-5</v>
      </c>
    </row>
    <row r="14" spans="1:16">
      <c r="B14" t="s">
        <v>25</v>
      </c>
      <c r="C14">
        <f>C15/4.7</f>
        <v>79787.234042553187</v>
      </c>
      <c r="D14">
        <v>2.5</v>
      </c>
      <c r="E14" s="3">
        <f>(4/3)*3.1415*(D14*0.001)^3</f>
        <v>6.5447916666666669E-8</v>
      </c>
      <c r="F14" s="3">
        <f>C14*E14</f>
        <v>5.221908244680851E-3</v>
      </c>
      <c r="G14">
        <f>F14*100</f>
        <v>0.52219082446808507</v>
      </c>
      <c r="H14">
        <f t="shared" si="0"/>
        <v>1.2868908716540837</v>
      </c>
      <c r="I14">
        <v>1</v>
      </c>
      <c r="J14" s="3">
        <f>I14*E14</f>
        <v>6.5447916666666669E-8</v>
      </c>
      <c r="K14" s="3">
        <f>J14/(1/D39)</f>
        <v>4.0577708333333334E-3</v>
      </c>
      <c r="L14">
        <v>8</v>
      </c>
      <c r="M14">
        <f>J39</f>
        <v>4.0322580645161263</v>
      </c>
      <c r="N14">
        <f>M14/(I14*I13)</f>
        <v>0.57603686635944662</v>
      </c>
      <c r="O14">
        <f>N14^2/(6*L14)</f>
        <v>6.9128848209418954E-3</v>
      </c>
    </row>
    <row r="15" spans="1:16">
      <c r="B15" s="3" t="s">
        <v>24</v>
      </c>
      <c r="C15">
        <v>375000</v>
      </c>
      <c r="D15">
        <v>2</v>
      </c>
      <c r="E15" s="3">
        <f>(4/3)*3.1415*(D15*0.001)^3</f>
        <v>3.3509333333333335E-8</v>
      </c>
      <c r="F15" s="3">
        <f>C15*E15</f>
        <v>1.2566000000000001E-2</v>
      </c>
      <c r="G15">
        <f>F15*100</f>
        <v>1.2566000000000002</v>
      </c>
      <c r="H15">
        <f t="shared" si="0"/>
        <v>6.0483870967741939</v>
      </c>
      <c r="I15">
        <v>6</v>
      </c>
      <c r="J15" s="3">
        <f>I15*E15</f>
        <v>2.0105600000000002E-7</v>
      </c>
      <c r="K15" s="3">
        <f>J15/(1/D39)</f>
        <v>1.2465472000000002E-2</v>
      </c>
      <c r="L15">
        <v>8</v>
      </c>
      <c r="M15">
        <f>J39</f>
        <v>4.0322580645161263</v>
      </c>
      <c r="N15">
        <f>M15/(I15*I14)</f>
        <v>0.67204301075268769</v>
      </c>
      <c r="O15">
        <f>N15^2/(6*L15)</f>
        <v>9.4092043396153558E-3</v>
      </c>
    </row>
    <row r="16" spans="1:16">
      <c r="A16" t="s">
        <v>18</v>
      </c>
      <c r="B16" s="3" t="s">
        <v>28</v>
      </c>
      <c r="C16">
        <f>70000*20*5</f>
        <v>7000000</v>
      </c>
      <c r="D16">
        <v>0.31</v>
      </c>
      <c r="E16" s="3">
        <f>(4/3)*3.1415*(D16*0.001)^3</f>
        <v>1.2478456866666664E-10</v>
      </c>
      <c r="F16" s="3">
        <f>C16*E16</f>
        <v>8.7349198066666647E-4</v>
      </c>
      <c r="G16">
        <f>F16*100</f>
        <v>8.7349198066666647E-2</v>
      </c>
      <c r="H16">
        <f t="shared" si="0"/>
        <v>112.90322580645162</v>
      </c>
      <c r="I16">
        <v>113</v>
      </c>
      <c r="J16" s="3">
        <f>I16*E16</f>
        <v>1.4100656259333329E-8</v>
      </c>
      <c r="K16" s="3">
        <f>J16/(1/D39)</f>
        <v>8.742406880786664E-4</v>
      </c>
      <c r="L16">
        <v>80</v>
      </c>
      <c r="M16">
        <f>J40</f>
        <v>167.83592360108742</v>
      </c>
      <c r="N16">
        <f>M16/(I16*I14)</f>
        <v>1.4852736601866143</v>
      </c>
      <c r="O16">
        <f>N16^2/(6*L16)</f>
        <v>4.5959121784252968E-3</v>
      </c>
    </row>
    <row r="17" spans="1:16">
      <c r="A17" t="s">
        <v>17</v>
      </c>
      <c r="F17">
        <f>SUM(F12:F16)</f>
        <v>0.40391246110153795</v>
      </c>
      <c r="K17" s="7">
        <f>SUM(K12:K16)</f>
        <v>0.48885466513480924</v>
      </c>
      <c r="O17" s="8">
        <f>SUM(O13:O16)</f>
        <v>2.0987130187191966E-2</v>
      </c>
      <c r="P17">
        <f>1/O17</f>
        <v>47.64824876391534</v>
      </c>
    </row>
    <row r="19" spans="1:16">
      <c r="A19" s="2" t="s">
        <v>40</v>
      </c>
      <c r="H19" t="s">
        <v>21</v>
      </c>
      <c r="I19" t="s">
        <v>21</v>
      </c>
    </row>
    <row r="20" spans="1:16">
      <c r="A20" t="s">
        <v>19</v>
      </c>
      <c r="B20" s="3" t="s">
        <v>11</v>
      </c>
      <c r="C20">
        <v>50000</v>
      </c>
      <c r="D20">
        <v>12</v>
      </c>
      <c r="E20" s="3">
        <f>(4/3)*3.1415*(D20*0.001)^3</f>
        <v>7.2380159999999996E-6</v>
      </c>
      <c r="F20" s="3">
        <f>(C20*E20)/C43</f>
        <v>0.18095039999999998</v>
      </c>
      <c r="G20">
        <f>F20*100</f>
        <v>18.095039999999997</v>
      </c>
      <c r="H20">
        <f>C20/62000</f>
        <v>0.80645161290322576</v>
      </c>
      <c r="I20" s="4">
        <v>1</v>
      </c>
      <c r="J20" s="3">
        <f>I20*E20</f>
        <v>7.2380159999999996E-6</v>
      </c>
      <c r="K20" s="3">
        <f>J20*D43/C43</f>
        <v>0.22437849599999998</v>
      </c>
      <c r="L20">
        <v>0.04</v>
      </c>
    </row>
    <row r="21" spans="1:16">
      <c r="B21" s="3" t="s">
        <v>10</v>
      </c>
      <c r="C21">
        <f>C23/0.84</f>
        <v>446428.57142857142</v>
      </c>
      <c r="D21">
        <v>2.3199999999999998</v>
      </c>
      <c r="E21" s="3">
        <f>(4/3)*3.1415*(D21*0.001)^3</f>
        <v>5.2304584362666663E-8</v>
      </c>
      <c r="F21" s="3">
        <f>(C21*E21)/C43</f>
        <v>1.1675130438095238E-2</v>
      </c>
      <c r="G21">
        <f>F21*100</f>
        <v>1.1675130438095238</v>
      </c>
      <c r="H21">
        <f>C21/62000</f>
        <v>7.2004608294930872</v>
      </c>
      <c r="I21">
        <v>7</v>
      </c>
      <c r="J21" s="3">
        <f>I21*E21</f>
        <v>3.6613209053866665E-7</v>
      </c>
      <c r="K21" s="3">
        <f>J21*D43/C43</f>
        <v>1.1350094806698666E-2</v>
      </c>
      <c r="L21">
        <v>8</v>
      </c>
      <c r="M21">
        <f>J43</f>
        <v>8.0645161290322545</v>
      </c>
      <c r="N21">
        <f>M21/(I21*I20*10)</f>
        <v>0.11520737327188935</v>
      </c>
      <c r="O21">
        <f>N21^2/(6*L21)</f>
        <v>2.7651539283767593E-4</v>
      </c>
    </row>
    <row r="22" spans="1:16">
      <c r="B22" t="s">
        <v>25</v>
      </c>
      <c r="C22">
        <f>C23/4.7</f>
        <v>79787.234042553187</v>
      </c>
      <c r="D22">
        <v>2.5</v>
      </c>
      <c r="E22" s="3">
        <f>(4/3)*3.1415*(D22*0.001)^3</f>
        <v>6.5447916666666669E-8</v>
      </c>
      <c r="F22" s="3">
        <f>(C22*E22)/C43</f>
        <v>2.6109541223404255E-3</v>
      </c>
      <c r="G22">
        <f>F22*100</f>
        <v>0.26109541223404253</v>
      </c>
      <c r="H22">
        <f>C22/62000</f>
        <v>1.2868908716540837</v>
      </c>
      <c r="I22">
        <v>1</v>
      </c>
      <c r="J22" s="3">
        <f>I22*E22</f>
        <v>6.5447916666666669E-8</v>
      </c>
      <c r="K22" s="3">
        <f>J22*D43/C43</f>
        <v>2.0288854166666667E-3</v>
      </c>
      <c r="L22">
        <v>8</v>
      </c>
      <c r="M22">
        <f>J43</f>
        <v>8.0645161290322545</v>
      </c>
      <c r="N22">
        <f>M22/(I22*I21)</f>
        <v>1.1520737327188935</v>
      </c>
      <c r="O22">
        <f>N22^2/(6*L22)</f>
        <v>2.7651539283767592E-2</v>
      </c>
    </row>
    <row r="23" spans="1:16">
      <c r="B23" s="3" t="s">
        <v>24</v>
      </c>
      <c r="C23">
        <v>375000</v>
      </c>
      <c r="D23">
        <v>2</v>
      </c>
      <c r="E23" s="3">
        <f>(4/3)*3.1415*(D23*0.001)^3</f>
        <v>3.3509333333333335E-8</v>
      </c>
      <c r="F23" s="3">
        <f>(C23*E23)/C43</f>
        <v>6.2830000000000004E-3</v>
      </c>
      <c r="G23">
        <f>F23*100</f>
        <v>0.62830000000000008</v>
      </c>
      <c r="H23">
        <f>C23/62000</f>
        <v>6.0483870967741939</v>
      </c>
      <c r="I23">
        <v>6</v>
      </c>
      <c r="J23" s="3">
        <f>I23*E23</f>
        <v>2.0105600000000002E-7</v>
      </c>
      <c r="K23" s="3">
        <f>J23*D43/C43</f>
        <v>6.2327360000000009E-3</v>
      </c>
      <c r="L23">
        <v>8</v>
      </c>
      <c r="M23">
        <f>J43</f>
        <v>8.0645161290322545</v>
      </c>
      <c r="N23">
        <f>M23/(I23*I22)</f>
        <v>1.3440860215053758</v>
      </c>
      <c r="O23">
        <f>N23^2/(6*L23)</f>
        <v>3.7636817358461451E-2</v>
      </c>
    </row>
    <row r="24" spans="1:16">
      <c r="A24" t="s">
        <v>18</v>
      </c>
      <c r="B24" s="3" t="s">
        <v>28</v>
      </c>
      <c r="C24">
        <f>70000*20*5</f>
        <v>7000000</v>
      </c>
      <c r="D24">
        <v>0.31</v>
      </c>
      <c r="E24" s="3">
        <f>(4/3)*3.1415*(D24*0.001)^3</f>
        <v>1.2478456866666664E-10</v>
      </c>
      <c r="F24" s="3">
        <f>(C24*E24)/C43</f>
        <v>4.3674599033333324E-4</v>
      </c>
      <c r="G24">
        <f>F24*100</f>
        <v>4.3674599033333324E-2</v>
      </c>
      <c r="H24">
        <f>C24/62000</f>
        <v>112.90322580645162</v>
      </c>
      <c r="I24">
        <v>113</v>
      </c>
      <c r="J24" s="3">
        <f>I24*E24</f>
        <v>1.4100656259333329E-8</v>
      </c>
      <c r="K24" s="3">
        <f>J24*D43/C43</f>
        <v>4.371203440393332E-4</v>
      </c>
      <c r="L24">
        <v>80</v>
      </c>
      <c r="M24">
        <f>J44</f>
        <v>335.67184720217494</v>
      </c>
      <c r="N24">
        <f>M24/(I24*I22)</f>
        <v>2.9705473203732295</v>
      </c>
      <c r="O24">
        <f>N24^2/(6*L24)</f>
        <v>1.8383648713701194E-2</v>
      </c>
    </row>
    <row r="25" spans="1:16">
      <c r="A25" t="s">
        <v>17</v>
      </c>
      <c r="F25">
        <f>SUM(F20:F24)</f>
        <v>0.20195623055076897</v>
      </c>
      <c r="K25" s="7">
        <f>SUM(K20:K24)</f>
        <v>0.24442733256740462</v>
      </c>
      <c r="O25" s="8">
        <f>SUM(O21:O24)</f>
        <v>8.3948520748767921E-2</v>
      </c>
      <c r="P25">
        <f>1/O25</f>
        <v>11.912062190978828</v>
      </c>
    </row>
    <row r="32" spans="1:16">
      <c r="A32" t="s">
        <v>27</v>
      </c>
    </row>
    <row r="34" spans="1:11" ht="30">
      <c r="C34" s="1" t="s">
        <v>31</v>
      </c>
      <c r="D34" s="1" t="s">
        <v>30</v>
      </c>
      <c r="E34" s="1" t="s">
        <v>32</v>
      </c>
      <c r="F34" s="1" t="s">
        <v>20</v>
      </c>
      <c r="G34" s="1" t="s">
        <v>12</v>
      </c>
      <c r="H34" s="1" t="s">
        <v>13</v>
      </c>
      <c r="I34" s="1" t="s">
        <v>14</v>
      </c>
      <c r="J34" s="1" t="s">
        <v>15</v>
      </c>
    </row>
    <row r="35" spans="1:11">
      <c r="A35" s="6" t="s">
        <v>9</v>
      </c>
      <c r="C35">
        <v>1</v>
      </c>
      <c r="D35">
        <v>12800</v>
      </c>
      <c r="E35">
        <f>C35/D35</f>
        <v>7.8125000000000002E-5</v>
      </c>
      <c r="F35">
        <f>E35^(1/3)</f>
        <v>4.2749398666917439E-2</v>
      </c>
      <c r="G35">
        <v>2E-3</v>
      </c>
      <c r="H35">
        <f>F35/G35</f>
        <v>21.374699333458718</v>
      </c>
      <c r="I35">
        <f>H35^3</f>
        <v>9765.6250000000073</v>
      </c>
      <c r="J35">
        <f>I35*G35</f>
        <v>19.531250000000014</v>
      </c>
      <c r="K35" t="s">
        <v>16</v>
      </c>
    </row>
    <row r="36" spans="1:11">
      <c r="F36">
        <f>E35^(1/3)</f>
        <v>4.2749398666917439E-2</v>
      </c>
      <c r="G36">
        <v>3.1E-4</v>
      </c>
      <c r="H36">
        <f>F36/G36</f>
        <v>137.90128602231431</v>
      </c>
      <c r="I36">
        <f>H36^3</f>
        <v>2622436.3062669956</v>
      </c>
      <c r="J36">
        <f>I36*G36</f>
        <v>812.95525494276865</v>
      </c>
      <c r="K36" t="s">
        <v>16</v>
      </c>
    </row>
    <row r="38" spans="1:11">
      <c r="E38" t="s">
        <v>22</v>
      </c>
      <c r="F38" t="s">
        <v>20</v>
      </c>
      <c r="G38" t="s">
        <v>12</v>
      </c>
      <c r="H38" t="s">
        <v>13</v>
      </c>
      <c r="I38" t="s">
        <v>14</v>
      </c>
      <c r="J38" t="s">
        <v>15</v>
      </c>
    </row>
    <row r="39" spans="1:11">
      <c r="A39" s="6" t="s">
        <v>35</v>
      </c>
      <c r="C39">
        <v>1</v>
      </c>
      <c r="D39">
        <v>62000</v>
      </c>
      <c r="E39">
        <f>C39/D39</f>
        <v>1.6129032258064517E-5</v>
      </c>
      <c r="F39">
        <f>E39^(1/3)</f>
        <v>2.5265977409642818E-2</v>
      </c>
      <c r="G39">
        <v>2E-3</v>
      </c>
      <c r="H39">
        <f>F39/G39</f>
        <v>12.632988704821409</v>
      </c>
      <c r="I39">
        <f>H39^3</f>
        <v>2016.129032258063</v>
      </c>
      <c r="J39">
        <f>I39*G39</f>
        <v>4.0322580645161263</v>
      </c>
      <c r="K39" t="s">
        <v>16</v>
      </c>
    </row>
    <row r="40" spans="1:11">
      <c r="F40">
        <f>E39^(1/3)</f>
        <v>2.5265977409642818E-2</v>
      </c>
      <c r="G40">
        <v>3.1E-4</v>
      </c>
      <c r="H40">
        <f>F40/G40</f>
        <v>81.503152934331666</v>
      </c>
      <c r="I40">
        <f>H40^3</f>
        <v>541406.20516479807</v>
      </c>
      <c r="J40">
        <f>I40*G40</f>
        <v>167.83592360108742</v>
      </c>
      <c r="K40" t="s">
        <v>16</v>
      </c>
    </row>
    <row r="42" spans="1:11">
      <c r="E42" t="s">
        <v>22</v>
      </c>
      <c r="F42" t="s">
        <v>20</v>
      </c>
      <c r="G42" t="s">
        <v>12</v>
      </c>
      <c r="H42" t="s">
        <v>13</v>
      </c>
      <c r="I42" t="s">
        <v>14</v>
      </c>
      <c r="J42" t="s">
        <v>15</v>
      </c>
    </row>
    <row r="43" spans="1:11">
      <c r="A43" s="6" t="s">
        <v>36</v>
      </c>
      <c r="C43">
        <v>2</v>
      </c>
      <c r="D43">
        <v>62000</v>
      </c>
      <c r="E43">
        <f>C43/D43</f>
        <v>3.2258064516129034E-5</v>
      </c>
      <c r="F43">
        <f>E43^(1/3)</f>
        <v>3.1833136784577332E-2</v>
      </c>
      <c r="G43">
        <v>2E-3</v>
      </c>
      <c r="H43">
        <f>F43/G43</f>
        <v>15.916568392288665</v>
      </c>
      <c r="I43">
        <f>H43^3</f>
        <v>4032.2580645161274</v>
      </c>
      <c r="J43">
        <f>I43*G43</f>
        <v>8.0645161290322545</v>
      </c>
      <c r="K43" t="s">
        <v>16</v>
      </c>
    </row>
    <row r="44" spans="1:11">
      <c r="F44">
        <f>E43^(1/3)</f>
        <v>3.1833136784577332E-2</v>
      </c>
      <c r="G44">
        <v>3.1E-4</v>
      </c>
      <c r="H44">
        <f>F44/G44</f>
        <v>102.68753801476558</v>
      </c>
      <c r="I44">
        <f>H44^3</f>
        <v>1082812.4103295966</v>
      </c>
      <c r="J44">
        <f>I44*G44</f>
        <v>335.67184720217494</v>
      </c>
      <c r="K44" t="s">
        <v>16</v>
      </c>
    </row>
    <row r="48" spans="1:11">
      <c r="A48" s="2"/>
    </row>
    <row r="49" spans="2:15">
      <c r="B49" s="3"/>
      <c r="E49" s="3"/>
      <c r="F49" s="3"/>
      <c r="I49" s="4"/>
      <c r="J49" s="3"/>
      <c r="K49" s="3"/>
    </row>
    <row r="50" spans="2:15">
      <c r="B50" s="3"/>
      <c r="E50" s="3"/>
      <c r="F50" s="3"/>
      <c r="J50" s="3"/>
      <c r="K50" s="3"/>
    </row>
    <row r="51" spans="2:15">
      <c r="E51" s="3"/>
      <c r="F51" s="3"/>
      <c r="J51" s="3"/>
      <c r="K51" s="3"/>
    </row>
    <row r="52" spans="2:15">
      <c r="B52" s="3"/>
      <c r="E52" s="3"/>
      <c r="F52" s="3"/>
      <c r="J52" s="3"/>
      <c r="K52" s="3"/>
    </row>
    <row r="53" spans="2:15">
      <c r="B53" s="3"/>
      <c r="E53" s="3"/>
      <c r="F53" s="3"/>
      <c r="J53" s="3"/>
      <c r="K53" s="3"/>
    </row>
    <row r="54" spans="2:15">
      <c r="K54" s="3"/>
      <c r="O54" s="5"/>
    </row>
  </sheetData>
  <mergeCells count="1">
    <mergeCell ref="B1:I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Stanford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Maheshwari</dc:creator>
  <cp:lastModifiedBy>Akshay Maheshwari</cp:lastModifiedBy>
  <dcterms:created xsi:type="dcterms:W3CDTF">2018-03-14T01:10:22Z</dcterms:created>
  <dcterms:modified xsi:type="dcterms:W3CDTF">2018-03-14T02:34:56Z</dcterms:modified>
</cp:coreProperties>
</file>