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80" yWindow="3500" windowWidth="36480" windowHeight="22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S21" i="1"/>
  <c r="O21" i="1"/>
  <c r="P21" i="1"/>
  <c r="S29" i="1"/>
  <c r="M19" i="1"/>
  <c r="S19" i="1"/>
  <c r="O18" i="1"/>
  <c r="M18" i="1"/>
  <c r="P18" i="1"/>
  <c r="O19" i="1"/>
  <c r="P19" i="1"/>
  <c r="O20" i="1"/>
  <c r="M20" i="1"/>
  <c r="P20" i="1"/>
  <c r="P22" i="1"/>
  <c r="Q24" i="1"/>
  <c r="T19" i="1"/>
  <c r="U19" i="1"/>
  <c r="V19" i="1"/>
  <c r="W19" i="1"/>
  <c r="X19" i="1"/>
  <c r="S20" i="1"/>
  <c r="T20" i="1"/>
  <c r="U20" i="1"/>
  <c r="V20" i="1"/>
  <c r="W20" i="1"/>
  <c r="X20" i="1"/>
  <c r="T29" i="1"/>
  <c r="U29" i="1"/>
  <c r="V29" i="1"/>
  <c r="W29" i="1"/>
  <c r="X29" i="1"/>
  <c r="T21" i="1"/>
  <c r="U21" i="1"/>
  <c r="V21" i="1"/>
  <c r="W21" i="1"/>
  <c r="X21" i="1"/>
  <c r="S18" i="1"/>
  <c r="T18" i="1"/>
  <c r="U18" i="1"/>
  <c r="V18" i="1"/>
  <c r="W18" i="1"/>
  <c r="X18" i="1"/>
  <c r="Q21" i="1"/>
  <c r="Q20" i="1"/>
  <c r="Q19" i="1"/>
  <c r="Q18" i="1"/>
  <c r="E22" i="1"/>
  <c r="C22" i="1"/>
  <c r="F22" i="1"/>
  <c r="E23" i="1"/>
  <c r="C23" i="1"/>
  <c r="F23" i="1"/>
  <c r="E24" i="1"/>
  <c r="C24" i="1"/>
  <c r="F24" i="1"/>
  <c r="E26" i="1"/>
  <c r="C26" i="1"/>
  <c r="F26" i="1"/>
  <c r="F27" i="1"/>
  <c r="H26" i="1"/>
  <c r="G26" i="1"/>
  <c r="G25" i="1"/>
  <c r="H24" i="1"/>
  <c r="G24" i="1"/>
  <c r="H23" i="1"/>
  <c r="G23" i="1"/>
  <c r="H22" i="1"/>
  <c r="G22" i="1"/>
  <c r="E12" i="1"/>
  <c r="F12" i="1"/>
  <c r="E11" i="1"/>
  <c r="F11" i="1"/>
  <c r="E13" i="1"/>
  <c r="F13" i="1"/>
  <c r="E15" i="1"/>
  <c r="F15" i="1"/>
  <c r="F16" i="1"/>
  <c r="H15" i="1"/>
  <c r="G15" i="1"/>
  <c r="G14" i="1"/>
  <c r="H13" i="1"/>
  <c r="G13" i="1"/>
  <c r="H12" i="1"/>
  <c r="G12" i="1"/>
  <c r="H11" i="1"/>
  <c r="G11" i="1"/>
  <c r="C5" i="1"/>
  <c r="G5" i="1"/>
  <c r="C6" i="1"/>
  <c r="G6" i="1"/>
  <c r="G7" i="1"/>
  <c r="C8" i="1"/>
  <c r="G8" i="1"/>
  <c r="C4" i="1"/>
  <c r="G4" i="1"/>
  <c r="H4" i="1"/>
  <c r="H5" i="1"/>
  <c r="H6" i="1"/>
  <c r="H8" i="1"/>
  <c r="E18" i="1"/>
  <c r="F18" i="1"/>
  <c r="E4" i="1"/>
  <c r="F4" i="1"/>
  <c r="E5" i="1"/>
  <c r="F5" i="1"/>
  <c r="E6" i="1"/>
  <c r="F6" i="1"/>
  <c r="E8" i="1"/>
  <c r="F8" i="1"/>
  <c r="F9" i="1"/>
  <c r="M10" i="1"/>
  <c r="L15" i="1"/>
  <c r="L13" i="1"/>
  <c r="L12" i="1"/>
  <c r="L11" i="1"/>
</calcChain>
</file>

<file path=xl/sharedStrings.xml><?xml version="1.0" encoding="utf-8"?>
<sst xmlns="http://schemas.openxmlformats.org/spreadsheetml/2006/main" count="53" uniqueCount="37">
  <si>
    <t>sub-vol=</t>
  </si>
  <si>
    <t>kT/6pietta*a</t>
  </si>
  <si>
    <t>47 tRNA estimate:</t>
  </si>
  <si>
    <t>Ribosomes</t>
  </si>
  <si>
    <t>dynamic visc water@37C=69*10^-4 kg/(m*s^2)</t>
  </si>
  <si>
    <t>EF-Tu-tRNA</t>
  </si>
  <si>
    <t>k= 1.380*10^-23 kg*m^2/(s^2*kelvin)</t>
  </si>
  <si>
    <t>tRNA synthetase</t>
  </si>
  <si>
    <t>Temp = 310 kelvin</t>
  </si>
  <si>
    <t xml:space="preserve">aa </t>
  </si>
  <si>
    <t>47 trna estimate:</t>
  </si>
  <si>
    <t>E coli volume (um^3)</t>
  </si>
  <si>
    <t># Sub-volumes</t>
  </si>
  <si>
    <t>sub-region vol (um^3)</t>
  </si>
  <si>
    <t>Cube side len (um)</t>
  </si>
  <si>
    <t>Diffusion calculations</t>
  </si>
  <si>
    <t># molecules in whole E. coli</t>
  </si>
  <si>
    <t>Molecule radius (nm)*</t>
  </si>
  <si>
    <t>molecule volume(um^3)</t>
  </si>
  <si>
    <t>volume occupied by molecule in whole E. coli</t>
  </si>
  <si>
    <t>D coefficient(um^2/s)</t>
  </si>
  <si>
    <t>sub-vol (1/1621)</t>
  </si>
  <si>
    <t>1 tRNA extimate</t>
  </si>
  <si>
    <t>((11636*(2.5*10^6)*(1.66*10^-24))+76190*68*10^3*1.66*10^-24)/(150*10^-15)</t>
  </si>
  <si>
    <t>((11636*(2.5*10^6)*(1.66*10^-24))+76190*68*10^3*1.66*10^-24)/(220*10^-15)</t>
  </si>
  <si>
    <t>Citations: 1. The 70S E coli ribosome at 23 A resolution: fitting the ribosomal RNA. Holger Stark. The ribosome is sphere of ~110A at first approximation. 2. The ternary complex of aminoacylated tRNA and EF-Tu-GTE recognition of a bend and a fold. P Nissen 1996. The max dimensions are 115x40x64 A; the radius of gyration is approximately 30A. (I use max characteristic length since it matters most for hydrodynamics)</t>
  </si>
  <si>
    <t>Expt 21</t>
  </si>
  <si>
    <t>Expt22</t>
  </si>
  <si>
    <t>Expt23</t>
  </si>
  <si>
    <t>Expt24</t>
  </si>
  <si>
    <t>Volume fraction</t>
  </si>
  <si>
    <t>Expt25</t>
  </si>
  <si>
    <t>Crowding experiment calculation</t>
  </si>
  <si>
    <t>Should be able to recover poisson normal by using large (10^-6) time steps, so essentially resampling each step.Steps ~as big as tRNA or ribosome</t>
  </si>
  <si>
    <t>Molecule volume fraction in whole E. coli</t>
  </si>
  <si>
    <t>Molecule radius (nm)</t>
  </si>
  <si>
    <t>.+10%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</si>
</sst>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2" fontId="0" fillId="0" borderId="0" xfId="0" applyNumberFormat="1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6"/>
  <sheetViews>
    <sheetView tabSelected="1" workbookViewId="0">
      <selection activeCell="W9" sqref="W9"/>
    </sheetView>
  </sheetViews>
  <sheetFormatPr baseColWidth="10" defaultRowHeight="15" x14ac:dyDescent="0"/>
  <cols>
    <col min="7" max="7" width="12.33203125" customWidth="1"/>
    <col min="15" max="15" width="13.83203125" customWidth="1"/>
  </cols>
  <sheetData>
    <row r="3" spans="1:24" ht="90">
      <c r="A3" s="4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21</v>
      </c>
      <c r="H3" s="3" t="s">
        <v>20</v>
      </c>
      <c r="I3" s="3"/>
      <c r="J3" s="3"/>
    </row>
    <row r="4" spans="1:24">
      <c r="A4" s="1" t="s">
        <v>2</v>
      </c>
      <c r="B4" s="2" t="s">
        <v>3</v>
      </c>
      <c r="C4">
        <f>C7/5.5</f>
        <v>11636.363636363636</v>
      </c>
      <c r="D4">
        <v>11</v>
      </c>
      <c r="E4" s="2">
        <f>(4/3)*3.1415*(D4*0.001)^3</f>
        <v>5.5751153333333318E-6</v>
      </c>
      <c r="F4" s="2">
        <f>E4*C4</f>
        <v>6.4874069333333312E-2</v>
      </c>
      <c r="G4">
        <f>C4/1621</f>
        <v>7.1785093376703495</v>
      </c>
      <c r="H4">
        <f>((1.38*10^-23*310)/(6*3.1415*(6.9*10^-4)*(D4*10^-9)))*10^12</f>
        <v>29.90271970058696</v>
      </c>
      <c r="K4" t="s">
        <v>23</v>
      </c>
    </row>
    <row r="5" spans="1:24">
      <c r="B5" s="2" t="s">
        <v>5</v>
      </c>
      <c r="C5">
        <f>C7/0.84</f>
        <v>76190.476190476198</v>
      </c>
      <c r="D5">
        <v>5.75</v>
      </c>
      <c r="E5" s="2">
        <f>(4/3)*3.1415*(D5*0.001)^3</f>
        <v>7.9630480208333317E-7</v>
      </c>
      <c r="F5" s="2">
        <f>E5*C5</f>
        <v>6.0670842063492054E-2</v>
      </c>
      <c r="G5">
        <f>C5/1621</f>
        <v>47.002144472841579</v>
      </c>
      <c r="H5">
        <f>((1.38*10^-23*310)/(6*3.1415*(6.9*10^-4)*(D5*10^-9)))*10^12</f>
        <v>57.205202905470706</v>
      </c>
    </row>
    <row r="6" spans="1:24">
      <c r="B6" t="s">
        <v>7</v>
      </c>
      <c r="C6">
        <f>C7/4.7</f>
        <v>13617.021276595744</v>
      </c>
      <c r="D6">
        <v>2.5</v>
      </c>
      <c r="E6" s="2">
        <f>(4/3)*3.1415*(D6*0.001)^3</f>
        <v>6.5447916666666669E-8</v>
      </c>
      <c r="F6" s="2">
        <f>E6*C6</f>
        <v>8.9120567375886527E-4</v>
      </c>
      <c r="G6">
        <f>C6/1621</f>
        <v>8.4003832674865784</v>
      </c>
      <c r="H6">
        <f>((1.38*10^-23*310)/(6*3.1415*(6.9*10^-4)*(D6*10^-9)))*10^12</f>
        <v>131.5719666825826</v>
      </c>
      <c r="K6" t="s">
        <v>24</v>
      </c>
    </row>
    <row r="7" spans="1:24">
      <c r="B7" s="2"/>
      <c r="C7">
        <v>64000</v>
      </c>
      <c r="E7" s="2"/>
      <c r="F7" s="2"/>
      <c r="G7">
        <f>C7/1621</f>
        <v>39.481801357186924</v>
      </c>
    </row>
    <row r="8" spans="1:24">
      <c r="B8" s="2" t="s">
        <v>9</v>
      </c>
      <c r="C8">
        <f>70000*20</f>
        <v>1400000</v>
      </c>
      <c r="D8">
        <v>0.31</v>
      </c>
      <c r="E8" s="2">
        <f>(4/3)*3.1415*(D8*0.001)^3</f>
        <v>1.2478456866666664E-10</v>
      </c>
      <c r="F8" s="2">
        <f>E8*C8</f>
        <v>1.7469839613333329E-4</v>
      </c>
      <c r="G8">
        <f>C8/1621</f>
        <v>863.66440468846395</v>
      </c>
      <c r="H8">
        <f>((1.38*10^-23*310)/(6*3.1415*(6.9*10^-4)*(D8*10^-9)))*10^12</f>
        <v>1061.0642474401825</v>
      </c>
    </row>
    <row r="9" spans="1:24">
      <c r="B9" s="2"/>
      <c r="E9" s="2"/>
      <c r="F9" s="5">
        <f>SUM(F4:F8)</f>
        <v>0.12661081546671754</v>
      </c>
    </row>
    <row r="10" spans="1:24">
      <c r="L10" t="s">
        <v>0</v>
      </c>
      <c r="M10">
        <f>C5/47</f>
        <v>1621.0739614994936</v>
      </c>
      <c r="Q10" t="s">
        <v>1</v>
      </c>
    </row>
    <row r="11" spans="1:24">
      <c r="A11" t="s">
        <v>22</v>
      </c>
      <c r="B11" s="2" t="s">
        <v>3</v>
      </c>
      <c r="C11">
        <v>7</v>
      </c>
      <c r="D11">
        <v>12</v>
      </c>
      <c r="E11" s="2">
        <f>(4/3)*3.1415*(D11*0.001)^3</f>
        <v>7.2380159999999996E-6</v>
      </c>
      <c r="F11" s="2">
        <f>E11*C11</f>
        <v>5.0666111999999999E-5</v>
      </c>
      <c r="G11">
        <f>C11/1621</f>
        <v>4.3183220234423196E-3</v>
      </c>
      <c r="H11">
        <f>((1.38*10^-23*310)/(6*3.1415*(6.9*10^-4)*(D11*10^-9)))*10^12</f>
        <v>27.410826392204708</v>
      </c>
      <c r="L11">
        <f>C4/M10</f>
        <v>7.1781818181818169</v>
      </c>
      <c r="M11" t="s">
        <v>4</v>
      </c>
    </row>
    <row r="12" spans="1:24">
      <c r="B12" s="2" t="s">
        <v>5</v>
      </c>
      <c r="C12">
        <v>188</v>
      </c>
      <c r="D12">
        <v>5.75</v>
      </c>
      <c r="E12" s="2">
        <f>(4/3)*3.1415*(D12*0.001)^3</f>
        <v>7.9630480208333317E-7</v>
      </c>
      <c r="F12" s="2">
        <f>E12*C12</f>
        <v>1.4970530279166664E-4</v>
      </c>
      <c r="G12">
        <f>C12/1621</f>
        <v>0.11597779148673658</v>
      </c>
      <c r="H12">
        <f>((1.38*10^-23*310)/(6*3.1415*(6.9*10^-4)*(D12*10^-9)))*10^12</f>
        <v>57.205202905470706</v>
      </c>
      <c r="L12">
        <f>C5/M10</f>
        <v>47</v>
      </c>
      <c r="M12" t="s">
        <v>6</v>
      </c>
    </row>
    <row r="13" spans="1:24">
      <c r="B13" t="s">
        <v>7</v>
      </c>
      <c r="C13">
        <v>0</v>
      </c>
      <c r="D13">
        <v>2.5</v>
      </c>
      <c r="E13" s="2">
        <f>(4/3)*3.1415*(D13*0.001)^3</f>
        <v>6.5447916666666669E-8</v>
      </c>
      <c r="F13" s="2">
        <f>E13*C13</f>
        <v>0</v>
      </c>
      <c r="G13">
        <f>C13/1621</f>
        <v>0</v>
      </c>
      <c r="H13">
        <f>((1.38*10^-23*310)/(6*3.1415*(6.9*10^-4)*(D13*10^-9)))*10^12</f>
        <v>131.5719666825826</v>
      </c>
      <c r="L13">
        <f>C6/M10</f>
        <v>8.3999999999999986</v>
      </c>
      <c r="M13" t="s">
        <v>8</v>
      </c>
    </row>
    <row r="14" spans="1:24">
      <c r="B14" s="2"/>
      <c r="C14">
        <v>0</v>
      </c>
      <c r="E14" s="2"/>
      <c r="F14" s="2"/>
      <c r="G14">
        <f>C14/1621</f>
        <v>0</v>
      </c>
    </row>
    <row r="15" spans="1:24">
      <c r="B15" s="2" t="s">
        <v>9</v>
      </c>
      <c r="C15">
        <v>0</v>
      </c>
      <c r="D15">
        <v>0.31</v>
      </c>
      <c r="E15" s="2">
        <f>(4/3)*3.1415*(D15*0.001)^3</f>
        <v>1.2478456866666664E-10</v>
      </c>
      <c r="F15" s="2">
        <f>E15*C15</f>
        <v>0</v>
      </c>
      <c r="G15">
        <f>C15/1621</f>
        <v>0</v>
      </c>
      <c r="H15">
        <f>((1.38*10^-23*310)/(6*3.1415*(6.9*10^-4)*(D15*10^-9)))*10^12</f>
        <v>1061.0642474401825</v>
      </c>
      <c r="L15">
        <f>C8/M10</f>
        <v>863.62499999999989</v>
      </c>
    </row>
    <row r="16" spans="1:24">
      <c r="B16" s="2"/>
      <c r="E16" s="2"/>
      <c r="F16" s="5">
        <f>SUM(F11:F15)/0.0006169</f>
        <v>0.324803719876263</v>
      </c>
      <c r="S16" s="1" t="s">
        <v>26</v>
      </c>
      <c r="U16" s="1" t="s">
        <v>27</v>
      </c>
      <c r="V16" s="1" t="s">
        <v>28</v>
      </c>
      <c r="W16" s="1" t="s">
        <v>29</v>
      </c>
      <c r="X16" s="1" t="s">
        <v>31</v>
      </c>
    </row>
    <row r="17" spans="1:24" ht="75">
      <c r="C17" s="3" t="s">
        <v>11</v>
      </c>
      <c r="D17" s="3" t="s">
        <v>12</v>
      </c>
      <c r="E17" s="3" t="s">
        <v>13</v>
      </c>
      <c r="F17" s="3" t="s">
        <v>14</v>
      </c>
      <c r="K17" s="7" t="s">
        <v>32</v>
      </c>
      <c r="L17" t="s">
        <v>30</v>
      </c>
      <c r="M17" s="3" t="s">
        <v>16</v>
      </c>
      <c r="N17" s="3" t="s">
        <v>35</v>
      </c>
      <c r="O17" s="3" t="s">
        <v>18</v>
      </c>
      <c r="P17" s="3" t="s">
        <v>34</v>
      </c>
      <c r="Q17" s="3" t="s">
        <v>20</v>
      </c>
      <c r="S17" s="6">
        <v>0.13</v>
      </c>
      <c r="T17" s="6" t="s">
        <v>36</v>
      </c>
      <c r="U17" s="6">
        <v>0.23</v>
      </c>
      <c r="V17" s="6">
        <v>0.33</v>
      </c>
      <c r="W17" s="6">
        <v>0.43</v>
      </c>
      <c r="X17" s="6">
        <v>0.53</v>
      </c>
    </row>
    <row r="18" spans="1:24">
      <c r="A18" t="s">
        <v>10</v>
      </c>
      <c r="C18">
        <v>1</v>
      </c>
      <c r="D18">
        <v>1621</v>
      </c>
      <c r="E18">
        <f>C18/D18</f>
        <v>6.1690314620604567E-4</v>
      </c>
      <c r="F18">
        <f>E18^(1/3)</f>
        <v>8.5127980045784729E-2</v>
      </c>
      <c r="K18" s="1"/>
      <c r="L18" s="2" t="s">
        <v>3</v>
      </c>
      <c r="M18">
        <f>M29/5.5</f>
        <v>11636.363636363636</v>
      </c>
      <c r="N18">
        <v>11</v>
      </c>
      <c r="O18" s="2">
        <f>(4/3)*3.1415*(N18*0.001)^3</f>
        <v>5.5751153333333318E-6</v>
      </c>
      <c r="P18" s="2">
        <f>O18*M18</f>
        <v>6.4874069333333312E-2</v>
      </c>
      <c r="Q18">
        <f>((1.38*10^-23*310)/(6*3.1415*(6.9*10^-4)*(N18*10^-9)))*10^12</f>
        <v>29.90271970058696</v>
      </c>
      <c r="S18">
        <f>M18/1621</f>
        <v>7.1785093376703495</v>
      </c>
      <c r="T18">
        <f>Q24*S18</f>
        <v>5.6697441772321424</v>
      </c>
      <c r="U18">
        <f>S18+T18</f>
        <v>12.848253514902492</v>
      </c>
      <c r="V18">
        <f>U18+T18</f>
        <v>18.517997692134635</v>
      </c>
      <c r="W18">
        <f>V18+T18</f>
        <v>24.187741869366779</v>
      </c>
      <c r="X18">
        <f>W18+T18</f>
        <v>29.857486046598922</v>
      </c>
    </row>
    <row r="19" spans="1:24">
      <c r="L19" s="2" t="s">
        <v>5</v>
      </c>
      <c r="M19">
        <f>M29/0.84</f>
        <v>76190.476190476198</v>
      </c>
      <c r="N19">
        <v>5.75</v>
      </c>
      <c r="O19" s="2">
        <f>(4/3)*3.1415*(N19*0.001)^3</f>
        <v>7.9630480208333317E-7</v>
      </c>
      <c r="P19" s="2">
        <f>O19*M19</f>
        <v>6.0670842063492054E-2</v>
      </c>
      <c r="Q19">
        <f>((1.38*10^-23*310)/(6*3.1415*(6.9*10^-4)*(N19*10^-9)))*10^12</f>
        <v>57.205202905470706</v>
      </c>
      <c r="S19">
        <f>M19/1621</f>
        <v>47.002144472841579</v>
      </c>
      <c r="T19">
        <f>Q24*S19</f>
        <v>37.123324969972366</v>
      </c>
      <c r="U19">
        <f>S19+T19</f>
        <v>84.125469442813937</v>
      </c>
      <c r="V19">
        <f>U19+T19</f>
        <v>121.24879441278631</v>
      </c>
      <c r="W19">
        <f>V19+T19</f>
        <v>158.37211938275868</v>
      </c>
      <c r="X19">
        <f>W19+T19</f>
        <v>195.49544435273106</v>
      </c>
    </row>
    <row r="20" spans="1:24">
      <c r="L20" t="s">
        <v>7</v>
      </c>
      <c r="M20">
        <f>M29/4.7</f>
        <v>13617.021276595744</v>
      </c>
      <c r="N20">
        <v>2.5</v>
      </c>
      <c r="O20" s="2">
        <f>(4/3)*3.1415*(N20*0.001)^3</f>
        <v>6.5447916666666669E-8</v>
      </c>
      <c r="P20" s="2">
        <f>O20*M20</f>
        <v>8.9120567375886527E-4</v>
      </c>
      <c r="Q20">
        <f>((1.38*10^-23*310)/(6*3.1415*(6.9*10^-4)*(N20*10^-9)))*10^12</f>
        <v>131.5719666825826</v>
      </c>
      <c r="S20">
        <f>M20/1621</f>
        <v>8.4003832674865784</v>
      </c>
      <c r="T20">
        <f>Q24*S20</f>
        <v>6.6348070159099528</v>
      </c>
      <c r="U20">
        <f>S20+T20</f>
        <v>15.035190283396531</v>
      </c>
      <c r="V20">
        <f>U20+T20</f>
        <v>21.669997299306484</v>
      </c>
      <c r="W20">
        <f>V20+T20</f>
        <v>28.304804315216437</v>
      </c>
      <c r="X20">
        <f>W20+T20</f>
        <v>34.939611331126386</v>
      </c>
    </row>
    <row r="21" spans="1:24">
      <c r="L21" s="2" t="s">
        <v>9</v>
      </c>
      <c r="M21">
        <f>70000*20</f>
        <v>1400000</v>
      </c>
      <c r="N21">
        <v>0.31</v>
      </c>
      <c r="O21" s="2">
        <f>(4/3)*3.1415*(N21*0.001)^3</f>
        <v>1.2478456866666664E-10</v>
      </c>
      <c r="P21" s="2">
        <f>O21*M21</f>
        <v>1.7469839613333329E-4</v>
      </c>
      <c r="Q21">
        <f>((1.38*10^-23*310)/(6*3.1415*(6.9*10^-4)*(N21*10^-9)))*10^12</f>
        <v>1061.0642474401825</v>
      </c>
      <c r="S21">
        <f>M21/1621</f>
        <v>863.66440468846395</v>
      </c>
      <c r="T21">
        <f>Q24*S21</f>
        <v>682.1410963232421</v>
      </c>
      <c r="U21">
        <f>S21+T21</f>
        <v>1545.8055010117059</v>
      </c>
      <c r="V21">
        <f>U21+T21</f>
        <v>2227.9465973349479</v>
      </c>
      <c r="W21">
        <f>V21+T21</f>
        <v>2910.0876936581899</v>
      </c>
      <c r="X21">
        <f>W21+T21</f>
        <v>3592.2287899814319</v>
      </c>
    </row>
    <row r="22" spans="1:24">
      <c r="A22" s="1" t="s">
        <v>2</v>
      </c>
      <c r="B22" s="2" t="s">
        <v>3</v>
      </c>
      <c r="C22">
        <f>C25/5.5</f>
        <v>11636.363636363636</v>
      </c>
      <c r="D22">
        <v>12</v>
      </c>
      <c r="E22" s="2">
        <f>(4/3)*3.1415*(D22*0.001)^3</f>
        <v>7.2380159999999996E-6</v>
      </c>
      <c r="F22" s="2">
        <f>E22*C22</f>
        <v>8.4224186181818178E-2</v>
      </c>
      <c r="G22">
        <f>C22/1621</f>
        <v>7.1785093376703495</v>
      </c>
      <c r="H22">
        <f>((1.38*10^-23*310)/(6*3.1415*(6.9*10^-4)*(D22*10^-9)))*10^12</f>
        <v>27.410826392204708</v>
      </c>
      <c r="P22" s="5">
        <f>SUM(P18:P21)</f>
        <v>0.12661081546671754</v>
      </c>
    </row>
    <row r="23" spans="1:24">
      <c r="B23" s="2" t="s">
        <v>5</v>
      </c>
      <c r="C23">
        <f>C25/0.84</f>
        <v>76190.476190476198</v>
      </c>
      <c r="D23">
        <v>7.5</v>
      </c>
      <c r="E23" s="2">
        <f>(4/3)*3.1415*(D23*0.001)^3</f>
        <v>1.7670937499999998E-6</v>
      </c>
      <c r="F23" s="2">
        <f>E23*C23</f>
        <v>0.13463571428571428</v>
      </c>
      <c r="G23">
        <f>C23/1621</f>
        <v>47.002144472841579</v>
      </c>
      <c r="H23">
        <f>((1.38*10^-23*310)/(6*3.1415*(6.9*10^-4)*(D23*10^-9)))*10^12</f>
        <v>43.857322227527533</v>
      </c>
      <c r="L23" s="2"/>
      <c r="O23" s="2"/>
    </row>
    <row r="24" spans="1:24">
      <c r="B24" t="s">
        <v>7</v>
      </c>
      <c r="C24">
        <f>C25/4.7</f>
        <v>13617.021276595744</v>
      </c>
      <c r="D24">
        <v>2.5</v>
      </c>
      <c r="E24" s="2">
        <f>(4/3)*3.1415*(D24*0.001)^3</f>
        <v>6.5447916666666669E-8</v>
      </c>
      <c r="F24" s="2">
        <f>E24*C24</f>
        <v>8.9120567375886527E-4</v>
      </c>
      <c r="G24">
        <f>C24/1621</f>
        <v>8.4003832674865784</v>
      </c>
      <c r="H24">
        <f>((1.38*10^-23*310)/(6*3.1415*(6.9*10^-4)*(D24*10^-9)))*10^12</f>
        <v>131.5719666825826</v>
      </c>
      <c r="Q24">
        <f>0.1/P22</f>
        <v>0.78982194081426815</v>
      </c>
    </row>
    <row r="25" spans="1:24">
      <c r="B25" s="2"/>
      <c r="C25">
        <v>64000</v>
      </c>
      <c r="E25" s="2"/>
      <c r="F25" s="2"/>
      <c r="G25">
        <f>C25/1621</f>
        <v>39.481801357186924</v>
      </c>
    </row>
    <row r="26" spans="1:24">
      <c r="B26" s="2" t="s">
        <v>9</v>
      </c>
      <c r="C26">
        <f>70000*20</f>
        <v>1400000</v>
      </c>
      <c r="D26">
        <v>0.31</v>
      </c>
      <c r="E26" s="2">
        <f>(4/3)*3.1415*(D26*0.001)^3</f>
        <v>1.2478456866666664E-10</v>
      </c>
      <c r="F26" s="2">
        <f>E26*C26</f>
        <v>1.7469839613333329E-4</v>
      </c>
      <c r="G26">
        <f>C26/1621</f>
        <v>863.66440468846395</v>
      </c>
      <c r="H26">
        <f>((1.38*10^-23*310)/(6*3.1415*(6.9*10^-4)*(D26*10^-9)))*10^12</f>
        <v>1061.0642474401825</v>
      </c>
    </row>
    <row r="27" spans="1:24">
      <c r="B27" s="2"/>
      <c r="E27" s="2"/>
      <c r="F27" s="5">
        <f>SUM(F22:F26)</f>
        <v>0.21992580453742464</v>
      </c>
    </row>
    <row r="29" spans="1:24">
      <c r="L29" s="2"/>
      <c r="M29">
        <v>64000</v>
      </c>
      <c r="O29" s="2"/>
      <c r="P29" s="2"/>
      <c r="S29">
        <f>M29/1621</f>
        <v>39.481801357186924</v>
      </c>
      <c r="T29">
        <f>Q24*S29</f>
        <v>31.183592974776783</v>
      </c>
      <c r="U29">
        <f>S29+T29</f>
        <v>70.665394331963711</v>
      </c>
      <c r="V29">
        <f>U29+T29</f>
        <v>101.8489873067405</v>
      </c>
      <c r="W29">
        <f>V29+T29</f>
        <v>133.03258028151728</v>
      </c>
      <c r="X29">
        <f>W29+T29</f>
        <v>164.21617325629407</v>
      </c>
    </row>
    <row r="30" spans="1:24">
      <c r="A30" s="8" t="s">
        <v>25</v>
      </c>
      <c r="B30" s="8"/>
      <c r="C30" s="8"/>
      <c r="D30" s="8"/>
      <c r="E30" s="8"/>
      <c r="F30" s="8"/>
      <c r="G30" s="8"/>
    </row>
    <row r="31" spans="1:24">
      <c r="A31" s="8"/>
      <c r="B31" s="8"/>
      <c r="C31" s="8"/>
      <c r="D31" s="8"/>
      <c r="E31" s="8"/>
      <c r="F31" s="8"/>
      <c r="G31" s="8"/>
    </row>
    <row r="32" spans="1:24">
      <c r="A32" s="8"/>
      <c r="B32" s="8"/>
      <c r="C32" s="8"/>
      <c r="D32" s="8"/>
      <c r="E32" s="8"/>
      <c r="F32" s="8"/>
      <c r="G32" s="8"/>
    </row>
    <row r="33" spans="1:14">
      <c r="A33" s="8"/>
      <c r="B33" s="8"/>
      <c r="C33" s="8"/>
      <c r="D33" s="8"/>
      <c r="E33" s="8"/>
      <c r="F33" s="8"/>
      <c r="G33" s="8"/>
    </row>
    <row r="34" spans="1:14">
      <c r="A34" s="8"/>
      <c r="B34" s="8"/>
      <c r="C34" s="8"/>
      <c r="D34" s="8"/>
      <c r="E34" s="8"/>
      <c r="F34" s="8"/>
      <c r="G34" s="8"/>
    </row>
    <row r="36" spans="1:14">
      <c r="N36" t="s">
        <v>33</v>
      </c>
    </row>
  </sheetData>
  <mergeCells count="1">
    <mergeCell ref="A30:G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Akshay Maheshwari</cp:lastModifiedBy>
  <dcterms:created xsi:type="dcterms:W3CDTF">2018-04-17T22:37:03Z</dcterms:created>
  <dcterms:modified xsi:type="dcterms:W3CDTF">2018-05-01T23:19:25Z</dcterms:modified>
</cp:coreProperties>
</file>