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nerginet.local\endk_funktion\Projekter\EffektGruppen\13_Medarbejdermapper\CVL\MTB\"/>
    </mc:Choice>
  </mc:AlternateContent>
  <bookViews>
    <workbookView xWindow="0" yWindow="0" windowWidth="23790" windowHeight="8025" tabRatio="754"/>
  </bookViews>
  <sheets>
    <sheet name="Settings" sheetId="8" r:id="rId1"/>
    <sheet name="Area values" sheetId="12" r:id="rId2"/>
    <sheet name="RfG cases" sheetId="6" r:id="rId3"/>
    <sheet name="DCC cases" sheetId="17" r:id="rId4"/>
    <sheet name="Unit cases" sheetId="15" r:id="rId5"/>
    <sheet name="Custom cases" sheetId="18" r:id="rId6"/>
    <sheet name="Event types" sheetId="13" r:id="rId7"/>
    <sheet name="RfG cases overview" sheetId="19" r:id="rId8"/>
    <sheet name="DCC cases overview" sheetId="21" r:id="rId9"/>
    <sheet name="Unit cases overview" sheetId="20" r:id="rId10"/>
    <sheet name="datavalidation" sheetId="11" state="hidden" r:id="rId11"/>
  </sheets>
  <externalReferences>
    <externalReference r:id="rId12"/>
  </externalReferences>
  <definedNames>
    <definedName name="_xlnm._FilterDatabase" localSheetId="5" hidden="1">'Custom cases'!$A$2:$BH$2</definedName>
    <definedName name="_xlnm._FilterDatabase" localSheetId="3" hidden="1">'DCC cases'!$A$2:$BH$2</definedName>
    <definedName name="_xlnm._FilterDatabase" localSheetId="2" hidden="1">'RfG cases'!$A$2:$BH$152</definedName>
    <definedName name="_xlnm._FilterDatabase" localSheetId="0" hidden="1">Settings!$A$5:$J$5</definedName>
    <definedName name="_xlnm._FilterDatabase" localSheetId="4" hidden="1">'Unit cases'!$A$2:$BH$2</definedName>
    <definedName name="inp_Area">Settings!$B$8</definedName>
    <definedName name="inp_default">Settings!$B$18</definedName>
    <definedName name="inp_init">Settings!$B$20</definedName>
    <definedName name="inp_scr_max">Settings!$B$11</definedName>
    <definedName name="inp_scr_min">Settings!$B$9</definedName>
    <definedName name="inp_scr_tun">Settings!$B$10</definedName>
    <definedName name="inp_Uc">Settings!$B$6</definedName>
    <definedName name="inp_Un" localSheetId="8">[1]Settings!$B$7</definedName>
    <definedName name="inp_Un" localSheetId="7">#REF!</definedName>
    <definedName name="inp_Un" localSheetId="9">[1]Settings!$B$7</definedName>
    <definedName name="inp_Un">Settings!$B$7</definedName>
    <definedName name="inp_Vdroop">Settings!$B$12</definedName>
    <definedName name="inp_xr_max">Settings!$B$15</definedName>
    <definedName name="inp_xr_min">Settings!$B$13</definedName>
    <definedName name="inp_xr_tun">Settings!$B$14</definedName>
    <definedName name="prot_dFneg">Settings!#REF!</definedName>
    <definedName name="prot_dFneg_t">Settings!#REF!</definedName>
    <definedName name="prot_dFpos">Settings!#REF!</definedName>
    <definedName name="prot_dFpos_t">Settings!#REF!</definedName>
    <definedName name="prot_Fo">Settings!#REF!</definedName>
    <definedName name="prot_Fo_t">Settings!#REF!</definedName>
    <definedName name="prot_Fu">Settings!#REF!</definedName>
    <definedName name="prot_Fu_t">Settings!#REF!</definedName>
    <definedName name="prot_Uo1">Settings!#REF!</definedName>
    <definedName name="prot_Uo1_t">Settings!#REF!</definedName>
    <definedName name="prot_Uo2">Settings!#REF!</definedName>
    <definedName name="prot_Uo2_t">Settings!#REF!</definedName>
    <definedName name="prot_Uo3">Settings!#REF!</definedName>
    <definedName name="prot_Uo3_t">Settings!#REF!</definedName>
    <definedName name="prot_Uu">Settings!#REF!</definedName>
    <definedName name="prot_Uu_t">Settings!#REF!</definedName>
    <definedName name="sel_30min_fmax">'Area values'!$H$11</definedName>
    <definedName name="sel_30min_fmin">'Area values'!$H$12</definedName>
    <definedName name="sel_60min_umax">'Area values'!$H$22</definedName>
    <definedName name="sel_60min_umin">'Area values'!$H$23</definedName>
    <definedName name="sel_contop_umax">'Area values'!$H$20</definedName>
    <definedName name="sel_contop_umin">'Area values'!$H$21</definedName>
    <definedName name="sel_fsm_db">'Area values'!$H$8</definedName>
    <definedName name="sel_fsm_droop">'Area values'!$H$9</definedName>
    <definedName name="sel_fsm_prov">'Area values'!$H$10</definedName>
    <definedName name="sel_lfsmo_droop">'Area values'!$H$5</definedName>
    <definedName name="sel_lfsmo_start">'Area values'!$H$4</definedName>
    <definedName name="sel_lfsmu_droop">'Area values'!$H$7</definedName>
    <definedName name="sel_lfsmu_start">'Area values'!$H$6</definedName>
    <definedName name="sel_lvfrt_start">'Area values'!$H$25</definedName>
    <definedName name="sel_lvfrt_stop">'Area values'!$H$26</definedName>
    <definedName name="sel_t1">'Area values'!$H$37</definedName>
    <definedName name="sel_t2">'Area values'!$H$39</definedName>
    <definedName name="sel_tclear">'Area values'!$H$28</definedName>
    <definedName name="sel_trec1">'Area values'!$H$30</definedName>
    <definedName name="sel_trec2">'Area values'!$H$32</definedName>
    <definedName name="sel_trec3">'Area values'!$H$34</definedName>
    <definedName name="sel_u1">'Area values'!$H$36</definedName>
    <definedName name="sel_u2">'Area values'!$H$38</definedName>
    <definedName name="sel_uclear">'Area values'!$H$29</definedName>
    <definedName name="sel_uq_q0.33_umax">'Area values'!$H$16</definedName>
    <definedName name="sel_uq_q0.33_umin">'Area values'!$H$17</definedName>
    <definedName name="sel_uq_q0.33ue_umax">'Area values'!$H$18</definedName>
    <definedName name="sel_uq_q0.33ue_umin">'Area values'!$H$19</definedName>
    <definedName name="sel_uq_q0_umax">'Area values'!$H$14</definedName>
    <definedName name="sel_uq_q0_umin">'Area values'!$H$15</definedName>
    <definedName name="sel_urec1">'Area values'!$H$31</definedName>
    <definedName name="sel_urec2">'Area values'!$H$33</definedName>
    <definedName name="sel_ures">'Area values'!$H$27</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1" l="1"/>
  <c r="E1" i="11"/>
  <c r="S3" i="18"/>
  <c r="K3" i="18"/>
  <c r="J3" i="18"/>
  <c r="E3" i="18"/>
  <c r="C3" i="18"/>
  <c r="B3" i="18"/>
  <c r="K62" i="15"/>
  <c r="J62" i="15"/>
  <c r="I62" i="15"/>
  <c r="E62" i="15"/>
  <c r="K61" i="15"/>
  <c r="J61" i="15"/>
  <c r="K60" i="15"/>
  <c r="J60" i="15"/>
  <c r="K59" i="15"/>
  <c r="J59" i="15"/>
  <c r="K58" i="15"/>
  <c r="J58" i="15"/>
  <c r="K57" i="15"/>
  <c r="J57" i="15"/>
  <c r="K56" i="15"/>
  <c r="J56" i="15"/>
  <c r="K55" i="15"/>
  <c r="J55" i="15"/>
  <c r="K54" i="15"/>
  <c r="J54" i="15"/>
  <c r="K53" i="15"/>
  <c r="J53" i="15"/>
  <c r="K52" i="15"/>
  <c r="J52" i="15"/>
  <c r="K51" i="15"/>
  <c r="J51" i="15"/>
  <c r="K50" i="15"/>
  <c r="J50" i="15"/>
  <c r="K49" i="15"/>
  <c r="J49" i="15"/>
  <c r="K48" i="15"/>
  <c r="J48" i="15"/>
  <c r="K47" i="15"/>
  <c r="J47" i="15"/>
  <c r="K46" i="15"/>
  <c r="J46" i="15"/>
  <c r="K45" i="15"/>
  <c r="J45" i="15"/>
  <c r="K44" i="15"/>
  <c r="J44" i="15"/>
  <c r="E44" i="15"/>
  <c r="K43" i="15"/>
  <c r="J43" i="15"/>
  <c r="E43" i="15"/>
  <c r="K42" i="15"/>
  <c r="J42" i="15"/>
  <c r="E42" i="15"/>
  <c r="K41" i="15"/>
  <c r="J41" i="15"/>
  <c r="E41" i="15"/>
  <c r="AI40" i="15"/>
  <c r="AE40" i="15"/>
  <c r="AA40" i="15"/>
  <c r="W40" i="15"/>
  <c r="S40" i="15"/>
  <c r="K40" i="15"/>
  <c r="J40" i="15"/>
  <c r="E40" i="15"/>
  <c r="K39" i="15"/>
  <c r="J39" i="15"/>
  <c r="E39" i="15"/>
  <c r="T38" i="15"/>
  <c r="S38" i="15"/>
  <c r="P38" i="15"/>
  <c r="O38" i="15"/>
  <c r="K38" i="15"/>
  <c r="J38" i="15"/>
  <c r="I38" i="15"/>
  <c r="E38" i="15"/>
  <c r="V37" i="15"/>
  <c r="T37" i="15"/>
  <c r="S37" i="15"/>
  <c r="R37" i="15"/>
  <c r="K37" i="15"/>
  <c r="J37" i="15"/>
  <c r="E37" i="15"/>
  <c r="T36" i="15"/>
  <c r="S36" i="15"/>
  <c r="R36" i="15"/>
  <c r="K36" i="15"/>
  <c r="J36" i="15"/>
  <c r="E36" i="15"/>
  <c r="T35" i="15"/>
  <c r="S35" i="15"/>
  <c r="R35" i="15"/>
  <c r="K35" i="15"/>
  <c r="J35" i="15"/>
  <c r="E35" i="15"/>
  <c r="E34" i="15"/>
  <c r="E33" i="15"/>
  <c r="K32" i="15"/>
  <c r="J32" i="15"/>
  <c r="E32" i="15"/>
  <c r="T31" i="15"/>
  <c r="S31" i="15"/>
  <c r="R31" i="15"/>
  <c r="K31" i="15"/>
  <c r="J31" i="15"/>
  <c r="E31" i="15"/>
  <c r="R30" i="15"/>
  <c r="K30" i="15"/>
  <c r="J30" i="15"/>
  <c r="E30" i="15"/>
  <c r="R29" i="15"/>
  <c r="K29" i="15"/>
  <c r="J29" i="15"/>
  <c r="E29" i="15"/>
  <c r="Z28" i="15"/>
  <c r="R28" i="15"/>
  <c r="K28" i="15"/>
  <c r="J28" i="15"/>
  <c r="E28" i="15"/>
  <c r="E27" i="15"/>
  <c r="K26" i="15"/>
  <c r="J26" i="15"/>
  <c r="E26" i="15"/>
  <c r="K25" i="15"/>
  <c r="J25" i="15"/>
  <c r="E25" i="15"/>
  <c r="K24" i="15"/>
  <c r="J24" i="15"/>
  <c r="E24" i="15"/>
  <c r="K23" i="15"/>
  <c r="J23" i="15"/>
  <c r="E23" i="15"/>
  <c r="K22" i="15"/>
  <c r="J22" i="15"/>
  <c r="E22" i="15"/>
  <c r="K21" i="15"/>
  <c r="J21" i="15"/>
  <c r="E21" i="15"/>
  <c r="K20" i="15"/>
  <c r="J20" i="15"/>
  <c r="E20" i="15"/>
  <c r="K19" i="15"/>
  <c r="J19" i="15"/>
  <c r="E19" i="15"/>
  <c r="K18" i="15"/>
  <c r="J18" i="15"/>
  <c r="E18" i="15"/>
  <c r="K17" i="15"/>
  <c r="J17" i="15"/>
  <c r="E17" i="15"/>
  <c r="K16" i="15"/>
  <c r="J16" i="15"/>
  <c r="E16" i="15"/>
  <c r="O15" i="15"/>
  <c r="P15" i="15" s="1"/>
  <c r="K15" i="15"/>
  <c r="J15" i="15"/>
  <c r="E15" i="15"/>
  <c r="W14" i="15"/>
  <c r="V14" i="15"/>
  <c r="S14" i="15"/>
  <c r="R14" i="15"/>
  <c r="O14" i="15"/>
  <c r="E14" i="15"/>
  <c r="E13" i="15"/>
  <c r="K12" i="15"/>
  <c r="J12" i="15"/>
  <c r="E12" i="15"/>
  <c r="AA11" i="15"/>
  <c r="S11" i="15"/>
  <c r="E11" i="15"/>
  <c r="K10" i="15"/>
  <c r="J10" i="15"/>
  <c r="E10" i="15"/>
  <c r="K9" i="15"/>
  <c r="J9" i="15"/>
  <c r="E9" i="15"/>
  <c r="K8" i="15"/>
  <c r="J8" i="15"/>
  <c r="E8" i="15"/>
  <c r="K7" i="15"/>
  <c r="J7" i="15"/>
  <c r="E7" i="15"/>
  <c r="K6" i="15"/>
  <c r="J6" i="15"/>
  <c r="E6" i="15"/>
  <c r="K5" i="15"/>
  <c r="J5" i="15"/>
  <c r="E5" i="15"/>
  <c r="K4" i="15"/>
  <c r="J4" i="15"/>
  <c r="E4" i="15"/>
  <c r="K3" i="15"/>
  <c r="J3" i="15"/>
  <c r="E3" i="15"/>
  <c r="K41" i="17"/>
  <c r="J41" i="17"/>
  <c r="K40" i="17"/>
  <c r="J40" i="17"/>
  <c r="K39" i="17"/>
  <c r="J39" i="17"/>
  <c r="K38" i="17"/>
  <c r="J38" i="17"/>
  <c r="O37" i="17"/>
  <c r="E37" i="17"/>
  <c r="O36" i="17"/>
  <c r="E35" i="17"/>
  <c r="I33" i="17"/>
  <c r="E33" i="17"/>
  <c r="K32" i="17"/>
  <c r="J32" i="17"/>
  <c r="I32" i="17"/>
  <c r="E32" i="17"/>
  <c r="K31" i="17"/>
  <c r="J31" i="17"/>
  <c r="I31" i="17"/>
  <c r="E31" i="17"/>
  <c r="K30" i="17"/>
  <c r="J30" i="17"/>
  <c r="I30" i="17"/>
  <c r="E30" i="17"/>
  <c r="K29" i="17"/>
  <c r="J29" i="17"/>
  <c r="I29" i="17"/>
  <c r="E29" i="17"/>
  <c r="K28" i="17"/>
  <c r="J28" i="17"/>
  <c r="I28" i="17"/>
  <c r="E28" i="17"/>
  <c r="K27" i="17"/>
  <c r="J27" i="17"/>
  <c r="I27" i="17"/>
  <c r="E27" i="17"/>
  <c r="K26" i="17"/>
  <c r="J26" i="17"/>
  <c r="I26" i="17"/>
  <c r="E26" i="17"/>
  <c r="K25" i="17"/>
  <c r="J25" i="17"/>
  <c r="I25" i="17"/>
  <c r="E25" i="17"/>
  <c r="K24" i="17"/>
  <c r="J24" i="17"/>
  <c r="I24" i="17"/>
  <c r="E24" i="17"/>
  <c r="K23" i="17"/>
  <c r="J23" i="17"/>
  <c r="I23" i="17"/>
  <c r="E23" i="17"/>
  <c r="AI22" i="17"/>
  <c r="AE22" i="17"/>
  <c r="AA22" i="17"/>
  <c r="W22" i="17"/>
  <c r="S22" i="17"/>
  <c r="K22" i="17"/>
  <c r="J22" i="17"/>
  <c r="I22" i="17"/>
  <c r="E22" i="17"/>
  <c r="K21" i="17"/>
  <c r="J21" i="17"/>
  <c r="I21" i="17"/>
  <c r="E21" i="17"/>
  <c r="K20" i="17"/>
  <c r="J20" i="17"/>
  <c r="I20" i="17"/>
  <c r="E20" i="17"/>
  <c r="I19" i="17"/>
  <c r="E19" i="17"/>
  <c r="I18" i="17"/>
  <c r="E18" i="17"/>
  <c r="T17" i="17"/>
  <c r="S17" i="17"/>
  <c r="P17" i="17"/>
  <c r="O17" i="17"/>
  <c r="K17" i="17"/>
  <c r="J17" i="17"/>
  <c r="I17" i="17"/>
  <c r="E17" i="17"/>
  <c r="T16" i="17"/>
  <c r="S16" i="17"/>
  <c r="R16" i="17"/>
  <c r="K16" i="17"/>
  <c r="J16" i="17"/>
  <c r="I16" i="17"/>
  <c r="E16" i="17"/>
  <c r="T15" i="17"/>
  <c r="S15" i="17"/>
  <c r="R15" i="17"/>
  <c r="K15" i="17"/>
  <c r="J15" i="17"/>
  <c r="I15" i="17"/>
  <c r="E15" i="17"/>
  <c r="K14" i="17"/>
  <c r="J14" i="17"/>
  <c r="I14" i="17"/>
  <c r="E14" i="17"/>
  <c r="K13" i="17"/>
  <c r="J13" i="17"/>
  <c r="I13" i="17"/>
  <c r="E13" i="17"/>
  <c r="K12" i="17"/>
  <c r="J12" i="17"/>
  <c r="I12" i="17"/>
  <c r="E12" i="17"/>
  <c r="O11" i="17"/>
  <c r="P11" i="17" s="1"/>
  <c r="K11" i="17"/>
  <c r="J11" i="17"/>
  <c r="I11" i="17"/>
  <c r="E11" i="17"/>
  <c r="K10" i="17"/>
  <c r="J10" i="17"/>
  <c r="I10" i="17"/>
  <c r="E10" i="17"/>
  <c r="K9" i="17"/>
  <c r="J9" i="17"/>
  <c r="I9" i="17"/>
  <c r="E9" i="17"/>
  <c r="K8" i="17"/>
  <c r="J8" i="17"/>
  <c r="I8" i="17"/>
  <c r="E8" i="17"/>
  <c r="K7" i="17"/>
  <c r="J7" i="17"/>
  <c r="I7" i="17"/>
  <c r="E7" i="17"/>
  <c r="K6" i="17"/>
  <c r="J6" i="17"/>
  <c r="I6" i="17"/>
  <c r="E6" i="17"/>
  <c r="K5" i="17"/>
  <c r="J5" i="17"/>
  <c r="I5" i="17"/>
  <c r="E5" i="17"/>
  <c r="K4" i="17"/>
  <c r="J4" i="17"/>
  <c r="I4" i="17"/>
  <c r="E4" i="17"/>
  <c r="K3" i="17"/>
  <c r="J3" i="17"/>
  <c r="I3" i="17"/>
  <c r="E3" i="17"/>
  <c r="K152" i="6"/>
  <c r="J152" i="6"/>
  <c r="E152" i="6"/>
  <c r="C152" i="6"/>
  <c r="B152" i="6"/>
  <c r="K151" i="6"/>
  <c r="J151" i="6"/>
  <c r="E151" i="6"/>
  <c r="C151" i="6"/>
  <c r="B151" i="6"/>
  <c r="K150" i="6"/>
  <c r="J150" i="6"/>
  <c r="E150" i="6"/>
  <c r="C150" i="6"/>
  <c r="B150" i="6"/>
  <c r="K149" i="6"/>
  <c r="J149" i="6"/>
  <c r="E149" i="6"/>
  <c r="C149" i="6"/>
  <c r="B149" i="6"/>
  <c r="K148" i="6"/>
  <c r="J148" i="6"/>
  <c r="E148" i="6"/>
  <c r="C148" i="6"/>
  <c r="B148" i="6"/>
  <c r="K147" i="6"/>
  <c r="J147" i="6"/>
  <c r="E147" i="6"/>
  <c r="C147" i="6"/>
  <c r="B147" i="6"/>
  <c r="K146" i="6"/>
  <c r="J146" i="6"/>
  <c r="E146" i="6"/>
  <c r="C146" i="6"/>
  <c r="B146" i="6"/>
  <c r="K145" i="6"/>
  <c r="J145" i="6"/>
  <c r="E145" i="6"/>
  <c r="C145" i="6"/>
  <c r="B145" i="6"/>
  <c r="K144" i="6"/>
  <c r="J144" i="6"/>
  <c r="E144" i="6"/>
  <c r="C144" i="6"/>
  <c r="B144" i="6"/>
  <c r="K143" i="6"/>
  <c r="J143" i="6"/>
  <c r="E143" i="6"/>
  <c r="C143" i="6"/>
  <c r="B143" i="6"/>
  <c r="K142" i="6"/>
  <c r="J142" i="6"/>
  <c r="E142" i="6"/>
  <c r="C142" i="6"/>
  <c r="B142" i="6"/>
  <c r="K141" i="6"/>
  <c r="J141" i="6"/>
  <c r="E141" i="6"/>
  <c r="C141" i="6"/>
  <c r="B141" i="6"/>
  <c r="K140" i="6"/>
  <c r="J140" i="6"/>
  <c r="E140" i="6"/>
  <c r="C140" i="6"/>
  <c r="B140" i="6"/>
  <c r="K139" i="6"/>
  <c r="J139" i="6"/>
  <c r="E139" i="6"/>
  <c r="C139" i="6"/>
  <c r="B139" i="6"/>
  <c r="K138" i="6"/>
  <c r="J138" i="6"/>
  <c r="E138" i="6"/>
  <c r="C138" i="6"/>
  <c r="B138" i="6"/>
  <c r="P137" i="6"/>
  <c r="I137" i="6"/>
  <c r="E137" i="6"/>
  <c r="C137" i="6"/>
  <c r="B137" i="6"/>
  <c r="P136" i="6"/>
  <c r="E136" i="6"/>
  <c r="C136" i="6"/>
  <c r="B136" i="6"/>
  <c r="P135" i="6"/>
  <c r="I135" i="6"/>
  <c r="E135" i="6"/>
  <c r="C135" i="6"/>
  <c r="B135" i="6"/>
  <c r="P134" i="6"/>
  <c r="E134" i="6"/>
  <c r="C134" i="6"/>
  <c r="B134" i="6"/>
  <c r="P133" i="6"/>
  <c r="K133" i="6"/>
  <c r="J133" i="6"/>
  <c r="I133" i="6"/>
  <c r="E133" i="6"/>
  <c r="C133" i="6"/>
  <c r="B133" i="6"/>
  <c r="P132" i="6"/>
  <c r="K132" i="6"/>
  <c r="J132" i="6"/>
  <c r="E132" i="6"/>
  <c r="C132" i="6"/>
  <c r="B132" i="6"/>
  <c r="P131" i="6"/>
  <c r="I131" i="6"/>
  <c r="E131" i="6"/>
  <c r="C131" i="6"/>
  <c r="B131" i="6"/>
  <c r="P130" i="6"/>
  <c r="E130" i="6"/>
  <c r="C130" i="6"/>
  <c r="B130" i="6"/>
  <c r="T129" i="6"/>
  <c r="S129" i="6"/>
  <c r="P129" i="6"/>
  <c r="O129" i="6"/>
  <c r="K129" i="6"/>
  <c r="J129" i="6"/>
  <c r="H129" i="6"/>
  <c r="E129" i="6"/>
  <c r="I129" i="6" s="1"/>
  <c r="C129" i="6"/>
  <c r="B129" i="6"/>
  <c r="T128" i="6"/>
  <c r="S128" i="6"/>
  <c r="P128" i="6"/>
  <c r="O128" i="6"/>
  <c r="K128" i="6"/>
  <c r="J128" i="6"/>
  <c r="I128" i="6"/>
  <c r="E128" i="6"/>
  <c r="C128" i="6"/>
  <c r="B128" i="6"/>
  <c r="V127" i="6"/>
  <c r="T127" i="6"/>
  <c r="S127" i="6"/>
  <c r="R127" i="6"/>
  <c r="K127" i="6"/>
  <c r="J127" i="6"/>
  <c r="I127" i="6"/>
  <c r="E127" i="6"/>
  <c r="C127" i="6"/>
  <c r="B127" i="6"/>
  <c r="V126" i="6"/>
  <c r="T126" i="6"/>
  <c r="S126" i="6"/>
  <c r="R126" i="6"/>
  <c r="K126" i="6"/>
  <c r="J126" i="6"/>
  <c r="I126" i="6"/>
  <c r="E126" i="6"/>
  <c r="C126" i="6"/>
  <c r="B126" i="6"/>
  <c r="AP125" i="6"/>
  <c r="AL125" i="6"/>
  <c r="AH125" i="6"/>
  <c r="AD125" i="6"/>
  <c r="Z125" i="6"/>
  <c r="V125" i="6"/>
  <c r="K125" i="6"/>
  <c r="J125" i="6"/>
  <c r="I125" i="6"/>
  <c r="E125" i="6"/>
  <c r="C125" i="6"/>
  <c r="B125" i="6"/>
  <c r="AP124" i="6"/>
  <c r="AL124" i="6"/>
  <c r="AH124" i="6"/>
  <c r="AD124" i="6"/>
  <c r="Z124" i="6"/>
  <c r="V124" i="6"/>
  <c r="K124" i="6"/>
  <c r="J124" i="6"/>
  <c r="I124" i="6"/>
  <c r="E124" i="6"/>
  <c r="C124" i="6"/>
  <c r="B124" i="6"/>
  <c r="I123" i="6"/>
  <c r="E123" i="6"/>
  <c r="C123" i="6"/>
  <c r="B123" i="6"/>
  <c r="I122" i="6"/>
  <c r="E122" i="6"/>
  <c r="C122" i="6"/>
  <c r="B122" i="6"/>
  <c r="X121" i="6"/>
  <c r="W121" i="6"/>
  <c r="V121" i="6"/>
  <c r="R121" i="6"/>
  <c r="K121" i="6"/>
  <c r="J121" i="6"/>
  <c r="I121" i="6"/>
  <c r="E121" i="6"/>
  <c r="C121" i="6"/>
  <c r="B121" i="6"/>
  <c r="R120" i="6"/>
  <c r="K120" i="6"/>
  <c r="J120" i="6"/>
  <c r="H120" i="6"/>
  <c r="E120" i="6"/>
  <c r="I120" i="6" s="1"/>
  <c r="C120" i="6"/>
  <c r="B120" i="6"/>
  <c r="K119" i="6"/>
  <c r="J119" i="6"/>
  <c r="I119" i="6"/>
  <c r="E119" i="6"/>
  <c r="C119" i="6"/>
  <c r="B119" i="6"/>
  <c r="K118" i="6"/>
  <c r="J118" i="6"/>
  <c r="I118" i="6"/>
  <c r="E118" i="6"/>
  <c r="C118" i="6"/>
  <c r="B118" i="6"/>
  <c r="K117" i="6"/>
  <c r="J117" i="6"/>
  <c r="H117" i="6"/>
  <c r="E117" i="6"/>
  <c r="I117" i="6" s="1"/>
  <c r="C117" i="6"/>
  <c r="B117" i="6"/>
  <c r="T116" i="6"/>
  <c r="S116" i="6"/>
  <c r="R116" i="6"/>
  <c r="K116" i="6"/>
  <c r="J116" i="6"/>
  <c r="H116" i="6"/>
  <c r="E116" i="6"/>
  <c r="I116" i="6" s="1"/>
  <c r="C116" i="6"/>
  <c r="B116" i="6"/>
  <c r="T115" i="6"/>
  <c r="S115" i="6"/>
  <c r="R115" i="6"/>
  <c r="K115" i="6"/>
  <c r="J115" i="6"/>
  <c r="H115" i="6"/>
  <c r="E115" i="6"/>
  <c r="I115" i="6" s="1"/>
  <c r="C115" i="6"/>
  <c r="B115" i="6"/>
  <c r="K114" i="6"/>
  <c r="J114" i="6"/>
  <c r="H114" i="6"/>
  <c r="E114" i="6"/>
  <c r="I114" i="6" s="1"/>
  <c r="C114" i="6"/>
  <c r="B114" i="6"/>
  <c r="K113" i="6"/>
  <c r="J113" i="6"/>
  <c r="H113" i="6"/>
  <c r="E113" i="6"/>
  <c r="I113" i="6" s="1"/>
  <c r="C113" i="6"/>
  <c r="B113" i="6"/>
  <c r="K112" i="6"/>
  <c r="J112" i="6"/>
  <c r="H112" i="6"/>
  <c r="E112" i="6"/>
  <c r="I112" i="6" s="1"/>
  <c r="C112" i="6"/>
  <c r="B112" i="6"/>
  <c r="K111" i="6"/>
  <c r="J111" i="6"/>
  <c r="H111" i="6"/>
  <c r="E111" i="6"/>
  <c r="I111" i="6" s="1"/>
  <c r="C111" i="6"/>
  <c r="B111" i="6"/>
  <c r="K110" i="6"/>
  <c r="J110" i="6"/>
  <c r="H110" i="6"/>
  <c r="E110" i="6"/>
  <c r="I110" i="6" s="1"/>
  <c r="C110" i="6"/>
  <c r="B110" i="6"/>
  <c r="K109" i="6"/>
  <c r="J109" i="6"/>
  <c r="H109" i="6"/>
  <c r="E109" i="6"/>
  <c r="I109" i="6" s="1"/>
  <c r="C109" i="6"/>
  <c r="B109" i="6"/>
  <c r="K108" i="6"/>
  <c r="J108" i="6"/>
  <c r="I108" i="6"/>
  <c r="H108" i="6"/>
  <c r="E108" i="6"/>
  <c r="C108" i="6"/>
  <c r="B108" i="6"/>
  <c r="K107" i="6"/>
  <c r="J107" i="6"/>
  <c r="H107" i="6"/>
  <c r="E107" i="6"/>
  <c r="I107" i="6" s="1"/>
  <c r="C107" i="6"/>
  <c r="B107" i="6"/>
  <c r="K106" i="6"/>
  <c r="J106" i="6"/>
  <c r="H106" i="6"/>
  <c r="E106" i="6"/>
  <c r="I106" i="6" s="1"/>
  <c r="C106" i="6"/>
  <c r="B106" i="6"/>
  <c r="K105" i="6"/>
  <c r="J105" i="6"/>
  <c r="I105" i="6"/>
  <c r="H105" i="6"/>
  <c r="E105" i="6"/>
  <c r="C105" i="6"/>
  <c r="B105" i="6"/>
  <c r="O104" i="6"/>
  <c r="P104" i="6" s="1"/>
  <c r="K104" i="6"/>
  <c r="J104" i="6"/>
  <c r="H104" i="6"/>
  <c r="E104" i="6"/>
  <c r="I104" i="6" s="1"/>
  <c r="C104" i="6"/>
  <c r="B104" i="6"/>
  <c r="K103" i="6"/>
  <c r="J103" i="6"/>
  <c r="I103" i="6"/>
  <c r="E103" i="6"/>
  <c r="C103" i="6"/>
  <c r="B103" i="6"/>
  <c r="K102" i="6"/>
  <c r="J102" i="6"/>
  <c r="I102" i="6"/>
  <c r="E102" i="6"/>
  <c r="C102" i="6"/>
  <c r="B102" i="6"/>
  <c r="K101" i="6"/>
  <c r="J101" i="6"/>
  <c r="I101" i="6"/>
  <c r="E101" i="6"/>
  <c r="C101" i="6"/>
  <c r="B101" i="6"/>
  <c r="K100" i="6"/>
  <c r="J100" i="6"/>
  <c r="I100" i="6"/>
  <c r="E100" i="6"/>
  <c r="C100" i="6"/>
  <c r="B100" i="6"/>
  <c r="K99" i="6"/>
  <c r="J99" i="6"/>
  <c r="I99" i="6"/>
  <c r="E99" i="6"/>
  <c r="C99" i="6"/>
  <c r="B99" i="6"/>
  <c r="K98" i="6"/>
  <c r="J98" i="6"/>
  <c r="I98" i="6"/>
  <c r="E98" i="6"/>
  <c r="C98" i="6"/>
  <c r="B98" i="6"/>
  <c r="R97" i="6"/>
  <c r="K97" i="6"/>
  <c r="J97" i="6"/>
  <c r="I97" i="6"/>
  <c r="E97" i="6"/>
  <c r="C97" i="6"/>
  <c r="B97" i="6"/>
  <c r="P96" i="6"/>
  <c r="O96" i="6"/>
  <c r="K96" i="6"/>
  <c r="J96" i="6"/>
  <c r="I96" i="6"/>
  <c r="E96" i="6"/>
  <c r="C96" i="6"/>
  <c r="B96" i="6"/>
  <c r="K95" i="6"/>
  <c r="J95" i="6"/>
  <c r="I95" i="6"/>
  <c r="E95" i="6"/>
  <c r="C95" i="6"/>
  <c r="B95" i="6"/>
  <c r="K94" i="6"/>
  <c r="J94" i="6"/>
  <c r="I94" i="6"/>
  <c r="E94" i="6"/>
  <c r="C94" i="6"/>
  <c r="B94" i="6"/>
  <c r="K93" i="6"/>
  <c r="J93" i="6"/>
  <c r="E93" i="6"/>
  <c r="C93" i="6"/>
  <c r="B93" i="6"/>
  <c r="P92" i="6"/>
  <c r="K92" i="6"/>
  <c r="J92" i="6"/>
  <c r="I92" i="6"/>
  <c r="E92" i="6"/>
  <c r="C92" i="6"/>
  <c r="B92" i="6"/>
  <c r="K91" i="6"/>
  <c r="J91" i="6"/>
  <c r="I91" i="6"/>
  <c r="E91" i="6"/>
  <c r="C91" i="6"/>
  <c r="B91" i="6"/>
  <c r="K90" i="6"/>
  <c r="J90" i="6"/>
  <c r="I90" i="6"/>
  <c r="E90" i="6"/>
  <c r="C90" i="6"/>
  <c r="B90" i="6"/>
  <c r="K89" i="6"/>
  <c r="J89" i="6"/>
  <c r="I89" i="6"/>
  <c r="E89" i="6"/>
  <c r="C89" i="6"/>
  <c r="B89" i="6"/>
  <c r="T88" i="6"/>
  <c r="S88" i="6"/>
  <c r="R88" i="6"/>
  <c r="K88" i="6"/>
  <c r="J88" i="6"/>
  <c r="I88" i="6"/>
  <c r="E88" i="6"/>
  <c r="C88" i="6"/>
  <c r="B88" i="6"/>
  <c r="T87" i="6"/>
  <c r="S87" i="6"/>
  <c r="R87" i="6"/>
  <c r="K87" i="6"/>
  <c r="J87" i="6"/>
  <c r="I87" i="6"/>
  <c r="E87" i="6"/>
  <c r="C87" i="6"/>
  <c r="B87" i="6"/>
  <c r="R86" i="6"/>
  <c r="K86" i="6"/>
  <c r="J86" i="6"/>
  <c r="I86" i="6"/>
  <c r="E86" i="6"/>
  <c r="C86" i="6"/>
  <c r="B86" i="6"/>
  <c r="R85" i="6"/>
  <c r="K85" i="6"/>
  <c r="J85" i="6"/>
  <c r="I85" i="6"/>
  <c r="E85" i="6"/>
  <c r="C85" i="6"/>
  <c r="B85" i="6"/>
  <c r="Z84" i="6"/>
  <c r="R84" i="6"/>
  <c r="K84" i="6"/>
  <c r="J84" i="6"/>
  <c r="I84" i="6"/>
  <c r="E84" i="6"/>
  <c r="C84" i="6"/>
  <c r="B84" i="6"/>
  <c r="I83" i="6"/>
  <c r="E83" i="6"/>
  <c r="K82" i="6"/>
  <c r="J82" i="6"/>
  <c r="I82" i="6"/>
  <c r="E82" i="6"/>
  <c r="K81" i="6"/>
  <c r="J81" i="6"/>
  <c r="I81" i="6"/>
  <c r="E81" i="6"/>
  <c r="K80" i="6"/>
  <c r="J80" i="6"/>
  <c r="I80" i="6"/>
  <c r="E80" i="6"/>
  <c r="K79" i="6"/>
  <c r="J79" i="6"/>
  <c r="I79" i="6"/>
  <c r="E79" i="6"/>
  <c r="K78" i="6"/>
  <c r="J78" i="6"/>
  <c r="I78" i="6"/>
  <c r="E78" i="6"/>
  <c r="K77" i="6"/>
  <c r="J77" i="6"/>
  <c r="I77" i="6"/>
  <c r="E77" i="6"/>
  <c r="K76" i="6"/>
  <c r="J76" i="6"/>
  <c r="I76" i="6"/>
  <c r="E76" i="6"/>
  <c r="K75" i="6"/>
  <c r="J75" i="6"/>
  <c r="I75" i="6"/>
  <c r="E75" i="6"/>
  <c r="K74" i="6"/>
  <c r="J74" i="6"/>
  <c r="I74" i="6"/>
  <c r="E74" i="6"/>
  <c r="O73" i="6"/>
  <c r="P73" i="6" s="1"/>
  <c r="K73" i="6"/>
  <c r="J73" i="6"/>
  <c r="I73" i="6"/>
  <c r="E73" i="6"/>
  <c r="O72" i="6"/>
  <c r="K72" i="6"/>
  <c r="J72" i="6"/>
  <c r="I72" i="6"/>
  <c r="E72" i="6"/>
  <c r="K71" i="6"/>
  <c r="J71" i="6"/>
  <c r="I71" i="6"/>
  <c r="E71" i="6"/>
  <c r="K70" i="6"/>
  <c r="J70" i="6"/>
  <c r="I70" i="6"/>
  <c r="E70" i="6"/>
  <c r="K69" i="6"/>
  <c r="J69" i="6"/>
  <c r="I69" i="6"/>
  <c r="E69" i="6"/>
  <c r="K68" i="6"/>
  <c r="J68" i="6"/>
  <c r="I68" i="6"/>
  <c r="E68" i="6"/>
  <c r="R67" i="6"/>
  <c r="I67" i="6"/>
  <c r="E67" i="6"/>
  <c r="C67" i="6"/>
  <c r="B67" i="6"/>
  <c r="AE66" i="6"/>
  <c r="AA66" i="6"/>
  <c r="I66" i="6"/>
  <c r="E66" i="6"/>
  <c r="K65" i="6"/>
  <c r="J65" i="6"/>
  <c r="I65" i="6"/>
  <c r="E65" i="6"/>
  <c r="K64" i="6"/>
  <c r="J64" i="6"/>
  <c r="I64" i="6"/>
  <c r="E64" i="6"/>
  <c r="K63" i="6"/>
  <c r="J63" i="6"/>
  <c r="I63" i="6"/>
  <c r="E63" i="6"/>
  <c r="K62" i="6"/>
  <c r="J62" i="6"/>
  <c r="I62" i="6"/>
  <c r="E62" i="6"/>
  <c r="AI61" i="6"/>
  <c r="AE61" i="6"/>
  <c r="AA61" i="6"/>
  <c r="W61" i="6"/>
  <c r="S61" i="6"/>
  <c r="K61" i="6"/>
  <c r="J61" i="6"/>
  <c r="I61" i="6"/>
  <c r="E61" i="6"/>
  <c r="K60" i="6"/>
  <c r="J60" i="6"/>
  <c r="I60" i="6"/>
  <c r="E60" i="6"/>
  <c r="K59" i="6"/>
  <c r="J59" i="6"/>
  <c r="I59" i="6"/>
  <c r="E59" i="6"/>
  <c r="C59" i="6"/>
  <c r="B59" i="6"/>
  <c r="K58" i="6"/>
  <c r="J58" i="6"/>
  <c r="E58" i="6"/>
  <c r="K57" i="6"/>
  <c r="J57" i="6"/>
  <c r="E57" i="6"/>
  <c r="K56" i="6"/>
  <c r="J56" i="6"/>
  <c r="E56" i="6"/>
  <c r="K55" i="6"/>
  <c r="J55" i="6"/>
  <c r="E55" i="6"/>
  <c r="I54" i="6"/>
  <c r="C54" i="6"/>
  <c r="B54" i="6"/>
  <c r="I53" i="6"/>
  <c r="C53" i="6"/>
  <c r="B53" i="6"/>
  <c r="I52" i="6"/>
  <c r="E52" i="6"/>
  <c r="C52" i="6"/>
  <c r="B52" i="6"/>
  <c r="O51" i="6"/>
  <c r="I51" i="6"/>
  <c r="E51" i="6"/>
  <c r="C51" i="6"/>
  <c r="B51" i="6"/>
  <c r="O50" i="6"/>
  <c r="I50" i="6"/>
  <c r="E50" i="6"/>
  <c r="C50" i="6"/>
  <c r="B50" i="6"/>
  <c r="O49" i="6"/>
  <c r="E49" i="6"/>
  <c r="C49" i="6"/>
  <c r="B49" i="6"/>
  <c r="C48" i="6"/>
  <c r="B48" i="6"/>
  <c r="E47" i="6"/>
  <c r="C47" i="6"/>
  <c r="B47" i="6"/>
  <c r="O46" i="6"/>
  <c r="C46" i="6"/>
  <c r="B46" i="6"/>
  <c r="E45" i="6"/>
  <c r="C45" i="6"/>
  <c r="B45" i="6"/>
  <c r="I44" i="6"/>
  <c r="C44" i="6"/>
  <c r="B44" i="6"/>
  <c r="AQ43" i="6"/>
  <c r="AI43" i="6"/>
  <c r="AE43" i="6"/>
  <c r="W43" i="6"/>
  <c r="I43" i="6"/>
  <c r="C43" i="6"/>
  <c r="B43" i="6"/>
  <c r="K42" i="6"/>
  <c r="J42" i="6"/>
  <c r="I42" i="6"/>
  <c r="O42" i="6" s="1"/>
  <c r="E42" i="6"/>
  <c r="K41" i="6"/>
  <c r="J41" i="6"/>
  <c r="I41" i="6"/>
  <c r="O41" i="6" s="1"/>
  <c r="E41" i="6"/>
  <c r="C41" i="6"/>
  <c r="B41" i="6"/>
  <c r="K40" i="6"/>
  <c r="J40" i="6"/>
  <c r="I40" i="6"/>
  <c r="AM40" i="6" s="1"/>
  <c r="E40" i="6"/>
  <c r="K39" i="6"/>
  <c r="J39" i="6"/>
  <c r="E39" i="6"/>
  <c r="C39" i="6"/>
  <c r="B39" i="6"/>
  <c r="K38" i="6"/>
  <c r="J38" i="6"/>
  <c r="E38" i="6"/>
  <c r="K37" i="6"/>
  <c r="J37" i="6"/>
  <c r="E37" i="6"/>
  <c r="C37" i="6"/>
  <c r="B37" i="6"/>
  <c r="K36" i="6"/>
  <c r="J36" i="6"/>
  <c r="E36" i="6"/>
  <c r="K35" i="6"/>
  <c r="J35" i="6"/>
  <c r="E35" i="6"/>
  <c r="C35" i="6"/>
  <c r="B35" i="6"/>
  <c r="K34" i="6"/>
  <c r="J34" i="6"/>
  <c r="E34" i="6"/>
  <c r="AA33" i="6"/>
  <c r="S33" i="6"/>
  <c r="E33" i="6"/>
  <c r="AA32" i="6"/>
  <c r="W32" i="6"/>
  <c r="S32" i="6"/>
  <c r="O32" i="6"/>
  <c r="E32" i="6"/>
  <c r="W31" i="6"/>
  <c r="O31" i="6"/>
  <c r="K31" i="6"/>
  <c r="J31" i="6"/>
  <c r="E31" i="6"/>
  <c r="C31" i="6"/>
  <c r="B31" i="6"/>
  <c r="AA30" i="6"/>
  <c r="S30" i="6"/>
  <c r="E30" i="6"/>
  <c r="K29" i="6"/>
  <c r="J29" i="6"/>
  <c r="I29" i="6"/>
  <c r="E29" i="6"/>
  <c r="C29" i="6"/>
  <c r="B29" i="6"/>
  <c r="K28" i="6"/>
  <c r="J28" i="6"/>
  <c r="I28" i="6"/>
  <c r="E28" i="6"/>
  <c r="C28" i="6"/>
  <c r="B28" i="6"/>
  <c r="K27" i="6"/>
  <c r="J27" i="6"/>
  <c r="I27" i="6"/>
  <c r="E27" i="6"/>
  <c r="K26" i="6"/>
  <c r="J26" i="6"/>
  <c r="I26" i="6"/>
  <c r="E26" i="6"/>
  <c r="AA25" i="6"/>
  <c r="Z25" i="6"/>
  <c r="L25" i="6"/>
  <c r="K25" i="6"/>
  <c r="J25" i="6"/>
  <c r="I25" i="6"/>
  <c r="E25" i="6"/>
  <c r="AA24" i="6"/>
  <c r="Z24" i="6"/>
  <c r="L24" i="6"/>
  <c r="K24" i="6"/>
  <c r="J24" i="6"/>
  <c r="I24" i="6"/>
  <c r="E24" i="6"/>
  <c r="K23" i="6"/>
  <c r="J23" i="6"/>
  <c r="I23" i="6"/>
  <c r="E23" i="6"/>
  <c r="AA22" i="6"/>
  <c r="Z22" i="6"/>
  <c r="L22" i="6" s="1"/>
  <c r="K22" i="6"/>
  <c r="J22" i="6"/>
  <c r="I22" i="6"/>
  <c r="E22" i="6"/>
  <c r="K21" i="6"/>
  <c r="J21" i="6"/>
  <c r="I21" i="6"/>
  <c r="E21" i="6"/>
  <c r="K20" i="6"/>
  <c r="J20" i="6"/>
  <c r="I20" i="6"/>
  <c r="E20" i="6"/>
  <c r="C20" i="6"/>
  <c r="B20" i="6"/>
  <c r="K19" i="6"/>
  <c r="J19" i="6"/>
  <c r="I19" i="6"/>
  <c r="E19" i="6"/>
  <c r="K18" i="6"/>
  <c r="J18" i="6"/>
  <c r="I18" i="6"/>
  <c r="E18" i="6"/>
  <c r="K17" i="6"/>
  <c r="J17" i="6"/>
  <c r="I17" i="6"/>
  <c r="E17" i="6"/>
  <c r="K16" i="6"/>
  <c r="J16" i="6"/>
  <c r="I16" i="6"/>
  <c r="E16" i="6"/>
  <c r="K15" i="6"/>
  <c r="J15" i="6"/>
  <c r="I15" i="6"/>
  <c r="E15" i="6"/>
  <c r="K14" i="6"/>
  <c r="J14" i="6"/>
  <c r="I14" i="6"/>
  <c r="E14" i="6"/>
  <c r="K13" i="6"/>
  <c r="J13" i="6"/>
  <c r="I13" i="6"/>
  <c r="E13" i="6"/>
  <c r="K12" i="6"/>
  <c r="J12" i="6"/>
  <c r="E12" i="6"/>
  <c r="K11" i="6"/>
  <c r="J11" i="6"/>
  <c r="E11" i="6"/>
  <c r="I10" i="6"/>
  <c r="E10" i="6"/>
  <c r="I9" i="6"/>
  <c r="E9" i="6"/>
  <c r="K8" i="6"/>
  <c r="J8" i="6"/>
  <c r="E8" i="6"/>
  <c r="K7" i="6"/>
  <c r="J7" i="6"/>
  <c r="E7" i="6"/>
  <c r="K6" i="6"/>
  <c r="J6" i="6"/>
  <c r="E6" i="6"/>
  <c r="K5" i="6"/>
  <c r="J5" i="6"/>
  <c r="E5" i="6"/>
  <c r="K4" i="6"/>
  <c r="J4" i="6"/>
  <c r="E4" i="6"/>
  <c r="K3" i="6"/>
  <c r="J3" i="6"/>
  <c r="E3" i="6"/>
  <c r="H39" i="12"/>
  <c r="V67" i="6" s="1"/>
  <c r="H38" i="12"/>
  <c r="S67" i="6" s="1"/>
  <c r="H37" i="12"/>
  <c r="H36" i="12"/>
  <c r="O67" i="6" s="1"/>
  <c r="H34" i="12"/>
  <c r="AD13" i="15" s="1"/>
  <c r="H33" i="12"/>
  <c r="AE13" i="15" s="1"/>
  <c r="H32" i="12"/>
  <c r="Z13" i="15" s="1"/>
  <c r="H31" i="12"/>
  <c r="AA13" i="15" s="1"/>
  <c r="H30" i="12"/>
  <c r="V13" i="15" s="1"/>
  <c r="H29" i="12"/>
  <c r="S13" i="15" s="1"/>
  <c r="H28" i="12"/>
  <c r="T13" i="15" s="1"/>
  <c r="H27" i="12"/>
  <c r="O13" i="15" s="1"/>
  <c r="H26" i="12"/>
  <c r="H25" i="12"/>
  <c r="O82" i="6" s="1"/>
  <c r="H23" i="12"/>
  <c r="O54" i="6" s="1"/>
  <c r="H22" i="12"/>
  <c r="O34" i="17" s="1"/>
  <c r="H21" i="12"/>
  <c r="O48" i="6" s="1"/>
  <c r="H20" i="12"/>
  <c r="H19" i="12"/>
  <c r="H18" i="12"/>
  <c r="AU40" i="6" s="1"/>
  <c r="H17" i="12"/>
  <c r="E36" i="17" s="1"/>
  <c r="H16" i="12"/>
  <c r="O33" i="6" s="1"/>
  <c r="H15" i="12"/>
  <c r="W11" i="15" s="1"/>
  <c r="H14" i="12"/>
  <c r="O30" i="6" s="1"/>
  <c r="H12" i="12"/>
  <c r="H11" i="12"/>
  <c r="H10" i="12"/>
  <c r="H9" i="12"/>
  <c r="H8" i="12"/>
  <c r="H7" i="12"/>
  <c r="AM89" i="6" s="1"/>
  <c r="H6" i="12"/>
  <c r="AE27" i="6" s="1"/>
  <c r="H5" i="12"/>
  <c r="H4" i="12"/>
  <c r="O19" i="6" s="1"/>
  <c r="O89" i="6" l="1"/>
  <c r="BC41" i="6"/>
  <c r="W40" i="6"/>
  <c r="W20" i="6"/>
  <c r="AU41" i="6"/>
  <c r="O108" i="6"/>
  <c r="W30" i="6"/>
  <c r="BC42" i="6"/>
  <c r="E53" i="6"/>
  <c r="O117" i="6"/>
  <c r="O66" i="6"/>
  <c r="O3" i="17"/>
  <c r="P3" i="17" s="1"/>
  <c r="O53" i="6"/>
  <c r="R66" i="6"/>
  <c r="W42" i="6"/>
  <c r="AE42" i="6"/>
  <c r="AM42" i="6"/>
  <c r="W33" i="6"/>
  <c r="S66" i="6"/>
  <c r="O19" i="15"/>
  <c r="P19" i="15" s="1"/>
  <c r="O43" i="6"/>
  <c r="T66" i="6"/>
  <c r="S43" i="6"/>
  <c r="E54" i="6"/>
  <c r="V66" i="6"/>
  <c r="AE41" i="6"/>
  <c r="AU42" i="6"/>
  <c r="W66" i="6"/>
  <c r="AA43" i="6"/>
  <c r="Z66" i="6"/>
  <c r="O118" i="6"/>
  <c r="AB66" i="6"/>
  <c r="AA28" i="17"/>
  <c r="Z28" i="17" s="1"/>
  <c r="L28" i="17" s="1"/>
  <c r="S26" i="6"/>
  <c r="AM43" i="6"/>
  <c r="AD66" i="6"/>
  <c r="O77" i="6"/>
  <c r="AA26" i="6"/>
  <c r="AE26" i="6"/>
  <c r="AA23" i="6"/>
  <c r="Z23" i="6" s="1"/>
  <c r="L23" i="6" s="1"/>
  <c r="O26" i="6"/>
  <c r="O119" i="6"/>
  <c r="O78" i="6"/>
  <c r="P78" i="6" s="1"/>
  <c r="W26" i="6"/>
  <c r="S44" i="6"/>
  <c r="AA29" i="17"/>
  <c r="Z29" i="17" s="1"/>
  <c r="L29" i="17" s="1"/>
  <c r="O11" i="15"/>
  <c r="O23" i="15"/>
  <c r="P23" i="15" s="1"/>
  <c r="O7" i="17"/>
  <c r="P7" i="17" s="1"/>
  <c r="T18" i="17"/>
  <c r="W19" i="6"/>
  <c r="W67" i="6"/>
  <c r="O52" i="6"/>
  <c r="AA27" i="6"/>
  <c r="O27" i="6"/>
  <c r="S27" i="6"/>
  <c r="W27" i="6"/>
  <c r="O45" i="6"/>
  <c r="AM41" i="6"/>
  <c r="E46" i="6"/>
  <c r="O68" i="6"/>
  <c r="P68" i="6" s="1"/>
  <c r="R13" i="15"/>
  <c r="O20" i="6"/>
  <c r="W89" i="6"/>
  <c r="AE89" i="6"/>
  <c r="O40" i="6"/>
  <c r="W13" i="15"/>
  <c r="AE40" i="6"/>
  <c r="O33" i="17"/>
  <c r="E34" i="17"/>
  <c r="W41" i="6"/>
  <c r="E48" i="6"/>
  <c r="AB13" i="15"/>
  <c r="BC40" i="6"/>
  <c r="O35" i="17"/>
  <c r="O47" i="6"/>
  <c r="R44" i="6" l="1"/>
  <c r="V44" i="6" s="1"/>
  <c r="Z44" i="6" s="1"/>
</calcChain>
</file>

<file path=xl/sharedStrings.xml><?xml version="1.0" encoding="utf-8"?>
<sst xmlns="http://schemas.openxmlformats.org/spreadsheetml/2006/main" count="2767" uniqueCount="662">
  <si>
    <t>Range</t>
  </si>
  <si>
    <t>Comment</t>
  </si>
  <si>
    <t>Projectname</t>
  </si>
  <si>
    <t>Pn</t>
  </si>
  <si>
    <t>MW</t>
  </si>
  <si>
    <t>Uc</t>
  </si>
  <si>
    <t>kV</t>
  </si>
  <si>
    <t>Un</t>
  </si>
  <si>
    <t>Area</t>
  </si>
  <si>
    <t>DK1</t>
  </si>
  <si>
    <t>SCR min</t>
  </si>
  <si>
    <t>-</t>
  </si>
  <si>
    <t>SCR tuning</t>
  </si>
  <si>
    <t>SCR max</t>
  </si>
  <si>
    <t>V droop</t>
  </si>
  <si>
    <t>%</t>
  </si>
  <si>
    <t>X/R SCR min</t>
  </si>
  <si>
    <t>X/R SCR tuning</t>
  </si>
  <si>
    <t>X/R SCR max</t>
  </si>
  <si>
    <t>R0</t>
  </si>
  <si>
    <t>ohm</t>
  </si>
  <si>
    <t>X0</t>
  </si>
  <si>
    <t>Default Q mode</t>
  </si>
  <si>
    <t>Q</t>
  </si>
  <si>
    <t>Qmode signal from MTB is constant. Qref mode == 0, Q(U) mode == 1 and Qpf == 2.</t>
  </si>
  <si>
    <t>PSCAD Timestep</t>
  </si>
  <si>
    <t>µs</t>
  </si>
  <si>
    <t>PSCAD Initialization time</t>
  </si>
  <si>
    <t>s</t>
  </si>
  <si>
    <t>1/s</t>
  </si>
  <si>
    <t>PF flat time</t>
  </si>
  <si>
    <t>PF variable step</t>
  </si>
  <si>
    <t>PF enforced sync.</t>
  </si>
  <si>
    <t>PF force asymmetrical sim.</t>
  </si>
  <si>
    <t>PF enforce P limits in LDF</t>
  </si>
  <si>
    <t>Can be neccesary to turn off when QDSL is utilized for initialization.</t>
  </si>
  <si>
    <t>PF enforce Q limits in LDF</t>
  </si>
  <si>
    <t>DK2</t>
  </si>
  <si>
    <t>&lt;110 kV</t>
  </si>
  <si>
    <t>110 kV &lt;= Un &lt; 300 kV</t>
  </si>
  <si>
    <t>300 kV &lt;= Un</t>
  </si>
  <si>
    <t>Selected</t>
  </si>
  <si>
    <t>Power-frequency control</t>
  </si>
  <si>
    <t>LFSM-O start (Hz)</t>
  </si>
  <si>
    <t>LFSM-O droop (%)</t>
  </si>
  <si>
    <t>LFSM-U start (Hz)</t>
  </si>
  <si>
    <t>LFSM-U droop (%)</t>
  </si>
  <si>
    <t>FSM deadband (Hz)</t>
  </si>
  <si>
    <t>FSM droop (%)</t>
  </si>
  <si>
    <t>FSM provision (%Pn)</t>
  </si>
  <si>
    <t>30min operation Fmax</t>
  </si>
  <si>
    <t>30min operation Fmin</t>
  </si>
  <si>
    <t>Reactive power capability (base Uc)</t>
  </si>
  <si>
    <t>UQ Q=0pu Umax</t>
  </si>
  <si>
    <t>UQ Q=0pu Umin</t>
  </si>
  <si>
    <t>UQ Q=+0.33pu Umax</t>
  </si>
  <si>
    <t>UQ Q=+0.33pu Umin</t>
  </si>
  <si>
    <t>UQ Q=-0.33pu Umax</t>
  </si>
  <si>
    <t>UQ Q=-0.33pu Umin</t>
  </si>
  <si>
    <t>Cont. operation Umax</t>
  </si>
  <si>
    <t>Cont. operation Umin</t>
  </si>
  <si>
    <t>60min operation Umax</t>
  </si>
  <si>
    <t>60min operation Umin</t>
  </si>
  <si>
    <t>LVFRT</t>
  </si>
  <si>
    <t>LVFT start</t>
  </si>
  <si>
    <t>LVFRT stop</t>
  </si>
  <si>
    <t>Ures</t>
  </si>
  <si>
    <t>tclear</t>
  </si>
  <si>
    <t>Uclear</t>
  </si>
  <si>
    <t>trec1</t>
  </si>
  <si>
    <t>Urec1</t>
  </si>
  <si>
    <t>trec2</t>
  </si>
  <si>
    <t>Urec2</t>
  </si>
  <si>
    <t>trec3</t>
  </si>
  <si>
    <t>OVRT</t>
  </si>
  <si>
    <t>U1</t>
  </si>
  <si>
    <t>t1</t>
  </si>
  <si>
    <t>U2</t>
  </si>
  <si>
    <t>t2</t>
  </si>
  <si>
    <t>DSO plants only RfG cases and deactive coloured.</t>
  </si>
  <si>
    <t>Event 1</t>
  </si>
  <si>
    <t>Event 2</t>
  </si>
  <si>
    <t>Event 3</t>
  </si>
  <si>
    <t>Event 4</t>
  </si>
  <si>
    <t>Event 5</t>
  </si>
  <si>
    <t>Event 6</t>
  </si>
  <si>
    <t>Event 7</t>
  </si>
  <si>
    <t>Event 8</t>
  </si>
  <si>
    <t>Event 9</t>
  </si>
  <si>
    <t>Event 10</t>
  </si>
  <si>
    <t>Event 11</t>
  </si>
  <si>
    <t>Event 12</t>
  </si>
  <si>
    <t>Rank</t>
  </si>
  <si>
    <t>RMS</t>
  </si>
  <si>
    <t>EMT</t>
  </si>
  <si>
    <t>Name</t>
  </si>
  <si>
    <t>U0</t>
  </si>
  <si>
    <t>P0</t>
  </si>
  <si>
    <t>FSM</t>
  </si>
  <si>
    <t>Qmode</t>
  </si>
  <si>
    <t>Qref0</t>
  </si>
  <si>
    <t>SCR0</t>
  </si>
  <si>
    <t>XR0</t>
  </si>
  <si>
    <t>Simulationtime</t>
  </si>
  <si>
    <t>type</t>
  </si>
  <si>
    <t>time</t>
  </si>
  <si>
    <t>X1</t>
  </si>
  <si>
    <t>X2</t>
  </si>
  <si>
    <t>Default</t>
  </si>
  <si>
    <t>Pref</t>
  </si>
  <si>
    <t>Frequency</t>
  </si>
  <si>
    <t>Voltage</t>
  </si>
  <si>
    <t>dVoltage</t>
  </si>
  <si>
    <t>Q(U)</t>
  </si>
  <si>
    <t>Qref</t>
  </si>
  <si>
    <t>PF</t>
  </si>
  <si>
    <t>Signal 1</t>
  </si>
  <si>
    <t>Phase</t>
  </si>
  <si>
    <t>3p fault</t>
  </si>
  <si>
    <t>2p-g fault</t>
  </si>
  <si>
    <t>1p fault</t>
  </si>
  <si>
    <t>2p fault</t>
  </si>
  <si>
    <t>SCR</t>
  </si>
  <si>
    <t>PF disconnect all ref.</t>
  </si>
  <si>
    <t>Frequency recording</t>
  </si>
  <si>
    <t>recordings/DK1_frekvens.meas</t>
  </si>
  <si>
    <t>Signal 2</t>
  </si>
  <si>
    <t>Voltage recording</t>
  </si>
  <si>
    <t>recordings/DK1_fault1.csv</t>
  </si>
  <si>
    <t>recordings/DK1_fault2.meas</t>
  </si>
  <si>
    <t>Inst. Voltage recording</t>
  </si>
  <si>
    <t>Qref recording</t>
  </si>
  <si>
    <t>Signal 5</t>
  </si>
  <si>
    <t>1p fault (ohm)</t>
  </si>
  <si>
    <t>Clear fault</t>
  </si>
  <si>
    <t>Description</t>
  </si>
  <si>
    <t>X1 description</t>
  </si>
  <si>
    <t>X1 unit</t>
  </si>
  <si>
    <t>X2 description</t>
  </si>
  <si>
    <t>X2 unit</t>
  </si>
  <si>
    <t>Pref change</t>
  </si>
  <si>
    <t>setpoint, base Pn</t>
  </si>
  <si>
    <t>pu</t>
  </si>
  <si>
    <t>gradient</t>
  </si>
  <si>
    <t>Qref change</t>
  </si>
  <si>
    <t>Grid voltage change (thevenin)</t>
  </si>
  <si>
    <t>setpoint, base Un</t>
  </si>
  <si>
    <t>Delta grid voltage change (thevenin)</t>
  </si>
  <si>
    <t>Grid phase change (thevenin)</t>
  </si>
  <si>
    <t>setpoint</t>
  </si>
  <si>
    <t>degree</t>
  </si>
  <si>
    <t>degree/s</t>
  </si>
  <si>
    <t>Grid frequency change</t>
  </si>
  <si>
    <t>Hz</t>
  </si>
  <si>
    <t>Hz/s</t>
  </si>
  <si>
    <t>Grid impedance change</t>
  </si>
  <si>
    <t>X/R</t>
  </si>
  <si>
    <t>Three phase fault</t>
  </si>
  <si>
    <t>residual voltage (across fault reactance), base Un</t>
  </si>
  <si>
    <t>fault time</t>
  </si>
  <si>
    <t>Two phase to ground fault</t>
  </si>
  <si>
    <t>Two phase fault</t>
  </si>
  <si>
    <t>One phase fault</t>
  </si>
  <si>
    <t>3p fault (ohm)</t>
  </si>
  <si>
    <t>fault resistance</t>
  </si>
  <si>
    <t>fault reactance</t>
  </si>
  <si>
    <t>2p-g fault (ohm)</t>
  </si>
  <si>
    <t>2p fault (ohm)</t>
  </si>
  <si>
    <t>Clear any fault</t>
  </si>
  <si>
    <t>N/A</t>
  </si>
  <si>
    <t>Pref recording</t>
  </si>
  <si>
    <t>Use external measurement file for Pref signal. First value hold until flattime or initialtime has elapsed.</t>
  </si>
  <si>
    <t>Relative path to measurementfile</t>
  </si>
  <si>
    <t>Scaling factor</t>
  </si>
  <si>
    <t>Use external measurement file for Qref signal. First value hold until flattime or initialtime has elapsed.</t>
  </si>
  <si>
    <t>Use external measurement file for the thevenin voltage signal (RMS). First value hold until flattime or initialtime has elapsed.</t>
  </si>
  <si>
    <t>Only supported for PSCAD. Use external measurement file for the thevenin instantaneous voltages. Time value ignored.</t>
  </si>
  <si>
    <t>Phase recording</t>
  </si>
  <si>
    <t>Use external measurement file for the thevenin voltage phase signal. First value hold until flattime or initialtime has elapsed.</t>
  </si>
  <si>
    <t>Use external measurement file for the thevenin voltage frequency signal. First value hold until flattime or initialtime has elapsed.</t>
  </si>
  <si>
    <t>value</t>
  </si>
  <si>
    <t>?</t>
  </si>
  <si>
    <t>?/s</t>
  </si>
  <si>
    <t>Signal 3</t>
  </si>
  <si>
    <t>Signal 4</t>
  </si>
  <si>
    <t>Signal 6</t>
  </si>
  <si>
    <t>Signal 7</t>
  </si>
  <si>
    <t>Signal 8</t>
  </si>
  <si>
    <t>Signal 9</t>
  </si>
  <si>
    <t>Signal 10</t>
  </si>
  <si>
    <t>Signal 1 recording</t>
  </si>
  <si>
    <t>Use external measurement file for custom signal 1. First value hold until flattime or initialtime has elapsed.</t>
  </si>
  <si>
    <t>Signal 2 recording</t>
  </si>
  <si>
    <t>Use external measurement file for custom signal 2. First value hold until flattime or initialtime has elapsed.</t>
  </si>
  <si>
    <t>Signal 3 recording</t>
  </si>
  <si>
    <t>Use external measurement file for custom signal 3. First value hold until flattime or initialtime has elapsed.</t>
  </si>
  <si>
    <t>Signal 4 recording</t>
  </si>
  <si>
    <t>Use external measurement file for custom signal 4. First value hold until flattime or initialtime has elapsed.</t>
  </si>
  <si>
    <t>Signal 5 recording</t>
  </si>
  <si>
    <t>Use external measurement file for custom signal 5. First value hold until flattime or initialtime has elapsed.</t>
  </si>
  <si>
    <t>Signal 6 recording</t>
  </si>
  <si>
    <t>Use external measurement file for custom signal 6. First value hold until flattime or initialtime has elapsed.</t>
  </si>
  <si>
    <t>Signal 7 recording</t>
  </si>
  <si>
    <t>Use external measurement file for custom signal 7. First value hold until flattime or initialtime has elapsed.</t>
  </si>
  <si>
    <t>Signal 8 recording</t>
  </si>
  <si>
    <t>Use external measurement file for custom signal 8. First value hold until flattime or initialtime has elapsed.</t>
  </si>
  <si>
    <t>Signal 9 recording</t>
  </si>
  <si>
    <t>Use external measurement file for custom signal 9. First value hold until flattime or initialtime has elapsed.</t>
  </si>
  <si>
    <t>Signal 10 recording</t>
  </si>
  <si>
    <t>Use external measurement file for custom signal 10. First value hold until flattime or initialtime has elapsed.</t>
  </si>
  <si>
    <t>In Powerfactory out-of-service all references (including custom signals) to plant. For initialization testing purposes.</t>
  </si>
  <si>
    <t>PF force asymmetrical</t>
  </si>
  <si>
    <t>Force case to be simulated asymmetricaly.</t>
  </si>
  <si>
    <t>Max</t>
  </si>
  <si>
    <t>Min</t>
  </si>
  <si>
    <t>Tuning</t>
  </si>
  <si>
    <t>Ideal</t>
  </si>
  <si>
    <t>RfG</t>
  </si>
  <si>
    <t>DCC</t>
  </si>
  <si>
    <t>Unit</t>
  </si>
  <si>
    <t>= Disabled for DSO cases</t>
  </si>
  <si>
    <t>Custom</t>
  </si>
  <si>
    <t>No P(f)</t>
  </si>
  <si>
    <t>LFSM</t>
  </si>
  <si>
    <t>LFSM+FSM</t>
  </si>
  <si>
    <t>Pmode5</t>
  </si>
  <si>
    <t>Pmode6</t>
  </si>
  <si>
    <t>Pmode7</t>
  </si>
  <si>
    <t>Casegroup</t>
  </si>
  <si>
    <t>Pmode</t>
  </si>
  <si>
    <t>Value</t>
  </si>
  <si>
    <t>Custom signal 1 change (Use t &lt; 0s to initialize)</t>
  </si>
  <si>
    <t>Custom signal 2 change (Use t &lt; 0s to initialize)</t>
  </si>
  <si>
    <t>Custom signal 3 change (Use t &lt; 0s to initialize)</t>
  </si>
  <si>
    <t>Custom signal 4 change (Use t &lt; 0s to initialize)</t>
  </si>
  <si>
    <t>Custom signal 5 change (Use t &lt; 0s to initialize)</t>
  </si>
  <si>
    <t>Custom signal 6 change (Use t &lt; 0s to initialize)</t>
  </si>
  <si>
    <t>Custom signal 7 change (Use t &lt; 0s to initialize)</t>
  </si>
  <si>
    <t>Custom signal 8 change (Use t &lt; 0s to initialize)</t>
  </si>
  <si>
    <t>Custom signal 9 change (Use t &lt; 0s to initialize)</t>
  </si>
  <si>
    <t>Custom signal 10 change (Use t &lt; 0s to initialize)</t>
  </si>
  <si>
    <t>Run custom cases</t>
  </si>
  <si>
    <t>ION_RfG_P_step_up_0.0_0.5</t>
  </si>
  <si>
    <t>ION_RfG_P_step_up_0.5_0.7</t>
  </si>
  <si>
    <t>ION_RfG_P_step_up_0.7_1.0</t>
  </si>
  <si>
    <t>ION_RfG_P_step_down_1.0_0.7</t>
  </si>
  <si>
    <t>ION_RfG_P_step_down_0.7_0.5</t>
  </si>
  <si>
    <t>ION_RfG_P_step_down_0.5_0.0</t>
  </si>
  <si>
    <t>ION_RfG_FSM_step1</t>
  </si>
  <si>
    <t>ION_RfG_FSM_step2</t>
  </si>
  <si>
    <t>ION_RfG_LFSM-OU_step1</t>
  </si>
  <si>
    <t>ION_RfG_LFSM-O_ramp</t>
  </si>
  <si>
    <t>ION_RfG_LFSM-U_ramp</t>
  </si>
  <si>
    <t>ION_RfG_FSM_LFSM-O_ramp</t>
  </si>
  <si>
    <t>ION_RfG_FSM_LFSM-U_step</t>
  </si>
  <si>
    <t>ION_RfG_U-Q/Pn_Neutral</t>
  </si>
  <si>
    <t>ION_RfG_U-Q/Pn_Neutral_stab</t>
  </si>
  <si>
    <t>ION_RfG_U-Q/Pn_underEX</t>
  </si>
  <si>
    <t>ION_RfG_U-Q/Pn_overEX</t>
  </si>
  <si>
    <t>ION_RfG_PQ/Pn_Neutral1</t>
  </si>
  <si>
    <t>ION_RfG_PQ/Pn_Neutral2</t>
  </si>
  <si>
    <t>ION_RfG_PQ/Pn_underEX1</t>
  </si>
  <si>
    <t>ION_RfG_PQ/Pn_underEX2</t>
  </si>
  <si>
    <t>ION_RfG_PQ/Pn_overEX1</t>
  </si>
  <si>
    <t>ION_RfG_PQ/Pn_overEX2</t>
  </si>
  <si>
    <t>ION_RfG_Ucontrol_Scmin</t>
  </si>
  <si>
    <t>ION_RfG_Ucontrol_Sctune</t>
  </si>
  <si>
    <t>ION_RfG_Ucontrol_Scmax</t>
  </si>
  <si>
    <t>ION_RfG_Uarea_Qreq_1(up)</t>
  </si>
  <si>
    <t>ION_RfG_Uarea_Qreq_2(up)</t>
  </si>
  <si>
    <t>ION_RfG_Uarea_Qreq_1(down)</t>
  </si>
  <si>
    <t>ION_RfG_Uarea_Qreq_2(down)</t>
  </si>
  <si>
    <t>ION_RfG_Uarea_Qreq_3(down)</t>
  </si>
  <si>
    <t>ION_RfG_Uarea_Q(U)req_1(up)</t>
  </si>
  <si>
    <t>ION_RfG_Uarea_Q(U)req_2(up)</t>
  </si>
  <si>
    <t>ION_RfG_Uarea_Q(U)req_1(down)</t>
  </si>
  <si>
    <t>ION_RfG_Uarea_Q(U)req_2(down)</t>
  </si>
  <si>
    <t>ION_RfG_Uarea_Q(U)req_3(down)</t>
  </si>
  <si>
    <t>ION_RfG_Q_control_up</t>
  </si>
  <si>
    <t>ION_RfG_Q_control_down</t>
  </si>
  <si>
    <t>ION_RfG_Qpf_Pfref-change</t>
  </si>
  <si>
    <t>ION_RfG_Qpf_P-change</t>
  </si>
  <si>
    <t>ION_RfG_SystemGuard</t>
  </si>
  <si>
    <t>ION_RfG_MaxPhaseJump</t>
  </si>
  <si>
    <t>ION_RfG_MaxPhaseJump2</t>
  </si>
  <si>
    <t>ION_RfG_MaxRoCoF1</t>
  </si>
  <si>
    <t>ION_RfG_MaxRoCoF2</t>
  </si>
  <si>
    <t>ION_RfG_MaxRoCoF_CurveOF</t>
  </si>
  <si>
    <t>ION_RfG_MaxRoCoF_CurveUF</t>
  </si>
  <si>
    <t>ION_RfG_LVFRT_profile</t>
  </si>
  <si>
    <t>ION_RfG_OVRT_profile</t>
  </si>
  <si>
    <t>ION_RfG_Fault_3_0</t>
  </si>
  <si>
    <t>ION_RfG_Fault_3_20</t>
  </si>
  <si>
    <t>ION_RfG_Fault_3_40</t>
  </si>
  <si>
    <t>ION_RfG_Fault_3_80</t>
  </si>
  <si>
    <t>ION_RfG_Fault_3_thres</t>
  </si>
  <si>
    <t>ION_RfG_Fault_2_0</t>
  </si>
  <si>
    <t>ION_RfG_Fault_2_20</t>
  </si>
  <si>
    <t>ION_RfG_Fault_2_40</t>
  </si>
  <si>
    <t>ION_RfG_Fault_2_80</t>
  </si>
  <si>
    <t>ION_RfG_Fault_2_thres</t>
  </si>
  <si>
    <t>ION_RfG_Fault_1_0</t>
  </si>
  <si>
    <t>ION_RfG_Fault_1_20</t>
  </si>
  <si>
    <t>ION_RfG_Fault_1_40</t>
  </si>
  <si>
    <t>ION_RfG_Fault_1_80</t>
  </si>
  <si>
    <t>ION_RfG_Fault_1_thres</t>
  </si>
  <si>
    <t>ION_RfG_Voltage-support</t>
  </si>
  <si>
    <t>ION_RfG_Fault_1_restrike</t>
  </si>
  <si>
    <t>ION_RfG_Fault_3_double</t>
  </si>
  <si>
    <t>ION_RfG_Fault_2_double</t>
  </si>
  <si>
    <t>ION_RfG_Fault_3_SCR</t>
  </si>
  <si>
    <t>ION_RfG_Fault_2_SCR</t>
  </si>
  <si>
    <t>EXT_RfG_LFSM-OU_step2</t>
  </si>
  <si>
    <t>EXT_RfG_FSM_rec_pstep</t>
  </si>
  <si>
    <t>EXT_RfG_LFSMO_ramp+pstep</t>
  </si>
  <si>
    <t>EXT_RfG_LFSM-O_Q_control</t>
  </si>
  <si>
    <t>EXT_RfG_MaxPhaseJump_Extreme</t>
  </si>
  <si>
    <t>EXT_RfG_RoCoF_ACER-CurveOF</t>
  </si>
  <si>
    <t>EXT_RfG_RoCoF_ACER-CurveUF</t>
  </si>
  <si>
    <t>EXT_RfG_RoCoF+PhaseJump1</t>
  </si>
  <si>
    <t>EXT_RfG_RoCoF+PhaseJump2</t>
  </si>
  <si>
    <t>EXT_RfG_Ucontrol_LFSM-O</t>
  </si>
  <si>
    <t>EXT_RfG_Fault_3_20_WG</t>
  </si>
  <si>
    <t>EXT_RfG_Fault_2_20_WG</t>
  </si>
  <si>
    <t>EXT_RfG_Fault_3_ROCOF_curveOF</t>
  </si>
  <si>
    <t>EXT_RfG_Fault_3_ROCOF_curveUF</t>
  </si>
  <si>
    <t>EXT_SCR_step_Max-Min</t>
  </si>
  <si>
    <t>EXT_RfG_Fault_rec_1_Q</t>
  </si>
  <si>
    <t>EXT_RfG_Fault_rec_1_Q(U)</t>
  </si>
  <si>
    <t>EXT_RfG_Fault_rec_1_Q_SCmin</t>
  </si>
  <si>
    <t>EXT_RfG_Fault_rec_1_Q(U)_SCmin</t>
  </si>
  <si>
    <t>EXT_RfG_Fault_rec_2_Q</t>
  </si>
  <si>
    <t>EXT_RfG_Fault_rec_2_Q(U)</t>
  </si>
  <si>
    <t>EXT_RfG_proc_VoltageRise_1.2</t>
  </si>
  <si>
    <t>EXT_RfG_proc_VoltageRise_1.3</t>
  </si>
  <si>
    <t>EXT_RfG_proc_VoltageRise_1.4</t>
  </si>
  <si>
    <t>EXT_RfG_proc_VoltageRise_1.5</t>
  </si>
  <si>
    <t>EXT_RfG_proc_Fault_3_0.8pu</t>
  </si>
  <si>
    <t>EXT_RfG_proc_Fault_3_0.6pu</t>
  </si>
  <si>
    <t>EXT_RfG_proc_Fault_3_0.40pu</t>
  </si>
  <si>
    <t>EXT_RfG_proc_Fault_3_0.20pu</t>
  </si>
  <si>
    <t>EXT_RfG_proc_Freq_51.6Hz</t>
  </si>
  <si>
    <t>EXT_RfG_proc_Freq_47.4Hz</t>
  </si>
  <si>
    <t>EXT_RfG_proc_Freq_limit_up</t>
  </si>
  <si>
    <t>EXT_RfG_proc_Freq_limi_down</t>
  </si>
  <si>
    <t>EXT_RfG_proc_Fault_1_0.05pu</t>
  </si>
  <si>
    <t>DCC_Fault_3_0</t>
  </si>
  <si>
    <t>DCC_Fault_3_20</t>
  </si>
  <si>
    <t>DCC_Fault_3_40</t>
  </si>
  <si>
    <t>DCC_Fault_3_80</t>
  </si>
  <si>
    <t>DCC_Fault_2_0</t>
  </si>
  <si>
    <t>DCC_Fault_2_20</t>
  </si>
  <si>
    <t>DCC_Fault_2_40</t>
  </si>
  <si>
    <t>DCC_Fault_2_80</t>
  </si>
  <si>
    <t>DCC_Fault_1_0</t>
  </si>
  <si>
    <t>DCC_Fault_1_20</t>
  </si>
  <si>
    <t>DCC_Fault_1_40</t>
  </si>
  <si>
    <t>DCC_Fault_1_80</t>
  </si>
  <si>
    <t>DCC_Fault_3_SCR</t>
  </si>
  <si>
    <t>DCC_Fault_2_SCR</t>
  </si>
  <si>
    <t>DCC_HVRT_profile</t>
  </si>
  <si>
    <t>DCC_UVRT_profile</t>
  </si>
  <si>
    <t>DCC_SystemGuard</t>
  </si>
  <si>
    <t>DCC_MaxPhaseJump</t>
  </si>
  <si>
    <t>DCC_MaxPhaseJump2</t>
  </si>
  <si>
    <t>DCC_MaxRoCoF1</t>
  </si>
  <si>
    <t>DCC_MaxRoCoF2</t>
  </si>
  <si>
    <t>DCC_MaxRoCoF_CurveOF</t>
  </si>
  <si>
    <t>DCC_MaxRoCoF_CurveUF</t>
  </si>
  <si>
    <t>DCC_LFSM-OU_step1</t>
  </si>
  <si>
    <t>DCC_LFSM-O_ramp</t>
  </si>
  <si>
    <t>DCC_LFSM-U_ramp</t>
  </si>
  <si>
    <t>DCC_LFDD</t>
  </si>
  <si>
    <t>DCC_Faera-O</t>
  </si>
  <si>
    <t>DCC_Faera-U</t>
  </si>
  <si>
    <t>DCC_Uarea_Qreq_1(up)</t>
  </si>
  <si>
    <t>DCC_Uarea_Qreq_2(up)</t>
  </si>
  <si>
    <t>DCC_Uarea_Qreq_1(down)</t>
  </si>
  <si>
    <t>DCC_Uarea_Qreq_2(down)</t>
  </si>
  <si>
    <t>DCC_Uarea_Qreq_3(down)</t>
  </si>
  <si>
    <t>UNT_SS_flatrun_Q1</t>
  </si>
  <si>
    <t>UNT_SS_flatrun_Q2</t>
  </si>
  <si>
    <t>UNT_SS_flatrun_Q3</t>
  </si>
  <si>
    <t>UNT_SS_flatrun_Q4</t>
  </si>
  <si>
    <t>UNT_SS_flatrun_Q5</t>
  </si>
  <si>
    <t>UNT_SS_flatrun_Q6</t>
  </si>
  <si>
    <t>UNT_P_step_up_0.5_0.7</t>
  </si>
  <si>
    <t>UNT_Q_control_up</t>
  </si>
  <si>
    <t>UNT_U-Q/Pn_Neutral</t>
  </si>
  <si>
    <t>UNT_fArea</t>
  </si>
  <si>
    <t>UNT_LVFRT_profile</t>
  </si>
  <si>
    <t>UNT_OVRT_profile</t>
  </si>
  <si>
    <t>UNT_Fault_3_0</t>
  </si>
  <si>
    <t>UNT_Fault_3_20</t>
  </si>
  <si>
    <t>UNT_Fault_3_40</t>
  </si>
  <si>
    <t>UNT_Fault_3_80</t>
  </si>
  <si>
    <t>UNT_Fault_2_0</t>
  </si>
  <si>
    <t>UNT_Fault_2_20</t>
  </si>
  <si>
    <t>UNT_Fault_2_40</t>
  </si>
  <si>
    <t>UNT_Fault_2_80</t>
  </si>
  <si>
    <t>UNT_Fault_1_0</t>
  </si>
  <si>
    <t>UNT_Fault_1_20</t>
  </si>
  <si>
    <t>UNT_Fault_1_40</t>
  </si>
  <si>
    <t>UNT_Fault_1_80</t>
  </si>
  <si>
    <t>UNT_Voltage-support</t>
  </si>
  <si>
    <t>UNT_Fault_1_restrike</t>
  </si>
  <si>
    <t>UNT_Fault_3_double</t>
  </si>
  <si>
    <t>UNT_Fault_2_double</t>
  </si>
  <si>
    <t>UNT_Fault_3_20_short</t>
  </si>
  <si>
    <t>UNT_Fault_2_20_short</t>
  </si>
  <si>
    <t>UNT_Fault_3_20_WG</t>
  </si>
  <si>
    <t>UNT_Fault_2_20_WG</t>
  </si>
  <si>
    <t>UNT_Fault_3_SCR</t>
  </si>
  <si>
    <t>UNT_Fault_2_SCR</t>
  </si>
  <si>
    <t>UNT_Fault_3_SCR_freqStep</t>
  </si>
  <si>
    <t>UNT_MaxPhaseJump</t>
  </si>
  <si>
    <t>UNT_MaxPhaseJump2</t>
  </si>
  <si>
    <t>UNT_MaxRoCoF_CurveOF</t>
  </si>
  <si>
    <t>UNT_MaxRoCoF_CurveUF</t>
  </si>
  <si>
    <t>UNT_VoltageRise_1.2</t>
  </si>
  <si>
    <t>UNT_VoltageRise_1.3</t>
  </si>
  <si>
    <t>UNT_VoltageRise_1.4</t>
  </si>
  <si>
    <t>UNT_VoltageRise_1.5</t>
  </si>
  <si>
    <t>UNT_Freq_53Hz</t>
  </si>
  <si>
    <t>UNT_Freq_46Hz</t>
  </si>
  <si>
    <t>UNT_Freq_limit_up</t>
  </si>
  <si>
    <t>UNT_Freq_limi_down</t>
  </si>
  <si>
    <t>Custom_1</t>
  </si>
  <si>
    <t>Pmode4</t>
  </si>
  <si>
    <t>Qmode4</t>
  </si>
  <si>
    <t>Qmode5</t>
  </si>
  <si>
    <t>Qmode6</t>
  </si>
  <si>
    <t>Qmode3</t>
  </si>
  <si>
    <t>If custom not selected for casegroup.</t>
  </si>
  <si>
    <t>Solbakken</t>
  </si>
  <si>
    <t>Atleast 1s</t>
  </si>
  <si>
    <t>Atleast 0,1s</t>
  </si>
  <si>
    <t>This will be 1pu in simulations and results</t>
  </si>
  <si>
    <t>Used for easy setup to make sure simulations, start in normal operation voltage and not 1 pu.</t>
  </si>
  <si>
    <t>Grounding impedance of the MTB voltage source</t>
  </si>
  <si>
    <t>EXT_RfG_LFSM-OU_step1+FSM</t>
  </si>
  <si>
    <t>EXT_RfG_Fault_3_0_NotDef</t>
  </si>
  <si>
    <t>EXT_RfG_Fault_3_20_NotDef</t>
  </si>
  <si>
    <t>EXT_RfG_Fault_3_40_NotDef</t>
  </si>
  <si>
    <t>EXT_RfG_Fault_3_80_NotDef</t>
  </si>
  <si>
    <t>EXT_RfG_Fault_3_thres_NotDef</t>
  </si>
  <si>
    <t>EXT_RfG_Fault_2_20_NotDef</t>
  </si>
  <si>
    <t>EXT_RfG_Fault_2_40_NotDef</t>
  </si>
  <si>
    <t>EXT_RfG_Fault_3_SCR_NotDef</t>
  </si>
  <si>
    <t>EXT_RfG_Fault_2_SCR_NotDef</t>
  </si>
  <si>
    <t>EXT_RfG_Fault_3_SCR_freqStep1</t>
  </si>
  <si>
    <t>EXT_RfG_Fault_3_SCR_freqStep2</t>
  </si>
  <si>
    <t>EXT_RfG_proc_VoltageRise_insta_min</t>
  </si>
  <si>
    <t>EXT_RfG_proc_VoltageRise_insta_max</t>
  </si>
  <si>
    <t>UNT_VoltageRise_insta_min</t>
  </si>
  <si>
    <t>UNT_VoltageRise_insta_max</t>
  </si>
  <si>
    <t>EXT_RfG_Pavail_variation</t>
  </si>
  <si>
    <t>UNT_Pavail_variation</t>
  </si>
  <si>
    <t>UNT_prot_Fault_3_0.6pu</t>
  </si>
  <si>
    <t>UNT_prot_Fault_3_0.40pu</t>
  </si>
  <si>
    <t>UNT_prot_Fault_1_0.05pu</t>
  </si>
  <si>
    <t>UNT_prot_Fault_3_0.20pu</t>
  </si>
  <si>
    <t>UNT_prot_Fault_3_0.8pu</t>
  </si>
  <si>
    <t>UNT_MaxPhaseJump_Extreme_min</t>
  </si>
  <si>
    <t>UNT_MaxPhaseJump_Extreme_max</t>
  </si>
  <si>
    <t>EXT_RfG_Fault_rec_3_Q</t>
  </si>
  <si>
    <t>EXT_RfG_Fault_rec_3_Q(U)</t>
  </si>
  <si>
    <t>recordings/slow_recovery.csv</t>
  </si>
  <si>
    <t>Western Denmark, DK1, CE</t>
  </si>
  <si>
    <t>Eastern Denmark, DK2, N</t>
  </si>
  <si>
    <t>Voltage level POC</t>
  </si>
  <si>
    <t>150 kV</t>
  </si>
  <si>
    <t>220 kV</t>
  </si>
  <si>
    <t>400kV</t>
  </si>
  <si>
    <t>132 kV</t>
  </si>
  <si>
    <t>400 kV</t>
  </si>
  <si>
    <t>1 pu</t>
  </si>
  <si>
    <t>152 kV</t>
  </si>
  <si>
    <t>138 kV</t>
  </si>
  <si>
    <t>234 kV</t>
  </si>
  <si>
    <t>EXT_RfG_Fault_3_UnderThres_NotDef</t>
  </si>
  <si>
    <t>EXT_RfG_Fault_3_UnderThres</t>
  </si>
  <si>
    <t>DCC_SCR_step_Max-Min</t>
  </si>
  <si>
    <t>EXT_SCR_step_Max-Min_NotDef</t>
  </si>
  <si>
    <t>DCC_VoltageRise_insta_min</t>
  </si>
  <si>
    <t>DCC_VoltageDip_insta_min</t>
  </si>
  <si>
    <t>DCC_freqRise_insta_min</t>
  </si>
  <si>
    <t>DCC_freqDip_insta_min</t>
  </si>
  <si>
    <t>Unit_freqRise_insta_min</t>
  </si>
  <si>
    <t>Unit_freqDip_insta_min</t>
  </si>
  <si>
    <t>Unit_SCR_step_Max-Min</t>
  </si>
  <si>
    <t>EXT_RfG_Ucontrol_Phasejump</t>
  </si>
  <si>
    <t>EXT_RfG_Ucontrol_SCR</t>
  </si>
  <si>
    <t>EXT_RfG_Ucontrol_Fault</t>
  </si>
  <si>
    <t>ION_RfG_FSM_LFSM-U_ramp</t>
  </si>
  <si>
    <t>ION_RfG_FSM_LFSM-O_step</t>
  </si>
  <si>
    <t>PRE_SS_flatrun_Q1</t>
  </si>
  <si>
    <t>PRE_SS_flatrun_Q2</t>
  </si>
  <si>
    <t>PRE_SS_flatrun_Q3</t>
  </si>
  <si>
    <t>PRE_SS_flatrun_Q4</t>
  </si>
  <si>
    <t>PRE_SS_flatrun_Q5</t>
  </si>
  <si>
    <t>PRE_SS_flatrun_Q6</t>
  </si>
  <si>
    <t>PRE_SS_flatrun_Uctrl1</t>
  </si>
  <si>
    <t>PRE_SS_flatrun_Uctrl2</t>
  </si>
  <si>
    <t>PRE_SS_flatrun_PFctrl1</t>
  </si>
  <si>
    <t>ION_RfG_LFSM-O_Plimited</t>
  </si>
  <si>
    <t>ION_RfG_LFSM-U_Plimited</t>
  </si>
  <si>
    <t>ION_RfG_Ucontrol_FRTsensitivity</t>
  </si>
  <si>
    <t>ION_RfG_Ucontrol_FRTsensitivity-ramp</t>
  </si>
  <si>
    <t>EXT_RfG_Fault_2_80_NotDef</t>
  </si>
  <si>
    <t>EXT_RfG_Fault_1_20_NotDef</t>
  </si>
  <si>
    <t>EXT_RfG_Fault_1_40_NotDef</t>
  </si>
  <si>
    <t>EXT_RfG_Fault_1_80_NotDef</t>
  </si>
  <si>
    <t>EXT_RfG_Fault_1_UnderThres</t>
  </si>
  <si>
    <t>PRE_SS_flatrun_PFctrl2</t>
  </si>
  <si>
    <t>EXT_RfG_Fault_double-mix_SCR</t>
  </si>
  <si>
    <t>EXT_RfG_Fault_2_double_NotDef</t>
  </si>
  <si>
    <t>Kategori</t>
  </si>
  <si>
    <t>Steady state - model performance/convergence</t>
  </si>
  <si>
    <t xml:space="preserve">PRE-run cases to check model is correctly setup with MTB and can properly flatrun. </t>
  </si>
  <si>
    <t>Test of model performance, flatrun in several operation points and Q-modes</t>
  </si>
  <si>
    <t>Active power</t>
  </si>
  <si>
    <t>Test of active power ramping. Check compliance with max ramp rate 20%Pn/min</t>
  </si>
  <si>
    <t>Test model function in various operation points.</t>
  </si>
  <si>
    <t>Test of FSM (full frequency range)</t>
  </si>
  <si>
    <r>
      <t xml:space="preserve">Test FSM follows droop correctly, case should ensure half power change of FSM limit (+/-5% power) </t>
    </r>
    <r>
      <rPr>
        <sz val="11"/>
        <color rgb="FFC00000"/>
        <rFont val="Calibri"/>
        <family val="2"/>
        <scheme val="minor"/>
      </rPr>
      <t>(not working yet)</t>
    </r>
  </si>
  <si>
    <t>Test of LFSM (full range)</t>
  </si>
  <si>
    <t>Test of LFSM-O with ramp</t>
  </si>
  <si>
    <t>Test of LFSM-U with ramp</t>
  </si>
  <si>
    <t>Test of transition between FSM and LFSM during ramping.</t>
  </si>
  <si>
    <t>Test of transition between FSM and LFSM during steps</t>
  </si>
  <si>
    <t>Test of LFSM-O with limited available power. PPC setpoint does not match the actual power production, so can it handle this ?</t>
  </si>
  <si>
    <t>Test of LFSM-U with limited available power. PPC setpoint does not match the actual power production, so can it handle this ?</t>
  </si>
  <si>
    <t>Reactive power capability + voltage control</t>
  </si>
  <si>
    <t>Test of reactive power capability. (fixed Q setpoint and varying voltage), Q = 0</t>
  </si>
  <si>
    <t>Test of stability when fixed Q setpoint and varying voltage, Q = 0</t>
  </si>
  <si>
    <t>Test of reactive power capability. (fixed Q setpoint and varying voltage), Q = -0.33pu</t>
  </si>
  <si>
    <t>Test of reactive power capability. (fixed Q setpoint and varying voltage), Q = 0.33pu</t>
  </si>
  <si>
    <r>
      <t xml:space="preserve">Test of reactive power capability when changing P setpoint, Q = 0. </t>
    </r>
    <r>
      <rPr>
        <b/>
        <sz val="11"/>
        <color theme="1"/>
        <rFont val="Calibri"/>
        <family val="2"/>
        <scheme val="minor"/>
      </rPr>
      <t xml:space="preserve">Important: </t>
    </r>
    <r>
      <rPr>
        <sz val="11"/>
        <color theme="1"/>
        <rFont val="Calibri"/>
        <family val="2"/>
        <scheme val="minor"/>
      </rPr>
      <t>For large plants and low SCR it may not be realistic to change power from 1pu-0 without changing the POC voltage too much. When relevant split the simulation into multiple with different starting points.</t>
    </r>
  </si>
  <si>
    <t>Test of reactive power capability when changing P setpoint, Q = 0</t>
  </si>
  <si>
    <t>Test of reactive power capability when changing P setpoint, Q = -0.33pu</t>
  </si>
  <si>
    <t>Test of reactive power capability when changing P setpoint, Q = 0.33pu</t>
  </si>
  <si>
    <t>Test of reactive power capability and voltage control performance (minimum SC)</t>
  </si>
  <si>
    <t>Test of reactive power capability and voltage control performance ("medium" SC)</t>
  </si>
  <si>
    <t>Test of reactive power capability and voltage control performance (max SC)</t>
  </si>
  <si>
    <r>
      <t xml:space="preserve">Test how voltage control performs just around FRT threshold. (Focus is plant performance, plant should not suddenly reduce the reactive current when going from "low" voltage and into FRT). </t>
    </r>
    <r>
      <rPr>
        <b/>
        <sz val="11"/>
        <color theme="1"/>
        <rFont val="Calibri"/>
        <family val="2"/>
        <scheme val="minor"/>
      </rPr>
      <t xml:space="preserve">Important: </t>
    </r>
    <r>
      <rPr>
        <sz val="11"/>
        <color theme="1"/>
        <rFont val="Calibri"/>
        <family val="2"/>
        <scheme val="minor"/>
      </rPr>
      <t>This simulation is not realistic scenario and should not be used for GC compliance, but is a screening of stability risk/voltage control performance. It is not a requirement that plants can handle 3 consecutive voltage drops in this manner. When relevant simulation should be split into multiple cases and modified in order to make scenarious representative of real operation and do further assessment of any stability risk</t>
    </r>
  </si>
  <si>
    <t>Test how voltage control performs just around FRT threshold. (Focus is plant performance, plant should not suddenly reduce the reactive current when going from "low" voltage and into FRT). Now with ramping voltage transition from above to below FRT limit</t>
  </si>
  <si>
    <t>Reactive power in full voltage range</t>
  </si>
  <si>
    <t xml:space="preserve">Test plant can operate in full voltage range and what will do when voltage goes below U-Q/Pn limits (fixed Q setpoint) </t>
  </si>
  <si>
    <r>
      <rPr>
        <b/>
        <sz val="11"/>
        <color theme="1"/>
        <rFont val="Calibri"/>
        <family val="2"/>
        <scheme val="minor"/>
      </rPr>
      <t>Note:</t>
    </r>
    <r>
      <rPr>
        <sz val="11"/>
        <color theme="1"/>
        <rFont val="Calibri"/>
        <family val="2"/>
        <scheme val="minor"/>
      </rPr>
      <t xml:space="preserve"> Depending on system, steps 2 and 3 may be the same as step 1. Step 1 goes to limits of UQ, step 2 goes to continues voltage limit, step 3 goes to time restricted voltage limit (FRT limit)</t>
    </r>
  </si>
  <si>
    <t xml:space="preserve">Test plant can operate in full voltage range and what will do when voltage goes below U-Q/Pn limits (U-control) </t>
  </si>
  <si>
    <t>Q-mode and Pf-mode regulation</t>
  </si>
  <si>
    <r>
      <t xml:space="preserve">Test performance in Q-control, when changing setpoint. </t>
    </r>
    <r>
      <rPr>
        <b/>
        <sz val="11"/>
        <color theme="1"/>
        <rFont val="Calibri"/>
        <family val="2"/>
        <scheme val="minor"/>
      </rPr>
      <t>Important:</t>
    </r>
    <r>
      <rPr>
        <sz val="11"/>
        <color theme="1"/>
        <rFont val="Calibri"/>
        <family val="2"/>
        <scheme val="minor"/>
      </rPr>
      <t xml:space="preserve"> Plant should be allowed time to optimize tap changers between each Q step and depending on SCR, Q steps should not be so large the POC voltage is changed drastically. When relevant extend the time period of each step or split the simulation into multiple with different starting points.</t>
    </r>
  </si>
  <si>
    <r>
      <t xml:space="preserve">Test performance in Q-control, when changing setpoint. </t>
    </r>
    <r>
      <rPr>
        <b/>
        <sz val="11"/>
        <color theme="1"/>
        <rFont val="Calibri"/>
        <family val="2"/>
        <scheme val="minor"/>
      </rPr>
      <t>Important</t>
    </r>
    <r>
      <rPr>
        <sz val="11"/>
        <color theme="1"/>
        <rFont val="Calibri"/>
        <family val="2"/>
        <scheme val="minor"/>
      </rPr>
      <t>:  same as above</t>
    </r>
  </si>
  <si>
    <r>
      <t xml:space="preserve">Test performance in Pf-control, when changing power factor setpoint. </t>
    </r>
    <r>
      <rPr>
        <b/>
        <sz val="11"/>
        <color theme="1"/>
        <rFont val="Calibri"/>
        <family val="2"/>
        <scheme val="minor"/>
      </rPr>
      <t xml:space="preserve">Important: </t>
    </r>
    <r>
      <rPr>
        <sz val="11"/>
        <color theme="1"/>
        <rFont val="Calibri"/>
        <family val="2"/>
        <scheme val="minor"/>
      </rPr>
      <t xml:space="preserve"> same as above</t>
    </r>
  </si>
  <si>
    <r>
      <t xml:space="preserve">Test performance in Pf-control, when changing P setpoint. </t>
    </r>
    <r>
      <rPr>
        <b/>
        <sz val="11"/>
        <color theme="1"/>
        <rFont val="Calibri"/>
        <family val="2"/>
        <scheme val="minor"/>
      </rPr>
      <t xml:space="preserve">Important: </t>
    </r>
    <r>
      <rPr>
        <sz val="11"/>
        <color theme="1"/>
        <rFont val="Calibri"/>
        <family val="2"/>
        <scheme val="minor"/>
      </rPr>
      <t xml:space="preserve"> same as above</t>
    </r>
  </si>
  <si>
    <t>Systemguard</t>
  </si>
  <si>
    <t>Test model includes SIPS function and performance is compliant</t>
  </si>
  <si>
    <t>Plant robustness</t>
  </si>
  <si>
    <t>Test plant is compliant with 20deg phase jumps (large jumps)</t>
  </si>
  <si>
    <t>Test of phasejump robustness with several consecutive smaller phasejumps adding up to 20deg over 3 periods</t>
  </si>
  <si>
    <t>Test of robusstness for RoCoF (RoCoF of either 2Hz/s or 0.5Hz/s for long time)</t>
  </si>
  <si>
    <t>Test of robusstness for RoCoF (RoCoF of either 4Hz/s for just 100ms or 20Hz/s for 20ms.)</t>
  </si>
  <si>
    <t>Test of Rocof robustness (more realistic frequency event curve with varying RoCof - over frequency</t>
  </si>
  <si>
    <t>Test of Rocof robustness (more realistic frequency event curve with varying RoCof - under frequency</t>
  </si>
  <si>
    <t>Test of LVRT robustness (standard profile)</t>
  </si>
  <si>
    <t>Test of HVRT robustness (standard profile)</t>
  </si>
  <si>
    <t>Faults</t>
  </si>
  <si>
    <t>Fault simulations test of robustness/stability and compliance with PFAPR + reactive fault current</t>
  </si>
  <si>
    <t>Screening what happens just around FRT threshold - any toggling ?</t>
  </si>
  <si>
    <t>Test of reactive fault current contribution, match required static</t>
  </si>
  <si>
    <t>Test of robustness for consecutive faults - single fase with auto reclosure. 2 different faults each with double strike.</t>
  </si>
  <si>
    <t>Test of robustness for consecutive faults - 3 phase fault, 2 individual faults in a row</t>
  </si>
  <si>
    <t>Test of robustness for consecutive faults - 2 phase fault, 2 individual faults in a row</t>
  </si>
  <si>
    <t>Test of stability, 3 fase fault with impedance change at fault clearing. (jump from SC "tune" to SC min)</t>
  </si>
  <si>
    <t>Test of stability, 2 fase fault with impedance change at fault clearing. (jump from SC "tune" to SC min)</t>
  </si>
  <si>
    <t>Extra Frequency tests</t>
  </si>
  <si>
    <t>Test of LFSM follows correct droop. Designed to ensure first steps result in +/- 25% power change, then +/- 50% power change</t>
  </si>
  <si>
    <t>The original (ION) step test of LFSM, now with FSM active</t>
  </si>
  <si>
    <t>Test with playback of real frequency measurement. Test of FSM based on f-measurement while changing active power setpoint. Constant and minor variations in frequency barely activating FSM while changing active power reference. Mainly test that model performance/convergence can handle real signal with constant variation. Potentially also indicator of real plant challenges.</t>
  </si>
  <si>
    <t>Test of LFSM-O activation during setpoint change (when active power varies). When exit LFSM plant should return to same Power as was at LFSM activation and then continue ramp from there.</t>
  </si>
  <si>
    <t>Extra testing reactive power/voltage control</t>
  </si>
  <si>
    <t>Test of LFSM-O activation during Q setpoint change. (mostly about model robustness/performance; can model regulate active and reactive power at the same time. Not so much compliance)</t>
  </si>
  <si>
    <t>Test of simultanious voltage control and frequency control. (mostly about model robustness/performance; can model regulate active and reactive power at the same time. Not so much compliance)</t>
  </si>
  <si>
    <t>Test of Ucontrol, voltage change and phasejump. (Plant performance / compliance)</t>
  </si>
  <si>
    <t>Test of Ucontrol, voltage change and impedans change. (Plant performance / compliance)</t>
  </si>
  <si>
    <t>Test of Ucontrol, voltage change and fault. (Plant performance / compliance)</t>
  </si>
  <si>
    <t>Extra robustness</t>
  </si>
  <si>
    <t>Test model functions when varying available active power. (in EMT model look for oscillations as power varies)</t>
  </si>
  <si>
    <t>Test of phase jump robustness, going beyond 20deg (just screening of plant capability) 30deg and 40 deg. (also model robustness)</t>
  </si>
  <si>
    <t>Test of RoCoF robustness, the curve from RfG 2.0 (currently more strict than national requirement)</t>
  </si>
  <si>
    <t>Test of robustness, combination of RoCoF and phase jump events</t>
  </si>
  <si>
    <t>Extra faults</t>
  </si>
  <si>
    <t>Fault simulations with the "not default" Q-mode. Typically voltage control. test of robustness/stability and compliance with PFAPR + reactive fault current</t>
  </si>
  <si>
    <t>Test of plant stability, 3 fase fault with impedance change at fault clearing. (jump from SC "tune" to SC min)</t>
  </si>
  <si>
    <t>Test of plant stability, 2 fase fault with impedance change at fault clearing. (jump from SC "tune" to SC min)</t>
  </si>
  <si>
    <t>Test of respons just below FRT threshold in "not default" Q-mode. 3phase fault</t>
  </si>
  <si>
    <t>Test of respons just below FRT threshold in default Q-mode. 3phase fault</t>
  </si>
  <si>
    <t>Test of respons just below FRT threshold in default Q-mode. 1phase fault</t>
  </si>
  <si>
    <t>Test of robustness for consecutive faults - 2 phase fault, 2 individual faults in a row. With plant in "not default" Q-mode</t>
  </si>
  <si>
    <t>Test of robustness for consecutive faults - mix of unbalanced/balanced event. First 2 phase then 3 phase faults + grid impedance change in the end.</t>
  </si>
  <si>
    <t>Fault simulation, test plant stability in weak grid outside required compliance. Always SCR = 2</t>
  </si>
  <si>
    <t>3phase fault and RoCoF event. Plant stability and model robustness</t>
  </si>
  <si>
    <t>3phase fault, impedance change and frequency steps (frequency back to normal after PPC unfreeze - 6s). Plant stability and model robustness</t>
  </si>
  <si>
    <t>3phase fault, impedance change and frequency steps (frequency back to normal before PPC unfreeze - 4s). Plant stability and model robustness</t>
  </si>
  <si>
    <t>Model robustness - grid impedance change from Max to Min SC. In default Q-mode. Unrealistic case, not used for compliance, but can screen for stability challenges</t>
  </si>
  <si>
    <t>Model robustness - grid impedance change from Max to Min SC. In "not default" Q-mode. Unrealistic case, not used for compliance, but can screen for stability challenges</t>
  </si>
  <si>
    <t>Plant stability during faults with critical voltage recovery. (recording from system model simulation). Q-control</t>
  </si>
  <si>
    <t>Plant stability during faults with critical voltage recovery. (recording from system model simulation). U-control</t>
  </si>
  <si>
    <t>- same as above but grid impedance = Min SC instead of controlled source at POC</t>
  </si>
  <si>
    <t xml:space="preserve">Recording of double fault in system model. Plant stability in Q-control </t>
  </si>
  <si>
    <t xml:space="preserve">Recording of double fault in system model. Plant stability in U-control </t>
  </si>
  <si>
    <t>Recording of fault with very slow voltage recovery. Plant stability in Q-control</t>
  </si>
  <si>
    <t>Recording of fault with very slow voltage recovery. Plant stability in U-control</t>
  </si>
  <si>
    <t>Test of protection functionality in model</t>
  </si>
  <si>
    <t xml:space="preserve">Testing different overvoltage levels, when will plant trip. </t>
  </si>
  <si>
    <r>
      <rPr>
        <b/>
        <sz val="11"/>
        <color theme="1"/>
        <rFont val="Calibri"/>
        <family val="2"/>
        <scheme val="minor"/>
      </rPr>
      <t>Important:</t>
    </r>
    <r>
      <rPr>
        <sz val="11"/>
        <color theme="1"/>
        <rFont val="Calibri"/>
        <family val="2"/>
        <scheme val="minor"/>
      </rPr>
      <t xml:space="preserve"> All simulations in this section is not realistic and so should not be used for plant compliance. However, the protection functionality in the model must be proven, and these simulations is a proposal for that</t>
    </r>
  </si>
  <si>
    <t>test with transient overvoltage spikes with increasing magnitude. (does model contain any instantinous protection? Mainly EMT model). Testing with minimum SC</t>
  </si>
  <si>
    <t>test with transient overvoltage spikes with increasing magnitude. (does model contain any instantinous protection? Mainly EMT model). Testing with maximum SC</t>
  </si>
  <si>
    <t>Test with fault lasting 60seconds, when will plant trip</t>
  </si>
  <si>
    <t>Test with frequency just above limit, will plant trip ?</t>
  </si>
  <si>
    <t>Test with frequency just below limit, will plant trip ?</t>
  </si>
  <si>
    <t>Test with frequency increasing in steps, when will plant trip ? (does model seem to include all protection functions)</t>
  </si>
  <si>
    <t>Test with frequency decreasing in steps, when will plant trip ? (does model seem to include all protection functions)</t>
  </si>
  <si>
    <t>Max 1fase fault current</t>
  </si>
  <si>
    <t>Test if plant can handle the maximum 1fase fault current. (simulation must be made with HV trafo grounded)</t>
  </si>
  <si>
    <t>Active power regulation</t>
  </si>
  <si>
    <t>Model performance during active power setpoint change</t>
  </si>
  <si>
    <t>Reactive power regulation</t>
  </si>
  <si>
    <t>Model performance during Q setpoint change</t>
  </si>
  <si>
    <t>Model performance during voltage variations</t>
  </si>
  <si>
    <t>Robustness test / model performance</t>
  </si>
  <si>
    <t>Test model performance in full frequency area</t>
  </si>
  <si>
    <t>Test model performance in LVRT</t>
  </si>
  <si>
    <t>Test model performance in HVRT</t>
  </si>
  <si>
    <t xml:space="preserve">Fault simulations test of robustness/stability </t>
  </si>
  <si>
    <t>Fault simulation with short duration, (just to have case with initially better zoom to inspect)</t>
  </si>
  <si>
    <t>3phase fault, impedance change and frequency steps. Plant stability and model robustness</t>
  </si>
  <si>
    <t xml:space="preserve">Plant stability / model robustness - grid impedance change from Max to Min SC. </t>
  </si>
  <si>
    <t>Testing of protection functionality in model</t>
  </si>
  <si>
    <t>Extreme phasejumps with increasing deg. Purpose to provoke large transient current spike. Testing both Protection functionality and model robustness. (min SC level)</t>
  </si>
  <si>
    <t>Extreme phasejumps with increasing deg. Purpose to provoke large transient current spike. Testing both Protection functionality and model robustness. (max SC level)</t>
  </si>
  <si>
    <t>Testing different overvoltage levels, when will plant trip</t>
  </si>
  <si>
    <t xml:space="preserve">test with transient over-frequency spikes with increasing magnitude. (does model contain any instantinous protection? Mainly EMT model). </t>
  </si>
  <si>
    <t xml:space="preserve">test with transient under-frequency spikes with increasing magnitude. (does model contain any instantinous protection? Mainly EMT model). </t>
  </si>
  <si>
    <t>Variation of available power</t>
  </si>
  <si>
    <t>Can model handle variation in active power ?</t>
  </si>
  <si>
    <t>Varius fault simulations, how does plant perform ?</t>
  </si>
  <si>
    <t>Fault with impedance change</t>
  </si>
  <si>
    <t>Changen grid impedance</t>
  </si>
  <si>
    <t>Robustness</t>
  </si>
  <si>
    <t>Increasin voltage in steps - when will plant trip and what is voltage dependence</t>
  </si>
  <si>
    <t>Decreasing voltage in steps - when will plant trip and what is voltage dependence</t>
  </si>
  <si>
    <t>Test plant/model has SIPS</t>
  </si>
  <si>
    <t>Voltage and frequency area</t>
  </si>
  <si>
    <t>Frequency step changes</t>
  </si>
  <si>
    <t>Frequency ramp change (over frequency)</t>
  </si>
  <si>
    <t>Frequency ramp change (under frequency)</t>
  </si>
  <si>
    <t>Test plant/model has low frequency demand disconnection</t>
  </si>
  <si>
    <t>test plant/model performance in full frequency range. (going beyond required frequency range, will plant trip ?)</t>
  </si>
  <si>
    <t>test plant/model performance in full voltage range</t>
  </si>
  <si>
    <t>Protection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</si>
</sst>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1" x14ac:knownFonts="1">
    <font>
      <sz val="11"/>
      <color theme="1"/>
      <name val="Calibri"/>
      <family val="2"/>
      <scheme val="minor"/>
    </font>
    <font>
      <sz val="11"/>
      <name val="Calibri"/>
      <family val="2"/>
      <scheme val="minor"/>
    </font>
    <font>
      <b/>
      <sz val="11"/>
      <color theme="1"/>
      <name val="Calibri"/>
      <family val="2"/>
      <scheme val="minor"/>
    </font>
    <font>
      <sz val="11"/>
      <color indexed="8"/>
      <name val="Calibri"/>
      <family val="2"/>
    </font>
    <font>
      <sz val="11"/>
      <color theme="1"/>
      <name val="Calibri"/>
      <family val="2"/>
      <scheme val="minor"/>
    </font>
    <font>
      <i/>
      <sz val="11"/>
      <color theme="1"/>
      <name val="Calibri"/>
      <family val="2"/>
      <scheme val="minor"/>
    </font>
    <font>
      <sz val="8"/>
      <name val="Calibri"/>
      <family val="2"/>
      <scheme val="minor"/>
    </font>
    <font>
      <sz val="11"/>
      <color theme="0"/>
      <name val="Calibri"/>
      <family val="2"/>
      <scheme val="minor"/>
    </font>
    <font>
      <sz val="11"/>
      <color rgb="FF7030A0"/>
      <name val="Calibri"/>
      <family val="2"/>
      <scheme val="minor"/>
    </font>
    <font>
      <sz val="11"/>
      <color theme="0" tint="-0.499984740745262"/>
      <name val="Calibri"/>
      <family val="2"/>
      <scheme val="minor"/>
    </font>
    <font>
      <sz val="11"/>
      <color rgb="FFC00000"/>
      <name val="Calibri"/>
      <family val="2"/>
      <scheme val="minor"/>
    </font>
  </fonts>
  <fills count="2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6" tint="0.79998168889431442"/>
        <bgColor indexed="65"/>
      </patternFill>
    </fill>
    <fill>
      <patternFill patternType="solid">
        <fgColor theme="6"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EDEDED"/>
        <bgColor rgb="FF000000"/>
      </patternFill>
    </fill>
    <fill>
      <patternFill patternType="solid">
        <fgColor rgb="FFBFBFBF"/>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3"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DA8A1"/>
        <bgColor indexed="64"/>
      </patternFill>
    </fill>
    <fill>
      <patternFill patternType="solid">
        <fgColor rgb="FFFF0000"/>
        <bgColor indexed="64"/>
      </patternFill>
    </fill>
    <fill>
      <patternFill patternType="solid">
        <fgColor theme="0" tint="-0.249977111117893"/>
        <bgColor indexed="64"/>
      </patternFill>
    </fill>
    <fill>
      <patternFill patternType="solid">
        <fgColor theme="3" tint="0.749992370372631"/>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4" fillId="4" borderId="0" applyNumberFormat="0" applyBorder="0" applyAlignment="0" applyProtection="0"/>
    <xf numFmtId="9" fontId="4" fillId="0" borderId="0" applyFont="0" applyFill="0" applyBorder="0" applyAlignment="0" applyProtection="0"/>
  </cellStyleXfs>
  <cellXfs count="289">
    <xf numFmtId="0" fontId="0" fillId="0" borderId="0" xfId="0"/>
    <xf numFmtId="0" fontId="0" fillId="0" borderId="0" xfId="0" applyAlignment="1">
      <alignment horizontal="right" vertical="center"/>
    </xf>
    <xf numFmtId="0" fontId="0" fillId="0" borderId="0" xfId="0" applyAlignment="1">
      <alignment vertical="center"/>
    </xf>
    <xf numFmtId="0" fontId="0" fillId="0" borderId="0" xfId="0" applyAlignment="1">
      <alignment horizontal="center"/>
    </xf>
    <xf numFmtId="0" fontId="2" fillId="0" borderId="0" xfId="0" applyFont="1" applyAlignment="1">
      <alignment vertical="center"/>
    </xf>
    <xf numFmtId="164" fontId="0" fillId="0" borderId="0" xfId="0" applyNumberFormat="1" applyAlignment="1">
      <alignment horizontal="right" vertical="center"/>
    </xf>
    <xf numFmtId="2" fontId="0" fillId="0" borderId="0" xfId="0" applyNumberFormat="1" applyAlignment="1">
      <alignment horizontal="right" vertical="center"/>
    </xf>
    <xf numFmtId="164" fontId="0" fillId="0" borderId="0" xfId="0" applyNumberFormat="1"/>
    <xf numFmtId="0" fontId="0" fillId="5" borderId="0" xfId="0" applyFill="1" applyAlignment="1">
      <alignment horizontal="righ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left" wrapText="1"/>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164" fontId="0" fillId="5" borderId="1" xfId="0" applyNumberFormat="1" applyFill="1" applyBorder="1" applyAlignment="1">
      <alignment horizontal="right" vertical="center"/>
    </xf>
    <xf numFmtId="0" fontId="0" fillId="5" borderId="1" xfId="0" applyFill="1" applyBorder="1" applyAlignment="1">
      <alignment horizontal="right" vertical="center"/>
    </xf>
    <xf numFmtId="164" fontId="5" fillId="5" borderId="1" xfId="0" applyNumberFormat="1" applyFont="1" applyFill="1" applyBorder="1" applyAlignment="1">
      <alignment horizontal="right" vertical="center"/>
    </xf>
    <xf numFmtId="0" fontId="0" fillId="0" borderId="0" xfId="0" applyAlignment="1">
      <alignment horizontal="right"/>
    </xf>
    <xf numFmtId="164" fontId="0" fillId="0" borderId="0" xfId="0" applyNumberFormat="1" applyAlignment="1">
      <alignment horizontal="right" vertical="center" wrapText="1"/>
    </xf>
    <xf numFmtId="2" fontId="0" fillId="0" borderId="0" xfId="0" applyNumberFormat="1" applyAlignment="1">
      <alignment horizontal="right" vertical="center" wrapText="1"/>
    </xf>
    <xf numFmtId="164" fontId="0" fillId="0" borderId="5" xfId="0" applyNumberFormat="1" applyBorder="1" applyAlignment="1">
      <alignment horizontal="right" vertical="center"/>
    </xf>
    <xf numFmtId="164" fontId="1" fillId="0" borderId="0" xfId="0" applyNumberFormat="1" applyFont="1" applyAlignment="1">
      <alignment horizontal="right" vertical="center"/>
    </xf>
    <xf numFmtId="164" fontId="5" fillId="0" borderId="0" xfId="0" applyNumberFormat="1" applyFont="1" applyAlignment="1">
      <alignment horizontal="right" vertical="center"/>
    </xf>
    <xf numFmtId="0" fontId="0" fillId="0" borderId="6" xfId="0" applyBorder="1" applyAlignment="1">
      <alignment horizontal="center" vertical="center"/>
    </xf>
    <xf numFmtId="0" fontId="0" fillId="0" borderId="7" xfId="0" applyBorder="1"/>
    <xf numFmtId="0" fontId="2" fillId="0" borderId="8" xfId="0" applyFont="1" applyBorder="1" applyAlignment="1">
      <alignment horizontal="center"/>
    </xf>
    <xf numFmtId="0" fontId="2" fillId="0" borderId="10" xfId="0" applyFont="1" applyBorder="1" applyAlignment="1">
      <alignment horizontal="left" vertical="center"/>
    </xf>
    <xf numFmtId="0" fontId="2" fillId="0" borderId="10" xfId="0" applyFont="1" applyBorder="1" applyAlignment="1">
      <alignment horizontal="left" vertical="center" wrapText="1"/>
    </xf>
    <xf numFmtId="0" fontId="0" fillId="0" borderId="0" xfId="0" quotePrefix="1" applyAlignment="1">
      <alignment horizontal="center" vertical="center" wrapText="1"/>
    </xf>
    <xf numFmtId="0" fontId="2" fillId="0" borderId="12" xfId="0" applyFont="1" applyBorder="1" applyAlignment="1">
      <alignment horizontal="left" vertical="center"/>
    </xf>
    <xf numFmtId="0" fontId="0" fillId="0" borderId="13" xfId="0" applyBorder="1" applyAlignment="1">
      <alignment horizontal="center"/>
    </xf>
    <xf numFmtId="0" fontId="0" fillId="0" borderId="6" xfId="0" quotePrefix="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xf>
    <xf numFmtId="0" fontId="0" fillId="0" borderId="16" xfId="0" quotePrefix="1" applyBorder="1" applyAlignment="1">
      <alignment horizontal="center"/>
    </xf>
    <xf numFmtId="0" fontId="3" fillId="0" borderId="18" xfId="0" applyFont="1" applyBorder="1" applyAlignment="1">
      <alignment horizontal="center"/>
    </xf>
    <xf numFmtId="2" fontId="3" fillId="0" borderId="18" xfId="0" applyNumberFormat="1" applyFont="1" applyBorder="1" applyAlignment="1">
      <alignment horizontal="center"/>
    </xf>
    <xf numFmtId="0" fontId="0" fillId="0" borderId="18" xfId="0" applyBorder="1" applyAlignment="1">
      <alignment horizontal="center"/>
    </xf>
    <xf numFmtId="165" fontId="3" fillId="0" borderId="18" xfId="0" applyNumberFormat="1" applyFont="1" applyBorder="1" applyAlignment="1">
      <alignment horizontal="center"/>
    </xf>
    <xf numFmtId="165" fontId="0" fillId="0" borderId="18" xfId="0" applyNumberFormat="1" applyBorder="1" applyAlignment="1">
      <alignment horizontal="center"/>
    </xf>
    <xf numFmtId="1" fontId="3" fillId="0" borderId="18" xfId="0" applyNumberFormat="1" applyFont="1" applyBorder="1" applyAlignment="1">
      <alignment horizontal="center"/>
    </xf>
    <xf numFmtId="0" fontId="0" fillId="0" borderId="19" xfId="0" applyBorder="1" applyAlignment="1">
      <alignment horizontal="center"/>
    </xf>
    <xf numFmtId="0" fontId="2" fillId="0" borderId="10" xfId="0" applyFont="1" applyBorder="1"/>
    <xf numFmtId="0" fontId="2" fillId="0" borderId="0" xfId="0" applyFont="1" applyAlignment="1">
      <alignment horizontal="center"/>
    </xf>
    <xf numFmtId="0" fontId="0" fillId="0" borderId="10" xfId="0" applyBorder="1"/>
    <xf numFmtId="0" fontId="0" fillId="0" borderId="12" xfId="0" applyBorder="1"/>
    <xf numFmtId="0" fontId="0" fillId="0" borderId="13" xfId="0" applyBorder="1"/>
    <xf numFmtId="0" fontId="0" fillId="7" borderId="0" xfId="0" applyFill="1"/>
    <xf numFmtId="0" fontId="2" fillId="6" borderId="20" xfId="0" applyFont="1" applyFill="1" applyBorder="1" applyAlignment="1">
      <alignment horizontal="center"/>
    </xf>
    <xf numFmtId="0" fontId="0" fillId="6" borderId="20" xfId="0" applyFill="1" applyBorder="1"/>
    <xf numFmtId="164" fontId="0" fillId="6" borderId="20" xfId="0" applyNumberFormat="1" applyFill="1" applyBorder="1"/>
    <xf numFmtId="164" fontId="0" fillId="6" borderId="21" xfId="0" applyNumberFormat="1" applyFill="1" applyBorder="1"/>
    <xf numFmtId="0" fontId="2" fillId="0" borderId="5" xfId="0" applyFont="1" applyBorder="1" applyAlignment="1">
      <alignment horizontal="center"/>
    </xf>
    <xf numFmtId="0" fontId="0" fillId="0" borderId="5" xfId="0" applyBorder="1"/>
    <xf numFmtId="0" fontId="0" fillId="0" borderId="22" xfId="0" applyBorder="1"/>
    <xf numFmtId="0" fontId="2" fillId="0" borderId="6" xfId="0" applyFont="1" applyBorder="1" applyAlignment="1">
      <alignment horizontal="center"/>
    </xf>
    <xf numFmtId="0" fontId="0" fillId="0" borderId="6" xfId="0" applyBorder="1"/>
    <xf numFmtId="164" fontId="0" fillId="0" borderId="6" xfId="0" applyNumberFormat="1" applyBorder="1"/>
    <xf numFmtId="0" fontId="0" fillId="0" borderId="16" xfId="0" applyBorder="1"/>
    <xf numFmtId="0" fontId="0" fillId="0" borderId="24" xfId="0" applyBorder="1"/>
    <xf numFmtId="0" fontId="0" fillId="0" borderId="25" xfId="0" applyBorder="1"/>
    <xf numFmtId="164" fontId="0" fillId="0" borderId="26" xfId="0" applyNumberFormat="1" applyBorder="1"/>
    <xf numFmtId="164" fontId="0" fillId="0" borderId="27" xfId="0" applyNumberFormat="1" applyBorder="1"/>
    <xf numFmtId="164" fontId="0" fillId="6" borderId="23" xfId="0" applyNumberFormat="1" applyFill="1" applyBorder="1"/>
    <xf numFmtId="0" fontId="0" fillId="0" borderId="28" xfId="0" applyBorder="1"/>
    <xf numFmtId="0" fontId="0" fillId="0" borderId="29" xfId="0" applyBorder="1"/>
    <xf numFmtId="164" fontId="0" fillId="0" borderId="30" xfId="0" applyNumberFormat="1" applyBorder="1"/>
    <xf numFmtId="164" fontId="0" fillId="0" borderId="31" xfId="0" applyNumberFormat="1" applyBorder="1"/>
    <xf numFmtId="164" fontId="0" fillId="6" borderId="32" xfId="0" applyNumberFormat="1" applyFill="1" applyBorder="1"/>
    <xf numFmtId="0" fontId="0" fillId="0" borderId="30" xfId="0" applyBorder="1"/>
    <xf numFmtId="0" fontId="0" fillId="0" borderId="31" xfId="0" applyBorder="1"/>
    <xf numFmtId="0" fontId="0" fillId="0" borderId="26" xfId="0" applyBorder="1"/>
    <xf numFmtId="0" fontId="0" fillId="0" borderId="27" xfId="0" applyBorder="1"/>
    <xf numFmtId="0" fontId="0" fillId="6" borderId="23" xfId="0" applyFill="1" applyBorder="1"/>
    <xf numFmtId="0" fontId="0" fillId="6" borderId="32" xfId="0" applyFill="1" applyBorder="1"/>
    <xf numFmtId="0" fontId="2" fillId="0" borderId="34" xfId="0" applyFont="1" applyBorder="1"/>
    <xf numFmtId="0" fontId="0" fillId="0" borderId="3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2" fillId="6" borderId="33" xfId="0" applyFont="1" applyFill="1" applyBorder="1" applyAlignment="1">
      <alignment horizontal="center"/>
    </xf>
    <xf numFmtId="0" fontId="0" fillId="0" borderId="5" xfId="0" applyBorder="1" applyAlignment="1">
      <alignment horizontal="center" vertical="center" wrapText="1"/>
    </xf>
    <xf numFmtId="164" fontId="0" fillId="0" borderId="6" xfId="0" applyNumberFormat="1" applyBorder="1" applyAlignment="1">
      <alignment horizontal="right" vertical="center"/>
    </xf>
    <xf numFmtId="0" fontId="0" fillId="0" borderId="6" xfId="0" applyBorder="1" applyAlignment="1">
      <alignment horizontal="right" vertical="center"/>
    </xf>
    <xf numFmtId="164" fontId="0" fillId="5" borderId="38" xfId="0" applyNumberFormat="1" applyFill="1" applyBorder="1" applyAlignment="1">
      <alignment horizontal="right" vertical="center"/>
    </xf>
    <xf numFmtId="9" fontId="0" fillId="5" borderId="1" xfId="2" applyFont="1" applyFill="1" applyBorder="1" applyAlignment="1">
      <alignment horizontal="right" vertical="center"/>
    </xf>
    <xf numFmtId="9" fontId="0" fillId="5" borderId="1" xfId="0" applyNumberFormat="1" applyFill="1" applyBorder="1" applyAlignment="1">
      <alignment horizontal="right" vertical="center"/>
    </xf>
    <xf numFmtId="164" fontId="5" fillId="0" borderId="0" xfId="0" applyNumberFormat="1" applyFont="1" applyAlignment="1">
      <alignment horizontal="right" vertical="center" wrapText="1"/>
    </xf>
    <xf numFmtId="0" fontId="0" fillId="5" borderId="38" xfId="0" applyFill="1" applyBorder="1" applyAlignment="1">
      <alignment horizontal="right" vertical="center"/>
    </xf>
    <xf numFmtId="164" fontId="0" fillId="5" borderId="39" xfId="0" applyNumberFormat="1" applyFill="1" applyBorder="1" applyAlignment="1">
      <alignment horizontal="right" vertical="center"/>
    </xf>
    <xf numFmtId="16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xf>
    <xf numFmtId="164" fontId="4" fillId="0" borderId="0" xfId="1" applyNumberFormat="1" applyFill="1" applyBorder="1" applyAlignment="1">
      <alignment horizontal="right" vertical="center"/>
    </xf>
    <xf numFmtId="9" fontId="0" fillId="0" borderId="0" xfId="0" applyNumberFormat="1" applyAlignment="1">
      <alignment horizontal="right" vertical="center"/>
    </xf>
    <xf numFmtId="0" fontId="7" fillId="0" borderId="0" xfId="0" applyFont="1" applyAlignment="1">
      <alignment horizontal="right" vertical="center"/>
    </xf>
    <xf numFmtId="0" fontId="2" fillId="0" borderId="15" xfId="0" applyFont="1" applyBorder="1" applyAlignment="1">
      <alignment horizontal="center"/>
    </xf>
    <xf numFmtId="0" fontId="8" fillId="0" borderId="0" xfId="0" applyFont="1" applyAlignment="1">
      <alignment horizontal="right" vertical="center"/>
    </xf>
    <xf numFmtId="0" fontId="8" fillId="0" borderId="0" xfId="0" applyFont="1" applyAlignment="1">
      <alignment horizontal="center" vertical="center"/>
    </xf>
    <xf numFmtId="164" fontId="8" fillId="0" borderId="0" xfId="0" applyNumberFormat="1" applyFont="1" applyAlignment="1">
      <alignment horizontal="right" vertical="center"/>
    </xf>
    <xf numFmtId="0" fontId="8" fillId="0" borderId="0" xfId="0" applyFont="1" applyAlignment="1">
      <alignment horizontal="right"/>
    </xf>
    <xf numFmtId="164" fontId="8" fillId="0" borderId="0" xfId="0" applyNumberFormat="1" applyFont="1" applyAlignment="1">
      <alignment horizontal="right" vertical="center" wrapText="1"/>
    </xf>
    <xf numFmtId="2" fontId="8" fillId="0" borderId="0" xfId="0" applyNumberFormat="1" applyFont="1" applyAlignment="1">
      <alignment horizontal="right" vertical="center" wrapText="1"/>
    </xf>
    <xf numFmtId="0" fontId="0" fillId="8" borderId="1" xfId="0" applyFill="1" applyBorder="1" applyAlignment="1">
      <alignment horizontal="center" vertical="center" wrapText="1"/>
    </xf>
    <xf numFmtId="16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xf>
    <xf numFmtId="164" fontId="0" fillId="8" borderId="1" xfId="0" applyNumberFormat="1" applyFill="1" applyBorder="1" applyAlignment="1">
      <alignment horizontal="right" vertical="center"/>
    </xf>
    <xf numFmtId="164" fontId="8" fillId="8" borderId="1" xfId="0" applyNumberFormat="1" applyFont="1" applyFill="1" applyBorder="1" applyAlignment="1">
      <alignment horizontal="right" vertical="center"/>
    </xf>
    <xf numFmtId="9" fontId="4" fillId="8" borderId="1" xfId="2" applyFont="1" applyFill="1" applyBorder="1" applyAlignment="1">
      <alignment horizontal="right" vertical="center"/>
    </xf>
    <xf numFmtId="164" fontId="4" fillId="8" borderId="1" xfId="2" applyNumberFormat="1" applyFont="1" applyFill="1" applyBorder="1" applyAlignment="1">
      <alignment horizontal="right" vertical="center"/>
    </xf>
    <xf numFmtId="9" fontId="8" fillId="8" borderId="1" xfId="2" applyFont="1" applyFill="1" applyBorder="1" applyAlignment="1">
      <alignment horizontal="right" vertical="center"/>
    </xf>
    <xf numFmtId="9" fontId="8" fillId="8" borderId="1" xfId="0" applyNumberFormat="1" applyFont="1" applyFill="1" applyBorder="1" applyAlignment="1">
      <alignment horizontal="right" vertical="center"/>
    </xf>
    <xf numFmtId="164" fontId="8" fillId="8" borderId="1" xfId="0" applyNumberFormat="1" applyFont="1" applyFill="1" applyBorder="1" applyAlignment="1">
      <alignment horizontal="right"/>
    </xf>
    <xf numFmtId="0" fontId="8" fillId="8" borderId="1" xfId="0" applyFont="1" applyFill="1" applyBorder="1" applyAlignment="1">
      <alignment horizontal="right" vertical="center"/>
    </xf>
    <xf numFmtId="0" fontId="0" fillId="8" borderId="1" xfId="0" applyFill="1" applyBorder="1" applyAlignment="1">
      <alignment horizontal="right" vertical="center"/>
    </xf>
    <xf numFmtId="0" fontId="0" fillId="8" borderId="1" xfId="0" applyFill="1" applyBorder="1" applyAlignment="1">
      <alignment horizontal="center" vertical="center"/>
    </xf>
    <xf numFmtId="164" fontId="5" fillId="8" borderId="1" xfId="0" applyNumberFormat="1" applyFont="1" applyFill="1" applyBorder="1" applyAlignment="1">
      <alignment horizontal="right" vertical="center"/>
    </xf>
    <xf numFmtId="0" fontId="8" fillId="0" borderId="0" xfId="0" quotePrefix="1" applyFont="1" applyAlignment="1">
      <alignment horizontal="center" vertical="center"/>
    </xf>
    <xf numFmtId="1" fontId="0" fillId="0" borderId="0" xfId="0" applyNumberFormat="1" applyAlignment="1">
      <alignment horizontal="center" vertical="center" wrapText="1"/>
    </xf>
    <xf numFmtId="164" fontId="8" fillId="0" borderId="0" xfId="1" applyNumberFormat="1" applyFont="1" applyFill="1" applyBorder="1" applyAlignment="1">
      <alignment horizontal="right" vertical="center"/>
    </xf>
    <xf numFmtId="2" fontId="8" fillId="0" borderId="0" xfId="0" applyNumberFormat="1" applyFont="1" applyAlignment="1">
      <alignment horizontal="right" vertical="center"/>
    </xf>
    <xf numFmtId="164" fontId="8" fillId="0" borderId="0" xfId="0" applyNumberFormat="1" applyFont="1"/>
    <xf numFmtId="164" fontId="8" fillId="0" borderId="0" xfId="1" applyNumberFormat="1" applyFont="1" applyFill="1" applyBorder="1"/>
    <xf numFmtId="9" fontId="8" fillId="0" borderId="0" xfId="0" applyNumberFormat="1" applyFont="1" applyAlignment="1">
      <alignment horizontal="right" vertical="center"/>
    </xf>
    <xf numFmtId="0" fontId="0" fillId="0" borderId="1" xfId="0" applyBorder="1"/>
    <xf numFmtId="0" fontId="0" fillId="0" borderId="1" xfId="0" quotePrefix="1" applyBorder="1"/>
    <xf numFmtId="0" fontId="0" fillId="0" borderId="1" xfId="0" applyBorder="1" applyAlignment="1">
      <alignment vertical="center"/>
    </xf>
    <xf numFmtId="0" fontId="0" fillId="0" borderId="1" xfId="0" applyBorder="1" applyAlignment="1">
      <alignment vertical="top" wrapText="1"/>
    </xf>
    <xf numFmtId="0" fontId="0" fillId="0" borderId="1" xfId="0" quotePrefix="1"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2" fillId="7" borderId="1" xfId="0" applyFont="1" applyFill="1" applyBorder="1"/>
    <xf numFmtId="0" fontId="2" fillId="0" borderId="17" xfId="0" applyFont="1" applyBorder="1" applyAlignment="1">
      <alignment horizontal="center"/>
    </xf>
    <xf numFmtId="0" fontId="8" fillId="9" borderId="1" xfId="0" applyFont="1" applyFill="1" applyBorder="1" applyAlignment="1">
      <alignment horizontal="right" vertical="center"/>
    </xf>
    <xf numFmtId="0" fontId="8" fillId="0" borderId="5" xfId="0" applyFont="1" applyBorder="1" applyAlignment="1">
      <alignment horizontal="right" vertical="center"/>
    </xf>
    <xf numFmtId="9" fontId="8" fillId="9" borderId="1" xfId="0" applyNumberFormat="1" applyFont="1" applyFill="1" applyBorder="1" applyAlignment="1">
      <alignment horizontal="right" vertical="center"/>
    </xf>
    <xf numFmtId="164" fontId="8" fillId="9" borderId="1" xfId="0" applyNumberFormat="1" applyFont="1" applyFill="1" applyBorder="1" applyAlignment="1">
      <alignment horizontal="right" vertical="center"/>
    </xf>
    <xf numFmtId="0" fontId="1" fillId="0" borderId="0" xfId="0" applyFont="1" applyAlignment="1">
      <alignment horizontal="center" vertical="center"/>
    </xf>
    <xf numFmtId="0" fontId="1" fillId="0" borderId="0" xfId="0" applyFont="1" applyAlignment="1">
      <alignment horizontal="right" vertical="center"/>
    </xf>
    <xf numFmtId="164" fontId="1" fillId="0" borderId="0" xfId="0" applyNumberFormat="1" applyFont="1" applyAlignment="1">
      <alignment horizontal="right" vertical="center" wrapText="1"/>
    </xf>
    <xf numFmtId="0" fontId="1" fillId="0" borderId="0" xfId="0" applyFont="1" applyAlignment="1">
      <alignment horizontal="right"/>
    </xf>
    <xf numFmtId="2" fontId="1" fillId="0" borderId="0" xfId="0" applyNumberFormat="1" applyFont="1" applyAlignment="1">
      <alignment horizontal="right" vertical="center" wrapText="1"/>
    </xf>
    <xf numFmtId="164" fontId="1" fillId="8" borderId="1" xfId="0" applyNumberFormat="1" applyFont="1" applyFill="1" applyBorder="1" applyAlignment="1">
      <alignment horizontal="right" vertical="center"/>
    </xf>
    <xf numFmtId="0" fontId="2" fillId="0" borderId="9" xfId="0" applyFont="1" applyBorder="1"/>
    <xf numFmtId="0" fontId="2" fillId="0" borderId="11" xfId="0" applyFont="1" applyBorder="1"/>
    <xf numFmtId="0" fontId="5" fillId="0" borderId="11" xfId="0" applyFont="1" applyBorder="1"/>
    <xf numFmtId="0" fontId="0" fillId="0" borderId="11" xfId="0" applyBorder="1"/>
    <xf numFmtId="0" fontId="2" fillId="0" borderId="11" xfId="0" applyFont="1" applyBorder="1" applyAlignment="1">
      <alignment vertical="center"/>
    </xf>
    <xf numFmtId="0" fontId="5" fillId="0" borderId="14" xfId="0" applyFont="1" applyBorder="1"/>
    <xf numFmtId="0" fontId="3" fillId="0" borderId="0" xfId="0" applyFont="1"/>
    <xf numFmtId="0" fontId="3" fillId="10" borderId="40" xfId="0" applyFont="1" applyFill="1" applyBorder="1"/>
    <xf numFmtId="0" fontId="3" fillId="10" borderId="43" xfId="0" applyFont="1" applyFill="1" applyBorder="1"/>
    <xf numFmtId="0" fontId="3" fillId="0" borderId="44" xfId="0" applyFont="1" applyBorder="1"/>
    <xf numFmtId="0" fontId="3" fillId="10" borderId="45" xfId="0" applyFont="1" applyFill="1" applyBorder="1"/>
    <xf numFmtId="0" fontId="3" fillId="0" borderId="46" xfId="0" applyFont="1" applyBorder="1"/>
    <xf numFmtId="0" fontId="3" fillId="0" borderId="47" xfId="0" applyFont="1" applyBorder="1"/>
    <xf numFmtId="0" fontId="9" fillId="0" borderId="0" xfId="0" applyFont="1" applyAlignment="1">
      <alignment horizontal="center" vertical="center"/>
    </xf>
    <xf numFmtId="0" fontId="9" fillId="0" borderId="0" xfId="0" applyFont="1" applyAlignment="1">
      <alignment horizontal="right" vertical="center"/>
    </xf>
    <xf numFmtId="164" fontId="9" fillId="0" borderId="0" xfId="0" applyNumberFormat="1" applyFont="1" applyAlignment="1">
      <alignment horizontal="right" vertical="center"/>
    </xf>
    <xf numFmtId="164" fontId="9" fillId="0" borderId="0" xfId="0" applyNumberFormat="1" applyFont="1" applyAlignment="1">
      <alignment horizontal="right" vertical="center" wrapText="1"/>
    </xf>
    <xf numFmtId="0" fontId="9" fillId="0" borderId="0" xfId="0" applyFont="1" applyAlignment="1">
      <alignment horizontal="right"/>
    </xf>
    <xf numFmtId="2" fontId="9" fillId="0" borderId="0" xfId="0" applyNumberFormat="1" applyFont="1" applyAlignment="1">
      <alignment horizontal="right" vertical="center" wrapText="1"/>
    </xf>
    <xf numFmtId="164" fontId="9" fillId="8" borderId="1" xfId="0" applyNumberFormat="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11" borderId="41" xfId="0" applyFill="1" applyBorder="1" applyAlignment="1">
      <alignment horizontal="right" vertical="center"/>
    </xf>
    <xf numFmtId="0" fontId="9" fillId="11" borderId="41" xfId="0" applyFont="1" applyFill="1" applyBorder="1" applyAlignment="1">
      <alignment horizontal="right" vertical="center"/>
    </xf>
    <xf numFmtId="0" fontId="0" fillId="0" borderId="42" xfId="0" applyBorder="1"/>
    <xf numFmtId="0" fontId="0" fillId="11" borderId="0" xfId="0" applyFill="1" applyAlignment="1">
      <alignment horizontal="right" vertical="center"/>
    </xf>
    <xf numFmtId="0" fontId="9" fillId="11" borderId="0" xfId="0" applyFont="1" applyFill="1" applyAlignment="1">
      <alignment horizontal="right" vertical="center"/>
    </xf>
    <xf numFmtId="0" fontId="0" fillId="0" borderId="44" xfId="0" applyBorder="1"/>
    <xf numFmtId="0" fontId="0" fillId="11" borderId="46" xfId="0" applyFill="1" applyBorder="1" applyAlignment="1">
      <alignment horizontal="right" vertical="center"/>
    </xf>
    <xf numFmtId="0" fontId="9" fillId="11" borderId="46" xfId="0" applyFont="1" applyFill="1" applyBorder="1" applyAlignment="1">
      <alignment horizontal="right" vertical="center"/>
    </xf>
    <xf numFmtId="0" fontId="0" fillId="0" borderId="47" xfId="0" applyBorder="1"/>
    <xf numFmtId="0" fontId="0" fillId="12" borderId="41" xfId="0" applyFill="1" applyBorder="1" applyAlignment="1">
      <alignment horizontal="right" vertical="center"/>
    </xf>
    <xf numFmtId="0" fontId="0" fillId="12" borderId="0" xfId="0" applyFill="1" applyAlignment="1">
      <alignment horizontal="right" vertical="center"/>
    </xf>
    <xf numFmtId="0" fontId="0" fillId="12" borderId="46" xfId="0" applyFill="1" applyBorder="1" applyAlignment="1">
      <alignment horizontal="right" vertical="center"/>
    </xf>
    <xf numFmtId="0" fontId="0" fillId="7" borderId="41" xfId="0" applyFill="1" applyBorder="1" applyAlignment="1">
      <alignment horizontal="right" vertical="center"/>
    </xf>
    <xf numFmtId="0" fontId="0" fillId="7" borderId="0" xfId="0" applyFill="1" applyAlignment="1">
      <alignment horizontal="right" vertical="center"/>
    </xf>
    <xf numFmtId="0" fontId="8" fillId="7" borderId="0" xfId="0" applyFont="1" applyFill="1" applyAlignment="1">
      <alignment horizontal="right" vertical="center"/>
    </xf>
    <xf numFmtId="0" fontId="0" fillId="13" borderId="40" xfId="0" applyFill="1" applyBorder="1" applyAlignment="1">
      <alignment horizontal="right" vertical="center"/>
    </xf>
    <xf numFmtId="0" fontId="0" fillId="13" borderId="41" xfId="0" applyFill="1" applyBorder="1" applyAlignment="1">
      <alignment horizontal="right" vertical="center"/>
    </xf>
    <xf numFmtId="0" fontId="0" fillId="13" borderId="43" xfId="0" applyFill="1" applyBorder="1" applyAlignment="1">
      <alignment horizontal="right" vertical="center"/>
    </xf>
    <xf numFmtId="0" fontId="8" fillId="13" borderId="0" xfId="0" applyFont="1" applyFill="1" applyBorder="1" applyAlignment="1">
      <alignment horizontal="right" vertical="center"/>
    </xf>
    <xf numFmtId="0" fontId="0" fillId="13" borderId="0" xfId="0" applyFill="1" applyBorder="1" applyAlignment="1">
      <alignment horizontal="right" vertical="center"/>
    </xf>
    <xf numFmtId="0" fontId="0" fillId="0" borderId="44" xfId="0" applyBorder="1" applyAlignment="1">
      <alignment wrapText="1"/>
    </xf>
    <xf numFmtId="0" fontId="2" fillId="0" borderId="0" xfId="0" applyFont="1" applyBorder="1" applyAlignment="1">
      <alignment horizontal="center" vertical="center" wrapText="1"/>
    </xf>
    <xf numFmtId="0" fontId="0" fillId="13" borderId="45" xfId="0" applyFill="1" applyBorder="1" applyAlignment="1">
      <alignment horizontal="right" vertical="center"/>
    </xf>
    <xf numFmtId="0" fontId="8" fillId="13" borderId="46" xfId="0" applyFont="1" applyFill="1" applyBorder="1" applyAlignment="1">
      <alignment horizontal="right" vertical="center"/>
    </xf>
    <xf numFmtId="0" fontId="2" fillId="0" borderId="46" xfId="0" applyFont="1" applyBorder="1" applyAlignment="1">
      <alignment horizontal="center" vertical="center" wrapText="1"/>
    </xf>
    <xf numFmtId="0" fontId="0" fillId="0" borderId="47" xfId="0" applyBorder="1" applyAlignment="1">
      <alignment wrapText="1"/>
    </xf>
    <xf numFmtId="0" fontId="0" fillId="0" borderId="0" xfId="0" applyAlignment="1">
      <alignment wrapText="1"/>
    </xf>
    <xf numFmtId="0" fontId="0" fillId="14" borderId="40" xfId="0" applyFill="1" applyBorder="1" applyAlignment="1">
      <alignment horizontal="right" vertical="center"/>
    </xf>
    <xf numFmtId="0" fontId="8" fillId="14" borderId="41" xfId="0" applyFont="1" applyFill="1" applyBorder="1" applyAlignment="1">
      <alignment horizontal="right" vertical="center"/>
    </xf>
    <xf numFmtId="0" fontId="0" fillId="0" borderId="42" xfId="0" applyBorder="1" applyAlignment="1">
      <alignment wrapText="1"/>
    </xf>
    <xf numFmtId="0" fontId="0" fillId="14" borderId="43" xfId="0" applyFill="1" applyBorder="1" applyAlignment="1">
      <alignment horizontal="right" vertical="center"/>
    </xf>
    <xf numFmtId="0" fontId="8" fillId="14" borderId="0" xfId="0" applyFont="1" applyFill="1" applyBorder="1" applyAlignment="1">
      <alignment horizontal="right" vertical="center"/>
    </xf>
    <xf numFmtId="0" fontId="0" fillId="14" borderId="45" xfId="0" applyFill="1" applyBorder="1" applyAlignment="1">
      <alignment horizontal="right" vertical="center"/>
    </xf>
    <xf numFmtId="0" fontId="8" fillId="14" borderId="46" xfId="0" applyFont="1" applyFill="1" applyBorder="1" applyAlignment="1">
      <alignment horizontal="right" vertical="center"/>
    </xf>
    <xf numFmtId="0" fontId="0" fillId="15" borderId="0" xfId="0" applyFill="1" applyBorder="1" applyAlignment="1">
      <alignment horizontal="right" vertical="center"/>
    </xf>
    <xf numFmtId="0" fontId="0" fillId="15" borderId="0" xfId="0" applyFill="1" applyAlignment="1">
      <alignment horizontal="right" vertical="center"/>
    </xf>
    <xf numFmtId="0" fontId="0" fillId="15" borderId="46" xfId="0" applyFill="1" applyBorder="1" applyAlignment="1">
      <alignment horizontal="right" vertical="center"/>
    </xf>
    <xf numFmtId="0" fontId="0" fillId="2" borderId="46" xfId="0" applyFill="1" applyBorder="1" applyAlignment="1">
      <alignment horizontal="right" vertical="center"/>
    </xf>
    <xf numFmtId="0" fontId="8" fillId="2" borderId="46" xfId="0" applyFont="1" applyFill="1" applyBorder="1" applyAlignment="1">
      <alignment horizontal="right" vertical="center"/>
    </xf>
    <xf numFmtId="0" fontId="0" fillId="16" borderId="0" xfId="0" applyFill="1" applyAlignment="1">
      <alignment horizontal="right" vertical="center"/>
    </xf>
    <xf numFmtId="0" fontId="0" fillId="16" borderId="46" xfId="0" applyFill="1" applyBorder="1" applyAlignment="1">
      <alignment horizontal="right" vertical="center"/>
    </xf>
    <xf numFmtId="0" fontId="8" fillId="16" borderId="46" xfId="0" applyFont="1" applyFill="1" applyBorder="1" applyAlignment="1">
      <alignment horizontal="right" vertical="center"/>
    </xf>
    <xf numFmtId="0" fontId="0" fillId="17" borderId="40" xfId="0" applyFill="1" applyBorder="1" applyAlignment="1">
      <alignment horizontal="right" vertical="center"/>
    </xf>
    <xf numFmtId="0" fontId="0" fillId="17" borderId="41" xfId="0" applyFill="1" applyBorder="1" applyAlignment="1">
      <alignment horizontal="right" vertical="center"/>
    </xf>
    <xf numFmtId="0" fontId="0" fillId="17" borderId="43" xfId="0" applyFill="1" applyBorder="1" applyAlignment="1">
      <alignment horizontal="right" vertical="center"/>
    </xf>
    <xf numFmtId="0" fontId="0" fillId="17" borderId="0" xfId="0" applyFill="1" applyBorder="1" applyAlignment="1">
      <alignment horizontal="right" vertical="center"/>
    </xf>
    <xf numFmtId="0" fontId="1" fillId="17" borderId="0" xfId="0" applyFont="1" applyFill="1" applyBorder="1" applyAlignment="1">
      <alignment horizontal="right" vertical="center"/>
    </xf>
    <xf numFmtId="0" fontId="0" fillId="0" borderId="0" xfId="0" applyBorder="1" applyAlignment="1"/>
    <xf numFmtId="0" fontId="8" fillId="17" borderId="0" xfId="0" applyFont="1" applyFill="1" applyBorder="1" applyAlignment="1">
      <alignment horizontal="right" vertical="center"/>
    </xf>
    <xf numFmtId="0" fontId="0" fillId="17" borderId="45" xfId="0" applyFill="1" applyBorder="1" applyAlignment="1">
      <alignment horizontal="right" vertical="center"/>
    </xf>
    <xf numFmtId="0" fontId="8" fillId="17" borderId="46" xfId="0" applyFont="1" applyFill="1" applyBorder="1" applyAlignment="1">
      <alignment horizontal="right" vertical="center"/>
    </xf>
    <xf numFmtId="0" fontId="0" fillId="18" borderId="0" xfId="0" applyFill="1" applyAlignment="1">
      <alignment horizontal="right" vertical="center"/>
    </xf>
    <xf numFmtId="0" fontId="8" fillId="18" borderId="0" xfId="0" applyFont="1" applyFill="1" applyAlignment="1">
      <alignment horizontal="right" vertical="center"/>
    </xf>
    <xf numFmtId="0" fontId="1" fillId="0" borderId="44" xfId="0" applyFont="1" applyBorder="1"/>
    <xf numFmtId="0" fontId="0" fillId="0" borderId="44" xfId="0" applyBorder="1" applyAlignment="1" applyProtection="1">
      <alignment wrapText="1"/>
      <protection locked="0"/>
    </xf>
    <xf numFmtId="0" fontId="0" fillId="18" borderId="46" xfId="0" applyFill="1" applyBorder="1" applyAlignment="1">
      <alignment horizontal="right" vertical="center"/>
    </xf>
    <xf numFmtId="0" fontId="8" fillId="18" borderId="46" xfId="0" applyFont="1" applyFill="1" applyBorder="1" applyAlignment="1">
      <alignment horizontal="right" vertical="center"/>
    </xf>
    <xf numFmtId="0" fontId="0" fillId="19" borderId="40" xfId="0" applyFill="1" applyBorder="1" applyAlignment="1">
      <alignment horizontal="right" vertical="center"/>
    </xf>
    <xf numFmtId="0" fontId="8" fillId="19" borderId="41" xfId="0" applyFont="1" applyFill="1" applyBorder="1" applyAlignment="1">
      <alignment horizontal="right" vertical="center"/>
    </xf>
    <xf numFmtId="0" fontId="0" fillId="19" borderId="43" xfId="0" applyFill="1" applyBorder="1" applyAlignment="1">
      <alignment horizontal="right" vertical="center"/>
    </xf>
    <xf numFmtId="0" fontId="8" fillId="19" borderId="0" xfId="0" applyFont="1" applyFill="1" applyBorder="1" applyAlignment="1">
      <alignment horizontal="right" vertical="center"/>
    </xf>
    <xf numFmtId="0" fontId="0" fillId="19" borderId="45" xfId="0" applyFill="1" applyBorder="1" applyAlignment="1">
      <alignment horizontal="right" vertical="center"/>
    </xf>
    <xf numFmtId="0" fontId="8" fillId="19" borderId="46" xfId="0" applyFont="1" applyFill="1" applyBorder="1" applyAlignment="1">
      <alignment horizontal="right" vertical="center"/>
    </xf>
    <xf numFmtId="0" fontId="0" fillId="20" borderId="41" xfId="0" applyFill="1" applyBorder="1" applyAlignment="1">
      <alignment horizontal="right" vertical="center"/>
    </xf>
    <xf numFmtId="0" fontId="8" fillId="20" borderId="41" xfId="0" applyFont="1" applyFill="1" applyBorder="1" applyAlignment="1">
      <alignment horizontal="right" vertical="center"/>
    </xf>
    <xf numFmtId="0" fontId="0" fillId="20" borderId="0" xfId="0" applyFill="1" applyAlignment="1">
      <alignment horizontal="right" vertical="center"/>
    </xf>
    <xf numFmtId="0" fontId="8" fillId="20" borderId="0" xfId="0" applyFont="1" applyFill="1" applyAlignment="1">
      <alignment horizontal="right" vertical="center"/>
    </xf>
    <xf numFmtId="0" fontId="0" fillId="0" borderId="44" xfId="0" quotePrefix="1" applyBorder="1"/>
    <xf numFmtId="0" fontId="0" fillId="20" borderId="46" xfId="0" applyFill="1" applyBorder="1" applyAlignment="1">
      <alignment horizontal="right" vertical="center"/>
    </xf>
    <xf numFmtId="0" fontId="8" fillId="20" borderId="46" xfId="0" applyFont="1" applyFill="1" applyBorder="1" applyAlignment="1">
      <alignment horizontal="right" vertical="center"/>
    </xf>
    <xf numFmtId="0" fontId="0" fillId="21" borderId="0" xfId="0" applyFill="1" applyAlignment="1">
      <alignment horizontal="right" vertical="center"/>
    </xf>
    <xf numFmtId="0" fontId="8" fillId="21" borderId="0" xfId="0" applyFont="1" applyFill="1" applyAlignment="1">
      <alignment horizontal="right" vertical="center"/>
    </xf>
    <xf numFmtId="0" fontId="0" fillId="21" borderId="0" xfId="0" applyFill="1"/>
    <xf numFmtId="0" fontId="0" fillId="21" borderId="46" xfId="0" applyFill="1" applyBorder="1"/>
    <xf numFmtId="0" fontId="8" fillId="21" borderId="46" xfId="0" applyFont="1" applyFill="1" applyBorder="1" applyAlignment="1">
      <alignment horizontal="right" vertical="center"/>
    </xf>
    <xf numFmtId="0" fontId="0" fillId="22" borderId="48" xfId="0" applyFill="1" applyBorder="1"/>
    <xf numFmtId="0" fontId="8" fillId="22" borderId="48" xfId="0" applyFont="1" applyFill="1" applyBorder="1" applyAlignment="1">
      <alignment horizontal="right" vertical="center"/>
    </xf>
    <xf numFmtId="0" fontId="2" fillId="0" borderId="48" xfId="0" applyFont="1" applyBorder="1" applyAlignment="1">
      <alignment horizontal="center" vertical="center" wrapText="1"/>
    </xf>
    <xf numFmtId="0" fontId="0" fillId="0" borderId="49" xfId="0" applyBorder="1"/>
    <xf numFmtId="0" fontId="0" fillId="0" borderId="0" xfId="0" applyAlignment="1">
      <alignment horizontal="left" wrapText="1"/>
    </xf>
    <xf numFmtId="0" fontId="3" fillId="10" borderId="41" xfId="0" applyFont="1" applyFill="1" applyBorder="1" applyAlignment="1">
      <alignment horizontal="center"/>
    </xf>
    <xf numFmtId="0" fontId="3" fillId="10" borderId="42" xfId="0" applyFont="1" applyFill="1" applyBorder="1" applyAlignment="1">
      <alignment horizontal="center"/>
    </xf>
    <xf numFmtId="0" fontId="2" fillId="7" borderId="5" xfId="0" applyFont="1" applyFill="1" applyBorder="1" applyAlignment="1">
      <alignment horizontal="center"/>
    </xf>
    <xf numFmtId="0" fontId="2" fillId="7" borderId="0" xfId="0" applyFont="1" applyFill="1" applyAlignment="1">
      <alignment horizontal="center"/>
    </xf>
    <xf numFmtId="0" fontId="2" fillId="7" borderId="6" xfId="0" applyFont="1" applyFill="1" applyBorder="1" applyAlignment="1">
      <alignment horizontal="center"/>
    </xf>
    <xf numFmtId="0" fontId="0" fillId="0" borderId="0" xfId="0" applyAlignment="1">
      <alignment horizontal="center" vertical="center"/>
    </xf>
    <xf numFmtId="0" fontId="0" fillId="8"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1" xfId="0" applyFill="1" applyBorder="1" applyAlignment="1">
      <alignment horizontal="center" vertical="center"/>
    </xf>
    <xf numFmtId="0" fontId="2" fillId="0" borderId="0" xfId="0" applyFont="1" applyAlignment="1">
      <alignment horizontal="center" vertical="center" wrapText="1"/>
    </xf>
    <xf numFmtId="0" fontId="2" fillId="0" borderId="46" xfId="0" applyFont="1" applyBorder="1" applyAlignment="1">
      <alignment horizontal="center" vertical="center" wrapText="1"/>
    </xf>
    <xf numFmtId="0" fontId="2" fillId="0" borderId="41" xfId="0" applyFont="1" applyBorder="1" applyAlignment="1">
      <alignment horizontal="center" vertical="center" wrapText="1"/>
    </xf>
    <xf numFmtId="0" fontId="2" fillId="0" borderId="0" xfId="0" applyFont="1" applyBorder="1" applyAlignment="1">
      <alignment horizontal="center" vertical="center" wrapText="1"/>
    </xf>
    <xf numFmtId="0" fontId="0" fillId="23" borderId="40" xfId="0" applyFill="1" applyBorder="1" applyAlignment="1">
      <alignment horizontal="right" vertical="center"/>
    </xf>
    <xf numFmtId="0" fontId="0" fillId="23" borderId="41" xfId="0" applyFill="1" applyBorder="1" applyAlignment="1">
      <alignment horizontal="right" vertical="center"/>
    </xf>
    <xf numFmtId="0" fontId="0" fillId="23" borderId="43" xfId="0" applyFill="1" applyBorder="1" applyAlignment="1">
      <alignment horizontal="right" vertical="center"/>
    </xf>
    <xf numFmtId="0" fontId="0" fillId="23" borderId="0" xfId="0" applyFill="1" applyAlignment="1">
      <alignment horizontal="right" vertical="center"/>
    </xf>
    <xf numFmtId="0" fontId="0" fillId="23" borderId="45" xfId="0" applyFill="1" applyBorder="1" applyAlignment="1">
      <alignment horizontal="right" vertical="center"/>
    </xf>
    <xf numFmtId="0" fontId="0" fillId="23" borderId="46" xfId="0" applyFill="1" applyBorder="1" applyAlignment="1">
      <alignment horizontal="right" vertical="center"/>
    </xf>
    <xf numFmtId="0" fontId="0" fillId="24" borderId="50" xfId="0" applyFill="1" applyBorder="1" applyAlignment="1">
      <alignment horizontal="right" vertical="center"/>
    </xf>
    <xf numFmtId="0" fontId="0" fillId="24" borderId="48" xfId="0" applyFill="1" applyBorder="1" applyAlignment="1">
      <alignment horizontal="right" vertical="center"/>
    </xf>
    <xf numFmtId="0" fontId="2" fillId="0" borderId="48" xfId="0" applyFont="1" applyBorder="1" applyAlignment="1">
      <alignment horizontal="center" vertical="center"/>
    </xf>
    <xf numFmtId="0" fontId="0" fillId="0" borderId="49" xfId="0" applyBorder="1" applyAlignment="1">
      <alignment wrapText="1"/>
    </xf>
    <xf numFmtId="0" fontId="2" fillId="0" borderId="41" xfId="0" applyFont="1" applyBorder="1" applyAlignment="1">
      <alignment horizontal="center" vertical="center"/>
    </xf>
    <xf numFmtId="0" fontId="0" fillId="13" borderId="46" xfId="0" applyFill="1" applyBorder="1" applyAlignment="1">
      <alignment horizontal="right" vertical="center"/>
    </xf>
    <xf numFmtId="0" fontId="2" fillId="0" borderId="46" xfId="0" applyFont="1" applyBorder="1" applyAlignment="1">
      <alignment horizontal="center" vertical="center"/>
    </xf>
    <xf numFmtId="0" fontId="0" fillId="19" borderId="41" xfId="0" applyFill="1" applyBorder="1" applyAlignment="1">
      <alignment horizontal="right" vertical="center"/>
    </xf>
    <xf numFmtId="0" fontId="0" fillId="19" borderId="0" xfId="0" applyFill="1" applyAlignment="1">
      <alignment horizontal="right" vertical="center"/>
    </xf>
    <xf numFmtId="0" fontId="0" fillId="19" borderId="46" xfId="0" applyFill="1" applyBorder="1" applyAlignment="1">
      <alignment horizontal="right" vertical="center"/>
    </xf>
    <xf numFmtId="0" fontId="0" fillId="17" borderId="0" xfId="0" applyFill="1" applyAlignment="1">
      <alignment horizontal="right" vertical="center"/>
    </xf>
    <xf numFmtId="0" fontId="2" fillId="0" borderId="0" xfId="0" applyFont="1" applyAlignment="1">
      <alignment horizontal="center" vertical="center"/>
    </xf>
    <xf numFmtId="0" fontId="0" fillId="17" borderId="46" xfId="0" applyFill="1" applyBorder="1" applyAlignment="1">
      <alignment horizontal="right" vertical="center"/>
    </xf>
    <xf numFmtId="0" fontId="0" fillId="21" borderId="40" xfId="0" applyFill="1" applyBorder="1" applyAlignment="1">
      <alignment horizontal="right" vertical="center"/>
    </xf>
    <xf numFmtId="0" fontId="0" fillId="21" borderId="41" xfId="0" applyFill="1" applyBorder="1" applyAlignment="1">
      <alignment horizontal="right" vertical="center"/>
    </xf>
    <xf numFmtId="0" fontId="0" fillId="21" borderId="43" xfId="0" applyFill="1" applyBorder="1" applyAlignment="1">
      <alignment horizontal="right" vertical="center"/>
    </xf>
    <xf numFmtId="0" fontId="0" fillId="21" borderId="45" xfId="0" applyFill="1" applyBorder="1" applyAlignment="1">
      <alignment horizontal="right" vertical="center"/>
    </xf>
    <xf numFmtId="0" fontId="0" fillId="21" borderId="46" xfId="0" applyFill="1" applyBorder="1" applyAlignment="1">
      <alignment horizontal="right" vertical="center"/>
    </xf>
    <xf numFmtId="0" fontId="1" fillId="24" borderId="48" xfId="0" applyFont="1" applyFill="1" applyBorder="1" applyAlignment="1">
      <alignment horizontal="right" vertical="center"/>
    </xf>
    <xf numFmtId="0" fontId="0" fillId="13" borderId="0" xfId="0" applyFill="1" applyAlignment="1">
      <alignment horizontal="right" vertical="center"/>
    </xf>
  </cellXfs>
  <cellStyles count="3">
    <cellStyle name="20% - Accent3" xfId="1" builtinId="38"/>
    <cellStyle name="Normal" xfId="0" builtinId="0"/>
    <cellStyle name="Percent" xfId="2" builtinId="5"/>
  </cellStyles>
  <dxfs count="0"/>
  <tableStyles count="0" defaultTableStyle="TableStyleMedium2" defaultPivotStyle="PivotStyleLight16"/>
  <colors>
    <mruColors>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idlertidig%20lagring/SBS/MTB%20-%20updates/V2/test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Area values"/>
      <sheetName val="RfG cases"/>
      <sheetName val="DCC cases"/>
      <sheetName val="Unit cases"/>
      <sheetName val="Custom cases"/>
      <sheetName val="Event types"/>
      <sheetName val="datavalidation"/>
    </sheetNames>
    <sheetDataSet>
      <sheetData sheetId="0">
        <row r="7">
          <cell r="B7">
            <v>152</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26"/>
  <sheetViews>
    <sheetView tabSelected="1" zoomScale="115" zoomScaleNormal="115" workbookViewId="0">
      <selection activeCell="B2" sqref="B2"/>
    </sheetView>
  </sheetViews>
  <sheetFormatPr defaultRowHeight="15" x14ac:dyDescent="0.25"/>
  <cols>
    <col min="1" max="1" width="24.42578125" customWidth="1"/>
    <col min="2" max="2" width="21.5703125" style="3" bestFit="1" customWidth="1"/>
    <col min="3" max="3" width="6.7109375" style="3" customWidth="1"/>
    <col min="4" max="4" width="7.7109375" style="3" customWidth="1"/>
    <col min="5" max="5" width="82.85546875" customWidth="1"/>
    <col min="6" max="6" width="9.140625" style="3"/>
    <col min="7" max="7" width="9.7109375" customWidth="1"/>
    <col min="8" max="8" width="19.140625" customWidth="1"/>
    <col min="9" max="14" width="12.7109375" customWidth="1"/>
  </cols>
  <sheetData>
    <row r="1" spans="1:14" x14ac:dyDescent="0.25">
      <c r="A1" s="27"/>
      <c r="B1" s="133" t="s">
        <v>230</v>
      </c>
      <c r="C1" s="97" t="s">
        <v>219</v>
      </c>
      <c r="D1" s="28" t="s">
        <v>0</v>
      </c>
      <c r="E1" s="144" t="s">
        <v>1</v>
      </c>
    </row>
    <row r="2" spans="1:14" x14ac:dyDescent="0.25">
      <c r="A2" s="45" t="s">
        <v>228</v>
      </c>
      <c r="B2" s="40" t="s">
        <v>217</v>
      </c>
      <c r="C2" s="34" t="s">
        <v>11</v>
      </c>
      <c r="D2" s="46"/>
      <c r="E2" s="145"/>
    </row>
    <row r="3" spans="1:14" x14ac:dyDescent="0.25">
      <c r="A3" s="45" t="s">
        <v>241</v>
      </c>
      <c r="B3" s="40" t="b">
        <v>1</v>
      </c>
      <c r="C3" s="34" t="s">
        <v>11</v>
      </c>
      <c r="D3" s="46"/>
      <c r="E3" s="146" t="s">
        <v>433</v>
      </c>
    </row>
    <row r="4" spans="1:14" x14ac:dyDescent="0.25">
      <c r="A4" s="29" t="s">
        <v>2</v>
      </c>
      <c r="B4" s="38" t="s">
        <v>434</v>
      </c>
      <c r="C4" s="34" t="s">
        <v>11</v>
      </c>
      <c r="E4" s="147"/>
    </row>
    <row r="5" spans="1:14" s="2" customFormat="1" x14ac:dyDescent="0.25">
      <c r="A5" s="30" t="s">
        <v>3</v>
      </c>
      <c r="B5" s="39">
        <v>200</v>
      </c>
      <c r="C5" s="35" t="s">
        <v>4</v>
      </c>
      <c r="D5" s="31"/>
      <c r="E5" s="148"/>
      <c r="F5" s="13"/>
      <c r="G5" s="4"/>
      <c r="H5" s="4"/>
      <c r="I5" s="4"/>
      <c r="J5" s="4"/>
      <c r="K5" s="4"/>
      <c r="L5" s="4"/>
    </row>
    <row r="6" spans="1:14" ht="15.75" thickBot="1" x14ac:dyDescent="0.3">
      <c r="A6" s="30" t="s">
        <v>5</v>
      </c>
      <c r="B6" s="39">
        <v>161.9</v>
      </c>
      <c r="C6" s="36" t="s">
        <v>6</v>
      </c>
      <c r="D6" s="31"/>
      <c r="E6" s="146" t="s">
        <v>438</v>
      </c>
    </row>
    <row r="7" spans="1:14" x14ac:dyDescent="0.25">
      <c r="A7" s="29" t="s">
        <v>7</v>
      </c>
      <c r="B7" s="39">
        <v>152</v>
      </c>
      <c r="C7" s="36" t="s">
        <v>6</v>
      </c>
      <c r="D7" s="31"/>
      <c r="E7" s="146" t="s">
        <v>437</v>
      </c>
      <c r="H7" s="151"/>
      <c r="I7" s="246" t="s">
        <v>468</v>
      </c>
      <c r="J7" s="246"/>
      <c r="K7" s="246"/>
      <c r="L7" s="246" t="s">
        <v>469</v>
      </c>
      <c r="M7" s="246"/>
      <c r="N7" s="247"/>
    </row>
    <row r="8" spans="1:14" x14ac:dyDescent="0.25">
      <c r="A8" s="29" t="s">
        <v>8</v>
      </c>
      <c r="B8" s="40" t="s">
        <v>9</v>
      </c>
      <c r="C8" s="36"/>
      <c r="E8" s="147"/>
      <c r="H8" s="152" t="s">
        <v>470</v>
      </c>
      <c r="I8" s="150" t="s">
        <v>471</v>
      </c>
      <c r="J8" s="150" t="s">
        <v>472</v>
      </c>
      <c r="K8" s="150" t="s">
        <v>473</v>
      </c>
      <c r="L8" s="150" t="s">
        <v>474</v>
      </c>
      <c r="M8" s="150" t="s">
        <v>472</v>
      </c>
      <c r="N8" s="153" t="s">
        <v>475</v>
      </c>
    </row>
    <row r="9" spans="1:14" ht="15.75" thickBot="1" x14ac:dyDescent="0.3">
      <c r="A9" s="29" t="s">
        <v>10</v>
      </c>
      <c r="B9" s="41">
        <v>10</v>
      </c>
      <c r="C9" s="34" t="s">
        <v>11</v>
      </c>
      <c r="E9" s="147"/>
      <c r="H9" s="154" t="s">
        <v>476</v>
      </c>
      <c r="I9" s="155" t="s">
        <v>477</v>
      </c>
      <c r="J9" s="155" t="s">
        <v>472</v>
      </c>
      <c r="K9" s="155" t="s">
        <v>473</v>
      </c>
      <c r="L9" s="155" t="s">
        <v>478</v>
      </c>
      <c r="M9" s="155" t="s">
        <v>479</v>
      </c>
      <c r="N9" s="156" t="s">
        <v>475</v>
      </c>
    </row>
    <row r="10" spans="1:14" x14ac:dyDescent="0.25">
      <c r="A10" s="29" t="s">
        <v>12</v>
      </c>
      <c r="B10" s="41">
        <v>20</v>
      </c>
      <c r="C10" s="34" t="s">
        <v>11</v>
      </c>
      <c r="E10" s="147"/>
    </row>
    <row r="11" spans="1:14" x14ac:dyDescent="0.25">
      <c r="A11" s="29" t="s">
        <v>13</v>
      </c>
      <c r="B11" s="42">
        <v>30</v>
      </c>
      <c r="C11" s="34" t="s">
        <v>11</v>
      </c>
      <c r="E11" s="147"/>
    </row>
    <row r="12" spans="1:14" x14ac:dyDescent="0.25">
      <c r="A12" s="29" t="s">
        <v>14</v>
      </c>
      <c r="B12" s="42">
        <v>2</v>
      </c>
      <c r="C12" s="34" t="s">
        <v>15</v>
      </c>
      <c r="E12" s="147"/>
    </row>
    <row r="13" spans="1:14" x14ac:dyDescent="0.25">
      <c r="A13" s="29" t="s">
        <v>16</v>
      </c>
      <c r="B13" s="39">
        <v>10</v>
      </c>
      <c r="C13" s="34" t="s">
        <v>11</v>
      </c>
      <c r="E13" s="147"/>
      <c r="G13" s="245"/>
      <c r="H13" s="245"/>
      <c r="I13" s="245"/>
    </row>
    <row r="14" spans="1:14" x14ac:dyDescent="0.25">
      <c r="A14" s="29" t="s">
        <v>17</v>
      </c>
      <c r="B14" s="39">
        <v>15</v>
      </c>
      <c r="C14" s="34" t="s">
        <v>11</v>
      </c>
      <c r="E14" s="147"/>
      <c r="G14" s="14"/>
      <c r="H14" s="14"/>
      <c r="I14" s="14"/>
    </row>
    <row r="15" spans="1:14" x14ac:dyDescent="0.25">
      <c r="A15" s="29" t="s">
        <v>18</v>
      </c>
      <c r="B15" s="39">
        <v>20</v>
      </c>
      <c r="C15" s="34" t="s">
        <v>11</v>
      </c>
      <c r="E15" s="147"/>
      <c r="G15" s="14"/>
      <c r="H15" s="14"/>
      <c r="I15" s="14"/>
    </row>
    <row r="16" spans="1:14" x14ac:dyDescent="0.25">
      <c r="A16" s="29" t="s">
        <v>19</v>
      </c>
      <c r="B16" s="39">
        <v>0</v>
      </c>
      <c r="C16" s="34" t="s">
        <v>20</v>
      </c>
      <c r="E16" s="146" t="s">
        <v>439</v>
      </c>
      <c r="G16" s="14"/>
      <c r="H16" s="14"/>
      <c r="I16" s="14"/>
    </row>
    <row r="17" spans="1:9" x14ac:dyDescent="0.25">
      <c r="A17" s="29" t="s">
        <v>21</v>
      </c>
      <c r="B17" s="39">
        <v>0</v>
      </c>
      <c r="C17" s="34" t="s">
        <v>20</v>
      </c>
      <c r="E17" s="146" t="s">
        <v>439</v>
      </c>
      <c r="G17" s="14"/>
      <c r="H17" s="14"/>
      <c r="I17" s="14"/>
    </row>
    <row r="18" spans="1:9" x14ac:dyDescent="0.25">
      <c r="A18" s="29" t="s">
        <v>22</v>
      </c>
      <c r="B18" s="39" t="s">
        <v>23</v>
      </c>
      <c r="C18" s="34" t="s">
        <v>11</v>
      </c>
      <c r="E18" s="146" t="s">
        <v>24</v>
      </c>
      <c r="G18" s="14"/>
      <c r="H18" s="14"/>
      <c r="I18" s="14"/>
    </row>
    <row r="19" spans="1:9" x14ac:dyDescent="0.25">
      <c r="A19" s="29" t="s">
        <v>25</v>
      </c>
      <c r="B19" s="43">
        <v>2</v>
      </c>
      <c r="C19" s="36" t="s">
        <v>26</v>
      </c>
      <c r="E19" s="147"/>
    </row>
    <row r="20" spans="1:9" x14ac:dyDescent="0.25">
      <c r="A20" s="29" t="s">
        <v>27</v>
      </c>
      <c r="B20" s="40">
        <v>3.5</v>
      </c>
      <c r="C20" s="36" t="s">
        <v>28</v>
      </c>
      <c r="E20" s="146" t="s">
        <v>435</v>
      </c>
    </row>
    <row r="21" spans="1:9" x14ac:dyDescent="0.25">
      <c r="A21" s="29" t="s">
        <v>30</v>
      </c>
      <c r="B21" s="40">
        <v>0.1</v>
      </c>
      <c r="C21" s="36" t="s">
        <v>28</v>
      </c>
      <c r="E21" s="146" t="s">
        <v>436</v>
      </c>
    </row>
    <row r="22" spans="1:9" x14ac:dyDescent="0.25">
      <c r="A22" s="29" t="s">
        <v>31</v>
      </c>
      <c r="B22" s="40" t="b">
        <v>1</v>
      </c>
      <c r="C22" s="34" t="s">
        <v>11</v>
      </c>
      <c r="E22" s="147"/>
    </row>
    <row r="23" spans="1:9" x14ac:dyDescent="0.25">
      <c r="A23" s="29" t="s">
        <v>32</v>
      </c>
      <c r="B23" s="40" t="b">
        <v>1</v>
      </c>
      <c r="C23" s="34" t="s">
        <v>11</v>
      </c>
      <c r="E23" s="147"/>
    </row>
    <row r="24" spans="1:9" x14ac:dyDescent="0.25">
      <c r="A24" s="29" t="s">
        <v>33</v>
      </c>
      <c r="B24" s="40" t="b">
        <v>0</v>
      </c>
      <c r="C24" s="34" t="s">
        <v>11</v>
      </c>
      <c r="E24" s="147"/>
    </row>
    <row r="25" spans="1:9" x14ac:dyDescent="0.25">
      <c r="A25" s="29" t="s">
        <v>34</v>
      </c>
      <c r="B25" s="40" t="b">
        <v>1</v>
      </c>
      <c r="C25" s="34" t="s">
        <v>11</v>
      </c>
      <c r="E25" s="146" t="s">
        <v>35</v>
      </c>
    </row>
    <row r="26" spans="1:9" ht="15.75" thickBot="1" x14ac:dyDescent="0.3">
      <c r="A26" s="32" t="s">
        <v>36</v>
      </c>
      <c r="B26" s="44" t="b">
        <v>1</v>
      </c>
      <c r="C26" s="37" t="s">
        <v>11</v>
      </c>
      <c r="D26" s="33"/>
      <c r="E26" s="149" t="s">
        <v>35</v>
      </c>
    </row>
  </sheetData>
  <mergeCells count="3">
    <mergeCell ref="G13:I13"/>
    <mergeCell ref="I7:K7"/>
    <mergeCell ref="L7:N7"/>
  </mergeCells>
  <dataValidations count="2">
    <dataValidation type="decimal" showInputMessage="1" showErrorMessage="1" sqref="B20">
      <formula1>1</formula1>
      <formula2>99999999</formula2>
    </dataValidation>
    <dataValidation type="decimal" allowBlank="1" showInputMessage="1" showErrorMessage="1" sqref="B21">
      <formula1>0.1</formula1>
      <formula2>999999</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datavalidation!$A$1:$A$2</xm:f>
          </x14:formula1>
          <xm:sqref>B8</xm:sqref>
        </x14:dataValidation>
        <x14:dataValidation type="list" allowBlank="1" showInputMessage="1" showErrorMessage="1">
          <x14:formula1>
            <xm:f>datavalidation!$B$1:$B$8</xm:f>
          </x14:formula1>
          <xm:sqref>B18</xm:sqref>
        </x14:dataValidation>
        <x14:dataValidation type="list" allowBlank="1" showInputMessage="1" showErrorMessage="1">
          <x14:formula1>
            <xm:f>datavalidation!$E$1:$E$2</xm:f>
          </x14:formula1>
          <xm:sqref>B22:B26 B3</xm:sqref>
        </x14:dataValidation>
        <x14:dataValidation type="list" allowBlank="1" showInputMessage="1" showErrorMessage="1">
          <x14:formula1>
            <xm:f>datavalidation!$F$1:$F$4</xm:f>
          </x14:formula1>
          <xm:sqref>B2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zoomScale="115" zoomScaleNormal="115" workbookViewId="0">
      <pane ySplit="1" topLeftCell="A17" activePane="bottomLeft" state="frozen"/>
      <selection pane="bottomLeft" activeCell="D34" sqref="D34"/>
    </sheetView>
  </sheetViews>
  <sheetFormatPr defaultRowHeight="15" x14ac:dyDescent="0.25"/>
  <cols>
    <col min="2" max="2" width="54.85546875" customWidth="1"/>
    <col min="3" max="3" width="29.85546875" customWidth="1"/>
    <col min="4" max="4" width="90.7109375" customWidth="1"/>
  </cols>
  <sheetData>
    <row r="1" spans="1:4" ht="15.75" thickBot="1" x14ac:dyDescent="0.3">
      <c r="A1" s="9" t="s">
        <v>92</v>
      </c>
      <c r="B1" s="165" t="s">
        <v>95</v>
      </c>
      <c r="C1" t="s">
        <v>517</v>
      </c>
      <c r="D1" t="s">
        <v>1</v>
      </c>
    </row>
    <row r="2" spans="1:4" x14ac:dyDescent="0.25">
      <c r="A2" s="263">
        <v>2001</v>
      </c>
      <c r="B2" s="264" t="s">
        <v>380</v>
      </c>
      <c r="C2" s="261" t="s">
        <v>518</v>
      </c>
      <c r="D2" s="195" t="s">
        <v>520</v>
      </c>
    </row>
    <row r="3" spans="1:4" x14ac:dyDescent="0.25">
      <c r="A3" s="265">
        <v>2002</v>
      </c>
      <c r="B3" s="266" t="s">
        <v>381</v>
      </c>
      <c r="C3" s="259"/>
      <c r="D3" s="186" t="s">
        <v>11</v>
      </c>
    </row>
    <row r="4" spans="1:4" x14ac:dyDescent="0.25">
      <c r="A4" s="265">
        <v>2003</v>
      </c>
      <c r="B4" s="266" t="s">
        <v>382</v>
      </c>
      <c r="C4" s="259"/>
      <c r="D4" s="186" t="s">
        <v>11</v>
      </c>
    </row>
    <row r="5" spans="1:4" x14ac:dyDescent="0.25">
      <c r="A5" s="265">
        <v>2004</v>
      </c>
      <c r="B5" s="266" t="s">
        <v>383</v>
      </c>
      <c r="C5" s="259"/>
      <c r="D5" s="186" t="s">
        <v>11</v>
      </c>
    </row>
    <row r="6" spans="1:4" x14ac:dyDescent="0.25">
      <c r="A6" s="265">
        <v>2005</v>
      </c>
      <c r="B6" s="266" t="s">
        <v>384</v>
      </c>
      <c r="C6" s="259"/>
      <c r="D6" s="186" t="s">
        <v>11</v>
      </c>
    </row>
    <row r="7" spans="1:4" ht="15.75" thickBot="1" x14ac:dyDescent="0.3">
      <c r="A7" s="267">
        <v>2006</v>
      </c>
      <c r="B7" s="268" t="s">
        <v>385</v>
      </c>
      <c r="C7" s="260"/>
      <c r="D7" s="191" t="s">
        <v>11</v>
      </c>
    </row>
    <row r="8" spans="1:4" ht="15.75" thickBot="1" x14ac:dyDescent="0.3">
      <c r="A8" s="269">
        <v>2007</v>
      </c>
      <c r="B8" s="270" t="s">
        <v>386</v>
      </c>
      <c r="C8" s="271" t="s">
        <v>626</v>
      </c>
      <c r="D8" s="272" t="s">
        <v>627</v>
      </c>
    </row>
    <row r="9" spans="1:4" x14ac:dyDescent="0.25">
      <c r="A9" s="181">
        <v>2008</v>
      </c>
      <c r="B9" s="182" t="s">
        <v>387</v>
      </c>
      <c r="C9" s="273" t="s">
        <v>628</v>
      </c>
      <c r="D9" s="195" t="s">
        <v>629</v>
      </c>
    </row>
    <row r="10" spans="1:4" ht="15.75" thickBot="1" x14ac:dyDescent="0.3">
      <c r="A10" s="188">
        <v>2009</v>
      </c>
      <c r="B10" s="274" t="s">
        <v>388</v>
      </c>
      <c r="C10" s="275"/>
      <c r="D10" s="191" t="s">
        <v>630</v>
      </c>
    </row>
    <row r="11" spans="1:4" x14ac:dyDescent="0.25">
      <c r="A11" s="223">
        <v>2010</v>
      </c>
      <c r="B11" s="276" t="s">
        <v>389</v>
      </c>
      <c r="C11" s="261" t="s">
        <v>631</v>
      </c>
      <c r="D11" s="195" t="s">
        <v>632</v>
      </c>
    </row>
    <row r="12" spans="1:4" x14ac:dyDescent="0.25">
      <c r="A12" s="225">
        <v>2011</v>
      </c>
      <c r="B12" s="277" t="s">
        <v>390</v>
      </c>
      <c r="C12" s="259"/>
      <c r="D12" s="186" t="s">
        <v>633</v>
      </c>
    </row>
    <row r="13" spans="1:4" ht="15.75" thickBot="1" x14ac:dyDescent="0.3">
      <c r="A13" s="227">
        <v>2012</v>
      </c>
      <c r="B13" s="278" t="s">
        <v>391</v>
      </c>
      <c r="C13" s="260"/>
      <c r="D13" s="191" t="s">
        <v>634</v>
      </c>
    </row>
    <row r="14" spans="1:4" x14ac:dyDescent="0.25">
      <c r="A14" s="208">
        <v>2013</v>
      </c>
      <c r="B14" s="209" t="s">
        <v>392</v>
      </c>
      <c r="C14" s="273" t="s">
        <v>567</v>
      </c>
      <c r="D14" s="195" t="s">
        <v>635</v>
      </c>
    </row>
    <row r="15" spans="1:4" x14ac:dyDescent="0.25">
      <c r="A15" s="210">
        <v>2014</v>
      </c>
      <c r="B15" s="279" t="s">
        <v>393</v>
      </c>
      <c r="C15" s="280"/>
      <c r="D15" s="186" t="s">
        <v>11</v>
      </c>
    </row>
    <row r="16" spans="1:4" x14ac:dyDescent="0.25">
      <c r="A16" s="210">
        <v>2015</v>
      </c>
      <c r="B16" s="279" t="s">
        <v>394</v>
      </c>
      <c r="C16" s="280"/>
      <c r="D16" s="186" t="s">
        <v>11</v>
      </c>
    </row>
    <row r="17" spans="1:4" x14ac:dyDescent="0.25">
      <c r="A17" s="210">
        <v>2016</v>
      </c>
      <c r="B17" s="279" t="s">
        <v>395</v>
      </c>
      <c r="C17" s="280"/>
      <c r="D17" s="186" t="s">
        <v>11</v>
      </c>
    </row>
    <row r="18" spans="1:4" x14ac:dyDescent="0.25">
      <c r="A18" s="210">
        <v>2017</v>
      </c>
      <c r="B18" s="279" t="s">
        <v>396</v>
      </c>
      <c r="C18" s="280"/>
      <c r="D18" s="186" t="s">
        <v>11</v>
      </c>
    </row>
    <row r="19" spans="1:4" x14ac:dyDescent="0.25">
      <c r="A19" s="210">
        <v>2018</v>
      </c>
      <c r="B19" s="279" t="s">
        <v>397</v>
      </c>
      <c r="C19" s="280"/>
      <c r="D19" s="186" t="s">
        <v>11</v>
      </c>
    </row>
    <row r="20" spans="1:4" x14ac:dyDescent="0.25">
      <c r="A20" s="210">
        <v>2019</v>
      </c>
      <c r="B20" s="279" t="s">
        <v>398</v>
      </c>
      <c r="C20" s="280"/>
      <c r="D20" s="186" t="s">
        <v>11</v>
      </c>
    </row>
    <row r="21" spans="1:4" x14ac:dyDescent="0.25">
      <c r="A21" s="210">
        <v>2020</v>
      </c>
      <c r="B21" s="279" t="s">
        <v>399</v>
      </c>
      <c r="C21" s="280"/>
      <c r="D21" s="186" t="s">
        <v>11</v>
      </c>
    </row>
    <row r="22" spans="1:4" x14ac:dyDescent="0.25">
      <c r="A22" s="210">
        <v>2021</v>
      </c>
      <c r="B22" s="279" t="s">
        <v>400</v>
      </c>
      <c r="C22" s="280"/>
      <c r="D22" s="186" t="s">
        <v>11</v>
      </c>
    </row>
    <row r="23" spans="1:4" x14ac:dyDescent="0.25">
      <c r="A23" s="210">
        <v>2022</v>
      </c>
      <c r="B23" s="279" t="s">
        <v>401</v>
      </c>
      <c r="C23" s="280"/>
      <c r="D23" s="186" t="s">
        <v>11</v>
      </c>
    </row>
    <row r="24" spans="1:4" x14ac:dyDescent="0.25">
      <c r="A24" s="210">
        <v>2023</v>
      </c>
      <c r="B24" s="279" t="s">
        <v>402</v>
      </c>
      <c r="C24" s="280"/>
      <c r="D24" s="186" t="s">
        <v>11</v>
      </c>
    </row>
    <row r="25" spans="1:4" x14ac:dyDescent="0.25">
      <c r="A25" s="210">
        <v>2024</v>
      </c>
      <c r="B25" s="279" t="s">
        <v>403</v>
      </c>
      <c r="C25" s="280"/>
      <c r="D25" s="186" t="s">
        <v>11</v>
      </c>
    </row>
    <row r="26" spans="1:4" x14ac:dyDescent="0.25">
      <c r="A26" s="210">
        <v>2025</v>
      </c>
      <c r="B26" s="279" t="s">
        <v>404</v>
      </c>
      <c r="C26" s="280"/>
      <c r="D26" s="186" t="s">
        <v>570</v>
      </c>
    </row>
    <row r="27" spans="1:4" ht="30" x14ac:dyDescent="0.25">
      <c r="A27" s="210">
        <v>2026</v>
      </c>
      <c r="B27" s="279" t="s">
        <v>405</v>
      </c>
      <c r="C27" s="280"/>
      <c r="D27" s="186" t="s">
        <v>571</v>
      </c>
    </row>
    <row r="28" spans="1:4" x14ac:dyDescent="0.25">
      <c r="A28" s="210">
        <v>2027</v>
      </c>
      <c r="B28" s="279" t="s">
        <v>406</v>
      </c>
      <c r="C28" s="280"/>
      <c r="D28" s="186" t="s">
        <v>572</v>
      </c>
    </row>
    <row r="29" spans="1:4" x14ac:dyDescent="0.25">
      <c r="A29" s="210">
        <v>2028</v>
      </c>
      <c r="B29" s="279" t="s">
        <v>407</v>
      </c>
      <c r="C29" s="280"/>
      <c r="D29" s="186" t="s">
        <v>573</v>
      </c>
    </row>
    <row r="30" spans="1:4" x14ac:dyDescent="0.25">
      <c r="A30" s="210">
        <v>2029</v>
      </c>
      <c r="B30" s="279" t="s">
        <v>408</v>
      </c>
      <c r="C30" s="280"/>
      <c r="D30" s="192" t="s">
        <v>636</v>
      </c>
    </row>
    <row r="31" spans="1:4" x14ac:dyDescent="0.25">
      <c r="A31" s="210">
        <v>2030</v>
      </c>
      <c r="B31" s="279" t="s">
        <v>409</v>
      </c>
      <c r="C31" s="280"/>
      <c r="D31" s="192" t="s">
        <v>636</v>
      </c>
    </row>
    <row r="32" spans="1:4" x14ac:dyDescent="0.25">
      <c r="A32" s="210">
        <v>2031</v>
      </c>
      <c r="B32" s="279" t="s">
        <v>410</v>
      </c>
      <c r="C32" s="280"/>
      <c r="D32" s="186" t="s">
        <v>601</v>
      </c>
    </row>
    <row r="33" spans="1:4" x14ac:dyDescent="0.25">
      <c r="A33" s="210">
        <v>2032</v>
      </c>
      <c r="B33" s="279" t="s">
        <v>411</v>
      </c>
      <c r="C33" s="280"/>
      <c r="D33" s="186" t="s">
        <v>601</v>
      </c>
    </row>
    <row r="34" spans="1:4" ht="30" x14ac:dyDescent="0.25">
      <c r="A34" s="210">
        <v>2033</v>
      </c>
      <c r="B34" s="279" t="s">
        <v>412</v>
      </c>
      <c r="C34" s="280"/>
      <c r="D34" s="186" t="s">
        <v>574</v>
      </c>
    </row>
    <row r="35" spans="1:4" ht="30" x14ac:dyDescent="0.25">
      <c r="A35" s="210">
        <v>2034</v>
      </c>
      <c r="B35" s="279" t="s">
        <v>413</v>
      </c>
      <c r="C35" s="280"/>
      <c r="D35" s="186" t="s">
        <v>575</v>
      </c>
    </row>
    <row r="36" spans="1:4" x14ac:dyDescent="0.25">
      <c r="A36" s="210">
        <v>2035</v>
      </c>
      <c r="B36" s="279" t="s">
        <v>414</v>
      </c>
      <c r="C36" s="280"/>
      <c r="D36" s="186" t="s">
        <v>637</v>
      </c>
    </row>
    <row r="37" spans="1:4" ht="15.75" thickBot="1" x14ac:dyDescent="0.3">
      <c r="A37" s="215">
        <v>2036</v>
      </c>
      <c r="B37" s="281" t="s">
        <v>490</v>
      </c>
      <c r="C37" s="275"/>
      <c r="D37" s="186" t="s">
        <v>638</v>
      </c>
    </row>
    <row r="38" spans="1:4" ht="15" customHeight="1" x14ac:dyDescent="0.25">
      <c r="A38" s="223">
        <v>2037</v>
      </c>
      <c r="B38" s="276" t="s">
        <v>415</v>
      </c>
      <c r="C38" s="261" t="s">
        <v>631</v>
      </c>
      <c r="D38" s="195" t="s">
        <v>559</v>
      </c>
    </row>
    <row r="39" spans="1:4" ht="30" x14ac:dyDescent="0.25">
      <c r="A39" s="225">
        <v>2038</v>
      </c>
      <c r="B39" s="277" t="s">
        <v>416</v>
      </c>
      <c r="C39" s="259"/>
      <c r="D39" s="186" t="s">
        <v>560</v>
      </c>
    </row>
    <row r="40" spans="1:4" ht="30" x14ac:dyDescent="0.25">
      <c r="A40" s="225">
        <v>2039</v>
      </c>
      <c r="B40" s="277" t="s">
        <v>417</v>
      </c>
      <c r="C40" s="259"/>
      <c r="D40" s="186" t="s">
        <v>563</v>
      </c>
    </row>
    <row r="41" spans="1:4" ht="30.75" thickBot="1" x14ac:dyDescent="0.3">
      <c r="A41" s="227">
        <v>2040</v>
      </c>
      <c r="B41" s="278" t="s">
        <v>418</v>
      </c>
      <c r="C41" s="260"/>
      <c r="D41" s="191" t="s">
        <v>564</v>
      </c>
    </row>
    <row r="42" spans="1:4" ht="30" x14ac:dyDescent="0.25">
      <c r="A42" s="282">
        <v>2041</v>
      </c>
      <c r="B42" s="283" t="s">
        <v>463</v>
      </c>
      <c r="C42" s="261" t="s">
        <v>639</v>
      </c>
      <c r="D42" s="195" t="s">
        <v>640</v>
      </c>
    </row>
    <row r="43" spans="1:4" ht="30" x14ac:dyDescent="0.25">
      <c r="A43" s="284">
        <v>2042</v>
      </c>
      <c r="B43" s="236" t="s">
        <v>464</v>
      </c>
      <c r="C43" s="259"/>
      <c r="D43" s="186" t="s">
        <v>641</v>
      </c>
    </row>
    <row r="44" spans="1:4" ht="15" customHeight="1" x14ac:dyDescent="0.25">
      <c r="A44" s="284">
        <v>2043</v>
      </c>
      <c r="B44" s="236" t="s">
        <v>419</v>
      </c>
      <c r="C44" s="259"/>
      <c r="D44" s="186" t="s">
        <v>642</v>
      </c>
    </row>
    <row r="45" spans="1:4" x14ac:dyDescent="0.25">
      <c r="A45" s="284">
        <v>2044</v>
      </c>
      <c r="B45" s="236" t="s">
        <v>420</v>
      </c>
      <c r="C45" s="259"/>
      <c r="D45" s="186" t="s">
        <v>11</v>
      </c>
    </row>
    <row r="46" spans="1:4" x14ac:dyDescent="0.25">
      <c r="A46" s="284">
        <v>2045</v>
      </c>
      <c r="B46" s="236" t="s">
        <v>421</v>
      </c>
      <c r="C46" s="259"/>
      <c r="D46" s="186" t="s">
        <v>11</v>
      </c>
    </row>
    <row r="47" spans="1:4" x14ac:dyDescent="0.25">
      <c r="A47" s="284">
        <v>2046</v>
      </c>
      <c r="B47" s="236" t="s">
        <v>422</v>
      </c>
      <c r="C47" s="259"/>
      <c r="D47" s="186" t="s">
        <v>11</v>
      </c>
    </row>
    <row r="48" spans="1:4" ht="30" x14ac:dyDescent="0.25">
      <c r="A48" s="284">
        <v>2047</v>
      </c>
      <c r="B48" s="236" t="s">
        <v>454</v>
      </c>
      <c r="C48" s="259"/>
      <c r="D48" s="186" t="s">
        <v>617</v>
      </c>
    </row>
    <row r="49" spans="1:4" ht="30" x14ac:dyDescent="0.25">
      <c r="A49" s="284">
        <v>2048</v>
      </c>
      <c r="B49" s="236" t="s">
        <v>455</v>
      </c>
      <c r="C49" s="259"/>
      <c r="D49" s="186" t="s">
        <v>618</v>
      </c>
    </row>
    <row r="50" spans="1:4" ht="30" x14ac:dyDescent="0.25">
      <c r="A50" s="284">
        <v>2049</v>
      </c>
      <c r="B50" s="236" t="s">
        <v>488</v>
      </c>
      <c r="C50" s="259"/>
      <c r="D50" s="186" t="s">
        <v>643</v>
      </c>
    </row>
    <row r="51" spans="1:4" ht="30" x14ac:dyDescent="0.25">
      <c r="A51" s="284">
        <v>2050</v>
      </c>
      <c r="B51" s="236" t="s">
        <v>489</v>
      </c>
      <c r="C51" s="259"/>
      <c r="D51" s="186" t="s">
        <v>644</v>
      </c>
    </row>
    <row r="52" spans="1:4" x14ac:dyDescent="0.25">
      <c r="A52" s="284">
        <v>2051</v>
      </c>
      <c r="B52" s="236" t="s">
        <v>462</v>
      </c>
      <c r="C52" s="259"/>
      <c r="D52" s="186" t="s">
        <v>619</v>
      </c>
    </row>
    <row r="53" spans="1:4" x14ac:dyDescent="0.25">
      <c r="A53" s="284">
        <v>2052</v>
      </c>
      <c r="B53" s="236" t="s">
        <v>458</v>
      </c>
      <c r="C53" s="259"/>
      <c r="D53" s="186" t="s">
        <v>11</v>
      </c>
    </row>
    <row r="54" spans="1:4" x14ac:dyDescent="0.25">
      <c r="A54" s="284">
        <v>2053</v>
      </c>
      <c r="B54" s="236" t="s">
        <v>459</v>
      </c>
      <c r="C54" s="259"/>
      <c r="D54" s="186" t="s">
        <v>11</v>
      </c>
    </row>
    <row r="55" spans="1:4" x14ac:dyDescent="0.25">
      <c r="A55" s="284">
        <v>2054</v>
      </c>
      <c r="B55" s="236" t="s">
        <v>461</v>
      </c>
      <c r="C55" s="259"/>
      <c r="D55" s="186" t="s">
        <v>11</v>
      </c>
    </row>
    <row r="56" spans="1:4" x14ac:dyDescent="0.25">
      <c r="A56" s="284">
        <v>2055</v>
      </c>
      <c r="B56" s="236" t="s">
        <v>460</v>
      </c>
      <c r="C56" s="259"/>
      <c r="D56" s="186" t="s">
        <v>11</v>
      </c>
    </row>
    <row r="57" spans="1:4" x14ac:dyDescent="0.25">
      <c r="A57" s="284">
        <v>2056</v>
      </c>
      <c r="B57" s="236" t="s">
        <v>423</v>
      </c>
      <c r="C57" s="259"/>
      <c r="D57" s="186" t="s">
        <v>620</v>
      </c>
    </row>
    <row r="58" spans="1:4" x14ac:dyDescent="0.25">
      <c r="A58" s="284">
        <v>2057</v>
      </c>
      <c r="B58" s="236" t="s">
        <v>424</v>
      </c>
      <c r="C58" s="259"/>
      <c r="D58" s="186" t="s">
        <v>621</v>
      </c>
    </row>
    <row r="59" spans="1:4" ht="30" x14ac:dyDescent="0.25">
      <c r="A59" s="284">
        <v>2058</v>
      </c>
      <c r="B59" s="236" t="s">
        <v>425</v>
      </c>
      <c r="C59" s="259"/>
      <c r="D59" s="186" t="s">
        <v>622</v>
      </c>
    </row>
    <row r="60" spans="1:4" ht="30.75" thickBot="1" x14ac:dyDescent="0.3">
      <c r="A60" s="285">
        <v>2059</v>
      </c>
      <c r="B60" s="286" t="s">
        <v>426</v>
      </c>
      <c r="C60" s="260"/>
      <c r="D60" s="191" t="s">
        <v>623</v>
      </c>
    </row>
    <row r="61" spans="1:4" ht="15.75" thickBot="1" x14ac:dyDescent="0.3">
      <c r="A61" s="269">
        <v>2060</v>
      </c>
      <c r="B61" s="287" t="s">
        <v>457</v>
      </c>
      <c r="C61" s="271" t="s">
        <v>645</v>
      </c>
      <c r="D61" s="272" t="s">
        <v>646</v>
      </c>
    </row>
  </sheetData>
  <mergeCells count="6">
    <mergeCell ref="C2:C7"/>
    <mergeCell ref="C9:C10"/>
    <mergeCell ref="C11:C13"/>
    <mergeCell ref="C14:C37"/>
    <mergeCell ref="C38:C41"/>
    <mergeCell ref="C42:C6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4" sqref="F4"/>
    </sheetView>
  </sheetViews>
  <sheetFormatPr defaultRowHeight="15" x14ac:dyDescent="0.25"/>
  <cols>
    <col min="3" max="3" width="10.28515625" bestFit="1" customWidth="1"/>
  </cols>
  <sheetData>
    <row r="1" spans="1:6" x14ac:dyDescent="0.25">
      <c r="A1" t="s">
        <v>9</v>
      </c>
      <c r="B1" t="s">
        <v>23</v>
      </c>
      <c r="C1" t="s">
        <v>222</v>
      </c>
      <c r="D1" t="s">
        <v>213</v>
      </c>
      <c r="E1" t="b">
        <f>TRUE</f>
        <v>1</v>
      </c>
      <c r="F1" t="s">
        <v>217</v>
      </c>
    </row>
    <row r="2" spans="1:6" x14ac:dyDescent="0.25">
      <c r="A2" t="s">
        <v>37</v>
      </c>
      <c r="B2" t="s">
        <v>113</v>
      </c>
      <c r="C2" t="s">
        <v>223</v>
      </c>
      <c r="D2" t="s">
        <v>214</v>
      </c>
      <c r="E2" t="b">
        <f>FALSE</f>
        <v>0</v>
      </c>
      <c r="F2" t="s">
        <v>218</v>
      </c>
    </row>
    <row r="3" spans="1:6" x14ac:dyDescent="0.25">
      <c r="B3" t="s">
        <v>115</v>
      </c>
      <c r="C3" t="s">
        <v>98</v>
      </c>
      <c r="D3" t="s">
        <v>215</v>
      </c>
      <c r="F3" t="s">
        <v>219</v>
      </c>
    </row>
    <row r="4" spans="1:6" x14ac:dyDescent="0.25">
      <c r="B4" t="s">
        <v>108</v>
      </c>
      <c r="C4" t="s">
        <v>224</v>
      </c>
      <c r="D4" t="s">
        <v>216</v>
      </c>
      <c r="F4" t="s">
        <v>221</v>
      </c>
    </row>
    <row r="5" spans="1:6" x14ac:dyDescent="0.25">
      <c r="B5" t="s">
        <v>432</v>
      </c>
      <c r="C5" t="s">
        <v>428</v>
      </c>
    </row>
    <row r="6" spans="1:6" x14ac:dyDescent="0.25">
      <c r="B6" t="s">
        <v>429</v>
      </c>
      <c r="C6" t="s">
        <v>225</v>
      </c>
    </row>
    <row r="7" spans="1:6" x14ac:dyDescent="0.25">
      <c r="B7" t="s">
        <v>430</v>
      </c>
      <c r="C7" t="s">
        <v>226</v>
      </c>
    </row>
    <row r="8" spans="1:6" x14ac:dyDescent="0.25">
      <c r="B8" t="s">
        <v>431</v>
      </c>
      <c r="C8" t="s">
        <v>227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workbookViewId="0">
      <selection activeCell="B9" sqref="B9"/>
    </sheetView>
  </sheetViews>
  <sheetFormatPr defaultRowHeight="15" x14ac:dyDescent="0.25"/>
  <cols>
    <col min="1" max="1" width="33.140625" bestFit="1" customWidth="1"/>
    <col min="3" max="3" width="19.85546875" bestFit="1" customWidth="1"/>
    <col min="4" max="4" width="12" bestFit="1" customWidth="1"/>
    <col min="5" max="5" width="7.7109375" bestFit="1" customWidth="1"/>
    <col min="6" max="6" width="19.85546875" bestFit="1" customWidth="1"/>
    <col min="7" max="7" width="12" bestFit="1" customWidth="1"/>
  </cols>
  <sheetData>
    <row r="1" spans="1:8" ht="15.75" thickBot="1" x14ac:dyDescent="0.3">
      <c r="A1" s="50"/>
      <c r="B1" s="248" t="s">
        <v>9</v>
      </c>
      <c r="C1" s="249"/>
      <c r="D1" s="250"/>
      <c r="E1" s="248" t="s">
        <v>37</v>
      </c>
      <c r="F1" s="249"/>
      <c r="G1" s="249"/>
      <c r="H1" s="50"/>
    </row>
    <row r="2" spans="1:8" x14ac:dyDescent="0.25">
      <c r="A2" s="78" t="s">
        <v>7</v>
      </c>
      <c r="B2" s="79" t="s">
        <v>38</v>
      </c>
      <c r="C2" s="80" t="s">
        <v>39</v>
      </c>
      <c r="D2" s="81" t="s">
        <v>40</v>
      </c>
      <c r="E2" s="79" t="s">
        <v>38</v>
      </c>
      <c r="F2" s="80" t="s">
        <v>39</v>
      </c>
      <c r="G2" s="80" t="s">
        <v>40</v>
      </c>
      <c r="H2" s="82" t="s">
        <v>41</v>
      </c>
    </row>
    <row r="3" spans="1:8" x14ac:dyDescent="0.25">
      <c r="A3" s="45" t="s">
        <v>42</v>
      </c>
      <c r="B3" s="55"/>
      <c r="C3" s="46"/>
      <c r="D3" s="58"/>
      <c r="E3" s="55"/>
      <c r="F3" s="46"/>
      <c r="G3" s="46"/>
      <c r="H3" s="51"/>
    </row>
    <row r="4" spans="1:8" x14ac:dyDescent="0.25">
      <c r="A4" s="62" t="s">
        <v>43</v>
      </c>
      <c r="B4" s="63">
        <v>50.2</v>
      </c>
      <c r="C4" s="74">
        <v>50.2</v>
      </c>
      <c r="D4" s="75">
        <v>50.2</v>
      </c>
      <c r="E4" s="63">
        <v>50.5</v>
      </c>
      <c r="F4" s="74">
        <v>50.5</v>
      </c>
      <c r="G4" s="74">
        <v>50.5</v>
      </c>
      <c r="H4" s="76">
        <f t="shared" ref="H4:H12" si="0">CHOOSE(IF(inp_Un&lt;110,0,1)+IF(inp_Un&gt;=300,1,0)+IF(inp_Area="DK1",0,3) + 1,B4,C4,D4,E4,F4,G4)</f>
        <v>50.2</v>
      </c>
    </row>
    <row r="5" spans="1:8" x14ac:dyDescent="0.25">
      <c r="A5" s="47" t="s">
        <v>44</v>
      </c>
      <c r="B5" s="56">
        <v>5</v>
      </c>
      <c r="C5">
        <v>5</v>
      </c>
      <c r="D5" s="59">
        <v>5</v>
      </c>
      <c r="E5" s="56">
        <v>4</v>
      </c>
      <c r="F5">
        <v>4</v>
      </c>
      <c r="G5">
        <v>4</v>
      </c>
      <c r="H5" s="52">
        <f t="shared" si="0"/>
        <v>5</v>
      </c>
    </row>
    <row r="6" spans="1:8" x14ac:dyDescent="0.25">
      <c r="A6" s="47" t="s">
        <v>45</v>
      </c>
      <c r="B6" s="56">
        <v>49.8</v>
      </c>
      <c r="C6">
        <v>49.8</v>
      </c>
      <c r="D6" s="59">
        <v>49.8</v>
      </c>
      <c r="E6" s="56">
        <v>49.5</v>
      </c>
      <c r="F6">
        <v>49.5</v>
      </c>
      <c r="G6">
        <v>49.5</v>
      </c>
      <c r="H6" s="52">
        <f t="shared" si="0"/>
        <v>49.8</v>
      </c>
    </row>
    <row r="7" spans="1:8" x14ac:dyDescent="0.25">
      <c r="A7" s="47" t="s">
        <v>46</v>
      </c>
      <c r="B7" s="56">
        <v>5</v>
      </c>
      <c r="C7">
        <v>5</v>
      </c>
      <c r="D7" s="59">
        <v>5</v>
      </c>
      <c r="E7" s="56">
        <v>4</v>
      </c>
      <c r="F7">
        <v>4</v>
      </c>
      <c r="G7">
        <v>4</v>
      </c>
      <c r="H7" s="52">
        <f t="shared" si="0"/>
        <v>5</v>
      </c>
    </row>
    <row r="8" spans="1:8" x14ac:dyDescent="0.25">
      <c r="A8" s="47" t="s">
        <v>47</v>
      </c>
      <c r="B8" s="56">
        <v>0</v>
      </c>
      <c r="C8">
        <v>0</v>
      </c>
      <c r="D8" s="59">
        <v>0</v>
      </c>
      <c r="E8" s="56">
        <v>0</v>
      </c>
      <c r="F8">
        <v>0</v>
      </c>
      <c r="G8">
        <v>0</v>
      </c>
      <c r="H8" s="52">
        <f t="shared" si="0"/>
        <v>0</v>
      </c>
    </row>
    <row r="9" spans="1:8" x14ac:dyDescent="0.25">
      <c r="A9" s="47" t="s">
        <v>48</v>
      </c>
      <c r="B9" s="56">
        <v>6</v>
      </c>
      <c r="C9">
        <v>6</v>
      </c>
      <c r="D9" s="59">
        <v>6</v>
      </c>
      <c r="E9" s="56">
        <v>6</v>
      </c>
      <c r="F9">
        <v>6</v>
      </c>
      <c r="G9">
        <v>6</v>
      </c>
      <c r="H9" s="52">
        <f t="shared" si="0"/>
        <v>6</v>
      </c>
    </row>
    <row r="10" spans="1:8" x14ac:dyDescent="0.25">
      <c r="A10" s="47" t="s">
        <v>49</v>
      </c>
      <c r="B10" s="56">
        <v>10</v>
      </c>
      <c r="C10">
        <v>10</v>
      </c>
      <c r="D10" s="59">
        <v>10</v>
      </c>
      <c r="E10" s="56">
        <v>10</v>
      </c>
      <c r="F10">
        <v>10</v>
      </c>
      <c r="G10">
        <v>10</v>
      </c>
      <c r="H10" s="52">
        <f t="shared" si="0"/>
        <v>10</v>
      </c>
    </row>
    <row r="11" spans="1:8" x14ac:dyDescent="0.25">
      <c r="A11" s="47" t="s">
        <v>50</v>
      </c>
      <c r="B11" s="56">
        <v>51.5</v>
      </c>
      <c r="C11">
        <v>51.5</v>
      </c>
      <c r="D11" s="59">
        <v>51.5</v>
      </c>
      <c r="E11" s="56">
        <v>51.5</v>
      </c>
      <c r="F11">
        <v>51.5</v>
      </c>
      <c r="G11">
        <v>51.5</v>
      </c>
      <c r="H11" s="52">
        <f t="shared" si="0"/>
        <v>51.5</v>
      </c>
    </row>
    <row r="12" spans="1:8" x14ac:dyDescent="0.25">
      <c r="A12" s="67" t="s">
        <v>51</v>
      </c>
      <c r="B12" s="68">
        <v>47.5</v>
      </c>
      <c r="C12" s="72">
        <v>47.5</v>
      </c>
      <c r="D12" s="73">
        <v>47.5</v>
      </c>
      <c r="E12" s="68">
        <v>47.5</v>
      </c>
      <c r="F12" s="72">
        <v>47.5</v>
      </c>
      <c r="G12" s="72">
        <v>47.5</v>
      </c>
      <c r="H12" s="77">
        <f t="shared" si="0"/>
        <v>47.5</v>
      </c>
    </row>
    <row r="13" spans="1:8" x14ac:dyDescent="0.25">
      <c r="A13" s="45" t="s">
        <v>52</v>
      </c>
      <c r="B13" s="56"/>
      <c r="D13" s="59"/>
      <c r="E13" s="56"/>
      <c r="H13" s="52"/>
    </row>
    <row r="14" spans="1:8" x14ac:dyDescent="0.25">
      <c r="A14" s="62" t="s">
        <v>53</v>
      </c>
      <c r="B14" s="63">
        <v>1.05</v>
      </c>
      <c r="C14" s="64">
        <v>1.1180000000000001</v>
      </c>
      <c r="D14" s="65">
        <v>1.05</v>
      </c>
      <c r="E14" s="63">
        <v>1.05</v>
      </c>
      <c r="F14" s="64">
        <v>1.05</v>
      </c>
      <c r="G14" s="64">
        <v>1.05</v>
      </c>
      <c r="H14" s="66">
        <f t="shared" ref="H14:H23" si="1">CHOOSE(IF(inp_Un&lt;110,0,1)+IF(inp_Un&gt;=300,1,0)+IF(inp_Area="DK1",0,3) + 1,B14,C14,D14,E14,F14,G14)</f>
        <v>1.1180000000000001</v>
      </c>
    </row>
    <row r="15" spans="1:8" x14ac:dyDescent="0.25">
      <c r="A15" s="47" t="s">
        <v>54</v>
      </c>
      <c r="B15" s="56">
        <v>0.9</v>
      </c>
      <c r="C15" s="7">
        <v>0.96799999999999997</v>
      </c>
      <c r="D15" s="60">
        <v>0.9</v>
      </c>
      <c r="E15" s="56">
        <v>0.9</v>
      </c>
      <c r="F15" s="7">
        <v>0.9</v>
      </c>
      <c r="G15" s="7">
        <v>0.9</v>
      </c>
      <c r="H15" s="53">
        <f t="shared" si="1"/>
        <v>0.96799999999999997</v>
      </c>
    </row>
    <row r="16" spans="1:8" x14ac:dyDescent="0.25">
      <c r="A16" s="47" t="s">
        <v>55</v>
      </c>
      <c r="B16" s="56">
        <v>1.04</v>
      </c>
      <c r="C16" s="7">
        <v>1.1080000000000001</v>
      </c>
      <c r="D16" s="60">
        <v>1.04</v>
      </c>
      <c r="E16" s="56">
        <v>1.04</v>
      </c>
      <c r="F16" s="7">
        <v>1.04</v>
      </c>
      <c r="G16" s="7">
        <v>1.04</v>
      </c>
      <c r="H16" s="53">
        <f t="shared" si="1"/>
        <v>1.1080000000000001</v>
      </c>
    </row>
    <row r="17" spans="1:8" x14ac:dyDescent="0.25">
      <c r="A17" s="47" t="s">
        <v>56</v>
      </c>
      <c r="B17" s="56">
        <v>0.9</v>
      </c>
      <c r="C17" s="7">
        <v>0.96799999999999997</v>
      </c>
      <c r="D17" s="60">
        <v>0.9</v>
      </c>
      <c r="E17" s="56">
        <v>0.9</v>
      </c>
      <c r="F17" s="7">
        <v>0.9</v>
      </c>
      <c r="G17" s="7">
        <v>0.9</v>
      </c>
      <c r="H17" s="53">
        <f t="shared" si="1"/>
        <v>0.96799999999999997</v>
      </c>
    </row>
    <row r="18" spans="1:8" x14ac:dyDescent="0.25">
      <c r="A18" s="47" t="s">
        <v>57</v>
      </c>
      <c r="B18" s="56">
        <v>1.05</v>
      </c>
      <c r="C18" s="7">
        <v>1.1180000000000001</v>
      </c>
      <c r="D18" s="60">
        <v>1.05</v>
      </c>
      <c r="E18" s="56">
        <v>1.05</v>
      </c>
      <c r="F18" s="7">
        <v>1.05</v>
      </c>
      <c r="G18" s="7">
        <v>1.05</v>
      </c>
      <c r="H18" s="53">
        <f t="shared" si="1"/>
        <v>1.1180000000000001</v>
      </c>
    </row>
    <row r="19" spans="1:8" x14ac:dyDescent="0.25">
      <c r="A19" s="47" t="s">
        <v>58</v>
      </c>
      <c r="B19" s="56">
        <v>0.96</v>
      </c>
      <c r="C19" s="7">
        <v>1.028</v>
      </c>
      <c r="D19" s="60">
        <v>0.96</v>
      </c>
      <c r="E19" s="56">
        <v>0.96</v>
      </c>
      <c r="F19" s="7">
        <v>0.96</v>
      </c>
      <c r="G19" s="7">
        <v>0.96</v>
      </c>
      <c r="H19" s="53">
        <f t="shared" si="1"/>
        <v>1.028</v>
      </c>
    </row>
    <row r="20" spans="1:8" x14ac:dyDescent="0.25">
      <c r="A20" s="47" t="s">
        <v>59</v>
      </c>
      <c r="B20" s="56">
        <v>1.1000000000000001</v>
      </c>
      <c r="C20" s="7">
        <v>1.1180000000000001</v>
      </c>
      <c r="D20" s="60">
        <v>1.05</v>
      </c>
      <c r="E20" s="56">
        <v>1.1000000000000001</v>
      </c>
      <c r="F20" s="7">
        <v>1.05</v>
      </c>
      <c r="G20" s="7">
        <v>1.05</v>
      </c>
      <c r="H20" s="53">
        <f t="shared" si="1"/>
        <v>1.1180000000000001</v>
      </c>
    </row>
    <row r="21" spans="1:8" x14ac:dyDescent="0.25">
      <c r="A21" s="47" t="s">
        <v>60</v>
      </c>
      <c r="B21" s="56">
        <v>0.9</v>
      </c>
      <c r="C21" s="7">
        <v>0.9</v>
      </c>
      <c r="D21" s="60">
        <v>0.9</v>
      </c>
      <c r="E21" s="56">
        <v>0.9</v>
      </c>
      <c r="F21" s="7">
        <v>0.9</v>
      </c>
      <c r="G21" s="7">
        <v>0.9</v>
      </c>
      <c r="H21" s="53">
        <f t="shared" si="1"/>
        <v>0.9</v>
      </c>
    </row>
    <row r="22" spans="1:8" x14ac:dyDescent="0.25">
      <c r="A22" s="47" t="s">
        <v>61</v>
      </c>
      <c r="B22" s="56">
        <v>1.1000000000000001</v>
      </c>
      <c r="C22" s="7">
        <v>1.1499999999999999</v>
      </c>
      <c r="D22" s="60">
        <v>1.1000000000000001</v>
      </c>
      <c r="E22" s="56">
        <v>1.1000000000000001</v>
      </c>
      <c r="F22" s="7">
        <v>1.1000000000000001</v>
      </c>
      <c r="G22" s="7">
        <v>1.1000000000000001</v>
      </c>
      <c r="H22" s="53">
        <f t="shared" si="1"/>
        <v>1.1499999999999999</v>
      </c>
    </row>
    <row r="23" spans="1:8" x14ac:dyDescent="0.25">
      <c r="A23" s="67" t="s">
        <v>62</v>
      </c>
      <c r="B23" s="68">
        <v>0.9</v>
      </c>
      <c r="C23" s="69">
        <v>0.85</v>
      </c>
      <c r="D23" s="70">
        <v>0.85</v>
      </c>
      <c r="E23" s="68">
        <v>0.9</v>
      </c>
      <c r="F23" s="69">
        <v>0.9</v>
      </c>
      <c r="G23" s="69">
        <v>0.9</v>
      </c>
      <c r="H23" s="71">
        <f t="shared" si="1"/>
        <v>0.85</v>
      </c>
    </row>
    <row r="24" spans="1:8" x14ac:dyDescent="0.25">
      <c r="A24" s="45" t="s">
        <v>63</v>
      </c>
      <c r="B24" s="56"/>
      <c r="D24" s="59"/>
      <c r="E24" s="56"/>
      <c r="H24" s="52"/>
    </row>
    <row r="25" spans="1:8" x14ac:dyDescent="0.25">
      <c r="A25" s="62" t="s">
        <v>64</v>
      </c>
      <c r="B25" s="63">
        <v>0.9</v>
      </c>
      <c r="C25" s="64">
        <v>0.85</v>
      </c>
      <c r="D25" s="65">
        <v>0.85</v>
      </c>
      <c r="E25" s="63">
        <v>0.9</v>
      </c>
      <c r="F25" s="64">
        <v>0.9</v>
      </c>
      <c r="G25" s="64">
        <v>0.9</v>
      </c>
      <c r="H25" s="66">
        <f t="shared" ref="H25:H34" si="2">CHOOSE(IF(inp_Un&lt;110,0,1)+IF(inp_Un&gt;=300,1,0)+IF(inp_Area="DK1",0,3) + 1,B25,C25,D25,E25,F25,G25)</f>
        <v>0.85</v>
      </c>
    </row>
    <row r="26" spans="1:8" x14ac:dyDescent="0.25">
      <c r="A26" s="47" t="s">
        <v>65</v>
      </c>
      <c r="B26" s="56">
        <v>0.9</v>
      </c>
      <c r="C26" s="7">
        <v>0.85</v>
      </c>
      <c r="D26" s="60">
        <v>0.85</v>
      </c>
      <c r="E26" s="56">
        <v>0.9</v>
      </c>
      <c r="F26" s="7">
        <v>0.9</v>
      </c>
      <c r="G26" s="7">
        <v>0.9</v>
      </c>
      <c r="H26" s="53">
        <f t="shared" si="2"/>
        <v>0.85</v>
      </c>
    </row>
    <row r="27" spans="1:8" x14ac:dyDescent="0.25">
      <c r="A27" s="47" t="s">
        <v>66</v>
      </c>
      <c r="B27" s="56">
        <v>0.15</v>
      </c>
      <c r="C27">
        <v>0</v>
      </c>
      <c r="D27" s="59">
        <v>0</v>
      </c>
      <c r="E27" s="56">
        <v>0.15</v>
      </c>
      <c r="F27">
        <v>0</v>
      </c>
      <c r="G27">
        <v>0</v>
      </c>
      <c r="H27" s="53">
        <f t="shared" si="2"/>
        <v>0</v>
      </c>
    </row>
    <row r="28" spans="1:8" x14ac:dyDescent="0.25">
      <c r="A28" s="47" t="s">
        <v>67</v>
      </c>
      <c r="B28" s="56">
        <v>0.25</v>
      </c>
      <c r="C28">
        <v>0.15</v>
      </c>
      <c r="D28" s="59">
        <v>0.15</v>
      </c>
      <c r="E28" s="56">
        <v>0.25</v>
      </c>
      <c r="F28">
        <v>0.15</v>
      </c>
      <c r="G28">
        <v>0.15</v>
      </c>
      <c r="H28" s="53">
        <f t="shared" si="2"/>
        <v>0.15</v>
      </c>
    </row>
    <row r="29" spans="1:8" x14ac:dyDescent="0.25">
      <c r="A29" s="47" t="s">
        <v>68</v>
      </c>
      <c r="B29" s="56">
        <v>0.15</v>
      </c>
      <c r="C29">
        <v>0</v>
      </c>
      <c r="D29" s="59">
        <v>0</v>
      </c>
      <c r="E29" s="56">
        <v>0.15</v>
      </c>
      <c r="F29">
        <v>0</v>
      </c>
      <c r="G29">
        <v>0</v>
      </c>
      <c r="H29" s="53">
        <f t="shared" si="2"/>
        <v>0</v>
      </c>
    </row>
    <row r="30" spans="1:8" x14ac:dyDescent="0.25">
      <c r="A30" s="47" t="s">
        <v>69</v>
      </c>
      <c r="B30" s="56">
        <v>0.25</v>
      </c>
      <c r="C30">
        <v>0.15</v>
      </c>
      <c r="D30" s="59">
        <v>0.15</v>
      </c>
      <c r="E30" s="56">
        <v>0.25</v>
      </c>
      <c r="F30">
        <v>0.15</v>
      </c>
      <c r="G30">
        <v>0.15</v>
      </c>
      <c r="H30" s="53">
        <f t="shared" si="2"/>
        <v>0.15</v>
      </c>
    </row>
    <row r="31" spans="1:8" x14ac:dyDescent="0.25">
      <c r="A31" s="47" t="s">
        <v>70</v>
      </c>
      <c r="B31" s="56">
        <v>0.15</v>
      </c>
      <c r="C31">
        <v>0</v>
      </c>
      <c r="D31" s="59">
        <v>0</v>
      </c>
      <c r="E31" s="56">
        <v>0.15</v>
      </c>
      <c r="F31">
        <v>0</v>
      </c>
      <c r="G31">
        <v>0</v>
      </c>
      <c r="H31" s="53">
        <f t="shared" si="2"/>
        <v>0</v>
      </c>
    </row>
    <row r="32" spans="1:8" x14ac:dyDescent="0.25">
      <c r="A32" s="47" t="s">
        <v>71</v>
      </c>
      <c r="B32" s="56">
        <v>0.25</v>
      </c>
      <c r="C32">
        <v>0.15</v>
      </c>
      <c r="D32" s="59">
        <v>0.15</v>
      </c>
      <c r="E32" s="56">
        <v>0.25</v>
      </c>
      <c r="F32">
        <v>0.15</v>
      </c>
      <c r="G32">
        <v>0.15</v>
      </c>
      <c r="H32" s="53">
        <f t="shared" si="2"/>
        <v>0.15</v>
      </c>
    </row>
    <row r="33" spans="1:8" x14ac:dyDescent="0.25">
      <c r="A33" s="47" t="s">
        <v>72</v>
      </c>
      <c r="B33" s="56">
        <v>0.9</v>
      </c>
      <c r="C33" s="7">
        <v>0.85</v>
      </c>
      <c r="D33" s="60">
        <v>0.85</v>
      </c>
      <c r="E33" s="56">
        <v>0.9</v>
      </c>
      <c r="F33" s="7">
        <v>0.9</v>
      </c>
      <c r="G33" s="7">
        <v>0.9</v>
      </c>
      <c r="H33" s="53">
        <f t="shared" si="2"/>
        <v>0.85</v>
      </c>
    </row>
    <row r="34" spans="1:8" x14ac:dyDescent="0.25">
      <c r="A34" s="67" t="s">
        <v>73</v>
      </c>
      <c r="B34" s="68">
        <v>1.5</v>
      </c>
      <c r="C34" s="72">
        <v>1.5</v>
      </c>
      <c r="D34" s="73">
        <v>1.5</v>
      </c>
      <c r="E34" s="68">
        <v>1.5</v>
      </c>
      <c r="F34" s="72">
        <v>1.5</v>
      </c>
      <c r="G34" s="72">
        <v>1.5</v>
      </c>
      <c r="H34" s="71">
        <f t="shared" si="2"/>
        <v>1.5</v>
      </c>
    </row>
    <row r="35" spans="1:8" x14ac:dyDescent="0.25">
      <c r="A35" s="45" t="s">
        <v>74</v>
      </c>
      <c r="B35" s="56"/>
      <c r="D35" s="59"/>
      <c r="E35" s="56"/>
      <c r="H35" s="52"/>
    </row>
    <row r="36" spans="1:8" x14ac:dyDescent="0.25">
      <c r="A36" s="62" t="s">
        <v>75</v>
      </c>
      <c r="B36" s="63">
        <v>1.2</v>
      </c>
      <c r="C36" s="64">
        <v>1.3</v>
      </c>
      <c r="D36" s="65">
        <v>1.3</v>
      </c>
      <c r="E36" s="63">
        <v>1.2</v>
      </c>
      <c r="F36" s="64">
        <v>1.3</v>
      </c>
      <c r="G36" s="64">
        <v>1.3</v>
      </c>
      <c r="H36" s="66">
        <f>CHOOSE(IF(inp_Un&lt;110,0,1)+IF(inp_Un&gt;=300,1,0)+IF(inp_Area="DK1",0,3) + 1,B36,C36,D36,E36,F36,G36)</f>
        <v>1.3</v>
      </c>
    </row>
    <row r="37" spans="1:8" x14ac:dyDescent="0.25">
      <c r="A37" s="47" t="s">
        <v>76</v>
      </c>
      <c r="B37" s="56">
        <v>5</v>
      </c>
      <c r="C37">
        <v>0.1</v>
      </c>
      <c r="D37" s="59">
        <v>0.1</v>
      </c>
      <c r="E37" s="56">
        <v>5</v>
      </c>
      <c r="F37">
        <v>0.1</v>
      </c>
      <c r="G37">
        <v>0.1</v>
      </c>
      <c r="H37" s="53">
        <f>CHOOSE(IF(inp_Un&lt;110,0,1)+IF(inp_Un&gt;=300,1,0)+IF(inp_Area="DK1",0,3) + 1,B37,C37,D37,E37,F37,G37)</f>
        <v>0.1</v>
      </c>
    </row>
    <row r="38" spans="1:8" x14ac:dyDescent="0.25">
      <c r="A38" s="47" t="s">
        <v>77</v>
      </c>
      <c r="B38" s="56">
        <v>1.1499999999999999</v>
      </c>
      <c r="C38" s="7">
        <v>1.2</v>
      </c>
      <c r="D38" s="60">
        <v>1.2</v>
      </c>
      <c r="E38" s="56">
        <v>1.1499999999999999</v>
      </c>
      <c r="F38" s="7">
        <v>1.2</v>
      </c>
      <c r="G38" s="7">
        <v>1.2</v>
      </c>
      <c r="H38" s="53">
        <f>CHOOSE(IF(inp_Un&lt;110,0,1)+IF(inp_Un&gt;=300,1,0)+IF(inp_Area="DK1",0,3) + 1,B38,C38,D38,E38,F38,G38)</f>
        <v>1.2</v>
      </c>
    </row>
    <row r="39" spans="1:8" ht="15.75" thickBot="1" x14ac:dyDescent="0.3">
      <c r="A39" s="48" t="s">
        <v>78</v>
      </c>
      <c r="B39" s="57">
        <v>60</v>
      </c>
      <c r="C39" s="49">
        <v>30</v>
      </c>
      <c r="D39" s="61">
        <v>30</v>
      </c>
      <c r="E39" s="57">
        <v>60</v>
      </c>
      <c r="F39" s="49">
        <v>30</v>
      </c>
      <c r="G39" s="49">
        <v>30</v>
      </c>
      <c r="H39" s="54">
        <f>CHOOSE(IF(inp_Un&lt;110,0,1)+IF(inp_Un&gt;=300,1,0)+IF(inp_Area="DK1",0,3) + 1,B39,C39,D39,E39,F39,G39)</f>
        <v>30</v>
      </c>
    </row>
  </sheetData>
  <sheetProtection sheet="1" objects="1" scenarios="1"/>
  <mergeCells count="2">
    <mergeCell ref="B1:D1"/>
    <mergeCell ref="E1:G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N194"/>
  <sheetViews>
    <sheetView topLeftCell="T1" zoomScaleNormal="100" workbookViewId="0">
      <pane ySplit="2" topLeftCell="A77" activePane="bottomLeft" state="frozen"/>
      <selection pane="bottomLeft" activeCell="AE95" sqref="AE95"/>
    </sheetView>
  </sheetViews>
  <sheetFormatPr defaultColWidth="9.140625" defaultRowHeight="15" x14ac:dyDescent="0.25"/>
  <cols>
    <col min="1" max="1" width="12.85546875" style="1" bestFit="1" customWidth="1"/>
    <col min="2" max="2" width="12.42578125" style="1" bestFit="1" customWidth="1"/>
    <col min="3" max="3" width="12" style="1" bestFit="1" customWidth="1"/>
    <col min="4" max="4" width="40.7109375" style="1" customWidth="1"/>
    <col min="5" max="6" width="10.5703125" style="1" bestFit="1" customWidth="1"/>
    <col min="7" max="7" width="12.140625" style="1" bestFit="1" customWidth="1"/>
    <col min="8" max="8" width="14.85546875" style="1" bestFit="1" customWidth="1"/>
    <col min="9" max="9" width="13.140625" style="1" customWidth="1"/>
    <col min="10" max="10" width="9.85546875" style="1" bestFit="1" customWidth="1"/>
    <col min="11" max="11" width="9.85546875" style="1" customWidth="1"/>
    <col min="12" max="12" width="21.5703125" style="1" bestFit="1" customWidth="1"/>
    <col min="13" max="13" width="22.85546875" style="115" bestFit="1" customWidth="1"/>
    <col min="14" max="14" width="9.7109375" style="115" bestFit="1" customWidth="1"/>
    <col min="15" max="15" width="35" style="115" bestFit="1" customWidth="1"/>
    <col min="16" max="16" width="16.5703125" style="115" bestFit="1" customWidth="1"/>
    <col min="17" max="17" width="17.5703125" style="1" bestFit="1" customWidth="1"/>
    <col min="18" max="18" width="9.7109375" style="1" bestFit="1" customWidth="1"/>
    <col min="19" max="19" width="25" style="1" bestFit="1" customWidth="1"/>
    <col min="20" max="20" width="16.5703125" style="1" customWidth="1"/>
    <col min="21" max="21" width="12" style="115" bestFit="1" customWidth="1"/>
    <col min="22" max="22" width="9.7109375" style="115" bestFit="1" customWidth="1"/>
    <col min="23" max="23" width="12.42578125" style="115" bestFit="1" customWidth="1"/>
    <col min="24" max="24" width="16.5703125" style="115"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15" bestFit="1" customWidth="1"/>
    <col min="30" max="30" width="9.7109375" style="115" bestFit="1" customWidth="1"/>
    <col min="31" max="31" width="12.42578125" style="115" bestFit="1" customWidth="1"/>
    <col min="32" max="32" width="16.5703125" style="115"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15" bestFit="1" customWidth="1"/>
    <col min="38" max="38" width="9.7109375" style="115" bestFit="1" customWidth="1"/>
    <col min="39" max="39" width="12.42578125" style="115" bestFit="1" customWidth="1"/>
    <col min="40" max="40" width="16.5703125" style="115"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15" customWidth="1"/>
    <col min="46" max="46" width="9.7109375" style="115" bestFit="1" customWidth="1"/>
    <col min="47" max="47" width="12.42578125" style="115" bestFit="1" customWidth="1"/>
    <col min="48" max="48" width="16.5703125" style="115"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15" customWidth="1"/>
    <col min="54" max="54" width="9.7109375" style="115" bestFit="1" customWidth="1"/>
    <col min="55" max="55" width="12.42578125" style="115" bestFit="1" customWidth="1"/>
    <col min="56" max="56" width="16.5703125" style="115"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60" x14ac:dyDescent="0.25">
      <c r="D1" s="118" t="s">
        <v>220</v>
      </c>
      <c r="M1" s="252" t="s">
        <v>80</v>
      </c>
      <c r="N1" s="252"/>
      <c r="O1" s="252"/>
      <c r="P1" s="252"/>
      <c r="Q1" s="251" t="s">
        <v>81</v>
      </c>
      <c r="R1" s="251"/>
      <c r="S1" s="251"/>
      <c r="T1" s="251"/>
      <c r="U1" s="252" t="s">
        <v>82</v>
      </c>
      <c r="V1" s="252"/>
      <c r="W1" s="252"/>
      <c r="X1" s="252"/>
      <c r="Y1" s="251" t="s">
        <v>83</v>
      </c>
      <c r="Z1" s="251"/>
      <c r="AA1" s="251"/>
      <c r="AB1" s="251"/>
      <c r="AC1" s="252" t="s">
        <v>84</v>
      </c>
      <c r="AD1" s="252"/>
      <c r="AE1" s="252"/>
      <c r="AF1" s="252"/>
      <c r="AG1" s="251" t="s">
        <v>85</v>
      </c>
      <c r="AH1" s="251"/>
      <c r="AI1" s="251"/>
      <c r="AJ1" s="251"/>
      <c r="AK1" s="252" t="s">
        <v>86</v>
      </c>
      <c r="AL1" s="252"/>
      <c r="AM1" s="252"/>
      <c r="AN1" s="252"/>
      <c r="AO1" s="251" t="s">
        <v>87</v>
      </c>
      <c r="AP1" s="251"/>
      <c r="AQ1" s="251"/>
      <c r="AR1" s="251"/>
      <c r="AS1" s="252" t="s">
        <v>88</v>
      </c>
      <c r="AT1" s="252"/>
      <c r="AU1" s="252"/>
      <c r="AV1" s="252"/>
      <c r="AW1" s="251" t="s">
        <v>89</v>
      </c>
      <c r="AX1" s="251"/>
      <c r="AY1" s="251"/>
      <c r="AZ1" s="251"/>
      <c r="BA1" s="252" t="s">
        <v>90</v>
      </c>
      <c r="BB1" s="252"/>
      <c r="BC1" s="252"/>
      <c r="BD1" s="252"/>
      <c r="BE1" s="251" t="s">
        <v>91</v>
      </c>
      <c r="BF1" s="251"/>
      <c r="BG1" s="251"/>
      <c r="BH1" s="251"/>
    </row>
    <row r="2" spans="1:60"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04" t="s">
        <v>104</v>
      </c>
      <c r="N2" s="105" t="s">
        <v>105</v>
      </c>
      <c r="O2" s="105" t="s">
        <v>106</v>
      </c>
      <c r="P2" s="106" t="s">
        <v>107</v>
      </c>
      <c r="Q2" s="12" t="s">
        <v>104</v>
      </c>
      <c r="R2" s="12" t="s">
        <v>105</v>
      </c>
      <c r="S2" s="12" t="s">
        <v>106</v>
      </c>
      <c r="T2" s="11" t="s">
        <v>107</v>
      </c>
      <c r="U2" s="104" t="s">
        <v>104</v>
      </c>
      <c r="V2" s="104" t="s">
        <v>105</v>
      </c>
      <c r="W2" s="104" t="s">
        <v>106</v>
      </c>
      <c r="X2" s="116" t="s">
        <v>107</v>
      </c>
      <c r="Y2" s="12" t="s">
        <v>104</v>
      </c>
      <c r="Z2" s="12" t="s">
        <v>105</v>
      </c>
      <c r="AA2" s="12" t="s">
        <v>106</v>
      </c>
      <c r="AB2" s="11" t="s">
        <v>107</v>
      </c>
      <c r="AC2" s="104" t="s">
        <v>104</v>
      </c>
      <c r="AD2" s="104" t="s">
        <v>105</v>
      </c>
      <c r="AE2" s="104" t="s">
        <v>106</v>
      </c>
      <c r="AF2" s="116" t="s">
        <v>107</v>
      </c>
      <c r="AG2" s="12" t="s">
        <v>104</v>
      </c>
      <c r="AH2" s="12" t="s">
        <v>105</v>
      </c>
      <c r="AI2" s="12" t="s">
        <v>106</v>
      </c>
      <c r="AJ2" s="11" t="s">
        <v>107</v>
      </c>
      <c r="AK2" s="104" t="s">
        <v>104</v>
      </c>
      <c r="AL2" s="104" t="s">
        <v>105</v>
      </c>
      <c r="AM2" s="104" t="s">
        <v>106</v>
      </c>
      <c r="AN2" s="116" t="s">
        <v>107</v>
      </c>
      <c r="AO2" s="12" t="s">
        <v>104</v>
      </c>
      <c r="AP2" s="12" t="s">
        <v>105</v>
      </c>
      <c r="AQ2" s="12" t="s">
        <v>106</v>
      </c>
      <c r="AR2" s="11" t="s">
        <v>107</v>
      </c>
      <c r="AS2" s="104" t="s">
        <v>104</v>
      </c>
      <c r="AT2" s="104" t="s">
        <v>105</v>
      </c>
      <c r="AU2" s="104" t="s">
        <v>106</v>
      </c>
      <c r="AV2" s="116" t="s">
        <v>107</v>
      </c>
      <c r="AW2" s="12" t="s">
        <v>104</v>
      </c>
      <c r="AX2" s="12" t="s">
        <v>105</v>
      </c>
      <c r="AY2" s="12" t="s">
        <v>106</v>
      </c>
      <c r="AZ2" s="11" t="s">
        <v>107</v>
      </c>
      <c r="BA2" s="104" t="s">
        <v>104</v>
      </c>
      <c r="BB2" s="104" t="s">
        <v>105</v>
      </c>
      <c r="BC2" s="104" t="s">
        <v>106</v>
      </c>
      <c r="BD2" s="116" t="s">
        <v>107</v>
      </c>
      <c r="BE2" s="12" t="s">
        <v>104</v>
      </c>
      <c r="BF2" s="12" t="s">
        <v>105</v>
      </c>
      <c r="BG2" s="12" t="s">
        <v>106</v>
      </c>
      <c r="BH2" s="11" t="s">
        <v>107</v>
      </c>
    </row>
    <row r="3" spans="1:60" ht="15" customHeight="1" x14ac:dyDescent="0.25">
      <c r="A3" s="1">
        <v>1</v>
      </c>
      <c r="B3" s="157" t="b">
        <v>1</v>
      </c>
      <c r="C3" s="157" t="b">
        <v>1</v>
      </c>
      <c r="D3" s="158" t="s">
        <v>496</v>
      </c>
      <c r="E3" s="159">
        <f t="shared" ref="E3:E8" si="0">inp_Uc/inp_Un</f>
        <v>1.0651315789473685</v>
      </c>
      <c r="F3" s="160">
        <v>0</v>
      </c>
      <c r="G3" s="160" t="s">
        <v>223</v>
      </c>
      <c r="H3" s="161" t="s">
        <v>23</v>
      </c>
      <c r="I3" s="160">
        <v>0</v>
      </c>
      <c r="J3" s="160">
        <f t="shared" ref="J3:J8" si="1">inp_scr_min</f>
        <v>10</v>
      </c>
      <c r="K3" s="160">
        <f t="shared" ref="K3:K8" si="2">inp_xr_min</f>
        <v>10</v>
      </c>
      <c r="L3" s="162">
        <v>60</v>
      </c>
      <c r="M3" s="163" t="s">
        <v>123</v>
      </c>
      <c r="N3" s="107"/>
      <c r="O3" s="107"/>
      <c r="P3" s="107"/>
      <c r="Q3" s="5"/>
      <c r="R3" s="5"/>
      <c r="S3" s="5"/>
      <c r="T3" s="5"/>
      <c r="U3" s="107"/>
      <c r="V3" s="107"/>
      <c r="W3" s="107"/>
      <c r="X3" s="107"/>
      <c r="Y3" s="5"/>
      <c r="Z3" s="5"/>
      <c r="AA3" s="5"/>
      <c r="AB3" s="5"/>
      <c r="AC3" s="107"/>
      <c r="AD3" s="107"/>
      <c r="AE3" s="107"/>
      <c r="AF3" s="107"/>
      <c r="AG3" s="5"/>
      <c r="AH3" s="5"/>
      <c r="AI3" s="5"/>
      <c r="AJ3" s="5"/>
      <c r="AK3" s="107"/>
      <c r="AL3" s="107"/>
      <c r="AM3" s="107"/>
      <c r="AN3" s="107"/>
      <c r="AO3" s="5"/>
      <c r="AP3" s="5"/>
      <c r="AQ3" s="5"/>
      <c r="AR3" s="5"/>
      <c r="AS3" s="107"/>
      <c r="AT3" s="107"/>
      <c r="AU3" s="107"/>
      <c r="AV3" s="107"/>
      <c r="AW3" s="5"/>
      <c r="AX3" s="5"/>
      <c r="AY3" s="5"/>
      <c r="AZ3" s="5"/>
      <c r="BA3" s="107"/>
      <c r="BB3" s="107"/>
      <c r="BC3" s="107"/>
      <c r="BD3" s="107"/>
      <c r="BE3" s="5"/>
      <c r="BF3" s="5"/>
      <c r="BG3" s="5"/>
      <c r="BH3" s="5"/>
    </row>
    <row r="4" spans="1:60" ht="15" customHeight="1" x14ac:dyDescent="0.25">
      <c r="A4" s="1">
        <v>2</v>
      </c>
      <c r="B4" s="157" t="b">
        <v>1</v>
      </c>
      <c r="C4" s="157" t="b">
        <v>1</v>
      </c>
      <c r="D4" s="158" t="s">
        <v>497</v>
      </c>
      <c r="E4" s="159">
        <f t="shared" si="0"/>
        <v>1.0651315789473685</v>
      </c>
      <c r="F4" s="160">
        <v>0.5</v>
      </c>
      <c r="G4" s="160" t="s">
        <v>223</v>
      </c>
      <c r="H4" s="161" t="s">
        <v>23</v>
      </c>
      <c r="I4" s="160">
        <v>0.2</v>
      </c>
      <c r="J4" s="160">
        <f t="shared" si="1"/>
        <v>10</v>
      </c>
      <c r="K4" s="160">
        <f t="shared" si="2"/>
        <v>10</v>
      </c>
      <c r="L4" s="162">
        <v>60</v>
      </c>
      <c r="M4" s="163" t="s">
        <v>123</v>
      </c>
      <c r="N4" s="107"/>
      <c r="O4" s="107"/>
      <c r="P4" s="107"/>
      <c r="Q4" s="5"/>
      <c r="R4" s="5"/>
      <c r="S4" s="5"/>
      <c r="T4" s="5"/>
      <c r="U4" s="107"/>
      <c r="V4" s="107"/>
      <c r="W4" s="107"/>
      <c r="X4" s="107"/>
      <c r="Y4" s="5"/>
      <c r="Z4" s="5"/>
      <c r="AA4" s="5"/>
      <c r="AB4" s="5"/>
      <c r="AC4" s="107"/>
      <c r="AD4" s="107"/>
      <c r="AE4" s="107"/>
      <c r="AF4" s="107"/>
      <c r="AG4" s="5"/>
      <c r="AH4" s="5"/>
      <c r="AI4" s="5"/>
      <c r="AJ4" s="5"/>
      <c r="AK4" s="107"/>
      <c r="AL4" s="107"/>
      <c r="AM4" s="107"/>
      <c r="AN4" s="107"/>
      <c r="AO4" s="5"/>
      <c r="AP4" s="5"/>
      <c r="AQ4" s="5"/>
      <c r="AR4" s="5"/>
      <c r="AS4" s="107"/>
      <c r="AT4" s="107"/>
      <c r="AU4" s="107"/>
      <c r="AV4" s="107"/>
      <c r="AW4" s="5"/>
      <c r="AX4" s="5"/>
      <c r="AY4" s="5"/>
      <c r="AZ4" s="5"/>
      <c r="BA4" s="107"/>
      <c r="BB4" s="107"/>
      <c r="BC4" s="107"/>
      <c r="BD4" s="107"/>
      <c r="BE4" s="5"/>
      <c r="BF4" s="5"/>
      <c r="BG4" s="5"/>
      <c r="BH4" s="5"/>
    </row>
    <row r="5" spans="1:60" ht="15" customHeight="1" x14ac:dyDescent="0.25">
      <c r="A5" s="1">
        <v>3</v>
      </c>
      <c r="B5" s="157" t="b">
        <v>1</v>
      </c>
      <c r="C5" s="157" t="b">
        <v>1</v>
      </c>
      <c r="D5" s="158" t="s">
        <v>498</v>
      </c>
      <c r="E5" s="159">
        <f t="shared" si="0"/>
        <v>1.0651315789473685</v>
      </c>
      <c r="F5" s="160">
        <v>0.5</v>
      </c>
      <c r="G5" s="160" t="s">
        <v>223</v>
      </c>
      <c r="H5" s="161" t="s">
        <v>23</v>
      </c>
      <c r="I5" s="160">
        <v>-0.2</v>
      </c>
      <c r="J5" s="160">
        <f t="shared" si="1"/>
        <v>10</v>
      </c>
      <c r="K5" s="160">
        <f t="shared" si="2"/>
        <v>10</v>
      </c>
      <c r="L5" s="162">
        <v>60</v>
      </c>
      <c r="M5" s="163" t="s">
        <v>123</v>
      </c>
      <c r="N5" s="107"/>
      <c r="O5" s="107"/>
      <c r="P5" s="107"/>
      <c r="Q5" s="5"/>
      <c r="R5" s="5"/>
      <c r="S5" s="5"/>
      <c r="T5" s="5"/>
      <c r="U5" s="107"/>
      <c r="V5" s="107"/>
      <c r="W5" s="107"/>
      <c r="X5" s="107"/>
      <c r="Y5" s="5"/>
      <c r="Z5" s="5"/>
      <c r="AA5" s="5"/>
      <c r="AB5" s="5"/>
      <c r="AC5" s="107"/>
      <c r="AD5" s="107"/>
      <c r="AE5" s="107"/>
      <c r="AF5" s="107"/>
      <c r="AG5" s="5"/>
      <c r="AH5" s="5"/>
      <c r="AI5" s="5"/>
      <c r="AJ5" s="5"/>
      <c r="AK5" s="107"/>
      <c r="AL5" s="107"/>
      <c r="AM5" s="107"/>
      <c r="AN5" s="107"/>
      <c r="AO5" s="5"/>
      <c r="AP5" s="5"/>
      <c r="AQ5" s="5"/>
      <c r="AR5" s="5"/>
      <c r="AS5" s="107"/>
      <c r="AT5" s="107"/>
      <c r="AU5" s="107"/>
      <c r="AV5" s="107"/>
      <c r="AW5" s="5"/>
      <c r="AX5" s="5"/>
      <c r="AY5" s="5"/>
      <c r="AZ5" s="5"/>
      <c r="BA5" s="107"/>
      <c r="BB5" s="107"/>
      <c r="BC5" s="107"/>
      <c r="BD5" s="107"/>
      <c r="BE5" s="5"/>
      <c r="BF5" s="5"/>
      <c r="BG5" s="5"/>
      <c r="BH5" s="5"/>
    </row>
    <row r="6" spans="1:60" ht="15" customHeight="1" x14ac:dyDescent="0.25">
      <c r="A6" s="1">
        <v>4</v>
      </c>
      <c r="B6" s="157" t="b">
        <v>1</v>
      </c>
      <c r="C6" s="157" t="b">
        <v>1</v>
      </c>
      <c r="D6" s="158" t="s">
        <v>499</v>
      </c>
      <c r="E6" s="159">
        <f t="shared" si="0"/>
        <v>1.0651315789473685</v>
      </c>
      <c r="F6" s="160">
        <v>1</v>
      </c>
      <c r="G6" s="160" t="s">
        <v>223</v>
      </c>
      <c r="H6" s="161" t="s">
        <v>23</v>
      </c>
      <c r="I6" s="160">
        <v>0.33</v>
      </c>
      <c r="J6" s="160">
        <f t="shared" si="1"/>
        <v>10</v>
      </c>
      <c r="K6" s="160">
        <f t="shared" si="2"/>
        <v>10</v>
      </c>
      <c r="L6" s="162">
        <v>60</v>
      </c>
      <c r="M6" s="163" t="s">
        <v>123</v>
      </c>
      <c r="N6" s="107"/>
      <c r="O6" s="107"/>
      <c r="P6" s="107"/>
      <c r="Q6" s="5"/>
      <c r="R6" s="5"/>
      <c r="S6" s="5"/>
      <c r="T6" s="5"/>
      <c r="U6" s="107"/>
      <c r="V6" s="107"/>
      <c r="W6" s="107"/>
      <c r="X6" s="107"/>
      <c r="Y6" s="5"/>
      <c r="Z6" s="5"/>
      <c r="AA6" s="5"/>
      <c r="AB6" s="5"/>
      <c r="AC6" s="107"/>
      <c r="AD6" s="107"/>
      <c r="AE6" s="107"/>
      <c r="AF6" s="107"/>
      <c r="AG6" s="5"/>
      <c r="AH6" s="5"/>
      <c r="AI6" s="5"/>
      <c r="AJ6" s="5"/>
      <c r="AK6" s="107"/>
      <c r="AL6" s="107"/>
      <c r="AM6" s="107"/>
      <c r="AN6" s="107"/>
      <c r="AO6" s="5"/>
      <c r="AP6" s="5"/>
      <c r="AQ6" s="5"/>
      <c r="AR6" s="5"/>
      <c r="AS6" s="107"/>
      <c r="AT6" s="107"/>
      <c r="AU6" s="107"/>
      <c r="AV6" s="107"/>
      <c r="AW6" s="5"/>
      <c r="AX6" s="5"/>
      <c r="AY6" s="5"/>
      <c r="AZ6" s="5"/>
      <c r="BA6" s="107"/>
      <c r="BB6" s="107"/>
      <c r="BC6" s="107"/>
      <c r="BD6" s="107"/>
      <c r="BE6" s="5"/>
      <c r="BF6" s="5"/>
      <c r="BG6" s="5"/>
      <c r="BH6" s="5"/>
    </row>
    <row r="7" spans="1:60" ht="15" customHeight="1" x14ac:dyDescent="0.25">
      <c r="A7" s="1">
        <v>5</v>
      </c>
      <c r="B7" s="157" t="b">
        <v>1</v>
      </c>
      <c r="C7" s="157" t="b">
        <v>1</v>
      </c>
      <c r="D7" s="158" t="s">
        <v>500</v>
      </c>
      <c r="E7" s="159">
        <f t="shared" si="0"/>
        <v>1.0651315789473685</v>
      </c>
      <c r="F7" s="160">
        <v>1</v>
      </c>
      <c r="G7" s="160" t="s">
        <v>223</v>
      </c>
      <c r="H7" s="161" t="s">
        <v>23</v>
      </c>
      <c r="I7" s="160">
        <v>-0.33</v>
      </c>
      <c r="J7" s="160">
        <f t="shared" si="1"/>
        <v>10</v>
      </c>
      <c r="K7" s="160">
        <f t="shared" si="2"/>
        <v>10</v>
      </c>
      <c r="L7" s="162">
        <v>60</v>
      </c>
      <c r="M7" s="163" t="s">
        <v>123</v>
      </c>
      <c r="N7" s="107"/>
      <c r="O7" s="107"/>
      <c r="P7" s="107"/>
      <c r="Q7" s="5"/>
      <c r="R7" s="5"/>
      <c r="S7" s="5"/>
      <c r="T7" s="5"/>
      <c r="U7" s="107"/>
      <c r="V7" s="107"/>
      <c r="W7" s="107"/>
      <c r="X7" s="107"/>
      <c r="Y7" s="5"/>
      <c r="Z7" s="5"/>
      <c r="AA7" s="5"/>
      <c r="AB7" s="5"/>
      <c r="AC7" s="107"/>
      <c r="AD7" s="107"/>
      <c r="AE7" s="107"/>
      <c r="AF7" s="107"/>
      <c r="AG7" s="5"/>
      <c r="AH7" s="5"/>
      <c r="AI7" s="5"/>
      <c r="AJ7" s="5"/>
      <c r="AK7" s="107"/>
      <c r="AL7" s="107"/>
      <c r="AM7" s="107"/>
      <c r="AN7" s="107"/>
      <c r="AO7" s="5"/>
      <c r="AP7" s="5"/>
      <c r="AQ7" s="5"/>
      <c r="AR7" s="5"/>
      <c r="AS7" s="107"/>
      <c r="AT7" s="107"/>
      <c r="AU7" s="107"/>
      <c r="AV7" s="107"/>
      <c r="AW7" s="5"/>
      <c r="AX7" s="5"/>
      <c r="AY7" s="5"/>
      <c r="AZ7" s="5"/>
      <c r="BA7" s="107"/>
      <c r="BB7" s="107"/>
      <c r="BC7" s="107"/>
      <c r="BD7" s="107"/>
      <c r="BE7" s="5"/>
      <c r="BF7" s="5"/>
      <c r="BG7" s="5"/>
      <c r="BH7" s="5"/>
    </row>
    <row r="8" spans="1:60" ht="15" customHeight="1" x14ac:dyDescent="0.25">
      <c r="A8" s="1">
        <v>6</v>
      </c>
      <c r="B8" s="157" t="b">
        <v>1</v>
      </c>
      <c r="C8" s="157" t="b">
        <v>1</v>
      </c>
      <c r="D8" s="158" t="s">
        <v>501</v>
      </c>
      <c r="E8" s="159">
        <f t="shared" si="0"/>
        <v>1.0651315789473685</v>
      </c>
      <c r="F8" s="160">
        <v>1</v>
      </c>
      <c r="G8" s="160" t="s">
        <v>223</v>
      </c>
      <c r="H8" s="161" t="s">
        <v>23</v>
      </c>
      <c r="I8" s="160">
        <v>0</v>
      </c>
      <c r="J8" s="160">
        <f t="shared" si="1"/>
        <v>10</v>
      </c>
      <c r="K8" s="160">
        <f t="shared" si="2"/>
        <v>10</v>
      </c>
      <c r="L8" s="162">
        <v>60</v>
      </c>
      <c r="M8" s="163" t="s">
        <v>123</v>
      </c>
      <c r="N8" s="107"/>
      <c r="O8" s="107"/>
      <c r="P8" s="107"/>
      <c r="Q8" s="5"/>
      <c r="R8" s="5"/>
      <c r="S8" s="5"/>
      <c r="T8" s="5"/>
      <c r="U8" s="107"/>
      <c r="V8" s="107"/>
      <c r="W8" s="107"/>
      <c r="X8" s="107"/>
      <c r="Y8" s="5"/>
      <c r="Z8" s="5"/>
      <c r="AA8" s="5"/>
      <c r="AB8" s="5"/>
      <c r="AC8" s="107"/>
      <c r="AD8" s="107"/>
      <c r="AE8" s="107"/>
      <c r="AF8" s="107"/>
      <c r="AG8" s="5"/>
      <c r="AH8" s="5"/>
      <c r="AI8" s="5"/>
      <c r="AJ8" s="5"/>
      <c r="AK8" s="107"/>
      <c r="AL8" s="107"/>
      <c r="AM8" s="107"/>
      <c r="AN8" s="107"/>
      <c r="AO8" s="5"/>
      <c r="AP8" s="5"/>
      <c r="AQ8" s="5"/>
      <c r="AR8" s="5"/>
      <c r="AS8" s="107"/>
      <c r="AT8" s="107"/>
      <c r="AU8" s="107"/>
      <c r="AV8" s="107"/>
      <c r="AW8" s="5"/>
      <c r="AX8" s="5"/>
      <c r="AY8" s="5"/>
      <c r="AZ8" s="5"/>
      <c r="BA8" s="107"/>
      <c r="BB8" s="107"/>
      <c r="BC8" s="107"/>
      <c r="BD8" s="107"/>
      <c r="BE8" s="5"/>
      <c r="BF8" s="5"/>
      <c r="BG8" s="5"/>
      <c r="BH8" s="5"/>
    </row>
    <row r="9" spans="1:60" ht="15" customHeight="1" x14ac:dyDescent="0.25">
      <c r="A9" s="1">
        <v>7</v>
      </c>
      <c r="B9" s="157" t="b">
        <v>1</v>
      </c>
      <c r="C9" s="157" t="b">
        <v>1</v>
      </c>
      <c r="D9" s="158" t="s">
        <v>502</v>
      </c>
      <c r="E9" s="159">
        <f>sel_uq_q0.33_umin</f>
        <v>0.96799999999999997</v>
      </c>
      <c r="F9" s="160">
        <v>0.7</v>
      </c>
      <c r="G9" s="160" t="s">
        <v>223</v>
      </c>
      <c r="H9" s="161" t="s">
        <v>113</v>
      </c>
      <c r="I9" s="159">
        <f>inp_Uc/inp_Un</f>
        <v>1.0651315789473685</v>
      </c>
      <c r="J9" s="160">
        <v>-1</v>
      </c>
      <c r="K9" s="160">
        <v>0</v>
      </c>
      <c r="L9" s="162">
        <v>60</v>
      </c>
      <c r="M9" s="163" t="s">
        <v>123</v>
      </c>
      <c r="N9" s="107"/>
      <c r="O9" s="107"/>
      <c r="P9" s="107"/>
      <c r="Q9" s="5"/>
      <c r="R9" s="5"/>
      <c r="S9" s="5"/>
      <c r="T9" s="5"/>
      <c r="U9" s="107"/>
      <c r="V9" s="107"/>
      <c r="W9" s="107"/>
      <c r="X9" s="107"/>
      <c r="Y9" s="5"/>
      <c r="Z9" s="5"/>
      <c r="AA9" s="5"/>
      <c r="AB9" s="5"/>
      <c r="AC9" s="107"/>
      <c r="AD9" s="107"/>
      <c r="AE9" s="107"/>
      <c r="AF9" s="107"/>
      <c r="AG9" s="5"/>
      <c r="AH9" s="5"/>
      <c r="AI9" s="5"/>
      <c r="AJ9" s="5"/>
      <c r="AK9" s="107"/>
      <c r="AL9" s="107"/>
      <c r="AM9" s="107"/>
      <c r="AN9" s="107"/>
      <c r="AO9" s="5"/>
      <c r="AP9" s="5"/>
      <c r="AQ9" s="5"/>
      <c r="AR9" s="5"/>
      <c r="AS9" s="107"/>
      <c r="AT9" s="107"/>
      <c r="AU9" s="107"/>
      <c r="AV9" s="107"/>
      <c r="AW9" s="5"/>
      <c r="AX9" s="5"/>
      <c r="AY9" s="5"/>
      <c r="AZ9" s="5"/>
      <c r="BA9" s="107"/>
      <c r="BB9" s="107"/>
      <c r="BC9" s="107"/>
      <c r="BD9" s="107"/>
      <c r="BE9" s="5"/>
      <c r="BF9" s="5"/>
      <c r="BG9" s="5"/>
      <c r="BH9" s="5"/>
    </row>
    <row r="10" spans="1:60" ht="15" customHeight="1" x14ac:dyDescent="0.25">
      <c r="A10" s="1">
        <v>8</v>
      </c>
      <c r="B10" s="157" t="b">
        <v>1</v>
      </c>
      <c r="C10" s="157" t="b">
        <v>1</v>
      </c>
      <c r="D10" s="158" t="s">
        <v>503</v>
      </c>
      <c r="E10" s="159">
        <f>sel_uq_q0.33ue_umax</f>
        <v>1.1180000000000001</v>
      </c>
      <c r="F10" s="160">
        <v>0.7</v>
      </c>
      <c r="G10" s="160" t="s">
        <v>223</v>
      </c>
      <c r="H10" s="161" t="s">
        <v>113</v>
      </c>
      <c r="I10" s="159">
        <f>inp_Uc/inp_Un</f>
        <v>1.0651315789473685</v>
      </c>
      <c r="J10" s="160">
        <v>-1</v>
      </c>
      <c r="K10" s="160">
        <v>0</v>
      </c>
      <c r="L10" s="162">
        <v>60</v>
      </c>
      <c r="M10" s="163" t="s">
        <v>123</v>
      </c>
      <c r="N10" s="107"/>
      <c r="O10" s="107"/>
      <c r="P10" s="107"/>
      <c r="Q10" s="5"/>
      <c r="R10" s="5"/>
      <c r="S10" s="5"/>
      <c r="T10" s="5"/>
      <c r="U10" s="107"/>
      <c r="V10" s="107"/>
      <c r="W10" s="107"/>
      <c r="X10" s="107"/>
      <c r="Y10" s="5"/>
      <c r="Z10" s="5"/>
      <c r="AA10" s="5"/>
      <c r="AB10" s="5"/>
      <c r="AC10" s="107"/>
      <c r="AD10" s="107"/>
      <c r="AE10" s="107"/>
      <c r="AF10" s="107"/>
      <c r="AG10" s="5"/>
      <c r="AH10" s="5"/>
      <c r="AI10" s="5"/>
      <c r="AJ10" s="5"/>
      <c r="AK10" s="107"/>
      <c r="AL10" s="107"/>
      <c r="AM10" s="107"/>
      <c r="AN10" s="107"/>
      <c r="AO10" s="5"/>
      <c r="AP10" s="5"/>
      <c r="AQ10" s="5"/>
      <c r="AR10" s="5"/>
      <c r="AS10" s="107"/>
      <c r="AT10" s="107"/>
      <c r="AU10" s="107"/>
      <c r="AV10" s="107"/>
      <c r="AW10" s="5"/>
      <c r="AX10" s="5"/>
      <c r="AY10" s="5"/>
      <c r="AZ10" s="5"/>
      <c r="BA10" s="107"/>
      <c r="BB10" s="107"/>
      <c r="BC10" s="107"/>
      <c r="BD10" s="107"/>
      <c r="BE10" s="5"/>
      <c r="BF10" s="5"/>
      <c r="BG10" s="5"/>
      <c r="BH10" s="5"/>
    </row>
    <row r="11" spans="1:60" ht="15" customHeight="1" x14ac:dyDescent="0.25">
      <c r="A11" s="1">
        <v>9</v>
      </c>
      <c r="B11" s="157" t="b">
        <v>1</v>
      </c>
      <c r="C11" s="157" t="b">
        <v>1</v>
      </c>
      <c r="D11" s="158" t="s">
        <v>504</v>
      </c>
      <c r="E11" s="159">
        <f>inp_Uc/inp_Un</f>
        <v>1.0651315789473685</v>
      </c>
      <c r="F11" s="160">
        <v>0.7</v>
      </c>
      <c r="G11" s="160" t="s">
        <v>223</v>
      </c>
      <c r="H11" s="161" t="s">
        <v>115</v>
      </c>
      <c r="I11" s="160">
        <v>0.94899999999999995</v>
      </c>
      <c r="J11" s="160">
        <f>inp_scr_min</f>
        <v>10</v>
      </c>
      <c r="K11" s="160">
        <f>inp_xr_min</f>
        <v>10</v>
      </c>
      <c r="L11" s="162">
        <v>60</v>
      </c>
      <c r="M11" s="163" t="s">
        <v>123</v>
      </c>
      <c r="N11" s="107"/>
      <c r="O11" s="107"/>
      <c r="P11" s="107"/>
      <c r="Q11" s="5"/>
      <c r="R11" s="5"/>
      <c r="S11" s="5"/>
      <c r="T11" s="5"/>
      <c r="U11" s="107"/>
      <c r="V11" s="107"/>
      <c r="W11" s="107"/>
      <c r="X11" s="107"/>
      <c r="Y11" s="5"/>
      <c r="Z11" s="5"/>
      <c r="AA11" s="5"/>
      <c r="AB11" s="5"/>
      <c r="AC11" s="107"/>
      <c r="AD11" s="107"/>
      <c r="AE11" s="107"/>
      <c r="AF11" s="107"/>
      <c r="AG11" s="5"/>
      <c r="AH11" s="5"/>
      <c r="AI11" s="5"/>
      <c r="AJ11" s="5"/>
      <c r="AK11" s="107"/>
      <c r="AL11" s="107"/>
      <c r="AM11" s="107"/>
      <c r="AN11" s="107"/>
      <c r="AO11" s="5"/>
      <c r="AP11" s="5"/>
      <c r="AQ11" s="5"/>
      <c r="AR11" s="5"/>
      <c r="AS11" s="107"/>
      <c r="AT11" s="107"/>
      <c r="AU11" s="107"/>
      <c r="AV11" s="107"/>
      <c r="AW11" s="5"/>
      <c r="AX11" s="5"/>
      <c r="AY11" s="5"/>
      <c r="AZ11" s="5"/>
      <c r="BA11" s="107"/>
      <c r="BB11" s="107"/>
      <c r="BC11" s="107"/>
      <c r="BD11" s="107"/>
      <c r="BE11" s="5"/>
      <c r="BF11" s="5"/>
      <c r="BG11" s="5"/>
      <c r="BH11" s="5"/>
    </row>
    <row r="12" spans="1:60" ht="15" customHeight="1" x14ac:dyDescent="0.25">
      <c r="A12" s="1">
        <v>10</v>
      </c>
      <c r="B12" s="157" t="b">
        <v>1</v>
      </c>
      <c r="C12" s="157" t="b">
        <v>1</v>
      </c>
      <c r="D12" s="158" t="s">
        <v>514</v>
      </c>
      <c r="E12" s="159">
        <f>inp_Uc/inp_Un</f>
        <v>1.0651315789473685</v>
      </c>
      <c r="F12" s="160">
        <v>0.7</v>
      </c>
      <c r="G12" s="160" t="s">
        <v>223</v>
      </c>
      <c r="H12" s="161" t="s">
        <v>115</v>
      </c>
      <c r="I12" s="160">
        <v>-0.94899999999999995</v>
      </c>
      <c r="J12" s="160">
        <f>inp_scr_min</f>
        <v>10</v>
      </c>
      <c r="K12" s="160">
        <f>inp_xr_min</f>
        <v>10</v>
      </c>
      <c r="L12" s="162">
        <v>60</v>
      </c>
      <c r="M12" s="163" t="s">
        <v>123</v>
      </c>
      <c r="N12" s="107"/>
      <c r="O12" s="107"/>
      <c r="P12" s="107"/>
      <c r="Q12" s="5"/>
      <c r="R12" s="5"/>
      <c r="S12" s="5"/>
      <c r="T12" s="5"/>
      <c r="U12" s="107"/>
      <c r="V12" s="107"/>
      <c r="W12" s="107"/>
      <c r="X12" s="107"/>
      <c r="Y12" s="5"/>
      <c r="Z12" s="5"/>
      <c r="AA12" s="5"/>
      <c r="AB12" s="5"/>
      <c r="AC12" s="107"/>
      <c r="AD12" s="107"/>
      <c r="AE12" s="107"/>
      <c r="AF12" s="107"/>
      <c r="AG12" s="5"/>
      <c r="AH12" s="5"/>
      <c r="AI12" s="5"/>
      <c r="AJ12" s="5"/>
      <c r="AK12" s="107"/>
      <c r="AL12" s="107"/>
      <c r="AM12" s="107"/>
      <c r="AN12" s="107"/>
      <c r="AO12" s="5"/>
      <c r="AP12" s="5"/>
      <c r="AQ12" s="5"/>
      <c r="AR12" s="5"/>
      <c r="AS12" s="107"/>
      <c r="AT12" s="107"/>
      <c r="AU12" s="107"/>
      <c r="AV12" s="107"/>
      <c r="AW12" s="5"/>
      <c r="AX12" s="5"/>
      <c r="AY12" s="5"/>
      <c r="AZ12" s="5"/>
      <c r="BA12" s="107"/>
      <c r="BB12" s="107"/>
      <c r="BC12" s="107"/>
      <c r="BD12" s="107"/>
      <c r="BE12" s="5"/>
      <c r="BF12" s="5"/>
      <c r="BG12" s="5"/>
      <c r="BH12" s="5"/>
    </row>
    <row r="13" spans="1:60" ht="15" customHeight="1" x14ac:dyDescent="0.25">
      <c r="A13" s="1">
        <v>11</v>
      </c>
      <c r="B13" s="11" t="b">
        <v>1</v>
      </c>
      <c r="C13" s="11" t="b">
        <v>1</v>
      </c>
      <c r="D13" s="1" t="s">
        <v>242</v>
      </c>
      <c r="E13" s="5">
        <f t="shared" ref="E13:E42" si="3">inp_Uc/inp_Un</f>
        <v>1.0651315789473685</v>
      </c>
      <c r="F13" s="24">
        <v>0</v>
      </c>
      <c r="G13" s="21" t="s">
        <v>223</v>
      </c>
      <c r="H13" s="20" t="s">
        <v>108</v>
      </c>
      <c r="I13" s="24">
        <f>IF(inp_default="Q(U)",E13,IF(inp_default="PF",1,0))</f>
        <v>0</v>
      </c>
      <c r="J13" s="21">
        <f t="shared" ref="J13:J31" si="4">inp_scr_min</f>
        <v>10</v>
      </c>
      <c r="K13" s="21">
        <f t="shared" ref="K13:K31" si="5">inp_xr_min</f>
        <v>10</v>
      </c>
      <c r="L13" s="22">
        <v>155</v>
      </c>
      <c r="M13" s="107" t="s">
        <v>109</v>
      </c>
      <c r="N13" s="107">
        <v>0</v>
      </c>
      <c r="O13" s="107">
        <v>0.5</v>
      </c>
      <c r="P13" s="107">
        <v>0</v>
      </c>
      <c r="Q13" s="5"/>
      <c r="R13" s="5"/>
      <c r="S13" s="5"/>
      <c r="T13" s="5"/>
      <c r="U13" s="107"/>
      <c r="V13" s="107"/>
      <c r="W13" s="107"/>
      <c r="X13" s="107"/>
      <c r="Y13" s="5"/>
      <c r="Z13" s="5"/>
      <c r="AA13" s="5"/>
      <c r="AB13" s="5"/>
      <c r="AC13" s="107"/>
      <c r="AD13" s="107"/>
      <c r="AE13" s="107"/>
      <c r="AF13" s="107"/>
      <c r="AG13" s="5"/>
      <c r="AH13" s="5"/>
      <c r="AI13" s="5"/>
      <c r="AJ13" s="5"/>
      <c r="AK13" s="107"/>
      <c r="AL13" s="107"/>
      <c r="AM13" s="107"/>
      <c r="AN13" s="107"/>
      <c r="AO13" s="5"/>
      <c r="AP13" s="5"/>
      <c r="AQ13" s="5"/>
      <c r="AR13" s="5"/>
      <c r="AS13" s="107"/>
      <c r="AT13" s="107"/>
      <c r="AU13" s="107"/>
      <c r="AV13" s="107"/>
      <c r="AW13" s="5"/>
      <c r="AX13" s="5"/>
      <c r="AY13" s="5"/>
      <c r="AZ13" s="5"/>
      <c r="BA13" s="107"/>
      <c r="BB13" s="107"/>
      <c r="BC13" s="107"/>
      <c r="BD13" s="107"/>
      <c r="BE13" s="5"/>
      <c r="BF13" s="5"/>
      <c r="BG13" s="5"/>
      <c r="BH13" s="5"/>
    </row>
    <row r="14" spans="1:60" ht="15" customHeight="1" x14ac:dyDescent="0.25">
      <c r="A14" s="1">
        <v>12</v>
      </c>
      <c r="B14" s="11" t="b">
        <v>1</v>
      </c>
      <c r="C14" s="11" t="b">
        <v>1</v>
      </c>
      <c r="D14" s="1" t="s">
        <v>243</v>
      </c>
      <c r="E14" s="5">
        <f t="shared" si="3"/>
        <v>1.0651315789473685</v>
      </c>
      <c r="F14" s="24">
        <v>0.5</v>
      </c>
      <c r="G14" s="21" t="s">
        <v>223</v>
      </c>
      <c r="H14" s="20" t="s">
        <v>108</v>
      </c>
      <c r="I14" s="24">
        <f t="shared" ref="I14:I19" si="6">IF(inp_default="Q(U)",E14,IF(inp_default="PF",1,0))</f>
        <v>0</v>
      </c>
      <c r="J14" s="21">
        <f t="shared" si="4"/>
        <v>10</v>
      </c>
      <c r="K14" s="21">
        <f t="shared" si="5"/>
        <v>10</v>
      </c>
      <c r="L14" s="22">
        <v>80</v>
      </c>
      <c r="M14" s="107" t="s">
        <v>109</v>
      </c>
      <c r="N14" s="107">
        <v>0</v>
      </c>
      <c r="O14" s="107">
        <v>0.7</v>
      </c>
      <c r="P14" s="107">
        <v>0</v>
      </c>
      <c r="Q14" s="5"/>
      <c r="R14" s="5"/>
      <c r="S14" s="5"/>
      <c r="T14" s="5"/>
      <c r="U14" s="107"/>
      <c r="V14" s="107"/>
      <c r="W14" s="107"/>
      <c r="X14" s="107"/>
      <c r="Y14" s="5"/>
      <c r="Z14" s="5"/>
      <c r="AA14" s="5"/>
      <c r="AB14" s="5"/>
      <c r="AC14" s="107"/>
      <c r="AD14" s="107"/>
      <c r="AE14" s="107"/>
      <c r="AF14" s="107"/>
      <c r="AG14" s="5"/>
      <c r="AH14" s="5"/>
      <c r="AI14" s="5"/>
      <c r="AJ14" s="5"/>
      <c r="AK14" s="107"/>
      <c r="AL14" s="107"/>
      <c r="AM14" s="107"/>
      <c r="AN14" s="107"/>
      <c r="AO14" s="5"/>
      <c r="AP14" s="5"/>
      <c r="AQ14" s="5"/>
      <c r="AR14" s="5"/>
      <c r="AS14" s="107"/>
      <c r="AT14" s="107"/>
      <c r="AU14" s="107"/>
      <c r="AV14" s="107"/>
      <c r="AW14" s="5"/>
      <c r="AX14" s="5"/>
      <c r="AY14" s="5"/>
      <c r="AZ14" s="5"/>
      <c r="BA14" s="107"/>
      <c r="BB14" s="107"/>
      <c r="BC14" s="107"/>
      <c r="BD14" s="107"/>
      <c r="BE14" s="5"/>
      <c r="BF14" s="5"/>
      <c r="BG14" s="5"/>
      <c r="BH14" s="5"/>
    </row>
    <row r="15" spans="1:60" x14ac:dyDescent="0.25">
      <c r="A15" s="1">
        <v>13</v>
      </c>
      <c r="B15" s="11" t="b">
        <v>1</v>
      </c>
      <c r="C15" s="11" t="b">
        <v>1</v>
      </c>
      <c r="D15" s="1" t="s">
        <v>244</v>
      </c>
      <c r="E15" s="5">
        <f t="shared" si="3"/>
        <v>1.0651315789473685</v>
      </c>
      <c r="F15" s="24">
        <v>0.7</v>
      </c>
      <c r="G15" s="21" t="s">
        <v>223</v>
      </c>
      <c r="H15" s="20" t="s">
        <v>108</v>
      </c>
      <c r="I15" s="24">
        <f t="shared" si="6"/>
        <v>0</v>
      </c>
      <c r="J15" s="21">
        <f t="shared" si="4"/>
        <v>10</v>
      </c>
      <c r="K15" s="21">
        <f t="shared" si="5"/>
        <v>10</v>
      </c>
      <c r="L15" s="22">
        <v>100</v>
      </c>
      <c r="M15" s="107" t="s">
        <v>109</v>
      </c>
      <c r="N15" s="107">
        <v>0</v>
      </c>
      <c r="O15" s="107">
        <v>1</v>
      </c>
      <c r="P15" s="107">
        <v>0</v>
      </c>
      <c r="Q15" s="5"/>
      <c r="R15" s="5"/>
      <c r="S15" s="5"/>
      <c r="T15" s="5"/>
      <c r="U15" s="107"/>
      <c r="V15" s="107"/>
      <c r="W15" s="107"/>
      <c r="X15" s="107"/>
      <c r="Y15" s="5"/>
      <c r="Z15" s="5"/>
      <c r="AA15" s="5"/>
      <c r="AB15" s="5"/>
      <c r="AC15" s="107"/>
      <c r="AD15" s="107"/>
      <c r="AE15" s="107"/>
      <c r="AF15" s="107"/>
      <c r="AG15" s="5"/>
      <c r="AH15" s="5"/>
      <c r="AI15" s="5"/>
      <c r="AJ15" s="5"/>
      <c r="AK15" s="107"/>
      <c r="AL15" s="107"/>
      <c r="AM15" s="107"/>
      <c r="AN15" s="107"/>
      <c r="AO15" s="5"/>
      <c r="AP15" s="5"/>
      <c r="AQ15" s="5"/>
      <c r="AR15" s="5"/>
      <c r="AS15" s="107"/>
      <c r="AT15" s="107"/>
      <c r="AU15" s="107"/>
      <c r="AV15" s="107"/>
      <c r="AW15" s="5"/>
      <c r="AX15" s="5"/>
      <c r="AY15" s="5"/>
      <c r="AZ15" s="5"/>
      <c r="BA15" s="107"/>
      <c r="BB15" s="107"/>
      <c r="BC15" s="107"/>
      <c r="BD15" s="107"/>
      <c r="BE15" s="5"/>
      <c r="BF15" s="5"/>
      <c r="BG15" s="5"/>
      <c r="BH15" s="5"/>
    </row>
    <row r="16" spans="1:60" x14ac:dyDescent="0.25">
      <c r="A16" s="1">
        <v>14</v>
      </c>
      <c r="B16" s="11" t="b">
        <v>1</v>
      </c>
      <c r="C16" s="11" t="b">
        <v>1</v>
      </c>
      <c r="D16" s="1" t="s">
        <v>245</v>
      </c>
      <c r="E16" s="5">
        <f t="shared" si="3"/>
        <v>1.0651315789473685</v>
      </c>
      <c r="F16" s="24">
        <v>1</v>
      </c>
      <c r="G16" s="21" t="s">
        <v>223</v>
      </c>
      <c r="H16" s="20" t="s">
        <v>108</v>
      </c>
      <c r="I16" s="24">
        <f t="shared" si="6"/>
        <v>0</v>
      </c>
      <c r="J16" s="21">
        <f t="shared" si="4"/>
        <v>10</v>
      </c>
      <c r="K16" s="21">
        <f t="shared" si="5"/>
        <v>10</v>
      </c>
      <c r="L16" s="22">
        <v>100</v>
      </c>
      <c r="M16" s="107" t="s">
        <v>109</v>
      </c>
      <c r="N16" s="107">
        <v>0</v>
      </c>
      <c r="O16" s="107">
        <v>0.7</v>
      </c>
      <c r="P16" s="107">
        <v>0</v>
      </c>
      <c r="Q16" s="5"/>
      <c r="R16" s="5"/>
      <c r="S16" s="5"/>
      <c r="T16" s="5"/>
      <c r="U16" s="107"/>
      <c r="V16" s="107"/>
      <c r="W16" s="107"/>
      <c r="X16" s="107"/>
      <c r="Y16" s="5"/>
      <c r="Z16" s="5"/>
      <c r="AA16" s="5"/>
      <c r="AB16" s="5"/>
      <c r="AC16" s="107"/>
      <c r="AD16" s="107"/>
      <c r="AE16" s="107"/>
      <c r="AF16" s="107"/>
      <c r="AG16" s="5"/>
      <c r="AH16" s="5"/>
      <c r="AI16" s="5"/>
      <c r="AJ16" s="5"/>
      <c r="AK16" s="107"/>
      <c r="AL16" s="107"/>
      <c r="AM16" s="107"/>
      <c r="AN16" s="107"/>
      <c r="AO16" s="5"/>
      <c r="AP16" s="5"/>
      <c r="AQ16" s="5"/>
      <c r="AR16" s="5"/>
      <c r="AS16" s="107"/>
      <c r="AT16" s="107"/>
      <c r="AU16" s="107"/>
      <c r="AV16" s="107"/>
      <c r="AW16" s="5"/>
      <c r="AX16" s="5"/>
      <c r="AY16" s="5"/>
      <c r="AZ16" s="5"/>
      <c r="BA16" s="107"/>
      <c r="BB16" s="107"/>
      <c r="BC16" s="107"/>
      <c r="BD16" s="107"/>
      <c r="BE16" s="5"/>
      <c r="BF16" s="5"/>
      <c r="BG16" s="5"/>
      <c r="BH16" s="5"/>
    </row>
    <row r="17" spans="1:60" x14ac:dyDescent="0.25">
      <c r="A17" s="1">
        <v>15</v>
      </c>
      <c r="B17" s="11" t="b">
        <v>1</v>
      </c>
      <c r="C17" s="11" t="b">
        <v>1</v>
      </c>
      <c r="D17" s="1" t="s">
        <v>246</v>
      </c>
      <c r="E17" s="5">
        <f t="shared" si="3"/>
        <v>1.0651315789473685</v>
      </c>
      <c r="F17" s="24">
        <v>0.7</v>
      </c>
      <c r="G17" s="21" t="s">
        <v>223</v>
      </c>
      <c r="H17" s="20" t="s">
        <v>108</v>
      </c>
      <c r="I17" s="24">
        <f t="shared" si="6"/>
        <v>0</v>
      </c>
      <c r="J17" s="21">
        <f t="shared" si="4"/>
        <v>10</v>
      </c>
      <c r="K17" s="21">
        <f t="shared" si="5"/>
        <v>10</v>
      </c>
      <c r="L17" s="22">
        <v>80</v>
      </c>
      <c r="M17" s="107" t="s">
        <v>109</v>
      </c>
      <c r="N17" s="107">
        <v>0</v>
      </c>
      <c r="O17" s="107">
        <v>0.5</v>
      </c>
      <c r="P17" s="107">
        <v>0</v>
      </c>
      <c r="Q17" s="5"/>
      <c r="R17" s="5"/>
      <c r="S17" s="5"/>
      <c r="T17" s="5"/>
      <c r="U17" s="107"/>
      <c r="V17" s="107"/>
      <c r="W17" s="107"/>
      <c r="X17" s="107"/>
      <c r="Y17" s="5"/>
      <c r="Z17" s="5"/>
      <c r="AA17" s="5"/>
      <c r="AB17" s="5"/>
      <c r="AC17" s="107"/>
      <c r="AD17" s="107"/>
      <c r="AE17" s="107"/>
      <c r="AF17" s="107"/>
      <c r="AG17" s="5"/>
      <c r="AH17" s="5"/>
      <c r="AI17" s="5"/>
      <c r="AJ17" s="5"/>
      <c r="AK17" s="107"/>
      <c r="AL17" s="107"/>
      <c r="AM17" s="107"/>
      <c r="AN17" s="107"/>
      <c r="AO17" s="5"/>
      <c r="AP17" s="5"/>
      <c r="AQ17" s="5"/>
      <c r="AR17" s="5"/>
      <c r="AS17" s="107"/>
      <c r="AT17" s="107"/>
      <c r="AU17" s="107"/>
      <c r="AV17" s="107"/>
      <c r="AW17" s="5"/>
      <c r="AX17" s="5"/>
      <c r="AY17" s="5"/>
      <c r="AZ17" s="5"/>
      <c r="BA17" s="107"/>
      <c r="BB17" s="107"/>
      <c r="BC17" s="107"/>
      <c r="BD17" s="107"/>
      <c r="BE17" s="5"/>
      <c r="BF17" s="5"/>
      <c r="BG17" s="5"/>
      <c r="BH17" s="5"/>
    </row>
    <row r="18" spans="1:60" x14ac:dyDescent="0.25">
      <c r="A18" s="1">
        <v>16</v>
      </c>
      <c r="B18" s="11" t="b">
        <v>1</v>
      </c>
      <c r="C18" s="119" t="b">
        <v>1</v>
      </c>
      <c r="D18" s="1" t="s">
        <v>247</v>
      </c>
      <c r="E18" s="5">
        <f t="shared" si="3"/>
        <v>1.0651315789473685</v>
      </c>
      <c r="F18" s="24">
        <v>0.5</v>
      </c>
      <c r="G18" s="21" t="s">
        <v>223</v>
      </c>
      <c r="H18" s="20" t="s">
        <v>108</v>
      </c>
      <c r="I18" s="24">
        <f t="shared" si="6"/>
        <v>0</v>
      </c>
      <c r="J18" s="21">
        <f t="shared" si="4"/>
        <v>10</v>
      </c>
      <c r="K18" s="21">
        <f t="shared" si="5"/>
        <v>10</v>
      </c>
      <c r="L18" s="22">
        <v>155</v>
      </c>
      <c r="M18" s="107" t="s">
        <v>109</v>
      </c>
      <c r="N18" s="107">
        <v>0</v>
      </c>
      <c r="O18" s="107">
        <v>0</v>
      </c>
      <c r="P18" s="107">
        <v>0</v>
      </c>
      <c r="Q18" s="5"/>
      <c r="R18" s="5"/>
      <c r="S18" s="5"/>
      <c r="T18" s="5"/>
      <c r="U18" s="107"/>
      <c r="V18" s="107"/>
      <c r="W18" s="107"/>
      <c r="X18" s="107"/>
      <c r="Y18" s="5"/>
      <c r="Z18" s="5"/>
      <c r="AA18" s="5"/>
      <c r="AB18" s="5"/>
      <c r="AC18" s="107"/>
      <c r="AD18" s="107"/>
      <c r="AE18" s="107"/>
      <c r="AF18" s="107"/>
      <c r="AG18" s="5"/>
      <c r="AH18" s="5"/>
      <c r="AI18" s="5"/>
      <c r="AJ18" s="5"/>
      <c r="AK18" s="107"/>
      <c r="AL18" s="107"/>
      <c r="AM18" s="107"/>
      <c r="AN18" s="107"/>
      <c r="AO18" s="5"/>
      <c r="AP18" s="5"/>
      <c r="AQ18" s="5"/>
      <c r="AR18" s="5"/>
      <c r="AS18" s="107"/>
      <c r="AT18" s="107"/>
      <c r="AU18" s="107"/>
      <c r="AV18" s="107"/>
      <c r="AW18" s="5"/>
      <c r="AX18" s="5"/>
      <c r="AY18" s="5"/>
      <c r="AZ18" s="5"/>
      <c r="BA18" s="107"/>
      <c r="BB18" s="107"/>
      <c r="BC18" s="107"/>
      <c r="BD18" s="107"/>
      <c r="BE18" s="5"/>
      <c r="BF18" s="5"/>
      <c r="BG18" s="5"/>
      <c r="BH18" s="5"/>
    </row>
    <row r="19" spans="1:60" x14ac:dyDescent="0.25">
      <c r="A19" s="1">
        <v>17</v>
      </c>
      <c r="B19" s="11" t="b">
        <v>1</v>
      </c>
      <c r="C19" s="11" t="b">
        <v>1</v>
      </c>
      <c r="D19" s="1" t="s">
        <v>248</v>
      </c>
      <c r="E19" s="5">
        <f t="shared" si="3"/>
        <v>1.0651315789473685</v>
      </c>
      <c r="F19" s="24">
        <v>0.7</v>
      </c>
      <c r="G19" s="20" t="s">
        <v>224</v>
      </c>
      <c r="H19" s="20" t="s">
        <v>108</v>
      </c>
      <c r="I19" s="24">
        <f t="shared" si="6"/>
        <v>0</v>
      </c>
      <c r="J19" s="21">
        <f t="shared" si="4"/>
        <v>10</v>
      </c>
      <c r="K19" s="21">
        <f t="shared" si="5"/>
        <v>10</v>
      </c>
      <c r="L19" s="22">
        <v>60</v>
      </c>
      <c r="M19" s="107" t="s">
        <v>110</v>
      </c>
      <c r="N19" s="107">
        <v>0</v>
      </c>
      <c r="O19" s="107">
        <f>sel_lfsmo_start - 0.001</f>
        <v>50.199000000000005</v>
      </c>
      <c r="P19" s="107"/>
      <c r="Q19" s="5" t="s">
        <v>110</v>
      </c>
      <c r="R19" s="5">
        <v>15</v>
      </c>
      <c r="S19" s="5">
        <v>50</v>
      </c>
      <c r="T19" s="5"/>
      <c r="U19" s="107" t="s">
        <v>110</v>
      </c>
      <c r="V19" s="107">
        <v>30</v>
      </c>
      <c r="W19" s="107">
        <f>sel_lfsmu_start + 0.001</f>
        <v>49.800999999999995</v>
      </c>
      <c r="X19" s="107"/>
      <c r="Y19" s="5" t="s">
        <v>110</v>
      </c>
      <c r="Z19" s="21">
        <v>45</v>
      </c>
      <c r="AA19" s="5">
        <v>50</v>
      </c>
      <c r="AB19" s="5"/>
      <c r="AC19" s="107"/>
      <c r="AD19" s="107"/>
      <c r="AE19" s="107"/>
      <c r="AF19" s="107"/>
      <c r="AG19" s="5"/>
      <c r="AH19" s="5"/>
      <c r="AI19" s="5"/>
      <c r="AJ19" s="5"/>
      <c r="AK19" s="107"/>
      <c r="AL19" s="107"/>
      <c r="AM19" s="107"/>
      <c r="AN19" s="107"/>
      <c r="AO19" s="5"/>
      <c r="AP19" s="5"/>
      <c r="AQ19" s="5"/>
      <c r="AR19" s="5"/>
      <c r="AS19" s="107"/>
      <c r="AT19" s="107"/>
      <c r="AU19" s="107"/>
      <c r="AV19" s="107"/>
      <c r="AW19" s="5"/>
      <c r="AX19" s="5"/>
      <c r="AY19" s="5"/>
      <c r="AZ19" s="5"/>
      <c r="BA19" s="107"/>
      <c r="BB19" s="107"/>
      <c r="BC19" s="107"/>
      <c r="BD19" s="107"/>
      <c r="BE19" s="5"/>
      <c r="BF19" s="5"/>
      <c r="BG19" s="5"/>
      <c r="BH19" s="5"/>
    </row>
    <row r="20" spans="1:60" s="98" customFormat="1" x14ac:dyDescent="0.25">
      <c r="A20" s="1">
        <v>18</v>
      </c>
      <c r="B20" s="99" t="b">
        <f>inp_Un&gt;=110</f>
        <v>1</v>
      </c>
      <c r="C20" s="99" t="b">
        <f>inp_Un&gt;=110</f>
        <v>1</v>
      </c>
      <c r="D20" s="98" t="s">
        <v>249</v>
      </c>
      <c r="E20" s="100">
        <f t="shared" si="3"/>
        <v>1.0651315789473685</v>
      </c>
      <c r="F20" s="100">
        <v>0.7</v>
      </c>
      <c r="G20" s="101" t="s">
        <v>224</v>
      </c>
      <c r="H20" s="101" t="s">
        <v>108</v>
      </c>
      <c r="I20" s="100">
        <f t="shared" ref="I20:I29" si="7">IF(inp_default="Q(U)",E20,IF(inp_default="PF",1,0))</f>
        <v>0</v>
      </c>
      <c r="J20" s="102">
        <f t="shared" si="4"/>
        <v>10</v>
      </c>
      <c r="K20" s="102">
        <f t="shared" si="5"/>
        <v>10</v>
      </c>
      <c r="L20" s="103">
        <v>60</v>
      </c>
      <c r="M20" s="108" t="s">
        <v>110</v>
      </c>
      <c r="N20" s="108">
        <v>0</v>
      </c>
      <c r="O20" s="108">
        <f>50 + 50 * sel_fsm_prov/100 * sel_fsm_droop/100 * 1/2 + sel_fsm_db</f>
        <v>50.15</v>
      </c>
      <c r="P20" s="108"/>
      <c r="Q20" s="100" t="s">
        <v>110</v>
      </c>
      <c r="R20" s="100">
        <v>15</v>
      </c>
      <c r="S20" s="100">
        <v>50</v>
      </c>
      <c r="T20" s="100"/>
      <c r="U20" s="108" t="s">
        <v>110</v>
      </c>
      <c r="V20" s="108">
        <v>30</v>
      </c>
      <c r="W20" s="108">
        <f>50 - 50 * sel_fsm_prov/100 * sel_fsm_droop/100 * 1/2 - sel_fsm_db</f>
        <v>49.85</v>
      </c>
      <c r="X20" s="108"/>
      <c r="Y20" s="100" t="s">
        <v>110</v>
      </c>
      <c r="Z20" s="100">
        <v>45</v>
      </c>
      <c r="AA20" s="100">
        <v>50</v>
      </c>
      <c r="AB20" s="100"/>
      <c r="AC20" s="108"/>
      <c r="AD20" s="108"/>
      <c r="AE20" s="108"/>
      <c r="AF20" s="108"/>
      <c r="AG20" s="100"/>
      <c r="AH20" s="100"/>
      <c r="AI20" s="100"/>
      <c r="AJ20" s="100"/>
      <c r="AK20" s="108"/>
      <c r="AL20" s="108"/>
      <c r="AM20" s="108"/>
      <c r="AN20" s="108"/>
      <c r="AO20" s="100"/>
      <c r="AP20" s="100"/>
      <c r="AQ20" s="100"/>
      <c r="AR20" s="100"/>
      <c r="AS20" s="108"/>
      <c r="AT20" s="108"/>
      <c r="AU20" s="108"/>
      <c r="AV20" s="108"/>
      <c r="AW20" s="100"/>
      <c r="AX20" s="100"/>
      <c r="AY20" s="100"/>
      <c r="AZ20" s="100"/>
      <c r="BA20" s="108"/>
      <c r="BB20" s="108"/>
      <c r="BC20" s="108"/>
      <c r="BD20" s="108"/>
      <c r="BE20" s="100"/>
      <c r="BF20" s="100"/>
      <c r="BG20" s="100"/>
      <c r="BH20" s="100"/>
    </row>
    <row r="21" spans="1:60" x14ac:dyDescent="0.25">
      <c r="A21" s="1">
        <v>19</v>
      </c>
      <c r="B21" s="11" t="b">
        <v>1</v>
      </c>
      <c r="C21" s="11" t="b">
        <v>1</v>
      </c>
      <c r="D21" s="1" t="s">
        <v>250</v>
      </c>
      <c r="E21" s="5">
        <f t="shared" si="3"/>
        <v>1.0651315789473685</v>
      </c>
      <c r="F21" s="24">
        <v>0.7</v>
      </c>
      <c r="G21" s="21" t="s">
        <v>223</v>
      </c>
      <c r="H21" s="20" t="s">
        <v>108</v>
      </c>
      <c r="I21" s="24">
        <f t="shared" si="7"/>
        <v>0</v>
      </c>
      <c r="J21" s="21">
        <f t="shared" si="4"/>
        <v>10</v>
      </c>
      <c r="K21" s="21">
        <f t="shared" si="5"/>
        <v>10</v>
      </c>
      <c r="L21" s="22">
        <v>100</v>
      </c>
      <c r="M21" s="107" t="s">
        <v>110</v>
      </c>
      <c r="N21" s="107">
        <v>0</v>
      </c>
      <c r="O21" s="107">
        <v>51.5</v>
      </c>
      <c r="P21" s="107"/>
      <c r="Q21" s="5" t="s">
        <v>110</v>
      </c>
      <c r="R21" s="5">
        <v>20</v>
      </c>
      <c r="S21" s="5">
        <v>50</v>
      </c>
      <c r="T21" s="5"/>
      <c r="U21" s="107" t="s">
        <v>110</v>
      </c>
      <c r="V21" s="107">
        <v>40</v>
      </c>
      <c r="W21" s="107">
        <v>48.5</v>
      </c>
      <c r="X21" s="107"/>
      <c r="Y21" s="5" t="s">
        <v>110</v>
      </c>
      <c r="Z21" s="21">
        <v>60</v>
      </c>
      <c r="AA21" s="5">
        <v>47.5</v>
      </c>
      <c r="AB21" s="5"/>
      <c r="AC21" s="107" t="s">
        <v>110</v>
      </c>
      <c r="AD21" s="107">
        <v>80</v>
      </c>
      <c r="AE21" s="107">
        <v>50</v>
      </c>
      <c r="AF21" s="107"/>
      <c r="AG21" s="5"/>
      <c r="AH21" s="5"/>
      <c r="AI21" s="5"/>
      <c r="AJ21" s="5"/>
      <c r="AK21" s="107"/>
      <c r="AL21" s="107"/>
      <c r="AM21" s="107"/>
      <c r="AN21" s="107"/>
      <c r="AO21" s="5"/>
      <c r="AP21" s="5"/>
      <c r="AQ21" s="5"/>
      <c r="AR21" s="5"/>
      <c r="AS21" s="107"/>
      <c r="AT21" s="107"/>
      <c r="AU21" s="107"/>
      <c r="AV21" s="107"/>
      <c r="AW21" s="5"/>
      <c r="AX21" s="5"/>
      <c r="AY21" s="5"/>
      <c r="AZ21" s="5"/>
      <c r="BA21" s="107"/>
      <c r="BB21" s="107"/>
      <c r="BC21" s="107"/>
      <c r="BD21" s="107"/>
      <c r="BE21" s="5"/>
      <c r="BF21" s="5"/>
      <c r="BG21" s="5"/>
      <c r="BH21" s="5"/>
    </row>
    <row r="22" spans="1:60" x14ac:dyDescent="0.25">
      <c r="A22" s="1">
        <v>20</v>
      </c>
      <c r="B22" s="11" t="b">
        <v>1</v>
      </c>
      <c r="C22" s="11" t="b">
        <v>1</v>
      </c>
      <c r="D22" s="1" t="s">
        <v>251</v>
      </c>
      <c r="E22" s="5">
        <f t="shared" si="3"/>
        <v>1.0651315789473685</v>
      </c>
      <c r="F22" s="24">
        <v>0.7</v>
      </c>
      <c r="G22" s="21" t="s">
        <v>223</v>
      </c>
      <c r="H22" s="20" t="s">
        <v>108</v>
      </c>
      <c r="I22" s="24">
        <f t="shared" si="7"/>
        <v>0</v>
      </c>
      <c r="J22" s="21">
        <f t="shared" si="4"/>
        <v>10</v>
      </c>
      <c r="K22" s="21">
        <f t="shared" si="5"/>
        <v>10</v>
      </c>
      <c r="L22" s="22">
        <f>Z22+10</f>
        <v>21.499999999999986</v>
      </c>
      <c r="M22" s="107" t="s">
        <v>110</v>
      </c>
      <c r="N22" s="107">
        <v>0</v>
      </c>
      <c r="O22" s="107"/>
      <c r="P22" s="107">
        <v>0.5</v>
      </c>
      <c r="Q22" s="5" t="s">
        <v>110</v>
      </c>
      <c r="R22" s="5">
        <v>3</v>
      </c>
      <c r="S22" s="5">
        <v>51.5</v>
      </c>
      <c r="T22" s="5">
        <v>0</v>
      </c>
      <c r="U22" s="107" t="s">
        <v>110</v>
      </c>
      <c r="V22" s="107">
        <v>5</v>
      </c>
      <c r="W22" s="107"/>
      <c r="X22" s="107">
        <v>-0.2</v>
      </c>
      <c r="Y22" s="5" t="s">
        <v>110</v>
      </c>
      <c r="Z22" s="21">
        <f>V22+(AA22-51.5)/X22</f>
        <v>11.499999999999986</v>
      </c>
      <c r="AA22" s="5">
        <f>sel_lfsmo_start</f>
        <v>50.2</v>
      </c>
      <c r="AB22" s="5">
        <v>0</v>
      </c>
      <c r="AC22" s="107"/>
      <c r="AD22" s="107"/>
      <c r="AE22" s="107"/>
      <c r="AF22" s="107"/>
      <c r="AG22" s="5"/>
      <c r="AH22" s="5"/>
      <c r="AI22" s="5"/>
      <c r="AJ22" s="5"/>
      <c r="AK22" s="107"/>
      <c r="AL22" s="107"/>
      <c r="AM22" s="107"/>
      <c r="AN22" s="107"/>
      <c r="AO22" s="5"/>
      <c r="AP22" s="5"/>
      <c r="AQ22" s="5"/>
      <c r="AR22" s="5"/>
      <c r="AS22" s="107"/>
      <c r="AT22" s="107"/>
      <c r="AU22" s="107"/>
      <c r="AV22" s="107"/>
      <c r="AW22" s="5"/>
      <c r="AX22" s="5"/>
      <c r="AY22" s="5"/>
      <c r="AZ22" s="5"/>
      <c r="BA22" s="107"/>
      <c r="BB22" s="107"/>
      <c r="BC22" s="107"/>
      <c r="BD22" s="107"/>
      <c r="BE22" s="5"/>
      <c r="BF22" s="5"/>
      <c r="BG22" s="5"/>
      <c r="BH22" s="5"/>
    </row>
    <row r="23" spans="1:60" x14ac:dyDescent="0.25">
      <c r="A23" s="1">
        <v>21</v>
      </c>
      <c r="B23" s="11" t="b">
        <v>1</v>
      </c>
      <c r="C23" s="11" t="b">
        <v>1</v>
      </c>
      <c r="D23" s="1" t="s">
        <v>252</v>
      </c>
      <c r="E23" s="5">
        <f t="shared" si="3"/>
        <v>1.0651315789473685</v>
      </c>
      <c r="F23" s="24">
        <v>0.7</v>
      </c>
      <c r="G23" s="21" t="s">
        <v>223</v>
      </c>
      <c r="H23" s="20" t="s">
        <v>108</v>
      </c>
      <c r="I23" s="24">
        <f t="shared" si="7"/>
        <v>0</v>
      </c>
      <c r="J23" s="21">
        <f t="shared" si="4"/>
        <v>10</v>
      </c>
      <c r="K23" s="21">
        <f t="shared" si="5"/>
        <v>10</v>
      </c>
      <c r="L23" s="22">
        <f>Z23+10</f>
        <v>21.499999999999986</v>
      </c>
      <c r="M23" s="107" t="s">
        <v>110</v>
      </c>
      <c r="N23" s="107">
        <v>0</v>
      </c>
      <c r="O23" s="107"/>
      <c r="P23" s="107">
        <v>-0.5</v>
      </c>
      <c r="Q23" s="5" t="s">
        <v>110</v>
      </c>
      <c r="R23" s="5">
        <v>3</v>
      </c>
      <c r="S23" s="5">
        <v>48.5</v>
      </c>
      <c r="T23" s="5">
        <v>0</v>
      </c>
      <c r="U23" s="107" t="s">
        <v>110</v>
      </c>
      <c r="V23" s="107">
        <v>5</v>
      </c>
      <c r="W23" s="107"/>
      <c r="X23" s="107">
        <v>0.2</v>
      </c>
      <c r="Y23" s="5" t="s">
        <v>110</v>
      </c>
      <c r="Z23" s="21">
        <f>V23+(AA23-48.5)/X23</f>
        <v>11.499999999999986</v>
      </c>
      <c r="AA23" s="5">
        <f>sel_lfsmu_start</f>
        <v>49.8</v>
      </c>
      <c r="AB23" s="5">
        <v>0</v>
      </c>
      <c r="AC23" s="107"/>
      <c r="AD23" s="107"/>
      <c r="AE23" s="107"/>
      <c r="AF23" s="107"/>
      <c r="AG23" s="5"/>
      <c r="AH23" s="5"/>
      <c r="AI23" s="5"/>
      <c r="AJ23" s="5"/>
      <c r="AK23" s="107"/>
      <c r="AL23" s="107"/>
      <c r="AM23" s="107"/>
      <c r="AN23" s="107"/>
      <c r="AO23" s="5"/>
      <c r="AP23" s="5"/>
      <c r="AQ23" s="5"/>
      <c r="AR23" s="5"/>
      <c r="AS23" s="107"/>
      <c r="AT23" s="107"/>
      <c r="AU23" s="107"/>
      <c r="AV23" s="107"/>
      <c r="AW23" s="5"/>
      <c r="AX23" s="5"/>
      <c r="AY23" s="5"/>
      <c r="AZ23" s="5"/>
      <c r="BA23" s="107"/>
      <c r="BB23" s="107"/>
      <c r="BC23" s="107"/>
      <c r="BD23" s="107"/>
      <c r="BE23" s="5"/>
      <c r="BF23" s="5"/>
      <c r="BG23" s="5"/>
      <c r="BH23" s="5"/>
    </row>
    <row r="24" spans="1:60" x14ac:dyDescent="0.25">
      <c r="A24" s="1">
        <v>22</v>
      </c>
      <c r="B24" s="11" t="b">
        <v>1</v>
      </c>
      <c r="C24" s="11" t="b">
        <v>1</v>
      </c>
      <c r="D24" s="1" t="s">
        <v>253</v>
      </c>
      <c r="E24" s="5">
        <f t="shared" si="3"/>
        <v>1.0651315789473685</v>
      </c>
      <c r="F24" s="24">
        <v>0.7</v>
      </c>
      <c r="G24" s="20" t="s">
        <v>224</v>
      </c>
      <c r="H24" s="20" t="s">
        <v>108</v>
      </c>
      <c r="I24" s="24">
        <f t="shared" si="7"/>
        <v>0</v>
      </c>
      <c r="J24" s="21">
        <f t="shared" si="4"/>
        <v>10</v>
      </c>
      <c r="K24" s="21">
        <f t="shared" si="5"/>
        <v>10</v>
      </c>
      <c r="L24" s="22">
        <f>Z24+10</f>
        <v>26.5</v>
      </c>
      <c r="M24" s="107" t="s">
        <v>110</v>
      </c>
      <c r="N24" s="107">
        <v>0</v>
      </c>
      <c r="O24" s="107"/>
      <c r="P24" s="107">
        <v>0.2</v>
      </c>
      <c r="Q24" s="5" t="s">
        <v>110</v>
      </c>
      <c r="R24" s="5">
        <v>7.5</v>
      </c>
      <c r="S24" s="5">
        <v>51.5</v>
      </c>
      <c r="T24" s="5">
        <v>0</v>
      </c>
      <c r="U24" s="107" t="s">
        <v>110</v>
      </c>
      <c r="V24" s="107">
        <v>9</v>
      </c>
      <c r="W24" s="107"/>
      <c r="X24" s="107">
        <v>-0.2</v>
      </c>
      <c r="Y24" s="5" t="s">
        <v>110</v>
      </c>
      <c r="Z24" s="21">
        <f>V24+(AA24-S24)/X24</f>
        <v>16.5</v>
      </c>
      <c r="AA24" s="5">
        <f>50</f>
        <v>50</v>
      </c>
      <c r="AB24" s="5">
        <v>0</v>
      </c>
      <c r="AC24" s="107"/>
      <c r="AD24" s="107"/>
      <c r="AE24" s="107"/>
      <c r="AF24" s="107"/>
      <c r="AG24" s="5"/>
      <c r="AH24" s="21"/>
      <c r="AI24" s="5"/>
      <c r="AJ24" s="5"/>
      <c r="AK24" s="107"/>
      <c r="AL24" s="107"/>
      <c r="AM24" s="107"/>
      <c r="AN24" s="107"/>
      <c r="AO24" s="5"/>
      <c r="AP24" s="5"/>
      <c r="AQ24" s="5"/>
      <c r="AR24" s="5"/>
      <c r="AS24" s="107"/>
      <c r="AT24" s="107"/>
      <c r="AU24" s="107"/>
      <c r="AV24" s="107"/>
      <c r="AW24" s="5"/>
      <c r="AX24" s="5"/>
      <c r="AY24" s="5"/>
      <c r="AZ24" s="5"/>
      <c r="BA24" s="107"/>
      <c r="BB24" s="107"/>
      <c r="BC24" s="107"/>
      <c r="BD24" s="107"/>
      <c r="BE24" s="5"/>
      <c r="BF24" s="5"/>
      <c r="BG24" s="5"/>
      <c r="BH24" s="5"/>
    </row>
    <row r="25" spans="1:60" x14ac:dyDescent="0.25">
      <c r="A25" s="1">
        <v>23</v>
      </c>
      <c r="B25" s="11" t="b">
        <v>1</v>
      </c>
      <c r="C25" s="11" t="b">
        <v>1</v>
      </c>
      <c r="D25" s="1" t="s">
        <v>494</v>
      </c>
      <c r="E25" s="5">
        <f t="shared" si="3"/>
        <v>1.0651315789473685</v>
      </c>
      <c r="F25" s="24">
        <v>0.7</v>
      </c>
      <c r="G25" s="20" t="s">
        <v>224</v>
      </c>
      <c r="H25" s="20" t="s">
        <v>108</v>
      </c>
      <c r="I25" s="24">
        <f t="shared" si="7"/>
        <v>0</v>
      </c>
      <c r="J25" s="21">
        <f t="shared" si="4"/>
        <v>10</v>
      </c>
      <c r="K25" s="21">
        <f t="shared" si="5"/>
        <v>10</v>
      </c>
      <c r="L25" s="22">
        <f>Z25+10</f>
        <v>26.5</v>
      </c>
      <c r="M25" s="107" t="s">
        <v>110</v>
      </c>
      <c r="N25" s="107">
        <v>0</v>
      </c>
      <c r="O25" s="107"/>
      <c r="P25" s="107">
        <v>-0.2</v>
      </c>
      <c r="Q25" s="5" t="s">
        <v>110</v>
      </c>
      <c r="R25" s="5">
        <v>7.5</v>
      </c>
      <c r="S25" s="5">
        <v>48.5</v>
      </c>
      <c r="T25" s="5">
        <v>0</v>
      </c>
      <c r="U25" s="107" t="s">
        <v>110</v>
      </c>
      <c r="V25" s="107">
        <v>9</v>
      </c>
      <c r="W25" s="107"/>
      <c r="X25" s="107">
        <v>0.2</v>
      </c>
      <c r="Y25" s="5" t="s">
        <v>110</v>
      </c>
      <c r="Z25" s="21">
        <f>V25+(AA25-S25)/X25</f>
        <v>16.5</v>
      </c>
      <c r="AA25" s="5">
        <f>50</f>
        <v>50</v>
      </c>
      <c r="AB25" s="5">
        <v>0</v>
      </c>
      <c r="AC25" s="107"/>
      <c r="AD25" s="107"/>
      <c r="AE25" s="107"/>
      <c r="AF25" s="107"/>
      <c r="AG25" s="5"/>
      <c r="AH25" s="21"/>
      <c r="AI25" s="5"/>
      <c r="AJ25" s="5"/>
      <c r="AK25" s="107"/>
      <c r="AL25" s="107"/>
      <c r="AM25" s="107"/>
      <c r="AN25" s="107"/>
      <c r="AO25" s="5"/>
      <c r="AP25" s="5"/>
      <c r="AQ25" s="5"/>
      <c r="AR25" s="5"/>
      <c r="AS25" s="107"/>
      <c r="AT25" s="107"/>
      <c r="AU25" s="107"/>
      <c r="AV25" s="107"/>
      <c r="AW25" s="5"/>
      <c r="AX25" s="5"/>
      <c r="AY25" s="5"/>
      <c r="AZ25" s="5"/>
      <c r="BA25" s="107"/>
      <c r="BB25" s="107"/>
      <c r="BC25" s="107"/>
      <c r="BD25" s="107"/>
      <c r="BE25" s="5"/>
      <c r="BF25" s="5"/>
      <c r="BG25" s="5"/>
      <c r="BH25" s="5"/>
    </row>
    <row r="26" spans="1:60" x14ac:dyDescent="0.25">
      <c r="A26" s="1">
        <v>24</v>
      </c>
      <c r="B26" s="11" t="b">
        <v>1</v>
      </c>
      <c r="C26" s="11" t="b">
        <v>1</v>
      </c>
      <c r="D26" s="1" t="s">
        <v>495</v>
      </c>
      <c r="E26" s="5">
        <f t="shared" si="3"/>
        <v>1.0651315789473685</v>
      </c>
      <c r="F26" s="24">
        <v>0.7</v>
      </c>
      <c r="G26" s="20" t="s">
        <v>224</v>
      </c>
      <c r="H26" s="20" t="s">
        <v>108</v>
      </c>
      <c r="I26" s="24">
        <f t="shared" si="7"/>
        <v>0</v>
      </c>
      <c r="J26" s="21">
        <f t="shared" si="4"/>
        <v>10</v>
      </c>
      <c r="K26" s="21">
        <f t="shared" si="5"/>
        <v>10</v>
      </c>
      <c r="L26" s="22">
        <v>45</v>
      </c>
      <c r="M26" s="107" t="s">
        <v>110</v>
      </c>
      <c r="N26" s="107">
        <v>0</v>
      </c>
      <c r="O26" s="107">
        <f>sel_lfsmo_start</f>
        <v>50.2</v>
      </c>
      <c r="P26" s="107"/>
      <c r="Q26" s="5" t="s">
        <v>110</v>
      </c>
      <c r="R26" s="5">
        <v>5</v>
      </c>
      <c r="S26" s="5">
        <f>sel_lfsmo_start+0.3</f>
        <v>50.5</v>
      </c>
      <c r="T26" s="5"/>
      <c r="U26" s="107" t="s">
        <v>110</v>
      </c>
      <c r="V26" s="107">
        <v>10</v>
      </c>
      <c r="W26" s="107">
        <f>sel_lfsmo_start</f>
        <v>50.2</v>
      </c>
      <c r="X26" s="107"/>
      <c r="Y26" s="5" t="s">
        <v>110</v>
      </c>
      <c r="Z26" s="5">
        <v>15</v>
      </c>
      <c r="AA26" s="5">
        <f>sel_lfsmo_start-0.05</f>
        <v>50.150000000000006</v>
      </c>
      <c r="AB26" s="5"/>
      <c r="AC26" s="107" t="s">
        <v>110</v>
      </c>
      <c r="AD26" s="107">
        <v>25</v>
      </c>
      <c r="AE26" s="107">
        <f>sel_lfsmo_start+0.3</f>
        <v>50.5</v>
      </c>
      <c r="AF26" s="107"/>
      <c r="AG26" s="5" t="s">
        <v>110</v>
      </c>
      <c r="AH26" s="5">
        <v>35</v>
      </c>
      <c r="AI26" s="5">
        <v>50</v>
      </c>
      <c r="AJ26" s="5"/>
      <c r="AK26" s="107"/>
      <c r="AL26" s="107"/>
      <c r="AM26" s="107"/>
      <c r="AN26" s="107"/>
      <c r="AO26" s="5"/>
      <c r="AP26" s="5"/>
      <c r="AQ26" s="5"/>
      <c r="AR26" s="5"/>
      <c r="AS26" s="107"/>
      <c r="AT26" s="107"/>
      <c r="AU26" s="107"/>
      <c r="AV26" s="107"/>
      <c r="AW26" s="5"/>
      <c r="AX26" s="5"/>
      <c r="AY26" s="5"/>
      <c r="AZ26" s="5"/>
      <c r="BA26" s="107"/>
      <c r="BB26" s="107"/>
      <c r="BC26" s="107"/>
      <c r="BD26" s="107"/>
      <c r="BE26" s="5"/>
      <c r="BF26" s="5"/>
      <c r="BG26" s="5"/>
      <c r="BH26" s="5"/>
    </row>
    <row r="27" spans="1:60" x14ac:dyDescent="0.25">
      <c r="A27" s="1">
        <v>25</v>
      </c>
      <c r="B27" s="11" t="b">
        <v>1</v>
      </c>
      <c r="C27" s="11" t="b">
        <v>1</v>
      </c>
      <c r="D27" s="1" t="s">
        <v>254</v>
      </c>
      <c r="E27" s="5">
        <f t="shared" si="3"/>
        <v>1.0651315789473685</v>
      </c>
      <c r="F27" s="24">
        <v>0.7</v>
      </c>
      <c r="G27" s="20" t="s">
        <v>224</v>
      </c>
      <c r="H27" s="20" t="s">
        <v>108</v>
      </c>
      <c r="I27" s="24">
        <f t="shared" si="7"/>
        <v>0</v>
      </c>
      <c r="J27" s="21">
        <f t="shared" si="4"/>
        <v>10</v>
      </c>
      <c r="K27" s="21">
        <f t="shared" si="5"/>
        <v>10</v>
      </c>
      <c r="L27" s="22">
        <v>45</v>
      </c>
      <c r="M27" s="107" t="s">
        <v>110</v>
      </c>
      <c r="N27" s="107">
        <v>0</v>
      </c>
      <c r="O27" s="107">
        <f>sel_lfsmu_start</f>
        <v>49.8</v>
      </c>
      <c r="P27" s="107"/>
      <c r="Q27" s="5" t="s">
        <v>110</v>
      </c>
      <c r="R27" s="5">
        <v>5</v>
      </c>
      <c r="S27" s="5">
        <f>sel_lfsmu_start-0.3</f>
        <v>49.5</v>
      </c>
      <c r="T27" s="5"/>
      <c r="U27" s="107" t="s">
        <v>110</v>
      </c>
      <c r="V27" s="107">
        <v>10</v>
      </c>
      <c r="W27" s="107">
        <f>sel_lfsmu_start</f>
        <v>49.8</v>
      </c>
      <c r="X27" s="107"/>
      <c r="Y27" s="5" t="s">
        <v>110</v>
      </c>
      <c r="Z27" s="5">
        <v>15</v>
      </c>
      <c r="AA27" s="5">
        <f>sel_lfsmu_start+0.05</f>
        <v>49.849999999999994</v>
      </c>
      <c r="AB27" s="5"/>
      <c r="AC27" s="107" t="s">
        <v>110</v>
      </c>
      <c r="AD27" s="107">
        <v>25</v>
      </c>
      <c r="AE27" s="107">
        <f>sel_lfsmu_start-0.3</f>
        <v>49.5</v>
      </c>
      <c r="AF27" s="107"/>
      <c r="AG27" s="5" t="s">
        <v>110</v>
      </c>
      <c r="AH27" s="5">
        <v>35</v>
      </c>
      <c r="AI27" s="5">
        <v>50</v>
      </c>
      <c r="AJ27" s="5"/>
      <c r="AK27" s="107"/>
      <c r="AL27" s="107"/>
      <c r="AM27" s="107"/>
      <c r="AN27" s="107"/>
      <c r="AO27" s="5"/>
      <c r="AP27" s="5"/>
      <c r="AQ27" s="5"/>
      <c r="AR27" s="5"/>
      <c r="AS27" s="107"/>
      <c r="AT27" s="107"/>
      <c r="AU27" s="107"/>
      <c r="AV27" s="107"/>
      <c r="AW27" s="5"/>
      <c r="AX27" s="5"/>
      <c r="AY27" s="5"/>
      <c r="AZ27" s="5"/>
      <c r="BA27" s="107"/>
      <c r="BB27" s="107"/>
      <c r="BC27" s="107"/>
      <c r="BD27" s="107"/>
      <c r="BE27" s="5"/>
      <c r="BF27" s="5"/>
      <c r="BG27" s="5"/>
      <c r="BH27" s="5"/>
    </row>
    <row r="28" spans="1:60" x14ac:dyDescent="0.25">
      <c r="A28" s="1">
        <v>26</v>
      </c>
      <c r="B28" s="99" t="b">
        <f>inp_Un&gt;=110</f>
        <v>1</v>
      </c>
      <c r="C28" s="99" t="b">
        <f>inp_Un&gt;=110</f>
        <v>1</v>
      </c>
      <c r="D28" s="98" t="s">
        <v>505</v>
      </c>
      <c r="E28" s="100">
        <f t="shared" si="3"/>
        <v>1.0651315789473685</v>
      </c>
      <c r="F28" s="100">
        <v>1</v>
      </c>
      <c r="G28" s="102" t="s">
        <v>223</v>
      </c>
      <c r="H28" s="101" t="s">
        <v>108</v>
      </c>
      <c r="I28" s="100">
        <f t="shared" si="7"/>
        <v>0</v>
      </c>
      <c r="J28" s="102">
        <f t="shared" si="4"/>
        <v>10</v>
      </c>
      <c r="K28" s="102">
        <f t="shared" si="5"/>
        <v>10</v>
      </c>
      <c r="L28" s="103">
        <v>50</v>
      </c>
      <c r="M28" s="108" t="s">
        <v>126</v>
      </c>
      <c r="N28" s="108">
        <v>-1</v>
      </c>
      <c r="O28" s="108">
        <v>0.5</v>
      </c>
      <c r="P28" s="108"/>
      <c r="Q28" s="100" t="s">
        <v>110</v>
      </c>
      <c r="R28" s="100">
        <v>10</v>
      </c>
      <c r="S28" s="100">
        <v>51</v>
      </c>
      <c r="T28" s="100"/>
      <c r="U28" s="108" t="s">
        <v>110</v>
      </c>
      <c r="V28" s="108">
        <v>30</v>
      </c>
      <c r="W28" s="108">
        <v>50</v>
      </c>
      <c r="X28" s="107"/>
      <c r="Y28" s="5"/>
      <c r="Z28" s="5"/>
      <c r="AA28" s="5"/>
      <c r="AB28" s="5"/>
      <c r="AC28" s="107"/>
      <c r="AD28" s="107"/>
      <c r="AE28" s="107"/>
      <c r="AF28" s="107"/>
      <c r="AG28" s="5"/>
      <c r="AH28" s="5"/>
      <c r="AI28" s="5"/>
      <c r="AJ28" s="5"/>
      <c r="AK28" s="107"/>
      <c r="AL28" s="107"/>
      <c r="AM28" s="107"/>
      <c r="AN28" s="107"/>
      <c r="AO28" s="5"/>
      <c r="AP28" s="5"/>
      <c r="AQ28" s="5"/>
      <c r="AR28" s="5"/>
      <c r="AS28" s="107"/>
      <c r="AT28" s="107"/>
      <c r="AU28" s="107"/>
      <c r="AV28" s="107"/>
      <c r="AW28" s="5"/>
      <c r="AX28" s="5"/>
      <c r="AY28" s="5"/>
      <c r="AZ28" s="5"/>
      <c r="BA28" s="107"/>
      <c r="BB28" s="107"/>
      <c r="BC28" s="107"/>
      <c r="BD28" s="107"/>
      <c r="BE28" s="5"/>
      <c r="BF28" s="5"/>
      <c r="BG28" s="5"/>
      <c r="BH28" s="5"/>
    </row>
    <row r="29" spans="1:60" x14ac:dyDescent="0.25">
      <c r="A29" s="1">
        <v>27</v>
      </c>
      <c r="B29" s="99" t="b">
        <f>inp_Un&gt;=110</f>
        <v>1</v>
      </c>
      <c r="C29" s="99" t="b">
        <f>inp_Un&gt;=110</f>
        <v>1</v>
      </c>
      <c r="D29" s="98" t="s">
        <v>506</v>
      </c>
      <c r="E29" s="100">
        <f t="shared" si="3"/>
        <v>1.0651315789473685</v>
      </c>
      <c r="F29" s="100">
        <v>0.5</v>
      </c>
      <c r="G29" s="102" t="s">
        <v>223</v>
      </c>
      <c r="H29" s="101" t="s">
        <v>108</v>
      </c>
      <c r="I29" s="100">
        <f t="shared" si="7"/>
        <v>0</v>
      </c>
      <c r="J29" s="102">
        <f t="shared" si="4"/>
        <v>10</v>
      </c>
      <c r="K29" s="102">
        <f t="shared" si="5"/>
        <v>10</v>
      </c>
      <c r="L29" s="103">
        <v>30</v>
      </c>
      <c r="M29" s="108" t="s">
        <v>126</v>
      </c>
      <c r="N29" s="108">
        <v>-1</v>
      </c>
      <c r="O29" s="108">
        <v>0.8</v>
      </c>
      <c r="P29" s="108"/>
      <c r="Q29" s="100" t="s">
        <v>110</v>
      </c>
      <c r="R29" s="100">
        <v>5</v>
      </c>
      <c r="S29" s="100">
        <v>48.5</v>
      </c>
      <c r="T29" s="100"/>
      <c r="U29" s="108" t="s">
        <v>110</v>
      </c>
      <c r="V29" s="108">
        <v>20</v>
      </c>
      <c r="W29" s="108">
        <v>50</v>
      </c>
      <c r="X29" s="107"/>
      <c r="Y29" s="5"/>
      <c r="Z29" s="5"/>
      <c r="AA29" s="5"/>
      <c r="AB29" s="5"/>
      <c r="AC29" s="107"/>
      <c r="AD29" s="107"/>
      <c r="AE29" s="107"/>
      <c r="AF29" s="107"/>
      <c r="AG29" s="5"/>
      <c r="AH29" s="5"/>
      <c r="AI29" s="5"/>
      <c r="AJ29" s="5"/>
      <c r="AK29" s="107"/>
      <c r="AL29" s="107"/>
      <c r="AM29" s="107"/>
      <c r="AN29" s="107"/>
      <c r="AO29" s="5"/>
      <c r="AP29" s="5"/>
      <c r="AQ29" s="5"/>
      <c r="AR29" s="5"/>
      <c r="AS29" s="107"/>
      <c r="AT29" s="107"/>
      <c r="AU29" s="107"/>
      <c r="AV29" s="107"/>
      <c r="AW29" s="5"/>
      <c r="AX29" s="5"/>
      <c r="AY29" s="5"/>
      <c r="AZ29" s="5"/>
      <c r="BA29" s="107"/>
      <c r="BB29" s="107"/>
      <c r="BC29" s="107"/>
      <c r="BD29" s="107"/>
      <c r="BE29" s="5"/>
      <c r="BF29" s="5"/>
      <c r="BG29" s="5"/>
      <c r="BH29" s="5"/>
    </row>
    <row r="30" spans="1:60" x14ac:dyDescent="0.25">
      <c r="A30" s="1">
        <v>28</v>
      </c>
      <c r="B30" s="11" t="b">
        <v>1</v>
      </c>
      <c r="C30" s="11" t="b">
        <v>1</v>
      </c>
      <c r="D30" s="1" t="s">
        <v>255</v>
      </c>
      <c r="E30" s="5">
        <f t="shared" si="3"/>
        <v>1.0651315789473685</v>
      </c>
      <c r="F30" s="24">
        <v>1</v>
      </c>
      <c r="G30" s="21" t="s">
        <v>223</v>
      </c>
      <c r="H30" s="20" t="s">
        <v>23</v>
      </c>
      <c r="I30" s="24">
        <v>0</v>
      </c>
      <c r="J30" s="21">
        <v>-1</v>
      </c>
      <c r="K30" s="21">
        <v>0</v>
      </c>
      <c r="L30" s="22">
        <v>100</v>
      </c>
      <c r="M30" s="107" t="s">
        <v>111</v>
      </c>
      <c r="N30" s="107">
        <v>0</v>
      </c>
      <c r="O30" s="107">
        <f>sel_uq_q0_umax</f>
        <v>1.1180000000000001</v>
      </c>
      <c r="P30" s="107"/>
      <c r="Q30" s="5" t="s">
        <v>111</v>
      </c>
      <c r="R30" s="5">
        <v>20</v>
      </c>
      <c r="S30" s="5">
        <f>inp_Uc/inp_Un</f>
        <v>1.0651315789473685</v>
      </c>
      <c r="T30" s="5"/>
      <c r="U30" s="107" t="s">
        <v>111</v>
      </c>
      <c r="V30" s="107">
        <v>40</v>
      </c>
      <c r="W30" s="107">
        <f>sel_uq_q0_umin</f>
        <v>0.96799999999999997</v>
      </c>
      <c r="X30" s="107"/>
      <c r="Y30" s="5" t="s">
        <v>111</v>
      </c>
      <c r="Z30" s="5">
        <v>80</v>
      </c>
      <c r="AA30" s="5">
        <f>inp_Uc/inp_Un</f>
        <v>1.0651315789473685</v>
      </c>
      <c r="AB30" s="5"/>
      <c r="AC30" s="107"/>
      <c r="AD30" s="107"/>
      <c r="AE30" s="107"/>
      <c r="AF30" s="107"/>
      <c r="AG30" s="5"/>
      <c r="AH30" s="5"/>
      <c r="AI30" s="5"/>
      <c r="AJ30" s="5"/>
      <c r="AK30" s="107"/>
      <c r="AL30" s="107"/>
      <c r="AM30" s="107"/>
      <c r="AN30" s="107"/>
      <c r="AO30" s="5"/>
      <c r="AP30" s="5"/>
      <c r="AQ30" s="5"/>
      <c r="AR30" s="5"/>
      <c r="AS30" s="107"/>
      <c r="AT30" s="107"/>
      <c r="AU30" s="107"/>
      <c r="AV30" s="107"/>
      <c r="AW30" s="5"/>
      <c r="AX30" s="5"/>
      <c r="AY30" s="5"/>
      <c r="AZ30" s="5"/>
      <c r="BA30" s="107"/>
      <c r="BB30" s="107"/>
      <c r="BC30" s="107"/>
      <c r="BD30" s="107"/>
      <c r="BE30" s="5"/>
      <c r="BF30" s="5"/>
      <c r="BG30" s="5"/>
      <c r="BH30" s="5"/>
    </row>
    <row r="31" spans="1:60" s="98" customFormat="1" x14ac:dyDescent="0.25">
      <c r="A31" s="1">
        <v>29</v>
      </c>
      <c r="B31" s="99" t="b">
        <f>inp_Un&gt;=110</f>
        <v>1</v>
      </c>
      <c r="C31" s="99" t="b">
        <f>inp_Un&gt;=110</f>
        <v>1</v>
      </c>
      <c r="D31" s="98" t="s">
        <v>256</v>
      </c>
      <c r="E31" s="100">
        <f t="shared" si="3"/>
        <v>1.0651315789473685</v>
      </c>
      <c r="F31" s="100">
        <v>1</v>
      </c>
      <c r="G31" s="102" t="s">
        <v>223</v>
      </c>
      <c r="H31" s="101" t="s">
        <v>23</v>
      </c>
      <c r="I31" s="100">
        <v>0</v>
      </c>
      <c r="J31" s="102">
        <f t="shared" si="4"/>
        <v>10</v>
      </c>
      <c r="K31" s="102">
        <f t="shared" si="5"/>
        <v>10</v>
      </c>
      <c r="L31" s="103">
        <v>100</v>
      </c>
      <c r="M31" s="108" t="s">
        <v>112</v>
      </c>
      <c r="N31" s="108">
        <v>0</v>
      </c>
      <c r="O31" s="108">
        <f>sel_uq_q0_umax-inp_Uc/inp_Un</f>
        <v>5.2868421052631565E-2</v>
      </c>
      <c r="P31" s="108"/>
      <c r="Q31" s="100" t="s">
        <v>112</v>
      </c>
      <c r="R31" s="100">
        <v>20</v>
      </c>
      <c r="S31" s="100">
        <v>0</v>
      </c>
      <c r="T31" s="100"/>
      <c r="U31" s="108" t="s">
        <v>112</v>
      </c>
      <c r="V31" s="108">
        <v>40</v>
      </c>
      <c r="W31" s="108">
        <f>sel_uq_q0_umin-inp_Uc/inp_Un</f>
        <v>-9.7131578947368569E-2</v>
      </c>
      <c r="X31" s="108"/>
      <c r="Y31" s="100" t="s">
        <v>112</v>
      </c>
      <c r="Z31" s="102">
        <v>80</v>
      </c>
      <c r="AA31" s="100">
        <v>0</v>
      </c>
      <c r="AB31" s="100"/>
      <c r="AC31" s="108"/>
      <c r="AD31" s="108"/>
      <c r="AE31" s="108"/>
      <c r="AF31" s="108"/>
      <c r="AG31" s="100"/>
      <c r="AH31" s="100"/>
      <c r="AI31" s="100"/>
      <c r="AJ31" s="100"/>
      <c r="AK31" s="108"/>
      <c r="AL31" s="108"/>
      <c r="AM31" s="108"/>
      <c r="AN31" s="108"/>
      <c r="AO31" s="100"/>
      <c r="AP31" s="100"/>
      <c r="AQ31" s="100"/>
      <c r="AR31" s="100"/>
      <c r="AS31" s="108"/>
      <c r="AT31" s="108"/>
      <c r="AU31" s="108"/>
      <c r="AV31" s="108"/>
      <c r="AW31" s="100"/>
      <c r="AX31" s="100"/>
      <c r="AY31" s="100"/>
      <c r="AZ31" s="100"/>
      <c r="BA31" s="108"/>
      <c r="BB31" s="108"/>
      <c r="BC31" s="108"/>
      <c r="BD31" s="108"/>
      <c r="BE31" s="100"/>
      <c r="BF31" s="100"/>
      <c r="BG31" s="100"/>
      <c r="BH31" s="100"/>
    </row>
    <row r="32" spans="1:60" x14ac:dyDescent="0.25">
      <c r="A32" s="1">
        <v>30</v>
      </c>
      <c r="B32" s="11" t="b">
        <v>1</v>
      </c>
      <c r="C32" s="11" t="b">
        <v>1</v>
      </c>
      <c r="D32" s="1" t="s">
        <v>257</v>
      </c>
      <c r="E32" s="5">
        <f t="shared" si="3"/>
        <v>1.0651315789473685</v>
      </c>
      <c r="F32" s="24">
        <v>1</v>
      </c>
      <c r="G32" s="21" t="s">
        <v>223</v>
      </c>
      <c r="H32" s="20" t="s">
        <v>23</v>
      </c>
      <c r="I32" s="24">
        <v>-0.33</v>
      </c>
      <c r="J32" s="21">
        <v>-1</v>
      </c>
      <c r="K32" s="21">
        <v>0</v>
      </c>
      <c r="L32" s="22">
        <v>100</v>
      </c>
      <c r="M32" s="107" t="s">
        <v>111</v>
      </c>
      <c r="N32" s="107">
        <v>0</v>
      </c>
      <c r="O32" s="107">
        <f>sel_uq_q0.33ue_umax</f>
        <v>1.1180000000000001</v>
      </c>
      <c r="P32" s="107"/>
      <c r="Q32" s="5" t="s">
        <v>111</v>
      </c>
      <c r="R32" s="5">
        <v>20</v>
      </c>
      <c r="S32" s="5">
        <f>inp_Uc/inp_Un</f>
        <v>1.0651315789473685</v>
      </c>
      <c r="T32" s="5"/>
      <c r="U32" s="107" t="s">
        <v>111</v>
      </c>
      <c r="V32" s="107">
        <v>40</v>
      </c>
      <c r="W32" s="107">
        <f>sel_uq_q0.33ue_umin</f>
        <v>1.028</v>
      </c>
      <c r="X32" s="107"/>
      <c r="Y32" s="5" t="s">
        <v>111</v>
      </c>
      <c r="Z32" s="5">
        <v>80</v>
      </c>
      <c r="AA32" s="5">
        <f>inp_Uc/inp_Un</f>
        <v>1.0651315789473685</v>
      </c>
      <c r="AB32" s="5"/>
      <c r="AC32" s="107"/>
      <c r="AD32" s="107"/>
      <c r="AE32" s="107"/>
      <c r="AF32" s="107"/>
      <c r="AG32" s="5"/>
      <c r="AH32" s="5"/>
      <c r="AI32" s="5"/>
      <c r="AJ32" s="5"/>
      <c r="AK32" s="107"/>
      <c r="AL32" s="107"/>
      <c r="AM32" s="107"/>
      <c r="AN32" s="107"/>
      <c r="AO32" s="5"/>
      <c r="AP32" s="5"/>
      <c r="AQ32" s="5"/>
      <c r="AR32" s="5"/>
      <c r="AS32" s="107"/>
      <c r="AT32" s="107"/>
      <c r="AU32" s="107"/>
      <c r="AV32" s="107"/>
      <c r="AW32" s="5"/>
      <c r="AX32" s="5"/>
      <c r="AY32" s="5"/>
      <c r="AZ32" s="5"/>
      <c r="BA32" s="107"/>
      <c r="BB32" s="107"/>
      <c r="BC32" s="107"/>
      <c r="BD32" s="107"/>
      <c r="BE32" s="5"/>
      <c r="BF32" s="5"/>
      <c r="BG32" s="5"/>
      <c r="BH32" s="5"/>
    </row>
    <row r="33" spans="1:92" x14ac:dyDescent="0.25">
      <c r="A33" s="1">
        <v>31</v>
      </c>
      <c r="B33" s="11" t="b">
        <v>1</v>
      </c>
      <c r="C33" s="11" t="b">
        <v>1</v>
      </c>
      <c r="D33" s="1" t="s">
        <v>258</v>
      </c>
      <c r="E33" s="5">
        <f t="shared" si="3"/>
        <v>1.0651315789473685</v>
      </c>
      <c r="F33" s="24">
        <v>1</v>
      </c>
      <c r="G33" s="21" t="s">
        <v>223</v>
      </c>
      <c r="H33" s="20" t="s">
        <v>23</v>
      </c>
      <c r="I33" s="24">
        <v>0.33</v>
      </c>
      <c r="J33" s="21">
        <v>-1</v>
      </c>
      <c r="K33" s="21">
        <v>0</v>
      </c>
      <c r="L33" s="22">
        <v>100</v>
      </c>
      <c r="M33" s="107" t="s">
        <v>111</v>
      </c>
      <c r="N33" s="107">
        <v>0</v>
      </c>
      <c r="O33" s="107">
        <f>sel_uq_q0.33_umax</f>
        <v>1.1080000000000001</v>
      </c>
      <c r="P33" s="107"/>
      <c r="Q33" s="5" t="s">
        <v>111</v>
      </c>
      <c r="R33" s="5">
        <v>20</v>
      </c>
      <c r="S33" s="5">
        <f>inp_Uc/inp_Un</f>
        <v>1.0651315789473685</v>
      </c>
      <c r="T33" s="5"/>
      <c r="U33" s="107" t="s">
        <v>111</v>
      </c>
      <c r="V33" s="107">
        <v>40</v>
      </c>
      <c r="W33" s="107">
        <f>sel_uq_q0.33_umin</f>
        <v>0.96799999999999997</v>
      </c>
      <c r="X33" s="107"/>
      <c r="Y33" s="5" t="s">
        <v>111</v>
      </c>
      <c r="Z33" s="5">
        <v>80</v>
      </c>
      <c r="AA33" s="5">
        <f>inp_Uc/inp_Un</f>
        <v>1.0651315789473685</v>
      </c>
      <c r="AB33" s="5"/>
      <c r="AC33" s="107"/>
      <c r="AD33" s="107"/>
      <c r="AE33" s="107"/>
      <c r="AF33" s="107"/>
      <c r="AG33" s="5"/>
      <c r="AH33" s="5"/>
      <c r="AI33" s="5"/>
      <c r="AJ33" s="5"/>
      <c r="AK33" s="107"/>
      <c r="AL33" s="107"/>
      <c r="AM33" s="107"/>
      <c r="AN33" s="107"/>
      <c r="AO33" s="5"/>
      <c r="AP33" s="5"/>
      <c r="AQ33" s="5"/>
      <c r="AR33" s="5"/>
      <c r="AS33" s="107"/>
      <c r="AT33" s="107"/>
      <c r="AU33" s="107"/>
      <c r="AV33" s="107"/>
      <c r="AW33" s="5"/>
      <c r="AX33" s="5"/>
      <c r="AY33" s="5"/>
      <c r="AZ33" s="5"/>
      <c r="BA33" s="107"/>
      <c r="BB33" s="107"/>
      <c r="BC33" s="107"/>
      <c r="BD33" s="107"/>
      <c r="BE33" s="5"/>
      <c r="BF33" s="5"/>
      <c r="BG33" s="5"/>
      <c r="BH33" s="5"/>
    </row>
    <row r="34" spans="1:92" s="8" customFormat="1" x14ac:dyDescent="0.25">
      <c r="A34" s="1">
        <v>32</v>
      </c>
      <c r="B34" s="11" t="b">
        <v>1</v>
      </c>
      <c r="C34" s="11" t="b">
        <v>1</v>
      </c>
      <c r="D34" s="1" t="s">
        <v>259</v>
      </c>
      <c r="E34" s="5">
        <f t="shared" si="3"/>
        <v>1.0651315789473685</v>
      </c>
      <c r="F34" s="24">
        <v>1</v>
      </c>
      <c r="G34" s="21" t="s">
        <v>223</v>
      </c>
      <c r="H34" s="20" t="s">
        <v>23</v>
      </c>
      <c r="I34" s="24">
        <v>0</v>
      </c>
      <c r="J34" s="21">
        <f t="shared" ref="J34:J39" si="8">inp_scr_min</f>
        <v>10</v>
      </c>
      <c r="K34" s="21">
        <f t="shared" ref="K34:K39" si="9">inp_xr_min</f>
        <v>10</v>
      </c>
      <c r="L34" s="22">
        <v>155</v>
      </c>
      <c r="M34" s="107" t="s">
        <v>109</v>
      </c>
      <c r="N34" s="107">
        <v>0</v>
      </c>
      <c r="O34" s="107">
        <v>0.5</v>
      </c>
      <c r="P34" s="107"/>
      <c r="Q34" s="5"/>
      <c r="R34" s="94"/>
      <c r="S34" s="94"/>
      <c r="T34" s="94"/>
      <c r="U34" s="107"/>
      <c r="V34" s="107"/>
      <c r="W34" s="107"/>
      <c r="X34" s="107"/>
      <c r="Y34" s="5"/>
      <c r="Z34" s="21"/>
      <c r="AA34" s="5"/>
      <c r="AB34" s="5"/>
      <c r="AC34" s="107"/>
      <c r="AD34" s="107"/>
      <c r="AE34" s="107"/>
      <c r="AF34" s="107"/>
      <c r="AG34" s="5"/>
      <c r="AH34" s="5"/>
      <c r="AI34" s="5"/>
      <c r="AJ34" s="5"/>
      <c r="AK34" s="107"/>
      <c r="AL34" s="107"/>
      <c r="AM34" s="107"/>
      <c r="AN34" s="107"/>
      <c r="AO34" s="5"/>
      <c r="AP34" s="5"/>
      <c r="AQ34" s="5"/>
      <c r="AR34" s="5"/>
      <c r="AS34" s="107"/>
      <c r="AT34" s="107"/>
      <c r="AU34" s="107"/>
      <c r="AV34" s="107"/>
      <c r="AW34" s="5"/>
      <c r="AX34" s="5"/>
      <c r="AY34" s="5"/>
      <c r="AZ34" s="5"/>
      <c r="BA34" s="107"/>
      <c r="BB34" s="107"/>
      <c r="BC34" s="107"/>
      <c r="BD34" s="107"/>
      <c r="BE34" s="5"/>
      <c r="BF34" s="5"/>
      <c r="BG34" s="5"/>
      <c r="BH34" s="5"/>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row>
    <row r="35" spans="1:92" s="98" customFormat="1" x14ac:dyDescent="0.25">
      <c r="A35" s="1">
        <v>33</v>
      </c>
      <c r="B35" s="99" t="b">
        <f>inp_Un&gt;=110</f>
        <v>1</v>
      </c>
      <c r="C35" s="99" t="b">
        <f>inp_Un&gt;=110</f>
        <v>1</v>
      </c>
      <c r="D35" s="98" t="s">
        <v>260</v>
      </c>
      <c r="E35" s="100">
        <f t="shared" si="3"/>
        <v>1.0651315789473685</v>
      </c>
      <c r="F35" s="100">
        <v>0.5</v>
      </c>
      <c r="G35" s="102" t="s">
        <v>223</v>
      </c>
      <c r="H35" s="101" t="s">
        <v>23</v>
      </c>
      <c r="I35" s="100">
        <v>0</v>
      </c>
      <c r="J35" s="102">
        <f t="shared" si="8"/>
        <v>10</v>
      </c>
      <c r="K35" s="102">
        <f t="shared" si="9"/>
        <v>10</v>
      </c>
      <c r="L35" s="103">
        <v>155</v>
      </c>
      <c r="M35" s="108" t="s">
        <v>109</v>
      </c>
      <c r="N35" s="108">
        <v>0</v>
      </c>
      <c r="O35" s="108">
        <v>0</v>
      </c>
      <c r="P35" s="108"/>
      <c r="R35" s="100"/>
      <c r="S35" s="100"/>
      <c r="T35" s="120"/>
      <c r="U35" s="108"/>
      <c r="V35" s="108"/>
      <c r="W35" s="108"/>
      <c r="X35" s="108"/>
      <c r="Y35" s="100"/>
      <c r="Z35" s="102"/>
      <c r="AA35" s="100"/>
      <c r="AB35" s="100"/>
      <c r="AC35" s="108"/>
      <c r="AD35" s="108"/>
      <c r="AE35" s="108"/>
      <c r="AF35" s="108"/>
      <c r="AG35" s="100"/>
      <c r="AH35" s="100"/>
      <c r="AI35" s="100"/>
      <c r="AJ35" s="100"/>
      <c r="AK35" s="108"/>
      <c r="AL35" s="108"/>
      <c r="AM35" s="108"/>
      <c r="AN35" s="108"/>
      <c r="AO35" s="100"/>
      <c r="AP35" s="100"/>
      <c r="AQ35" s="100"/>
      <c r="AR35" s="100"/>
      <c r="AS35" s="108"/>
      <c r="AT35" s="108"/>
      <c r="AU35" s="108"/>
      <c r="AV35" s="108"/>
      <c r="AW35" s="100"/>
      <c r="AX35" s="100"/>
      <c r="AY35" s="100"/>
      <c r="AZ35" s="100"/>
      <c r="BA35" s="108"/>
      <c r="BB35" s="108"/>
      <c r="BC35" s="108"/>
      <c r="BD35" s="108"/>
      <c r="BE35" s="100"/>
      <c r="BF35" s="100"/>
      <c r="BG35" s="100"/>
      <c r="BH35" s="100"/>
    </row>
    <row r="36" spans="1:92" x14ac:dyDescent="0.25">
      <c r="A36" s="1">
        <v>34</v>
      </c>
      <c r="B36" s="11" t="b">
        <v>1</v>
      </c>
      <c r="C36" s="11" t="b">
        <v>1</v>
      </c>
      <c r="D36" s="1" t="s">
        <v>261</v>
      </c>
      <c r="E36" s="5">
        <f t="shared" si="3"/>
        <v>1.0651315789473685</v>
      </c>
      <c r="F36" s="24">
        <v>1</v>
      </c>
      <c r="G36" s="21" t="s">
        <v>223</v>
      </c>
      <c r="H36" s="20" t="s">
        <v>23</v>
      </c>
      <c r="I36" s="24">
        <v>-0.33</v>
      </c>
      <c r="J36" s="21">
        <f t="shared" si="8"/>
        <v>10</v>
      </c>
      <c r="K36" s="21">
        <f t="shared" si="9"/>
        <v>10</v>
      </c>
      <c r="L36" s="22">
        <v>155</v>
      </c>
      <c r="M36" s="107" t="s">
        <v>109</v>
      </c>
      <c r="N36" s="107">
        <v>0</v>
      </c>
      <c r="O36" s="107">
        <v>0.5</v>
      </c>
      <c r="P36" s="107"/>
      <c r="Q36" s="5"/>
      <c r="R36" s="94"/>
      <c r="S36" s="94"/>
      <c r="T36" s="94"/>
      <c r="U36" s="107"/>
      <c r="V36" s="107"/>
      <c r="W36" s="107"/>
      <c r="X36" s="107"/>
      <c r="Y36" s="5"/>
      <c r="Z36" s="21"/>
      <c r="AA36" s="5"/>
      <c r="AB36" s="5"/>
      <c r="AC36" s="107"/>
      <c r="AD36" s="107"/>
      <c r="AE36" s="107"/>
      <c r="AF36" s="107"/>
      <c r="AG36" s="5"/>
      <c r="AH36" s="5"/>
      <c r="AI36" s="5"/>
      <c r="AJ36" s="5"/>
      <c r="AK36" s="107"/>
      <c r="AL36" s="107"/>
      <c r="AM36" s="107"/>
      <c r="AN36" s="107"/>
      <c r="AO36" s="5"/>
      <c r="AP36" s="5"/>
      <c r="AQ36" s="5"/>
      <c r="AR36" s="5"/>
      <c r="AS36" s="107"/>
      <c r="AT36" s="107"/>
      <c r="AU36" s="107"/>
      <c r="AV36" s="107"/>
      <c r="AW36" s="5"/>
      <c r="AX36" s="5"/>
      <c r="AY36" s="5"/>
      <c r="AZ36" s="5"/>
      <c r="BA36" s="107"/>
      <c r="BB36" s="107"/>
      <c r="BC36" s="107"/>
      <c r="BD36" s="107"/>
      <c r="BE36" s="5"/>
      <c r="BF36" s="5"/>
      <c r="BG36" s="5"/>
      <c r="BH36" s="5"/>
    </row>
    <row r="37" spans="1:92" s="98" customFormat="1" x14ac:dyDescent="0.25">
      <c r="A37" s="1">
        <v>35</v>
      </c>
      <c r="B37" s="99" t="b">
        <f>inp_Un&gt;=110</f>
        <v>1</v>
      </c>
      <c r="C37" s="99" t="b">
        <f>inp_Un&gt;=110</f>
        <v>1</v>
      </c>
      <c r="D37" s="98" t="s">
        <v>262</v>
      </c>
      <c r="E37" s="100">
        <f t="shared" si="3"/>
        <v>1.0651315789473685</v>
      </c>
      <c r="F37" s="100">
        <v>0.5</v>
      </c>
      <c r="G37" s="102" t="s">
        <v>223</v>
      </c>
      <c r="H37" s="101" t="s">
        <v>23</v>
      </c>
      <c r="I37" s="100">
        <v>-0.33</v>
      </c>
      <c r="J37" s="102">
        <f t="shared" si="8"/>
        <v>10</v>
      </c>
      <c r="K37" s="102">
        <f t="shared" si="9"/>
        <v>10</v>
      </c>
      <c r="L37" s="103">
        <v>155</v>
      </c>
      <c r="M37" s="108" t="s">
        <v>109</v>
      </c>
      <c r="N37" s="108">
        <v>0</v>
      </c>
      <c r="O37" s="108">
        <v>0</v>
      </c>
      <c r="P37" s="108"/>
      <c r="R37" s="100"/>
      <c r="S37" s="100"/>
      <c r="T37" s="120"/>
      <c r="U37" s="108"/>
      <c r="V37" s="108"/>
      <c r="W37" s="108"/>
      <c r="X37" s="108"/>
      <c r="Y37" s="100"/>
      <c r="Z37" s="102"/>
      <c r="AA37" s="100"/>
      <c r="AB37" s="100"/>
      <c r="AC37" s="108"/>
      <c r="AD37" s="108"/>
      <c r="AE37" s="108"/>
      <c r="AF37" s="108"/>
      <c r="AG37" s="100"/>
      <c r="AH37" s="100"/>
      <c r="AI37" s="100"/>
      <c r="AJ37" s="100"/>
      <c r="AK37" s="108"/>
      <c r="AL37" s="108"/>
      <c r="AM37" s="108"/>
      <c r="AN37" s="108"/>
      <c r="AO37" s="100"/>
      <c r="AP37" s="100"/>
      <c r="AQ37" s="100"/>
      <c r="AR37" s="100"/>
      <c r="AS37" s="108"/>
      <c r="AT37" s="108"/>
      <c r="AU37" s="108"/>
      <c r="AV37" s="108"/>
      <c r="AW37" s="100"/>
      <c r="AX37" s="100"/>
      <c r="AY37" s="100"/>
      <c r="AZ37" s="100"/>
      <c r="BA37" s="108"/>
      <c r="BB37" s="108"/>
      <c r="BC37" s="108"/>
      <c r="BD37" s="108"/>
      <c r="BE37" s="100"/>
      <c r="BF37" s="100"/>
      <c r="BG37" s="100"/>
      <c r="BH37" s="100"/>
    </row>
    <row r="38" spans="1:92" x14ac:dyDescent="0.25">
      <c r="A38" s="1">
        <v>36</v>
      </c>
      <c r="B38" s="11" t="b">
        <v>1</v>
      </c>
      <c r="C38" s="11" t="b">
        <v>1</v>
      </c>
      <c r="D38" s="1" t="s">
        <v>263</v>
      </c>
      <c r="E38" s="5">
        <f t="shared" si="3"/>
        <v>1.0651315789473685</v>
      </c>
      <c r="F38" s="24">
        <v>1</v>
      </c>
      <c r="G38" s="21" t="s">
        <v>223</v>
      </c>
      <c r="H38" s="20" t="s">
        <v>23</v>
      </c>
      <c r="I38" s="24">
        <v>0.33</v>
      </c>
      <c r="J38" s="21">
        <f t="shared" si="8"/>
        <v>10</v>
      </c>
      <c r="K38" s="21">
        <f t="shared" si="9"/>
        <v>10</v>
      </c>
      <c r="L38" s="22">
        <v>155</v>
      </c>
      <c r="M38" s="107" t="s">
        <v>109</v>
      </c>
      <c r="N38" s="107">
        <v>0</v>
      </c>
      <c r="O38" s="107">
        <v>0.5</v>
      </c>
      <c r="P38" s="107"/>
      <c r="Q38" s="5"/>
      <c r="R38" s="94"/>
      <c r="S38" s="94"/>
      <c r="T38" s="94"/>
      <c r="U38" s="107"/>
      <c r="V38" s="107"/>
      <c r="W38" s="107"/>
      <c r="X38" s="107"/>
      <c r="Y38" s="5"/>
      <c r="Z38" s="21"/>
      <c r="AA38" s="5"/>
      <c r="AB38" s="5"/>
      <c r="AC38" s="107"/>
      <c r="AD38" s="107"/>
      <c r="AE38" s="107"/>
      <c r="AF38" s="107"/>
      <c r="AG38" s="5"/>
      <c r="AH38" s="5"/>
      <c r="AI38" s="5"/>
      <c r="AJ38" s="5"/>
      <c r="AK38" s="107"/>
      <c r="AL38" s="107"/>
      <c r="AM38" s="107"/>
      <c r="AN38" s="107"/>
      <c r="AO38" s="5"/>
      <c r="AP38" s="5"/>
      <c r="AQ38" s="5"/>
      <c r="AR38" s="5"/>
      <c r="AS38" s="107"/>
      <c r="AT38" s="107"/>
      <c r="AU38" s="107"/>
      <c r="AV38" s="107"/>
      <c r="AW38" s="5"/>
      <c r="AX38" s="5"/>
      <c r="AY38" s="5"/>
      <c r="AZ38" s="5"/>
      <c r="BA38" s="107"/>
      <c r="BB38" s="107"/>
      <c r="BC38" s="107"/>
      <c r="BD38" s="107"/>
      <c r="BE38" s="5"/>
      <c r="BF38" s="5"/>
      <c r="BG38" s="5"/>
      <c r="BH38" s="5"/>
    </row>
    <row r="39" spans="1:92" s="98" customFormat="1" x14ac:dyDescent="0.25">
      <c r="A39" s="1">
        <v>37</v>
      </c>
      <c r="B39" s="99" t="b">
        <f>inp_Un&gt;=110</f>
        <v>1</v>
      </c>
      <c r="C39" s="99" t="b">
        <f>inp_Un&gt;=110</f>
        <v>1</v>
      </c>
      <c r="D39" s="98" t="s">
        <v>264</v>
      </c>
      <c r="E39" s="100">
        <f t="shared" si="3"/>
        <v>1.0651315789473685</v>
      </c>
      <c r="F39" s="100">
        <v>0.5</v>
      </c>
      <c r="G39" s="102" t="s">
        <v>223</v>
      </c>
      <c r="H39" s="101" t="s">
        <v>23</v>
      </c>
      <c r="I39" s="100">
        <v>0.33</v>
      </c>
      <c r="J39" s="102">
        <f t="shared" si="8"/>
        <v>10</v>
      </c>
      <c r="K39" s="102">
        <f t="shared" si="9"/>
        <v>10</v>
      </c>
      <c r="L39" s="103">
        <v>155</v>
      </c>
      <c r="M39" s="108" t="s">
        <v>109</v>
      </c>
      <c r="N39" s="108">
        <v>0</v>
      </c>
      <c r="O39" s="108">
        <v>0</v>
      </c>
      <c r="P39" s="108"/>
      <c r="R39" s="100"/>
      <c r="S39" s="100"/>
      <c r="T39" s="100"/>
      <c r="U39" s="114"/>
      <c r="V39" s="108"/>
      <c r="W39" s="108"/>
      <c r="X39" s="108"/>
      <c r="Z39" s="100"/>
      <c r="AA39" s="100"/>
      <c r="AB39" s="100"/>
      <c r="AC39" s="114"/>
      <c r="AD39" s="108"/>
      <c r="AE39" s="108"/>
      <c r="AF39" s="108"/>
      <c r="AH39" s="100"/>
      <c r="AI39" s="100"/>
      <c r="AJ39" s="100"/>
      <c r="AK39" s="114"/>
      <c r="AL39" s="108"/>
      <c r="AM39" s="108"/>
      <c r="AN39" s="108"/>
      <c r="AO39" s="100"/>
      <c r="AP39" s="100"/>
      <c r="AQ39" s="100"/>
      <c r="AR39" s="100"/>
      <c r="AS39" s="108"/>
      <c r="AT39" s="108"/>
      <c r="AU39" s="108"/>
      <c r="AV39" s="108"/>
      <c r="AW39" s="100"/>
      <c r="AX39" s="100"/>
      <c r="AY39" s="100"/>
      <c r="AZ39" s="100"/>
      <c r="BA39" s="108"/>
      <c r="BB39" s="108"/>
      <c r="BC39" s="108"/>
      <c r="BD39" s="108"/>
      <c r="BE39" s="100"/>
      <c r="BF39" s="100"/>
      <c r="BG39" s="100"/>
      <c r="BH39" s="100"/>
    </row>
    <row r="40" spans="1:92" x14ac:dyDescent="0.25">
      <c r="A40" s="1">
        <v>38</v>
      </c>
      <c r="B40" s="11" t="b">
        <v>1</v>
      </c>
      <c r="C40" s="119" t="b">
        <v>1</v>
      </c>
      <c r="D40" s="1" t="s">
        <v>265</v>
      </c>
      <c r="E40" s="5">
        <f t="shared" si="3"/>
        <v>1.0651315789473685</v>
      </c>
      <c r="F40" s="24">
        <v>1</v>
      </c>
      <c r="G40" s="21" t="s">
        <v>223</v>
      </c>
      <c r="H40" s="20" t="s">
        <v>113</v>
      </c>
      <c r="I40" s="5">
        <f>inp_Uc/inp_Un</f>
        <v>1.0651315789473685</v>
      </c>
      <c r="J40" s="21">
        <f>inp_scr_min</f>
        <v>10</v>
      </c>
      <c r="K40" s="21">
        <f>inp_xr_min</f>
        <v>10</v>
      </c>
      <c r="L40" s="6">
        <v>85</v>
      </c>
      <c r="M40" s="107" t="s">
        <v>112</v>
      </c>
      <c r="N40" s="107">
        <v>0</v>
      </c>
      <c r="O40" s="107">
        <f>$I40*inp_Vdroop/100*0.5</f>
        <v>1.0651315789473686E-2</v>
      </c>
      <c r="P40" s="107"/>
      <c r="Q40" s="5" t="s">
        <v>112</v>
      </c>
      <c r="R40" s="5">
        <v>7</v>
      </c>
      <c r="S40" s="5">
        <v>0</v>
      </c>
      <c r="T40" s="5"/>
      <c r="U40" s="107" t="s">
        <v>112</v>
      </c>
      <c r="V40" s="107">
        <v>14</v>
      </c>
      <c r="W40" s="107">
        <f>-$I40*inp_Vdroop/100*0.5</f>
        <v>-1.0651315789473686E-2</v>
      </c>
      <c r="X40" s="107"/>
      <c r="Y40" s="5" t="s">
        <v>112</v>
      </c>
      <c r="Z40" s="5">
        <v>21</v>
      </c>
      <c r="AA40" s="5">
        <v>0</v>
      </c>
      <c r="AB40" s="5"/>
      <c r="AC40" s="107" t="s">
        <v>112</v>
      </c>
      <c r="AD40" s="107">
        <v>28</v>
      </c>
      <c r="AE40" s="107">
        <f>$I40*inp_Vdroop/100</f>
        <v>2.1302631578947372E-2</v>
      </c>
      <c r="AF40" s="107"/>
      <c r="AG40" s="5" t="s">
        <v>112</v>
      </c>
      <c r="AH40" s="7">
        <v>35</v>
      </c>
      <c r="AI40" s="5">
        <v>0</v>
      </c>
      <c r="AJ40" s="5"/>
      <c r="AK40" s="115" t="s">
        <v>112</v>
      </c>
      <c r="AL40" s="107">
        <v>42</v>
      </c>
      <c r="AM40" s="107">
        <f>-$I40*inp_Vdroop/100</f>
        <v>-2.1302631578947372E-2</v>
      </c>
      <c r="AN40" s="107"/>
      <c r="AO40" s="5" t="s">
        <v>112</v>
      </c>
      <c r="AP40" s="5">
        <v>49</v>
      </c>
      <c r="AQ40" s="5">
        <v>0</v>
      </c>
      <c r="AR40" s="5"/>
      <c r="AS40" s="107" t="s">
        <v>112</v>
      </c>
      <c r="AT40" s="107">
        <v>56</v>
      </c>
      <c r="AU40" s="107">
        <f>sel_uq_q0.33ue_umax-$E40</f>
        <v>5.2868421052631565E-2</v>
      </c>
      <c r="AV40" s="107"/>
      <c r="AW40" s="5" t="s">
        <v>112</v>
      </c>
      <c r="AX40" s="7">
        <v>63</v>
      </c>
      <c r="AY40" s="5">
        <v>0</v>
      </c>
      <c r="AZ40" s="5"/>
      <c r="BA40" s="115" t="s">
        <v>112</v>
      </c>
      <c r="BB40" s="107">
        <v>70</v>
      </c>
      <c r="BC40" s="107">
        <f>(sel_uq_q0.33_umin-$E40)</f>
        <v>-9.7131578947368569E-2</v>
      </c>
      <c r="BD40" s="107"/>
      <c r="BE40" s="5" t="s">
        <v>112</v>
      </c>
      <c r="BF40" s="5">
        <v>77</v>
      </c>
      <c r="BG40" s="5">
        <v>0</v>
      </c>
      <c r="BH40" s="5"/>
    </row>
    <row r="41" spans="1:92" s="98" customFormat="1" x14ac:dyDescent="0.25">
      <c r="A41" s="1">
        <v>39</v>
      </c>
      <c r="B41" s="99" t="b">
        <f>inp_Un&gt;=110</f>
        <v>1</v>
      </c>
      <c r="C41" s="99" t="b">
        <f>inp_Un&gt;=110</f>
        <v>1</v>
      </c>
      <c r="D41" s="98" t="s">
        <v>266</v>
      </c>
      <c r="E41" s="100">
        <f t="shared" si="3"/>
        <v>1.0651315789473685</v>
      </c>
      <c r="F41" s="100">
        <v>1</v>
      </c>
      <c r="G41" s="102" t="s">
        <v>223</v>
      </c>
      <c r="H41" s="101" t="s">
        <v>113</v>
      </c>
      <c r="I41" s="100">
        <f>inp_Uc/inp_Un</f>
        <v>1.0651315789473685</v>
      </c>
      <c r="J41" s="102">
        <f>inp_scr_tun</f>
        <v>20</v>
      </c>
      <c r="K41" s="102">
        <f>inp_xr_tun</f>
        <v>15</v>
      </c>
      <c r="L41" s="121">
        <v>85</v>
      </c>
      <c r="M41" s="108" t="s">
        <v>112</v>
      </c>
      <c r="N41" s="108">
        <v>0</v>
      </c>
      <c r="O41" s="108">
        <f>$I41*inp_Vdroop/100*0.5</f>
        <v>1.0651315789473686E-2</v>
      </c>
      <c r="P41" s="108"/>
      <c r="Q41" s="100" t="s">
        <v>112</v>
      </c>
      <c r="R41" s="100">
        <v>7</v>
      </c>
      <c r="S41" s="100">
        <v>0</v>
      </c>
      <c r="T41" s="100"/>
      <c r="U41" s="108" t="s">
        <v>112</v>
      </c>
      <c r="V41" s="108">
        <v>14</v>
      </c>
      <c r="W41" s="108">
        <f>-$I41*inp_Vdroop/100*0.5</f>
        <v>-1.0651315789473686E-2</v>
      </c>
      <c r="X41" s="108"/>
      <c r="Y41" s="100" t="s">
        <v>112</v>
      </c>
      <c r="Z41" s="100">
        <v>21</v>
      </c>
      <c r="AA41" s="100">
        <v>0</v>
      </c>
      <c r="AB41" s="100"/>
      <c r="AC41" s="108" t="s">
        <v>112</v>
      </c>
      <c r="AD41" s="108">
        <v>28</v>
      </c>
      <c r="AE41" s="108">
        <f>$I41*inp_Vdroop/100</f>
        <v>2.1302631578947372E-2</v>
      </c>
      <c r="AF41" s="108"/>
      <c r="AG41" s="100" t="s">
        <v>112</v>
      </c>
      <c r="AH41" s="122">
        <v>35</v>
      </c>
      <c r="AI41" s="100">
        <v>0</v>
      </c>
      <c r="AJ41" s="100"/>
      <c r="AK41" s="114" t="s">
        <v>112</v>
      </c>
      <c r="AL41" s="108">
        <v>42</v>
      </c>
      <c r="AM41" s="107">
        <f>-$I41*inp_Vdroop/100</f>
        <v>-2.1302631578947372E-2</v>
      </c>
      <c r="AN41" s="108"/>
      <c r="AO41" s="100" t="s">
        <v>112</v>
      </c>
      <c r="AP41" s="100">
        <v>49</v>
      </c>
      <c r="AQ41" s="100">
        <v>0</v>
      </c>
      <c r="AR41" s="100"/>
      <c r="AS41" s="108" t="s">
        <v>112</v>
      </c>
      <c r="AT41" s="108">
        <v>56</v>
      </c>
      <c r="AU41" s="108">
        <f>sel_uq_q0.33ue_umax-$E41</f>
        <v>5.2868421052631565E-2</v>
      </c>
      <c r="AV41" s="108"/>
      <c r="AW41" s="100" t="s">
        <v>112</v>
      </c>
      <c r="AX41" s="122">
        <v>63</v>
      </c>
      <c r="AY41" s="100">
        <v>0</v>
      </c>
      <c r="AZ41" s="100"/>
      <c r="BA41" s="114" t="s">
        <v>112</v>
      </c>
      <c r="BB41" s="108">
        <v>70</v>
      </c>
      <c r="BC41" s="108">
        <f>(sel_uq_q0.33_umin-$E41)</f>
        <v>-9.7131578947368569E-2</v>
      </c>
      <c r="BD41" s="108"/>
      <c r="BE41" s="100" t="s">
        <v>112</v>
      </c>
      <c r="BF41" s="100">
        <v>77</v>
      </c>
      <c r="BG41" s="100">
        <v>0</v>
      </c>
      <c r="BH41" s="100"/>
    </row>
    <row r="42" spans="1:92" x14ac:dyDescent="0.25">
      <c r="A42" s="1">
        <v>40</v>
      </c>
      <c r="B42" s="11" t="b">
        <v>1</v>
      </c>
      <c r="C42" s="119" t="b">
        <v>1</v>
      </c>
      <c r="D42" s="1" t="s">
        <v>267</v>
      </c>
      <c r="E42" s="5">
        <f t="shared" si="3"/>
        <v>1.0651315789473685</v>
      </c>
      <c r="F42" s="24">
        <v>1</v>
      </c>
      <c r="G42" s="21" t="s">
        <v>223</v>
      </c>
      <c r="H42" s="20" t="s">
        <v>113</v>
      </c>
      <c r="I42" s="5">
        <f>inp_Uc/inp_Un</f>
        <v>1.0651315789473685</v>
      </c>
      <c r="J42" s="21">
        <f>inp_scr_max</f>
        <v>30</v>
      </c>
      <c r="K42" s="21">
        <f>inp_xr_max</f>
        <v>20</v>
      </c>
      <c r="L42" s="6">
        <v>85</v>
      </c>
      <c r="M42" s="107" t="s">
        <v>112</v>
      </c>
      <c r="N42" s="107">
        <v>0</v>
      </c>
      <c r="O42" s="107">
        <f>$I42*inp_Vdroop/100*0.5</f>
        <v>1.0651315789473686E-2</v>
      </c>
      <c r="P42" s="107"/>
      <c r="Q42" s="5" t="s">
        <v>112</v>
      </c>
      <c r="R42" s="5">
        <v>7</v>
      </c>
      <c r="S42" s="5">
        <v>0</v>
      </c>
      <c r="T42" s="5"/>
      <c r="U42" s="107" t="s">
        <v>112</v>
      </c>
      <c r="V42" s="107">
        <v>14</v>
      </c>
      <c r="W42" s="107">
        <f>-$I42*inp_Vdroop/100*0.5</f>
        <v>-1.0651315789473686E-2</v>
      </c>
      <c r="X42" s="107"/>
      <c r="Y42" s="5" t="s">
        <v>112</v>
      </c>
      <c r="Z42" s="5">
        <v>21</v>
      </c>
      <c r="AA42" s="5">
        <v>0</v>
      </c>
      <c r="AB42" s="5"/>
      <c r="AC42" s="107" t="s">
        <v>112</v>
      </c>
      <c r="AD42" s="107">
        <v>28</v>
      </c>
      <c r="AE42" s="107">
        <f>$I42*inp_Vdroop/100</f>
        <v>2.1302631578947372E-2</v>
      </c>
      <c r="AF42" s="107"/>
      <c r="AG42" s="5" t="s">
        <v>112</v>
      </c>
      <c r="AH42" s="7">
        <v>35</v>
      </c>
      <c r="AI42" s="5">
        <v>0</v>
      </c>
      <c r="AJ42" s="5"/>
      <c r="AK42" s="115" t="s">
        <v>112</v>
      </c>
      <c r="AL42" s="107">
        <v>42</v>
      </c>
      <c r="AM42" s="107">
        <f>-$I42*inp_Vdroop/100</f>
        <v>-2.1302631578947372E-2</v>
      </c>
      <c r="AN42" s="107"/>
      <c r="AO42" s="5" t="s">
        <v>112</v>
      </c>
      <c r="AP42" s="5">
        <v>49</v>
      </c>
      <c r="AQ42" s="5">
        <v>0</v>
      </c>
      <c r="AR42" s="5"/>
      <c r="AS42" s="107" t="s">
        <v>112</v>
      </c>
      <c r="AT42" s="107">
        <v>56</v>
      </c>
      <c r="AU42" s="107">
        <f>sel_uq_q0.33ue_umax-$E42</f>
        <v>5.2868421052631565E-2</v>
      </c>
      <c r="AV42" s="107"/>
      <c r="AW42" s="5" t="s">
        <v>112</v>
      </c>
      <c r="AX42" s="7">
        <v>63</v>
      </c>
      <c r="AY42" s="5">
        <v>0</v>
      </c>
      <c r="AZ42" s="5"/>
      <c r="BA42" s="115" t="s">
        <v>112</v>
      </c>
      <c r="BB42" s="107">
        <v>70</v>
      </c>
      <c r="BC42" s="107">
        <f>(sel_uq_q0.33_umin-$E42)</f>
        <v>-9.7131578947368569E-2</v>
      </c>
      <c r="BD42" s="107"/>
      <c r="BE42" s="5" t="s">
        <v>112</v>
      </c>
      <c r="BF42" s="5">
        <v>77</v>
      </c>
      <c r="BG42" s="5">
        <v>0</v>
      </c>
      <c r="BH42" s="5"/>
    </row>
    <row r="43" spans="1:92" x14ac:dyDescent="0.25">
      <c r="A43" s="1">
        <v>41</v>
      </c>
      <c r="B43" s="99" t="b">
        <f t="shared" ref="B43:C46" si="10">inp_Un&gt;=110</f>
        <v>1</v>
      </c>
      <c r="C43" s="99" t="b">
        <f t="shared" si="10"/>
        <v>1</v>
      </c>
      <c r="D43" s="98" t="s">
        <v>507</v>
      </c>
      <c r="E43" s="100">
        <v>1</v>
      </c>
      <c r="F43" s="100">
        <v>1</v>
      </c>
      <c r="G43" s="102" t="s">
        <v>223</v>
      </c>
      <c r="H43" s="101" t="s">
        <v>113</v>
      </c>
      <c r="I43" s="100">
        <f>$E43</f>
        <v>1</v>
      </c>
      <c r="J43" s="102">
        <v>-1</v>
      </c>
      <c r="K43" s="102">
        <v>0</v>
      </c>
      <c r="L43" s="121">
        <v>50</v>
      </c>
      <c r="M43" s="108" t="s">
        <v>111</v>
      </c>
      <c r="N43" s="108">
        <v>2</v>
      </c>
      <c r="O43" s="108">
        <f>sel_lvfrt_start</f>
        <v>0.85</v>
      </c>
      <c r="P43" s="108"/>
      <c r="Q43" s="100" t="s">
        <v>111</v>
      </c>
      <c r="R43" s="100">
        <v>7</v>
      </c>
      <c r="S43" s="100">
        <f>sel_lvfrt_start-0.01</f>
        <v>0.84</v>
      </c>
      <c r="T43" s="100"/>
      <c r="U43" s="108" t="s">
        <v>111</v>
      </c>
      <c r="V43" s="108">
        <v>12</v>
      </c>
      <c r="W43" s="108">
        <f>$E43</f>
        <v>1</v>
      </c>
      <c r="X43" s="108">
        <v>0</v>
      </c>
      <c r="Y43" s="100" t="s">
        <v>111</v>
      </c>
      <c r="Z43" s="100">
        <v>20</v>
      </c>
      <c r="AA43" s="100">
        <f>sel_lvfrt_start-0.01</f>
        <v>0.84</v>
      </c>
      <c r="AB43" s="100"/>
      <c r="AC43" s="108" t="s">
        <v>111</v>
      </c>
      <c r="AD43" s="108">
        <v>25</v>
      </c>
      <c r="AE43" s="108">
        <f>$E43</f>
        <v>1</v>
      </c>
      <c r="AF43" s="108"/>
      <c r="AG43" s="100" t="s">
        <v>111</v>
      </c>
      <c r="AH43" s="122">
        <v>32</v>
      </c>
      <c r="AI43" s="100">
        <f>sel_lvfrt_start+0.02</f>
        <v>0.87</v>
      </c>
      <c r="AJ43" s="100"/>
      <c r="AK43" s="114" t="s">
        <v>111</v>
      </c>
      <c r="AL43" s="108">
        <v>37</v>
      </c>
      <c r="AM43" s="108">
        <f>sel_lvfrt_start-0.02</f>
        <v>0.83</v>
      </c>
      <c r="AN43" s="108"/>
      <c r="AO43" s="100" t="s">
        <v>111</v>
      </c>
      <c r="AP43" s="122">
        <v>42</v>
      </c>
      <c r="AQ43" s="100">
        <f>$E43</f>
        <v>1</v>
      </c>
      <c r="AR43" s="100"/>
      <c r="AS43" s="107"/>
      <c r="AT43" s="107"/>
      <c r="AU43" s="107"/>
      <c r="AV43" s="107"/>
      <c r="AW43" s="5"/>
      <c r="AX43" s="5"/>
      <c r="AY43" s="5"/>
      <c r="AZ43" s="5"/>
      <c r="BA43" s="107"/>
      <c r="BB43" s="107"/>
      <c r="BC43" s="107"/>
      <c r="BD43" s="107"/>
      <c r="BE43" s="5"/>
      <c r="BF43" s="5"/>
      <c r="BG43" s="5"/>
      <c r="BH43" s="5"/>
    </row>
    <row r="44" spans="1:92" x14ac:dyDescent="0.25">
      <c r="A44" s="1">
        <v>42</v>
      </c>
      <c r="B44" s="99" t="b">
        <f t="shared" si="10"/>
        <v>1</v>
      </c>
      <c r="C44" s="99" t="b">
        <f t="shared" si="10"/>
        <v>1</v>
      </c>
      <c r="D44" s="98" t="s">
        <v>508</v>
      </c>
      <c r="E44" s="100">
        <v>1</v>
      </c>
      <c r="F44" s="100">
        <v>1</v>
      </c>
      <c r="G44" s="102" t="s">
        <v>223</v>
      </c>
      <c r="H44" s="101" t="s">
        <v>113</v>
      </c>
      <c r="I44" s="100">
        <f>$E44</f>
        <v>1</v>
      </c>
      <c r="J44" s="102">
        <v>-1</v>
      </c>
      <c r="K44" s="102">
        <v>0</v>
      </c>
      <c r="L44" s="121">
        <v>20</v>
      </c>
      <c r="M44" s="108" t="s">
        <v>111</v>
      </c>
      <c r="N44" s="108">
        <v>2</v>
      </c>
      <c r="O44" s="108"/>
      <c r="P44" s="108">
        <v>-0.05</v>
      </c>
      <c r="Q44" s="100" t="s">
        <v>111</v>
      </c>
      <c r="R44" s="100">
        <f>N44+(S44-$E44)/P44</f>
        <v>5.4</v>
      </c>
      <c r="S44" s="100">
        <f>sel_lvfrt_start-0.02</f>
        <v>0.83</v>
      </c>
      <c r="T44" s="100">
        <v>0</v>
      </c>
      <c r="U44" s="108" t="s">
        <v>111</v>
      </c>
      <c r="V44" s="108">
        <f>R44+5</f>
        <v>10.4</v>
      </c>
      <c r="W44" s="108"/>
      <c r="X44" s="108">
        <v>0.1</v>
      </c>
      <c r="Y44" s="100" t="s">
        <v>111</v>
      </c>
      <c r="Z44" s="100">
        <f>(AA44-S44)/X44+V44</f>
        <v>12.100000000000001</v>
      </c>
      <c r="AA44" s="100">
        <v>1</v>
      </c>
      <c r="AB44" s="100">
        <v>0</v>
      </c>
      <c r="AC44" s="108"/>
      <c r="AD44" s="108"/>
      <c r="AE44" s="108"/>
      <c r="AF44" s="108"/>
      <c r="AG44" s="100"/>
      <c r="AH44" s="122"/>
      <c r="AI44" s="100"/>
      <c r="AJ44" s="100"/>
      <c r="AK44" s="114"/>
      <c r="AL44" s="108"/>
      <c r="AM44" s="108"/>
      <c r="AN44" s="108"/>
      <c r="AO44" s="100"/>
      <c r="AP44" s="122"/>
      <c r="AQ44" s="100"/>
      <c r="AR44" s="100"/>
      <c r="AS44" s="107"/>
      <c r="AT44" s="107"/>
      <c r="AU44" s="107"/>
      <c r="AV44" s="107"/>
      <c r="AW44" s="5"/>
      <c r="AX44" s="5"/>
      <c r="AY44" s="5"/>
      <c r="AZ44" s="5"/>
      <c r="BA44" s="107"/>
      <c r="BB44" s="107"/>
      <c r="BC44" s="107"/>
      <c r="BD44" s="107"/>
      <c r="BE44" s="5"/>
      <c r="BF44" s="5"/>
      <c r="BG44" s="5"/>
      <c r="BH44" s="5"/>
    </row>
    <row r="45" spans="1:92" s="98" customFormat="1" x14ac:dyDescent="0.25">
      <c r="A45" s="1">
        <v>43</v>
      </c>
      <c r="B45" s="99" t="b">
        <f t="shared" si="10"/>
        <v>1</v>
      </c>
      <c r="C45" s="99" t="b">
        <f t="shared" si="10"/>
        <v>1</v>
      </c>
      <c r="D45" s="98" t="s">
        <v>268</v>
      </c>
      <c r="E45" s="100">
        <f>inp_Uc/inp_Un</f>
        <v>1.0651315789473685</v>
      </c>
      <c r="F45" s="100">
        <v>1</v>
      </c>
      <c r="G45" s="102" t="s">
        <v>223</v>
      </c>
      <c r="H45" s="101" t="s">
        <v>23</v>
      </c>
      <c r="I45" s="100">
        <v>0</v>
      </c>
      <c r="J45" s="102">
        <v>-1</v>
      </c>
      <c r="K45" s="102">
        <v>0</v>
      </c>
      <c r="L45" s="103">
        <v>50</v>
      </c>
      <c r="M45" s="108" t="s">
        <v>111</v>
      </c>
      <c r="N45" s="108">
        <v>0</v>
      </c>
      <c r="O45" s="108">
        <f>sel_uq_q0.33ue_umax</f>
        <v>1.1180000000000001</v>
      </c>
      <c r="P45" s="108"/>
      <c r="Q45" s="100"/>
      <c r="R45" s="100"/>
      <c r="S45" s="100"/>
      <c r="T45" s="120"/>
      <c r="U45" s="108"/>
      <c r="V45" s="108"/>
      <c r="W45" s="108"/>
      <c r="X45" s="108"/>
      <c r="Y45" s="100"/>
      <c r="Z45" s="102"/>
      <c r="AA45" s="100"/>
      <c r="AB45" s="100"/>
      <c r="AC45" s="108"/>
      <c r="AD45" s="108"/>
      <c r="AE45" s="108"/>
      <c r="AF45" s="108"/>
      <c r="AG45" s="100"/>
      <c r="AH45" s="100"/>
      <c r="AI45" s="100"/>
      <c r="AJ45" s="100"/>
      <c r="AK45" s="108"/>
      <c r="AL45" s="108"/>
      <c r="AM45" s="108"/>
      <c r="AN45" s="108"/>
      <c r="AO45" s="100"/>
      <c r="AP45" s="100"/>
      <c r="AQ45" s="100"/>
      <c r="AR45" s="100"/>
      <c r="AS45" s="108"/>
      <c r="AT45" s="108"/>
      <c r="AU45" s="108"/>
      <c r="AV45" s="108"/>
      <c r="AW45" s="100"/>
      <c r="AX45" s="100"/>
      <c r="AY45" s="100"/>
      <c r="AZ45" s="100"/>
      <c r="BA45" s="108"/>
      <c r="BB45" s="108"/>
      <c r="BC45" s="108"/>
      <c r="BD45" s="108"/>
      <c r="BE45" s="100"/>
      <c r="BF45" s="100"/>
      <c r="BG45" s="100"/>
      <c r="BH45" s="100"/>
    </row>
    <row r="46" spans="1:92" x14ac:dyDescent="0.25">
      <c r="A46" s="1">
        <v>44</v>
      </c>
      <c r="B46" s="99" t="b">
        <f t="shared" si="10"/>
        <v>1</v>
      </c>
      <c r="C46" s="99" t="b">
        <f t="shared" si="10"/>
        <v>1</v>
      </c>
      <c r="D46" s="98" t="s">
        <v>269</v>
      </c>
      <c r="E46" s="100">
        <f>sel_uq_q0.33ue_umax</f>
        <v>1.1180000000000001</v>
      </c>
      <c r="F46" s="100">
        <v>1</v>
      </c>
      <c r="G46" s="102" t="s">
        <v>223</v>
      </c>
      <c r="H46" s="101" t="s">
        <v>23</v>
      </c>
      <c r="I46" s="100">
        <v>0</v>
      </c>
      <c r="J46" s="102">
        <v>-1</v>
      </c>
      <c r="K46" s="102">
        <v>0</v>
      </c>
      <c r="L46" s="103">
        <v>50</v>
      </c>
      <c r="M46" s="108" t="s">
        <v>111</v>
      </c>
      <c r="N46" s="108">
        <v>0</v>
      </c>
      <c r="O46" s="108">
        <f>sel_60min_umax</f>
        <v>1.1499999999999999</v>
      </c>
      <c r="P46" s="108"/>
      <c r="Q46" s="100"/>
      <c r="R46" s="100"/>
      <c r="S46" s="100"/>
      <c r="T46" s="94"/>
      <c r="U46" s="107"/>
      <c r="V46" s="107"/>
      <c r="W46" s="107"/>
      <c r="X46" s="107"/>
      <c r="Y46" s="5"/>
      <c r="Z46" s="21"/>
      <c r="AA46" s="5"/>
      <c r="AB46" s="5"/>
      <c r="AC46" s="107"/>
      <c r="AD46" s="107"/>
      <c r="AE46" s="107"/>
      <c r="AF46" s="107"/>
      <c r="AG46" s="5"/>
      <c r="AH46" s="5"/>
      <c r="AI46" s="5"/>
      <c r="AJ46" s="5"/>
      <c r="AK46" s="107"/>
      <c r="AL46" s="107"/>
      <c r="AM46" s="107"/>
      <c r="AN46" s="107"/>
      <c r="AO46" s="5"/>
      <c r="AP46" s="5"/>
      <c r="AQ46" s="5"/>
      <c r="AR46" s="5"/>
      <c r="AS46" s="107"/>
      <c r="AT46" s="107"/>
      <c r="AU46" s="107"/>
      <c r="AV46" s="107"/>
      <c r="AW46" s="5"/>
      <c r="AX46" s="5"/>
      <c r="AY46" s="5"/>
      <c r="AZ46" s="5"/>
      <c r="BA46" s="107"/>
      <c r="BB46" s="107"/>
      <c r="BC46" s="107"/>
      <c r="BD46" s="107"/>
      <c r="BE46" s="5"/>
      <c r="BF46" s="5"/>
      <c r="BG46" s="5"/>
      <c r="BH46" s="5"/>
    </row>
    <row r="47" spans="1:92" s="98" customFormat="1" x14ac:dyDescent="0.25">
      <c r="A47" s="1">
        <v>45</v>
      </c>
      <c r="B47" s="99" t="b">
        <f t="shared" ref="B47:C54" si="11">inp_Un&gt;=110</f>
        <v>1</v>
      </c>
      <c r="C47" s="99" t="b">
        <f t="shared" si="11"/>
        <v>1</v>
      </c>
      <c r="D47" s="98" t="s">
        <v>270</v>
      </c>
      <c r="E47" s="100">
        <f>inp_Uc/inp_Un</f>
        <v>1.0651315789473685</v>
      </c>
      <c r="F47" s="100">
        <v>1</v>
      </c>
      <c r="G47" s="102" t="s">
        <v>223</v>
      </c>
      <c r="H47" s="101" t="s">
        <v>23</v>
      </c>
      <c r="I47" s="100">
        <v>0</v>
      </c>
      <c r="J47" s="102">
        <v>-1</v>
      </c>
      <c r="K47" s="102">
        <v>0</v>
      </c>
      <c r="L47" s="103">
        <v>50</v>
      </c>
      <c r="M47" s="108" t="s">
        <v>111</v>
      </c>
      <c r="N47" s="108">
        <v>0</v>
      </c>
      <c r="O47" s="108">
        <f>sel_uq_q0.33_umin</f>
        <v>0.96799999999999997</v>
      </c>
      <c r="P47" s="108"/>
      <c r="Q47" s="100"/>
      <c r="R47" s="100"/>
      <c r="S47" s="100"/>
      <c r="T47" s="120"/>
      <c r="U47" s="108"/>
      <c r="V47" s="108"/>
      <c r="W47" s="108"/>
      <c r="X47" s="108"/>
      <c r="Y47" s="100"/>
      <c r="Z47" s="102"/>
      <c r="AA47" s="100"/>
      <c r="AB47" s="100"/>
      <c r="AC47" s="108"/>
      <c r="AD47" s="108"/>
      <c r="AE47" s="108"/>
      <c r="AF47" s="108"/>
      <c r="AG47" s="100"/>
      <c r="AH47" s="100"/>
      <c r="AI47" s="100"/>
      <c r="AJ47" s="100"/>
      <c r="AK47" s="108"/>
      <c r="AL47" s="108"/>
      <c r="AM47" s="108"/>
      <c r="AN47" s="108"/>
      <c r="AO47" s="100"/>
      <c r="AP47" s="100"/>
      <c r="AQ47" s="100"/>
      <c r="AR47" s="100"/>
      <c r="AS47" s="108"/>
      <c r="AT47" s="108"/>
      <c r="AU47" s="108"/>
      <c r="AV47" s="108"/>
      <c r="AW47" s="100"/>
      <c r="AX47" s="100"/>
      <c r="AY47" s="100"/>
      <c r="AZ47" s="100"/>
      <c r="BA47" s="108"/>
      <c r="BB47" s="108"/>
      <c r="BC47" s="108"/>
      <c r="BD47" s="108"/>
      <c r="BE47" s="100"/>
      <c r="BF47" s="100"/>
      <c r="BG47" s="100"/>
      <c r="BH47" s="100"/>
    </row>
    <row r="48" spans="1:92" s="98" customFormat="1" x14ac:dyDescent="0.25">
      <c r="A48" s="1">
        <v>46</v>
      </c>
      <c r="B48" s="99" t="b">
        <f t="shared" si="11"/>
        <v>1</v>
      </c>
      <c r="C48" s="99" t="b">
        <f t="shared" si="11"/>
        <v>1</v>
      </c>
      <c r="D48" s="98" t="s">
        <v>271</v>
      </c>
      <c r="E48" s="100">
        <f>sel_uq_q0.33_umin</f>
        <v>0.96799999999999997</v>
      </c>
      <c r="F48" s="100">
        <v>1</v>
      </c>
      <c r="G48" s="102" t="s">
        <v>223</v>
      </c>
      <c r="H48" s="101" t="s">
        <v>23</v>
      </c>
      <c r="I48" s="100">
        <v>0</v>
      </c>
      <c r="J48" s="102">
        <v>-1</v>
      </c>
      <c r="K48" s="102">
        <v>0</v>
      </c>
      <c r="L48" s="103">
        <v>50</v>
      </c>
      <c r="M48" s="108" t="s">
        <v>111</v>
      </c>
      <c r="N48" s="108">
        <v>0</v>
      </c>
      <c r="O48" s="108">
        <f>sel_contop_umin</f>
        <v>0.9</v>
      </c>
      <c r="P48" s="108"/>
      <c r="Q48" s="100"/>
      <c r="R48" s="100"/>
      <c r="S48" s="100"/>
      <c r="T48" s="120"/>
      <c r="U48" s="108"/>
      <c r="V48" s="108"/>
      <c r="W48" s="108"/>
      <c r="X48" s="108"/>
      <c r="Y48" s="100"/>
      <c r="Z48" s="102"/>
      <c r="AA48" s="100"/>
      <c r="AB48" s="100"/>
      <c r="AC48" s="108"/>
      <c r="AD48" s="108"/>
      <c r="AE48" s="108"/>
      <c r="AF48" s="108"/>
      <c r="AG48" s="100"/>
      <c r="AH48" s="100"/>
      <c r="AI48" s="100"/>
      <c r="AJ48" s="100"/>
      <c r="AK48" s="108"/>
      <c r="AL48" s="108"/>
      <c r="AM48" s="108"/>
      <c r="AN48" s="108"/>
      <c r="AO48" s="100"/>
      <c r="AP48" s="100"/>
      <c r="AQ48" s="100"/>
      <c r="AR48" s="100"/>
      <c r="AS48" s="108"/>
      <c r="AT48" s="108"/>
      <c r="AU48" s="108"/>
      <c r="AV48" s="108"/>
      <c r="AW48" s="100"/>
      <c r="AX48" s="100"/>
      <c r="AY48" s="100"/>
      <c r="AZ48" s="100"/>
      <c r="BA48" s="108"/>
      <c r="BB48" s="108"/>
      <c r="BC48" s="108"/>
      <c r="BD48" s="108"/>
      <c r="BE48" s="100"/>
      <c r="BF48" s="100"/>
      <c r="BG48" s="100"/>
      <c r="BH48" s="100"/>
    </row>
    <row r="49" spans="1:61" s="98" customFormat="1" x14ac:dyDescent="0.25">
      <c r="A49" s="1">
        <v>47</v>
      </c>
      <c r="B49" s="99" t="b">
        <f t="shared" si="11"/>
        <v>1</v>
      </c>
      <c r="C49" s="99" t="b">
        <f t="shared" si="11"/>
        <v>1</v>
      </c>
      <c r="D49" s="98" t="s">
        <v>272</v>
      </c>
      <c r="E49" s="100">
        <f>sel_contop_umin</f>
        <v>0.9</v>
      </c>
      <c r="F49" s="100">
        <v>1</v>
      </c>
      <c r="G49" s="102" t="s">
        <v>223</v>
      </c>
      <c r="H49" s="101" t="s">
        <v>23</v>
      </c>
      <c r="I49" s="100">
        <v>0</v>
      </c>
      <c r="J49" s="102">
        <v>-1</v>
      </c>
      <c r="K49" s="102">
        <v>0</v>
      </c>
      <c r="L49" s="103">
        <v>50</v>
      </c>
      <c r="M49" s="108" t="s">
        <v>111</v>
      </c>
      <c r="N49" s="108">
        <v>0</v>
      </c>
      <c r="O49" s="108">
        <f>sel_60min_umin</f>
        <v>0.85</v>
      </c>
      <c r="P49" s="108"/>
      <c r="Q49" s="100"/>
      <c r="R49" s="100"/>
      <c r="S49" s="100"/>
      <c r="T49" s="120"/>
      <c r="U49" s="108"/>
      <c r="V49" s="108"/>
      <c r="W49" s="108"/>
      <c r="X49" s="108"/>
      <c r="Y49" s="100"/>
      <c r="Z49" s="102"/>
      <c r="AA49" s="100"/>
      <c r="AB49" s="100"/>
      <c r="AC49" s="108"/>
      <c r="AD49" s="108"/>
      <c r="AE49" s="108"/>
      <c r="AF49" s="108"/>
      <c r="AG49" s="100"/>
      <c r="AH49" s="100"/>
      <c r="AI49" s="100"/>
      <c r="AJ49" s="100"/>
      <c r="AK49" s="108"/>
      <c r="AL49" s="108"/>
      <c r="AM49" s="108"/>
      <c r="AN49" s="108"/>
      <c r="AO49" s="100"/>
      <c r="AP49" s="100"/>
      <c r="AQ49" s="100"/>
      <c r="AR49" s="100"/>
      <c r="AS49" s="108"/>
      <c r="AT49" s="108"/>
      <c r="AU49" s="108"/>
      <c r="AV49" s="108"/>
      <c r="AW49" s="100"/>
      <c r="AX49" s="100"/>
      <c r="AY49" s="100"/>
      <c r="AZ49" s="100"/>
      <c r="BA49" s="108"/>
      <c r="BB49" s="108"/>
      <c r="BC49" s="108"/>
      <c r="BD49" s="108"/>
      <c r="BE49" s="100"/>
      <c r="BF49" s="100"/>
      <c r="BG49" s="100"/>
      <c r="BH49" s="100"/>
    </row>
    <row r="50" spans="1:61" s="98" customFormat="1" x14ac:dyDescent="0.25">
      <c r="A50" s="1">
        <v>48</v>
      </c>
      <c r="B50" s="99" t="b">
        <f t="shared" si="11"/>
        <v>1</v>
      </c>
      <c r="C50" s="99" t="b">
        <f t="shared" si="11"/>
        <v>1</v>
      </c>
      <c r="D50" s="98" t="s">
        <v>273</v>
      </c>
      <c r="E50" s="100">
        <f>inp_Uc/inp_Un</f>
        <v>1.0651315789473685</v>
      </c>
      <c r="F50" s="100">
        <v>1</v>
      </c>
      <c r="G50" s="102" t="s">
        <v>223</v>
      </c>
      <c r="H50" s="101" t="s">
        <v>113</v>
      </c>
      <c r="I50" s="100">
        <f>inp_Uc/inp_Un</f>
        <v>1.0651315789473685</v>
      </c>
      <c r="J50" s="102">
        <v>-1</v>
      </c>
      <c r="K50" s="102">
        <v>0</v>
      </c>
      <c r="L50" s="103">
        <v>50</v>
      </c>
      <c r="M50" s="108" t="s">
        <v>111</v>
      </c>
      <c r="N50" s="108">
        <v>0</v>
      </c>
      <c r="O50" s="108">
        <f>sel_uq_q0.33ue_umax</f>
        <v>1.1180000000000001</v>
      </c>
      <c r="P50" s="108"/>
      <c r="Q50" s="100"/>
      <c r="R50" s="100"/>
      <c r="S50" s="100"/>
      <c r="T50" s="120"/>
      <c r="U50" s="108"/>
      <c r="V50" s="108"/>
      <c r="W50" s="108"/>
      <c r="X50" s="108"/>
      <c r="Y50" s="100"/>
      <c r="Z50" s="102"/>
      <c r="AA50" s="100"/>
      <c r="AB50" s="100"/>
      <c r="AC50" s="108"/>
      <c r="AD50" s="108"/>
      <c r="AE50" s="108"/>
      <c r="AF50" s="108"/>
      <c r="AG50" s="100"/>
      <c r="AH50" s="100"/>
      <c r="AI50" s="100"/>
      <c r="AJ50" s="100"/>
      <c r="AK50" s="108"/>
      <c r="AL50" s="108"/>
      <c r="AM50" s="108"/>
      <c r="AN50" s="108"/>
      <c r="AO50" s="100"/>
      <c r="AP50" s="100"/>
      <c r="AQ50" s="100"/>
      <c r="AR50" s="100"/>
      <c r="AS50" s="108"/>
      <c r="AT50" s="108"/>
      <c r="AU50" s="108"/>
      <c r="AV50" s="108"/>
      <c r="AW50" s="100"/>
      <c r="AX50" s="100"/>
      <c r="AY50" s="100"/>
      <c r="AZ50" s="100"/>
      <c r="BA50" s="108"/>
      <c r="BB50" s="108"/>
      <c r="BC50" s="108"/>
      <c r="BD50" s="108"/>
      <c r="BE50" s="100"/>
      <c r="BF50" s="100"/>
      <c r="BG50" s="100"/>
      <c r="BH50" s="100"/>
    </row>
    <row r="51" spans="1:61" s="98" customFormat="1" x14ac:dyDescent="0.25">
      <c r="A51" s="1">
        <v>49</v>
      </c>
      <c r="B51" s="99" t="b">
        <f t="shared" si="11"/>
        <v>1</v>
      </c>
      <c r="C51" s="99" t="b">
        <f t="shared" si="11"/>
        <v>1</v>
      </c>
      <c r="D51" s="98" t="s">
        <v>274</v>
      </c>
      <c r="E51" s="100">
        <f>sel_uq_q0.33ue_umax</f>
        <v>1.1180000000000001</v>
      </c>
      <c r="F51" s="100">
        <v>1</v>
      </c>
      <c r="G51" s="102" t="s">
        <v>223</v>
      </c>
      <c r="H51" s="101" t="s">
        <v>113</v>
      </c>
      <c r="I51" s="100">
        <f>inp_Uc/inp_Un</f>
        <v>1.0651315789473685</v>
      </c>
      <c r="J51" s="102">
        <v>-1</v>
      </c>
      <c r="K51" s="102">
        <v>0</v>
      </c>
      <c r="L51" s="103">
        <v>50</v>
      </c>
      <c r="M51" s="108" t="s">
        <v>111</v>
      </c>
      <c r="N51" s="108">
        <v>0</v>
      </c>
      <c r="O51" s="108">
        <f>sel_60min_umax</f>
        <v>1.1499999999999999</v>
      </c>
      <c r="P51" s="108"/>
      <c r="Q51" s="100"/>
      <c r="R51" s="100"/>
      <c r="S51" s="100"/>
      <c r="T51" s="120"/>
      <c r="U51" s="108"/>
      <c r="V51" s="108"/>
      <c r="W51" s="108"/>
      <c r="X51" s="108"/>
      <c r="Y51" s="100"/>
      <c r="Z51" s="102"/>
      <c r="AA51" s="100"/>
      <c r="AB51" s="100"/>
      <c r="AC51" s="108"/>
      <c r="AD51" s="108"/>
      <c r="AE51" s="108"/>
      <c r="AF51" s="108"/>
      <c r="AG51" s="100"/>
      <c r="AH51" s="100"/>
      <c r="AI51" s="100"/>
      <c r="AJ51" s="100"/>
      <c r="AK51" s="108"/>
      <c r="AL51" s="108"/>
      <c r="AM51" s="108"/>
      <c r="AN51" s="108"/>
      <c r="AO51" s="100"/>
      <c r="AP51" s="100"/>
      <c r="AQ51" s="100"/>
      <c r="AR51" s="100"/>
      <c r="AS51" s="108"/>
      <c r="AT51" s="108"/>
      <c r="AU51" s="108"/>
      <c r="AV51" s="108"/>
      <c r="AW51" s="100"/>
      <c r="AX51" s="100"/>
      <c r="AY51" s="100"/>
      <c r="AZ51" s="100"/>
      <c r="BA51" s="108"/>
      <c r="BB51" s="108"/>
      <c r="BC51" s="108"/>
      <c r="BD51" s="108"/>
      <c r="BE51" s="100"/>
      <c r="BF51" s="100"/>
      <c r="BG51" s="100"/>
      <c r="BH51" s="100"/>
    </row>
    <row r="52" spans="1:61" s="98" customFormat="1" x14ac:dyDescent="0.25">
      <c r="A52" s="1">
        <v>50</v>
      </c>
      <c r="B52" s="99" t="b">
        <f t="shared" si="11"/>
        <v>1</v>
      </c>
      <c r="C52" s="99" t="b">
        <f t="shared" si="11"/>
        <v>1</v>
      </c>
      <c r="D52" s="98" t="s">
        <v>275</v>
      </c>
      <c r="E52" s="100">
        <f>inp_Uc/inp_Un</f>
        <v>1.0651315789473685</v>
      </c>
      <c r="F52" s="100">
        <v>1</v>
      </c>
      <c r="G52" s="102" t="s">
        <v>223</v>
      </c>
      <c r="H52" s="101" t="s">
        <v>113</v>
      </c>
      <c r="I52" s="100">
        <f>inp_Uc/inp_Un</f>
        <v>1.0651315789473685</v>
      </c>
      <c r="J52" s="102">
        <v>-1</v>
      </c>
      <c r="K52" s="102">
        <v>0</v>
      </c>
      <c r="L52" s="103">
        <v>50</v>
      </c>
      <c r="M52" s="108" t="s">
        <v>111</v>
      </c>
      <c r="N52" s="108">
        <v>0</v>
      </c>
      <c r="O52" s="108">
        <f>sel_uq_q0.33_umin</f>
        <v>0.96799999999999997</v>
      </c>
      <c r="P52" s="108"/>
      <c r="Q52" s="100"/>
      <c r="R52" s="100"/>
      <c r="S52" s="100"/>
      <c r="T52" s="120"/>
      <c r="U52" s="108"/>
      <c r="V52" s="108"/>
      <c r="W52" s="108"/>
      <c r="X52" s="108"/>
      <c r="Y52" s="100"/>
      <c r="Z52" s="102"/>
      <c r="AA52" s="100"/>
      <c r="AB52" s="100"/>
      <c r="AC52" s="108"/>
      <c r="AD52" s="108"/>
      <c r="AE52" s="108"/>
      <c r="AF52" s="108"/>
      <c r="AG52" s="100"/>
      <c r="AH52" s="100"/>
      <c r="AI52" s="100"/>
      <c r="AJ52" s="100"/>
      <c r="AK52" s="108"/>
      <c r="AL52" s="108"/>
      <c r="AM52" s="108"/>
      <c r="AN52" s="108"/>
      <c r="AO52" s="100"/>
      <c r="AP52" s="100"/>
      <c r="AQ52" s="100"/>
      <c r="AR52" s="100"/>
      <c r="AS52" s="108"/>
      <c r="AT52" s="108"/>
      <c r="AU52" s="108"/>
      <c r="AV52" s="108"/>
      <c r="AW52" s="100"/>
      <c r="AX52" s="100"/>
      <c r="AY52" s="100"/>
      <c r="AZ52" s="100"/>
      <c r="BA52" s="108"/>
      <c r="BB52" s="108"/>
      <c r="BC52" s="108"/>
      <c r="BD52" s="108"/>
      <c r="BE52" s="100"/>
      <c r="BF52" s="100"/>
      <c r="BG52" s="100"/>
      <c r="BH52" s="100"/>
    </row>
    <row r="53" spans="1:61" s="98" customFormat="1" x14ac:dyDescent="0.25">
      <c r="A53" s="1">
        <v>51</v>
      </c>
      <c r="B53" s="99" t="b">
        <f t="shared" si="11"/>
        <v>1</v>
      </c>
      <c r="C53" s="99" t="b">
        <f t="shared" si="11"/>
        <v>1</v>
      </c>
      <c r="D53" s="98" t="s">
        <v>276</v>
      </c>
      <c r="E53" s="100">
        <f>sel_uq_q0.33_umin</f>
        <v>0.96799999999999997</v>
      </c>
      <c r="F53" s="100">
        <v>1</v>
      </c>
      <c r="G53" s="102" t="s">
        <v>223</v>
      </c>
      <c r="H53" s="101" t="s">
        <v>113</v>
      </c>
      <c r="I53" s="100">
        <f>inp_Uc/inp_Un</f>
        <v>1.0651315789473685</v>
      </c>
      <c r="J53" s="102">
        <v>-1</v>
      </c>
      <c r="K53" s="102">
        <v>0</v>
      </c>
      <c r="L53" s="103">
        <v>50</v>
      </c>
      <c r="M53" s="108" t="s">
        <v>111</v>
      </c>
      <c r="N53" s="108">
        <v>0</v>
      </c>
      <c r="O53" s="108">
        <f>sel_contop_umin</f>
        <v>0.9</v>
      </c>
      <c r="P53" s="108"/>
      <c r="Q53" s="100"/>
      <c r="R53" s="120"/>
      <c r="S53" s="120"/>
      <c r="T53" s="123"/>
      <c r="U53" s="108"/>
      <c r="V53" s="108"/>
      <c r="W53" s="108"/>
      <c r="X53" s="108"/>
      <c r="Y53" s="100"/>
      <c r="Z53" s="102"/>
      <c r="AA53" s="100"/>
      <c r="AB53" s="100"/>
      <c r="AC53" s="108"/>
      <c r="AD53" s="108"/>
      <c r="AE53" s="108"/>
      <c r="AF53" s="108"/>
      <c r="AG53" s="100"/>
      <c r="AH53" s="100"/>
      <c r="AI53" s="100"/>
      <c r="AJ53" s="100"/>
      <c r="AK53" s="108"/>
      <c r="AL53" s="108"/>
      <c r="AM53" s="108"/>
      <c r="AN53" s="108"/>
      <c r="AO53" s="100"/>
      <c r="AP53" s="100"/>
      <c r="AQ53" s="100"/>
      <c r="AR53" s="100"/>
      <c r="AS53" s="108"/>
      <c r="AT53" s="108"/>
      <c r="AU53" s="108"/>
      <c r="AV53" s="108"/>
      <c r="AW53" s="100"/>
      <c r="AX53" s="100"/>
      <c r="AY53" s="100"/>
      <c r="AZ53" s="100"/>
      <c r="BA53" s="108"/>
      <c r="BB53" s="108"/>
      <c r="BC53" s="108"/>
      <c r="BD53" s="108"/>
      <c r="BE53" s="100"/>
      <c r="BF53" s="100"/>
      <c r="BG53" s="100"/>
      <c r="BH53" s="100"/>
    </row>
    <row r="54" spans="1:61" s="98" customFormat="1" x14ac:dyDescent="0.25">
      <c r="A54" s="1">
        <v>52</v>
      </c>
      <c r="B54" s="99" t="b">
        <f t="shared" si="11"/>
        <v>1</v>
      </c>
      <c r="C54" s="99" t="b">
        <f t="shared" si="11"/>
        <v>1</v>
      </c>
      <c r="D54" s="98" t="s">
        <v>277</v>
      </c>
      <c r="E54" s="100">
        <f>sel_contop_umin</f>
        <v>0.9</v>
      </c>
      <c r="F54" s="100">
        <v>1</v>
      </c>
      <c r="G54" s="102" t="s">
        <v>223</v>
      </c>
      <c r="H54" s="101" t="s">
        <v>113</v>
      </c>
      <c r="I54" s="100">
        <f>inp_Uc/inp_Un</f>
        <v>1.0651315789473685</v>
      </c>
      <c r="J54" s="102">
        <v>-1</v>
      </c>
      <c r="K54" s="102">
        <v>0</v>
      </c>
      <c r="L54" s="103">
        <v>50</v>
      </c>
      <c r="M54" s="108" t="s">
        <v>111</v>
      </c>
      <c r="N54" s="108">
        <v>0</v>
      </c>
      <c r="O54" s="108">
        <f>sel_60min_umin</f>
        <v>0.85</v>
      </c>
      <c r="P54" s="108"/>
      <c r="Q54" s="100"/>
      <c r="R54" s="120"/>
      <c r="S54" s="120"/>
      <c r="T54" s="123"/>
      <c r="U54" s="108"/>
      <c r="V54" s="108"/>
      <c r="W54" s="108"/>
      <c r="X54" s="108"/>
      <c r="Y54" s="100"/>
      <c r="Z54" s="102"/>
      <c r="AA54" s="100"/>
      <c r="AB54" s="100"/>
      <c r="AC54" s="108"/>
      <c r="AD54" s="108"/>
      <c r="AE54" s="108"/>
      <c r="AF54" s="108"/>
      <c r="AG54" s="100"/>
      <c r="AH54" s="100"/>
      <c r="AI54" s="100"/>
      <c r="AJ54" s="100"/>
      <c r="AK54" s="108"/>
      <c r="AL54" s="108"/>
      <c r="AM54" s="108"/>
      <c r="AN54" s="108"/>
      <c r="AO54" s="100"/>
      <c r="AP54" s="100"/>
      <c r="AQ54" s="100"/>
      <c r="AR54" s="100"/>
      <c r="AS54" s="108"/>
      <c r="AT54" s="108"/>
      <c r="AU54" s="108"/>
      <c r="AV54" s="108"/>
      <c r="AW54" s="100"/>
      <c r="AX54" s="100"/>
      <c r="AY54" s="100"/>
      <c r="AZ54" s="100"/>
      <c r="BA54" s="108"/>
      <c r="BB54" s="108"/>
      <c r="BC54" s="108"/>
      <c r="BD54" s="108"/>
      <c r="BE54" s="100"/>
      <c r="BF54" s="100"/>
      <c r="BG54" s="100"/>
      <c r="BH54" s="100"/>
    </row>
    <row r="55" spans="1:61" x14ac:dyDescent="0.25">
      <c r="A55" s="1">
        <v>53</v>
      </c>
      <c r="B55" s="11" t="b">
        <v>1</v>
      </c>
      <c r="C55" s="11" t="b">
        <v>1</v>
      </c>
      <c r="D55" s="1" t="s">
        <v>278</v>
      </c>
      <c r="E55" s="5">
        <f t="shared" ref="E55:E88" si="12">inp_Uc/inp_Un</f>
        <v>1.0651315789473685</v>
      </c>
      <c r="F55" s="24">
        <v>1</v>
      </c>
      <c r="G55" s="21" t="s">
        <v>223</v>
      </c>
      <c r="H55" s="20" t="s">
        <v>23</v>
      </c>
      <c r="I55" s="24">
        <v>0</v>
      </c>
      <c r="J55" s="21">
        <f>inp_scr_min</f>
        <v>10</v>
      </c>
      <c r="K55" s="21">
        <f>inp_xr_min</f>
        <v>10</v>
      </c>
      <c r="L55" s="22">
        <v>120</v>
      </c>
      <c r="M55" s="107" t="s">
        <v>114</v>
      </c>
      <c r="N55" s="107">
        <v>0</v>
      </c>
      <c r="O55" s="107">
        <v>0.1</v>
      </c>
      <c r="P55" s="107"/>
      <c r="Q55" s="5" t="s">
        <v>114</v>
      </c>
      <c r="R55" s="5">
        <v>30</v>
      </c>
      <c r="S55" s="5">
        <v>0.2</v>
      </c>
      <c r="T55" s="94"/>
      <c r="U55" s="107" t="s">
        <v>114</v>
      </c>
      <c r="V55" s="107">
        <v>60</v>
      </c>
      <c r="W55" s="107">
        <v>0.33</v>
      </c>
      <c r="X55" s="107"/>
      <c r="Y55" s="5" t="s">
        <v>114</v>
      </c>
      <c r="Z55" s="21">
        <v>90</v>
      </c>
      <c r="AA55" s="5">
        <v>0</v>
      </c>
      <c r="AB55" s="5"/>
      <c r="AC55" s="107"/>
      <c r="AD55" s="107"/>
      <c r="AE55" s="107"/>
      <c r="AF55" s="107"/>
      <c r="AG55" s="5"/>
      <c r="AH55" s="5"/>
      <c r="AI55" s="5"/>
      <c r="AJ55" s="5"/>
      <c r="AK55" s="107"/>
      <c r="AL55" s="107"/>
      <c r="AM55" s="107"/>
      <c r="AN55" s="107"/>
      <c r="AO55" s="5"/>
      <c r="AP55" s="5"/>
      <c r="AQ55" s="5"/>
      <c r="AR55" s="5"/>
      <c r="AS55" s="107"/>
      <c r="AT55" s="107"/>
      <c r="AU55" s="107"/>
      <c r="AV55" s="107"/>
      <c r="AW55" s="5"/>
      <c r="AX55" s="5"/>
      <c r="AY55" s="5"/>
      <c r="AZ55" s="5"/>
      <c r="BA55" s="107"/>
      <c r="BB55" s="107"/>
      <c r="BC55" s="107"/>
      <c r="BD55" s="107"/>
      <c r="BE55" s="5"/>
      <c r="BF55" s="5"/>
      <c r="BG55" s="5"/>
      <c r="BH55" s="5"/>
    </row>
    <row r="56" spans="1:61" x14ac:dyDescent="0.25">
      <c r="A56" s="1">
        <v>54</v>
      </c>
      <c r="B56" s="11" t="b">
        <v>1</v>
      </c>
      <c r="C56" s="11" t="b">
        <v>1</v>
      </c>
      <c r="D56" s="1" t="s">
        <v>279</v>
      </c>
      <c r="E56" s="5">
        <f t="shared" si="12"/>
        <v>1.0651315789473685</v>
      </c>
      <c r="F56" s="24">
        <v>1</v>
      </c>
      <c r="G56" s="21" t="s">
        <v>223</v>
      </c>
      <c r="H56" s="20" t="s">
        <v>23</v>
      </c>
      <c r="I56" s="24">
        <v>0</v>
      </c>
      <c r="J56" s="21">
        <f>inp_scr_min</f>
        <v>10</v>
      </c>
      <c r="K56" s="21">
        <f>inp_xr_min</f>
        <v>10</v>
      </c>
      <c r="L56" s="22">
        <v>120</v>
      </c>
      <c r="M56" s="107" t="s">
        <v>114</v>
      </c>
      <c r="N56" s="107">
        <v>0</v>
      </c>
      <c r="O56" s="107">
        <v>-0.1</v>
      </c>
      <c r="P56" s="107"/>
      <c r="Q56" s="5" t="s">
        <v>114</v>
      </c>
      <c r="R56" s="5">
        <v>30</v>
      </c>
      <c r="S56" s="5">
        <v>-0.2</v>
      </c>
      <c r="T56" s="94"/>
      <c r="U56" s="107" t="s">
        <v>114</v>
      </c>
      <c r="V56" s="107">
        <v>60</v>
      </c>
      <c r="W56" s="107">
        <v>-0.33</v>
      </c>
      <c r="X56" s="107"/>
      <c r="Y56" s="5" t="s">
        <v>114</v>
      </c>
      <c r="Z56" s="21">
        <v>90</v>
      </c>
      <c r="AA56" s="5">
        <v>0</v>
      </c>
      <c r="AB56" s="5"/>
      <c r="AC56" s="107"/>
      <c r="AD56" s="107"/>
      <c r="AE56" s="107"/>
      <c r="AF56" s="107"/>
      <c r="AG56" s="5"/>
      <c r="AH56" s="5"/>
      <c r="AI56" s="5"/>
      <c r="AJ56" s="5"/>
      <c r="AK56" s="107"/>
      <c r="AL56" s="107"/>
      <c r="AM56" s="107"/>
      <c r="AN56" s="107"/>
      <c r="AO56" s="5"/>
      <c r="AP56" s="5"/>
      <c r="AQ56" s="5"/>
      <c r="AR56" s="5"/>
      <c r="AS56" s="107"/>
      <c r="AT56" s="107"/>
      <c r="AU56" s="107"/>
      <c r="AV56" s="107"/>
      <c r="AW56" s="5"/>
      <c r="AX56" s="5"/>
      <c r="AY56" s="5"/>
      <c r="AZ56" s="5"/>
      <c r="BA56" s="107"/>
      <c r="BB56" s="107"/>
      <c r="BC56" s="107"/>
      <c r="BD56" s="107"/>
      <c r="BE56" s="5"/>
      <c r="BF56" s="5"/>
      <c r="BG56" s="5"/>
      <c r="BH56" s="5"/>
    </row>
    <row r="57" spans="1:61" x14ac:dyDescent="0.25">
      <c r="A57" s="1">
        <v>55</v>
      </c>
      <c r="B57" s="11" t="b">
        <v>1</v>
      </c>
      <c r="C57" s="11" t="b">
        <v>1</v>
      </c>
      <c r="D57" s="1" t="s">
        <v>280</v>
      </c>
      <c r="E57" s="5">
        <f t="shared" si="12"/>
        <v>1.0651315789473685</v>
      </c>
      <c r="F57" s="24">
        <v>1</v>
      </c>
      <c r="G57" s="21" t="s">
        <v>223</v>
      </c>
      <c r="H57" s="20" t="s">
        <v>115</v>
      </c>
      <c r="I57" s="24">
        <v>1</v>
      </c>
      <c r="J57" s="21">
        <f>inp_scr_min</f>
        <v>10</v>
      </c>
      <c r="K57" s="21">
        <f>inp_xr_min</f>
        <v>10</v>
      </c>
      <c r="L57" s="22">
        <v>120</v>
      </c>
      <c r="M57" s="107" t="s">
        <v>114</v>
      </c>
      <c r="N57" s="107">
        <v>0</v>
      </c>
      <c r="O57" s="107">
        <v>0.95</v>
      </c>
      <c r="P57" s="107"/>
      <c r="Q57" s="5" t="s">
        <v>114</v>
      </c>
      <c r="R57" s="5">
        <v>30</v>
      </c>
      <c r="S57" s="5">
        <v>1</v>
      </c>
      <c r="T57" s="94"/>
      <c r="U57" s="107" t="s">
        <v>114</v>
      </c>
      <c r="V57" s="107">
        <v>60</v>
      </c>
      <c r="W57" s="107">
        <v>-0.95</v>
      </c>
      <c r="X57" s="107"/>
      <c r="Y57" s="5" t="s">
        <v>114</v>
      </c>
      <c r="Z57" s="5">
        <v>90</v>
      </c>
      <c r="AA57" s="5">
        <v>1</v>
      </c>
      <c r="AB57" s="5"/>
      <c r="AC57" s="107"/>
      <c r="AD57" s="107"/>
      <c r="AE57" s="107"/>
      <c r="AF57" s="107"/>
      <c r="AG57" s="5"/>
      <c r="AH57" s="5"/>
      <c r="AI57" s="5"/>
      <c r="AJ57" s="5"/>
      <c r="AK57" s="107"/>
      <c r="AL57" s="107"/>
      <c r="AM57" s="107"/>
      <c r="AN57" s="107"/>
      <c r="AO57" s="5"/>
      <c r="AP57" s="5"/>
      <c r="AQ57" s="5"/>
      <c r="AR57" s="5"/>
      <c r="AS57" s="107"/>
      <c r="AT57" s="107"/>
      <c r="AU57" s="107"/>
      <c r="AV57" s="107"/>
      <c r="AW57" s="5"/>
      <c r="AX57" s="5"/>
      <c r="AY57" s="5"/>
      <c r="AZ57" s="5"/>
      <c r="BA57" s="107"/>
      <c r="BB57" s="107"/>
      <c r="BC57" s="107"/>
      <c r="BD57" s="107"/>
      <c r="BE57" s="5"/>
      <c r="BF57" s="5"/>
      <c r="BG57" s="5"/>
      <c r="BH57" s="5"/>
    </row>
    <row r="58" spans="1:61" x14ac:dyDescent="0.25">
      <c r="A58" s="1">
        <v>56</v>
      </c>
      <c r="B58" s="11" t="b">
        <v>1</v>
      </c>
      <c r="C58" s="11" t="b">
        <v>1</v>
      </c>
      <c r="D58" s="1" t="s">
        <v>281</v>
      </c>
      <c r="E58" s="5">
        <f t="shared" si="12"/>
        <v>1.0651315789473685</v>
      </c>
      <c r="F58" s="24">
        <v>0.3</v>
      </c>
      <c r="G58" s="21" t="s">
        <v>223</v>
      </c>
      <c r="H58" s="20" t="s">
        <v>115</v>
      </c>
      <c r="I58" s="24">
        <v>0.99</v>
      </c>
      <c r="J58" s="21">
        <f>inp_scr_min</f>
        <v>10</v>
      </c>
      <c r="K58" s="21">
        <f>inp_xr_min</f>
        <v>10</v>
      </c>
      <c r="L58" s="22">
        <v>135</v>
      </c>
      <c r="M58" s="107" t="s">
        <v>109</v>
      </c>
      <c r="N58" s="107">
        <v>0</v>
      </c>
      <c r="O58" s="107">
        <v>0.4</v>
      </c>
      <c r="P58" s="107"/>
      <c r="Q58" s="5" t="s">
        <v>109</v>
      </c>
      <c r="R58" s="5">
        <v>35</v>
      </c>
      <c r="S58" s="5">
        <v>0.5</v>
      </c>
      <c r="T58" s="94"/>
      <c r="U58" s="107" t="s">
        <v>109</v>
      </c>
      <c r="V58" s="107">
        <v>70</v>
      </c>
      <c r="W58" s="107">
        <v>0.6</v>
      </c>
      <c r="X58" s="107"/>
      <c r="Y58" s="5" t="s">
        <v>109</v>
      </c>
      <c r="Z58" s="21">
        <v>100</v>
      </c>
      <c r="AA58" s="5">
        <v>0.7</v>
      </c>
      <c r="AB58" s="5"/>
      <c r="AC58" s="107"/>
      <c r="AD58" s="107"/>
      <c r="AE58" s="107"/>
      <c r="AF58" s="107"/>
      <c r="AG58" s="5"/>
      <c r="AH58" s="5"/>
      <c r="AI58" s="5"/>
      <c r="AJ58" s="5"/>
      <c r="AK58" s="107"/>
      <c r="AL58" s="107"/>
      <c r="AM58" s="107"/>
      <c r="AN58" s="107"/>
      <c r="AO58" s="5"/>
      <c r="AP58" s="5"/>
      <c r="AQ58" s="5"/>
      <c r="AR58" s="5"/>
      <c r="AS58" s="107"/>
      <c r="AT58" s="107"/>
      <c r="AU58" s="107"/>
      <c r="AV58" s="107"/>
      <c r="AW58" s="5"/>
      <c r="AX58" s="5"/>
      <c r="AY58" s="5"/>
      <c r="AZ58" s="5"/>
      <c r="BA58" s="107"/>
      <c r="BB58" s="107"/>
      <c r="BC58" s="107"/>
      <c r="BD58" s="107"/>
      <c r="BE58" s="5"/>
      <c r="BF58" s="5"/>
      <c r="BG58" s="5"/>
      <c r="BH58" s="5"/>
    </row>
    <row r="59" spans="1:61" x14ac:dyDescent="0.25">
      <c r="A59" s="1">
        <v>57</v>
      </c>
      <c r="B59" s="99" t="b">
        <f>inp_Un&gt;=110</f>
        <v>1</v>
      </c>
      <c r="C59" s="99" t="b">
        <f>inp_Un&gt;=110</f>
        <v>1</v>
      </c>
      <c r="D59" s="98" t="s">
        <v>282</v>
      </c>
      <c r="E59" s="100">
        <f t="shared" si="12"/>
        <v>1.0651315789473685</v>
      </c>
      <c r="F59" s="100">
        <v>1</v>
      </c>
      <c r="G59" s="102" t="s">
        <v>223</v>
      </c>
      <c r="H59" s="101" t="s">
        <v>108</v>
      </c>
      <c r="I59" s="100">
        <f t="shared" ref="I59:I67" si="13">IF(inp_default="Q(U)",E59,IF(inp_default="PF",1,0))</f>
        <v>0</v>
      </c>
      <c r="J59" s="102">
        <f t="shared" ref="J59:J65" si="14">inp_scr_min</f>
        <v>10</v>
      </c>
      <c r="K59" s="102">
        <f t="shared" ref="K59:K65" si="15">inp_xr_min</f>
        <v>10</v>
      </c>
      <c r="L59" s="103">
        <v>45</v>
      </c>
      <c r="M59" s="108" t="s">
        <v>116</v>
      </c>
      <c r="N59" s="108">
        <v>-1</v>
      </c>
      <c r="O59" s="108">
        <v>1</v>
      </c>
      <c r="P59" s="108"/>
      <c r="Q59" s="100" t="s">
        <v>183</v>
      </c>
      <c r="R59" s="100">
        <v>0</v>
      </c>
      <c r="S59" s="100">
        <v>1</v>
      </c>
      <c r="T59" s="100"/>
      <c r="U59" s="108" t="s">
        <v>116</v>
      </c>
      <c r="V59" s="108">
        <v>0</v>
      </c>
      <c r="W59" s="108">
        <v>0.5</v>
      </c>
      <c r="X59" s="108"/>
      <c r="Y59" s="100" t="s">
        <v>116</v>
      </c>
      <c r="Z59" s="100">
        <v>15</v>
      </c>
      <c r="AA59" s="100">
        <v>0.25</v>
      </c>
      <c r="AB59" s="100"/>
      <c r="AC59" s="108" t="s">
        <v>116</v>
      </c>
      <c r="AD59" s="108">
        <v>30</v>
      </c>
      <c r="AE59" s="108">
        <v>1</v>
      </c>
      <c r="AF59" s="108"/>
      <c r="AG59" s="100"/>
      <c r="AH59" s="100"/>
      <c r="AI59" s="100"/>
      <c r="AJ59" s="100"/>
      <c r="AK59" s="108"/>
      <c r="AL59" s="108"/>
      <c r="AM59" s="108"/>
      <c r="AN59" s="108"/>
      <c r="AO59" s="100"/>
      <c r="AP59" s="100"/>
      <c r="AQ59" s="100"/>
      <c r="AR59" s="100"/>
      <c r="AS59" s="108"/>
      <c r="AT59" s="108"/>
      <c r="AU59" s="108"/>
      <c r="AV59" s="108"/>
      <c r="AW59" s="100"/>
      <c r="AX59" s="100"/>
      <c r="AY59" s="100"/>
      <c r="AZ59" s="100"/>
      <c r="BA59" s="108"/>
      <c r="BB59" s="108"/>
      <c r="BC59" s="108"/>
      <c r="BD59" s="108"/>
      <c r="BE59" s="100"/>
      <c r="BF59" s="100"/>
      <c r="BG59" s="100"/>
      <c r="BH59" s="100"/>
      <c r="BI59" s="98"/>
    </row>
    <row r="60" spans="1:61" x14ac:dyDescent="0.25">
      <c r="A60" s="1">
        <v>58</v>
      </c>
      <c r="B60" s="11" t="b">
        <v>1</v>
      </c>
      <c r="C60" s="11" t="b">
        <v>1</v>
      </c>
      <c r="D60" s="1" t="s">
        <v>283</v>
      </c>
      <c r="E60" s="5">
        <f t="shared" si="12"/>
        <v>1.0651315789473685</v>
      </c>
      <c r="F60" s="24">
        <v>1</v>
      </c>
      <c r="G60" s="21" t="s">
        <v>223</v>
      </c>
      <c r="H60" s="20" t="s">
        <v>108</v>
      </c>
      <c r="I60" s="24">
        <f t="shared" si="13"/>
        <v>0</v>
      </c>
      <c r="J60" s="21">
        <f t="shared" si="14"/>
        <v>10</v>
      </c>
      <c r="K60" s="21">
        <f t="shared" si="15"/>
        <v>10</v>
      </c>
      <c r="L60" s="22">
        <v>20</v>
      </c>
      <c r="M60" s="107" t="s">
        <v>117</v>
      </c>
      <c r="N60" s="107">
        <v>0</v>
      </c>
      <c r="O60" s="107">
        <v>20</v>
      </c>
      <c r="P60" s="107"/>
      <c r="Q60" s="5" t="s">
        <v>117</v>
      </c>
      <c r="R60" s="5">
        <v>2.5</v>
      </c>
      <c r="S60" s="5">
        <v>0</v>
      </c>
      <c r="T60" s="5"/>
      <c r="U60" s="107" t="s">
        <v>117</v>
      </c>
      <c r="V60" s="107">
        <v>5</v>
      </c>
      <c r="W60" s="107">
        <v>-20</v>
      </c>
      <c r="X60" s="107"/>
      <c r="Y60" s="5" t="s">
        <v>117</v>
      </c>
      <c r="Z60" s="5">
        <v>7.5</v>
      </c>
      <c r="AA60" s="5">
        <v>0</v>
      </c>
      <c r="AB60" s="5"/>
      <c r="AC60" s="107"/>
      <c r="AD60" s="107"/>
      <c r="AE60" s="107"/>
      <c r="AF60" s="107"/>
      <c r="AG60" s="5"/>
      <c r="AH60" s="5"/>
      <c r="AI60" s="5"/>
      <c r="AJ60" s="5"/>
      <c r="AK60" s="107"/>
      <c r="AL60" s="107"/>
      <c r="AM60" s="107"/>
      <c r="AN60" s="107"/>
      <c r="AO60" s="5"/>
      <c r="AP60" s="5"/>
      <c r="AQ60" s="5"/>
      <c r="AR60" s="5"/>
      <c r="AS60" s="107"/>
      <c r="AT60" s="107"/>
      <c r="AU60" s="107"/>
      <c r="AV60" s="107"/>
      <c r="AW60" s="5"/>
      <c r="AX60" s="5"/>
      <c r="AY60" s="5"/>
      <c r="AZ60" s="5"/>
      <c r="BA60" s="107"/>
      <c r="BB60" s="107"/>
      <c r="BC60" s="107"/>
      <c r="BD60" s="107"/>
      <c r="BE60" s="5"/>
      <c r="BF60" s="5"/>
      <c r="BG60" s="5"/>
      <c r="BH60" s="5"/>
    </row>
    <row r="61" spans="1:61" x14ac:dyDescent="0.25">
      <c r="A61" s="1">
        <v>59</v>
      </c>
      <c r="B61" s="11" t="b">
        <v>1</v>
      </c>
      <c r="C61" s="11" t="b">
        <v>1</v>
      </c>
      <c r="D61" s="1" t="s">
        <v>284</v>
      </c>
      <c r="E61" s="5">
        <f t="shared" si="12"/>
        <v>1.0651315789473685</v>
      </c>
      <c r="F61" s="24">
        <v>1</v>
      </c>
      <c r="G61" s="21" t="s">
        <v>223</v>
      </c>
      <c r="H61" s="20" t="s">
        <v>108</v>
      </c>
      <c r="I61" s="24">
        <f t="shared" si="13"/>
        <v>0</v>
      </c>
      <c r="J61" s="21">
        <f t="shared" si="14"/>
        <v>10</v>
      </c>
      <c r="K61" s="21">
        <f t="shared" si="15"/>
        <v>10</v>
      </c>
      <c r="L61" s="22">
        <v>20</v>
      </c>
      <c r="M61" s="107" t="s">
        <v>117</v>
      </c>
      <c r="N61" s="107">
        <v>0</v>
      </c>
      <c r="O61" s="107">
        <v>6.5</v>
      </c>
      <c r="P61" s="107"/>
      <c r="Q61" s="5" t="s">
        <v>117</v>
      </c>
      <c r="R61" s="5">
        <v>0.02</v>
      </c>
      <c r="S61" s="5">
        <f>O61+6.75</f>
        <v>13.25</v>
      </c>
      <c r="T61" s="5"/>
      <c r="U61" s="107" t="s">
        <v>117</v>
      </c>
      <c r="V61" s="107">
        <v>0.04</v>
      </c>
      <c r="W61" s="107">
        <f>S61+6.75</f>
        <v>20</v>
      </c>
      <c r="X61" s="107"/>
      <c r="Y61" s="5" t="s">
        <v>117</v>
      </c>
      <c r="Z61" s="5">
        <v>2.5</v>
      </c>
      <c r="AA61" s="5">
        <f>W61-6.5</f>
        <v>13.5</v>
      </c>
      <c r="AB61" s="5"/>
      <c r="AC61" s="107" t="s">
        <v>117</v>
      </c>
      <c r="AD61" s="107">
        <v>2.52</v>
      </c>
      <c r="AE61" s="107">
        <f>AA61-6.75</f>
        <v>6.75</v>
      </c>
      <c r="AF61" s="107"/>
      <c r="AG61" s="5" t="s">
        <v>117</v>
      </c>
      <c r="AH61" s="5">
        <v>2.54</v>
      </c>
      <c r="AI61" s="5">
        <f>AE61-6.75</f>
        <v>0</v>
      </c>
      <c r="AJ61" s="5"/>
      <c r="AK61" s="107"/>
      <c r="AL61" s="107"/>
      <c r="AM61" s="107"/>
      <c r="AN61" s="107"/>
      <c r="AO61" s="5"/>
      <c r="AP61" s="5"/>
      <c r="AQ61" s="5"/>
      <c r="AR61" s="5"/>
      <c r="AS61" s="107"/>
      <c r="AT61" s="107"/>
      <c r="AU61" s="107"/>
      <c r="AV61" s="107"/>
      <c r="AW61" s="5"/>
      <c r="AX61" s="5"/>
      <c r="AY61" s="5"/>
      <c r="AZ61" s="5"/>
      <c r="BA61" s="107"/>
      <c r="BB61" s="107"/>
      <c r="BC61" s="107"/>
      <c r="BD61" s="107"/>
      <c r="BE61" s="5"/>
      <c r="BF61" s="5"/>
      <c r="BG61" s="5"/>
      <c r="BH61" s="5"/>
    </row>
    <row r="62" spans="1:61" x14ac:dyDescent="0.25">
      <c r="A62" s="1">
        <v>60</v>
      </c>
      <c r="B62" s="11" t="b">
        <v>1</v>
      </c>
      <c r="C62" s="11" t="b">
        <v>1</v>
      </c>
      <c r="D62" s="1" t="s">
        <v>285</v>
      </c>
      <c r="E62" s="5">
        <f t="shared" si="12"/>
        <v>1.0651315789473685</v>
      </c>
      <c r="F62" s="24">
        <v>0.7</v>
      </c>
      <c r="G62" s="21" t="s">
        <v>223</v>
      </c>
      <c r="H62" s="20" t="s">
        <v>108</v>
      </c>
      <c r="I62" s="24">
        <f t="shared" si="13"/>
        <v>0</v>
      </c>
      <c r="J62" s="21">
        <f t="shared" si="14"/>
        <v>10</v>
      </c>
      <c r="K62" s="21">
        <f t="shared" si="15"/>
        <v>10</v>
      </c>
      <c r="L62" s="22">
        <v>20</v>
      </c>
      <c r="M62" s="107" t="s">
        <v>110</v>
      </c>
      <c r="N62" s="107">
        <v>0</v>
      </c>
      <c r="O62" s="107">
        <v>50</v>
      </c>
      <c r="P62" s="107">
        <v>2</v>
      </c>
      <c r="Q62" s="5" t="s">
        <v>110</v>
      </c>
      <c r="R62" s="5">
        <v>0.5</v>
      </c>
      <c r="S62" s="5"/>
      <c r="T62" s="5">
        <v>-2</v>
      </c>
      <c r="U62" s="107" t="s">
        <v>110</v>
      </c>
      <c r="V62" s="107">
        <v>1</v>
      </c>
      <c r="W62" s="107"/>
      <c r="X62" s="107">
        <v>0</v>
      </c>
      <c r="Y62" s="5" t="s">
        <v>110</v>
      </c>
      <c r="Z62" s="5">
        <v>2</v>
      </c>
      <c r="AA62" s="5">
        <v>50</v>
      </c>
      <c r="AB62" s="5">
        <v>-0.5</v>
      </c>
      <c r="AC62" s="107" t="s">
        <v>110</v>
      </c>
      <c r="AD62" s="107">
        <v>4</v>
      </c>
      <c r="AE62" s="107"/>
      <c r="AF62" s="107">
        <v>0.5</v>
      </c>
      <c r="AG62" s="5" t="s">
        <v>110</v>
      </c>
      <c r="AH62" s="5">
        <v>6</v>
      </c>
      <c r="AI62" s="5"/>
      <c r="AJ62" s="5">
        <v>0</v>
      </c>
      <c r="AK62" s="107"/>
      <c r="AL62" s="107"/>
      <c r="AM62" s="107"/>
      <c r="AN62" s="107"/>
      <c r="AO62" s="5"/>
      <c r="AP62" s="5"/>
      <c r="AQ62" s="5"/>
      <c r="AR62" s="5"/>
      <c r="AS62" s="107"/>
      <c r="AT62" s="107"/>
      <c r="AU62" s="107"/>
      <c r="AV62" s="107"/>
      <c r="AW62" s="5"/>
      <c r="AX62" s="5"/>
      <c r="AY62" s="5"/>
      <c r="AZ62" s="5"/>
      <c r="BA62" s="107"/>
      <c r="BB62" s="107"/>
      <c r="BC62" s="107"/>
      <c r="BD62" s="107"/>
      <c r="BE62" s="5"/>
      <c r="BF62" s="5"/>
      <c r="BG62" s="5"/>
      <c r="BH62" s="5"/>
    </row>
    <row r="63" spans="1:61" x14ac:dyDescent="0.25">
      <c r="A63" s="1">
        <v>61</v>
      </c>
      <c r="B63" s="11" t="b">
        <v>1</v>
      </c>
      <c r="C63" s="11" t="b">
        <v>1</v>
      </c>
      <c r="D63" s="1" t="s">
        <v>286</v>
      </c>
      <c r="E63" s="5">
        <f t="shared" si="12"/>
        <v>1.0651315789473685</v>
      </c>
      <c r="F63" s="24">
        <v>0.7</v>
      </c>
      <c r="G63" s="21" t="s">
        <v>223</v>
      </c>
      <c r="H63" s="20" t="s">
        <v>108</v>
      </c>
      <c r="I63" s="24">
        <f t="shared" si="13"/>
        <v>0</v>
      </c>
      <c r="J63" s="21">
        <f t="shared" si="14"/>
        <v>10</v>
      </c>
      <c r="K63" s="21">
        <f t="shared" si="15"/>
        <v>10</v>
      </c>
      <c r="L63" s="22">
        <v>20</v>
      </c>
      <c r="M63" s="107" t="s">
        <v>110</v>
      </c>
      <c r="N63" s="107">
        <v>0</v>
      </c>
      <c r="O63" s="107">
        <v>50</v>
      </c>
      <c r="P63" s="107">
        <v>-4</v>
      </c>
      <c r="Q63" s="5" t="s">
        <v>110</v>
      </c>
      <c r="R63" s="5">
        <v>0.08</v>
      </c>
      <c r="S63" s="5"/>
      <c r="T63" s="5">
        <v>0</v>
      </c>
      <c r="U63" s="107" t="s">
        <v>110</v>
      </c>
      <c r="V63" s="107">
        <v>0.1</v>
      </c>
      <c r="W63" s="107"/>
      <c r="X63" s="107">
        <v>4</v>
      </c>
      <c r="Y63" s="5" t="s">
        <v>110</v>
      </c>
      <c r="Z63" s="5">
        <v>0.2</v>
      </c>
      <c r="AA63" s="5">
        <v>50</v>
      </c>
      <c r="AB63" s="5">
        <v>0</v>
      </c>
      <c r="AC63" s="107" t="s">
        <v>110</v>
      </c>
      <c r="AD63" s="107">
        <v>0.22</v>
      </c>
      <c r="AE63" s="107"/>
      <c r="AF63" s="107">
        <v>4</v>
      </c>
      <c r="AG63" s="5" t="s">
        <v>110</v>
      </c>
      <c r="AH63" s="5">
        <v>0.3</v>
      </c>
      <c r="AI63" s="5"/>
      <c r="AJ63" s="5">
        <v>0</v>
      </c>
      <c r="AK63" s="107" t="s">
        <v>110</v>
      </c>
      <c r="AL63" s="107">
        <v>0.32</v>
      </c>
      <c r="AM63" s="107"/>
      <c r="AN63" s="107">
        <v>-4</v>
      </c>
      <c r="AO63" s="5" t="s">
        <v>110</v>
      </c>
      <c r="AP63" s="5">
        <v>0.42</v>
      </c>
      <c r="AQ63" s="5"/>
      <c r="AR63" s="5">
        <v>0</v>
      </c>
      <c r="AS63" s="107" t="s">
        <v>110</v>
      </c>
      <c r="AT63" s="107">
        <v>1</v>
      </c>
      <c r="AU63" s="107"/>
      <c r="AV63" s="107">
        <v>-20</v>
      </c>
      <c r="AW63" s="5" t="s">
        <v>110</v>
      </c>
      <c r="AX63" s="5">
        <v>1.02</v>
      </c>
      <c r="AY63" s="5"/>
      <c r="AZ63" s="5">
        <v>0</v>
      </c>
      <c r="BA63" s="107" t="s">
        <v>110</v>
      </c>
      <c r="BB63" s="107">
        <v>1.04</v>
      </c>
      <c r="BC63" s="107"/>
      <c r="BD63" s="107">
        <v>20</v>
      </c>
      <c r="BE63" s="5" t="s">
        <v>110</v>
      </c>
      <c r="BF63" s="5">
        <v>1.06</v>
      </c>
      <c r="BG63" s="5"/>
      <c r="BH63" s="5">
        <v>0</v>
      </c>
    </row>
    <row r="64" spans="1:61" x14ac:dyDescent="0.25">
      <c r="A64" s="1">
        <v>62</v>
      </c>
      <c r="B64" s="11" t="b">
        <v>1</v>
      </c>
      <c r="C64" s="11" t="b">
        <v>1</v>
      </c>
      <c r="D64" s="1" t="s">
        <v>287</v>
      </c>
      <c r="E64" s="5">
        <f t="shared" si="12"/>
        <v>1.0651315789473685</v>
      </c>
      <c r="F64" s="24">
        <v>0.7</v>
      </c>
      <c r="G64" s="21" t="s">
        <v>223</v>
      </c>
      <c r="H64" s="20" t="s">
        <v>108</v>
      </c>
      <c r="I64" s="24">
        <f t="shared" si="13"/>
        <v>0</v>
      </c>
      <c r="J64" s="21">
        <f t="shared" si="14"/>
        <v>10</v>
      </c>
      <c r="K64" s="21">
        <f t="shared" si="15"/>
        <v>10</v>
      </c>
      <c r="L64" s="22">
        <v>20</v>
      </c>
      <c r="M64" s="107" t="s">
        <v>110</v>
      </c>
      <c r="N64" s="107">
        <v>0</v>
      </c>
      <c r="O64" s="107"/>
      <c r="P64" s="107">
        <v>4</v>
      </c>
      <c r="Q64" s="5" t="s">
        <v>110</v>
      </c>
      <c r="R64" s="5">
        <v>0.05</v>
      </c>
      <c r="S64" s="5"/>
      <c r="T64" s="5">
        <v>2</v>
      </c>
      <c r="U64" s="107" t="s">
        <v>110</v>
      </c>
      <c r="V64" s="107">
        <v>0.15</v>
      </c>
      <c r="W64" s="107"/>
      <c r="X64" s="107">
        <v>1</v>
      </c>
      <c r="Y64" s="5" t="s">
        <v>110</v>
      </c>
      <c r="Z64" s="5">
        <v>0.9</v>
      </c>
      <c r="AA64" s="5"/>
      <c r="AB64" s="5">
        <v>0.35</v>
      </c>
      <c r="AC64" s="107" t="s">
        <v>110</v>
      </c>
      <c r="AD64" s="107">
        <v>1.9</v>
      </c>
      <c r="AE64" s="107"/>
      <c r="AF64" s="107">
        <v>0</v>
      </c>
      <c r="AG64" s="5" t="s">
        <v>110</v>
      </c>
      <c r="AH64" s="5">
        <v>3.9</v>
      </c>
      <c r="AI64" s="5"/>
      <c r="AJ64" s="5">
        <v>-1</v>
      </c>
      <c r="AK64" s="107" t="s">
        <v>110</v>
      </c>
      <c r="AL64" s="107">
        <v>4.9000000000000004</v>
      </c>
      <c r="AM64" s="107"/>
      <c r="AN64" s="107">
        <v>0</v>
      </c>
      <c r="AO64" s="5"/>
      <c r="AP64" s="5"/>
      <c r="AQ64" s="5"/>
      <c r="AR64" s="5"/>
      <c r="AS64" s="107"/>
      <c r="AT64" s="107"/>
      <c r="AU64" s="107"/>
      <c r="AV64" s="107"/>
      <c r="AW64" s="5"/>
      <c r="AX64" s="5"/>
      <c r="AY64" s="5"/>
      <c r="AZ64" s="5"/>
      <c r="BA64" s="107"/>
      <c r="BB64" s="107"/>
      <c r="BC64" s="107"/>
      <c r="BD64" s="107"/>
      <c r="BE64" s="5"/>
      <c r="BF64" s="5"/>
      <c r="BG64" s="5"/>
      <c r="BH64" s="5"/>
    </row>
    <row r="65" spans="1:92" x14ac:dyDescent="0.25">
      <c r="A65" s="1">
        <v>63</v>
      </c>
      <c r="B65" s="11" t="b">
        <v>1</v>
      </c>
      <c r="C65" s="11" t="b">
        <v>1</v>
      </c>
      <c r="D65" s="1" t="s">
        <v>288</v>
      </c>
      <c r="E65" s="5">
        <f t="shared" si="12"/>
        <v>1.0651315789473685</v>
      </c>
      <c r="F65" s="24">
        <v>0.7</v>
      </c>
      <c r="G65" s="21" t="s">
        <v>223</v>
      </c>
      <c r="H65" s="20" t="s">
        <v>108</v>
      </c>
      <c r="I65" s="24">
        <f t="shared" si="13"/>
        <v>0</v>
      </c>
      <c r="J65" s="21">
        <f t="shared" si="14"/>
        <v>10</v>
      </c>
      <c r="K65" s="21">
        <f t="shared" si="15"/>
        <v>10</v>
      </c>
      <c r="L65" s="22">
        <v>20</v>
      </c>
      <c r="M65" s="107" t="s">
        <v>110</v>
      </c>
      <c r="N65" s="107">
        <v>0</v>
      </c>
      <c r="O65" s="107"/>
      <c r="P65" s="107">
        <v>-4</v>
      </c>
      <c r="Q65" s="5" t="s">
        <v>110</v>
      </c>
      <c r="R65" s="5">
        <v>0.05</v>
      </c>
      <c r="S65" s="5"/>
      <c r="T65" s="5">
        <v>-2</v>
      </c>
      <c r="U65" s="107" t="s">
        <v>110</v>
      </c>
      <c r="V65" s="107">
        <v>0.15</v>
      </c>
      <c r="W65" s="107"/>
      <c r="X65" s="107">
        <v>-1</v>
      </c>
      <c r="Y65" s="5" t="s">
        <v>110</v>
      </c>
      <c r="Z65" s="5">
        <v>0.9</v>
      </c>
      <c r="AA65" s="5"/>
      <c r="AB65" s="5">
        <v>-0.35</v>
      </c>
      <c r="AC65" s="107" t="s">
        <v>110</v>
      </c>
      <c r="AD65" s="107">
        <v>1.9</v>
      </c>
      <c r="AE65" s="107"/>
      <c r="AF65" s="107">
        <v>0</v>
      </c>
      <c r="AG65" s="5" t="s">
        <v>110</v>
      </c>
      <c r="AH65" s="5">
        <v>3.9</v>
      </c>
      <c r="AI65" s="5"/>
      <c r="AJ65" s="5">
        <v>1</v>
      </c>
      <c r="AK65" s="107" t="s">
        <v>110</v>
      </c>
      <c r="AL65" s="107">
        <v>4.9000000000000004</v>
      </c>
      <c r="AM65" s="107"/>
      <c r="AN65" s="107">
        <v>0</v>
      </c>
      <c r="AO65" s="5"/>
      <c r="AP65" s="5"/>
      <c r="AQ65" s="5"/>
      <c r="AR65" s="5"/>
      <c r="AS65" s="107"/>
      <c r="AT65" s="107"/>
      <c r="AU65" s="107"/>
      <c r="AV65" s="107"/>
      <c r="AW65" s="5"/>
      <c r="AX65" s="5"/>
      <c r="AY65" s="5"/>
      <c r="AZ65" s="5"/>
      <c r="BA65" s="107"/>
      <c r="BB65" s="107"/>
      <c r="BC65" s="107"/>
      <c r="BD65" s="107"/>
      <c r="BE65" s="5"/>
      <c r="BF65" s="5"/>
      <c r="BG65" s="5"/>
      <c r="BH65" s="5"/>
    </row>
    <row r="66" spans="1:92" x14ac:dyDescent="0.25">
      <c r="A66" s="1">
        <v>64</v>
      </c>
      <c r="B66" s="11" t="b">
        <v>1</v>
      </c>
      <c r="C66" s="11" t="b">
        <v>1</v>
      </c>
      <c r="D66" s="1" t="s">
        <v>289</v>
      </c>
      <c r="E66" s="5">
        <f t="shared" si="12"/>
        <v>1.0651315789473685</v>
      </c>
      <c r="F66" s="24">
        <v>1</v>
      </c>
      <c r="G66" s="21" t="s">
        <v>223</v>
      </c>
      <c r="H66" s="20" t="s">
        <v>108</v>
      </c>
      <c r="I66" s="24">
        <f t="shared" si="13"/>
        <v>0</v>
      </c>
      <c r="J66" s="21">
        <v>-1</v>
      </c>
      <c r="K66" s="21">
        <v>0</v>
      </c>
      <c r="L66" s="22">
        <v>20</v>
      </c>
      <c r="M66" s="107" t="s">
        <v>111</v>
      </c>
      <c r="N66" s="107">
        <v>0</v>
      </c>
      <c r="O66" s="107">
        <f>sel_ures</f>
        <v>0</v>
      </c>
      <c r="P66" s="107">
        <v>0</v>
      </c>
      <c r="Q66" s="5" t="s">
        <v>111</v>
      </c>
      <c r="R66" s="5">
        <f>sel_tclear-0.0002</f>
        <v>0.14979999999999999</v>
      </c>
      <c r="S66" s="5">
        <f>sel_uclear</f>
        <v>0</v>
      </c>
      <c r="T66" s="5">
        <f>IF(sel_trec1&gt;sel_tclear,(sel_urec1-sel_uclear)/(sel_trec1-sel_tclear),0)</f>
        <v>0</v>
      </c>
      <c r="U66" s="107" t="s">
        <v>111</v>
      </c>
      <c r="V66" s="107">
        <f>sel_trec1-0.0001</f>
        <v>0.14990000000000001</v>
      </c>
      <c r="W66" s="107">
        <f>sel_urec1</f>
        <v>0</v>
      </c>
      <c r="X66" s="107">
        <v>0</v>
      </c>
      <c r="Y66" s="5" t="s">
        <v>111</v>
      </c>
      <c r="Z66" s="5">
        <f>sel_trec2</f>
        <v>0.15</v>
      </c>
      <c r="AA66" s="5">
        <f>sel_urec1</f>
        <v>0</v>
      </c>
      <c r="AB66" s="5">
        <f>IF(sel_trec3&gt;sel_trec2,(sel_urec2-sel_urec1)/(sel_trec3-sel_trec2),0)</f>
        <v>0.62962962962962954</v>
      </c>
      <c r="AC66" s="107" t="s">
        <v>111</v>
      </c>
      <c r="AD66" s="107">
        <f>sel_trec3</f>
        <v>1.5</v>
      </c>
      <c r="AE66" s="107">
        <f>sel_urec2</f>
        <v>0.85</v>
      </c>
      <c r="AF66" s="107">
        <v>0</v>
      </c>
      <c r="AG66" s="5"/>
      <c r="AH66" s="5"/>
      <c r="AI66" s="5"/>
      <c r="AJ66" s="5"/>
      <c r="AK66" s="107"/>
      <c r="AL66" s="107"/>
      <c r="AM66" s="107"/>
      <c r="AN66" s="107"/>
      <c r="AO66" s="5"/>
      <c r="AP66" s="5"/>
      <c r="AQ66" s="5"/>
      <c r="AR66" s="5"/>
      <c r="AS66" s="107"/>
      <c r="AT66" s="107"/>
      <c r="AU66" s="107"/>
      <c r="AV66" s="107"/>
      <c r="AW66" s="5"/>
      <c r="AX66" s="5"/>
      <c r="AY66" s="5"/>
      <c r="AZ66" s="5"/>
      <c r="BA66" s="107"/>
      <c r="BB66" s="107"/>
      <c r="BC66" s="107"/>
      <c r="BD66" s="107"/>
      <c r="BE66" s="5"/>
      <c r="BF66" s="5"/>
      <c r="BG66" s="5"/>
      <c r="BH66" s="5"/>
    </row>
    <row r="67" spans="1:92" x14ac:dyDescent="0.25">
      <c r="A67" s="1">
        <v>65</v>
      </c>
      <c r="B67" s="99" t="b">
        <f>inp_Un&gt;=110</f>
        <v>1</v>
      </c>
      <c r="C67" s="99" t="b">
        <f>inp_Un&gt;=110</f>
        <v>1</v>
      </c>
      <c r="D67" s="98" t="s">
        <v>290</v>
      </c>
      <c r="E67" s="100">
        <f t="shared" si="12"/>
        <v>1.0651315789473685</v>
      </c>
      <c r="F67" s="100">
        <v>1</v>
      </c>
      <c r="G67" s="102" t="s">
        <v>223</v>
      </c>
      <c r="H67" s="101" t="s">
        <v>108</v>
      </c>
      <c r="I67" s="100">
        <f t="shared" si="13"/>
        <v>0</v>
      </c>
      <c r="J67" s="102">
        <v>-1</v>
      </c>
      <c r="K67" s="102">
        <v>0</v>
      </c>
      <c r="L67" s="103">
        <v>50</v>
      </c>
      <c r="M67" s="108" t="s">
        <v>111</v>
      </c>
      <c r="N67" s="108">
        <v>0</v>
      </c>
      <c r="O67" s="108">
        <f>sel_u1</f>
        <v>1.3</v>
      </c>
      <c r="P67" s="108"/>
      <c r="Q67" s="100" t="s">
        <v>111</v>
      </c>
      <c r="R67" s="100">
        <f>sel_t1</f>
        <v>0.1</v>
      </c>
      <c r="S67" s="100">
        <f>sel_u2</f>
        <v>1.2</v>
      </c>
      <c r="T67" s="100"/>
      <c r="U67" s="108" t="s">
        <v>111</v>
      </c>
      <c r="V67" s="108">
        <f>sel_t2</f>
        <v>30</v>
      </c>
      <c r="W67" s="108">
        <f>sel_60min_umax</f>
        <v>1.1499999999999999</v>
      </c>
      <c r="X67" s="108"/>
      <c r="Y67" s="100"/>
      <c r="Z67" s="102"/>
      <c r="AA67" s="100"/>
      <c r="AB67" s="100"/>
      <c r="AC67" s="108"/>
      <c r="AD67" s="108"/>
      <c r="AE67" s="108"/>
      <c r="AF67" s="108"/>
      <c r="AG67" s="100"/>
      <c r="AH67" s="100"/>
      <c r="AI67" s="100"/>
      <c r="AJ67" s="100"/>
      <c r="AK67" s="108"/>
      <c r="AL67" s="108"/>
      <c r="AM67" s="108"/>
      <c r="AN67" s="108"/>
      <c r="AO67" s="100"/>
      <c r="AP67" s="100"/>
      <c r="AQ67" s="100"/>
      <c r="AR67" s="100"/>
      <c r="AS67" s="108"/>
      <c r="AT67" s="108"/>
      <c r="AU67" s="108"/>
      <c r="AV67" s="108"/>
      <c r="AW67" s="100"/>
      <c r="AX67" s="100"/>
      <c r="AY67" s="100"/>
      <c r="AZ67" s="100"/>
      <c r="BA67" s="108"/>
      <c r="BB67" s="108"/>
      <c r="BC67" s="108"/>
      <c r="BD67" s="108"/>
      <c r="BE67" s="100"/>
      <c r="BF67" s="100"/>
      <c r="BG67" s="100"/>
      <c r="BH67" s="100"/>
    </row>
    <row r="68" spans="1:92" x14ac:dyDescent="0.25">
      <c r="A68" s="1">
        <v>66</v>
      </c>
      <c r="B68" s="11" t="b">
        <v>1</v>
      </c>
      <c r="C68" s="11" t="b">
        <v>1</v>
      </c>
      <c r="D68" s="1" t="s">
        <v>291</v>
      </c>
      <c r="E68" s="5">
        <f t="shared" si="12"/>
        <v>1.0651315789473685</v>
      </c>
      <c r="F68" s="24">
        <v>1</v>
      </c>
      <c r="G68" s="21" t="s">
        <v>223</v>
      </c>
      <c r="H68" s="20" t="s">
        <v>108</v>
      </c>
      <c r="I68" s="24">
        <f t="shared" ref="I68:I83" si="16">IF(inp_default="Q(U)",E68,IF(inp_default="PF",1,0))</f>
        <v>0</v>
      </c>
      <c r="J68" s="21">
        <f t="shared" ref="J68:J86" si="17">inp_scr_min</f>
        <v>10</v>
      </c>
      <c r="K68" s="21">
        <f t="shared" ref="K68:K86" si="18">inp_xr_min</f>
        <v>10</v>
      </c>
      <c r="L68" s="22">
        <v>12</v>
      </c>
      <c r="M68" s="107" t="s">
        <v>118</v>
      </c>
      <c r="N68" s="107">
        <v>0</v>
      </c>
      <c r="O68" s="109">
        <f>sel_ures</f>
        <v>0</v>
      </c>
      <c r="P68" s="107">
        <f>IF(O68&lt;sel_ures,0,
IF(AND(sel_uclear&gt;=O68, O68&gt;=sel_ures),sel_tclear,
IF(AND(sel_urec1&gt;=O68,O68&gt;sel_uclear),IF(sel_urec1&gt;sel_uclear,sel_tclear+(O68-sel_uclear)*(sel_trec1-sel_tclear)/(sel_urec1-sel_uclear),sel_tclear),
IF(AND(sel_urec2&gt;=O68,O68&gt;sel_urec1),IF(sel_urec2&gt;sel_urec1,sel_trec2+(O68-sel_urec1)*(sel_trec3-sel_trec2)/(sel_urec2-sel_urec1),-99999),5
))))</f>
        <v>0.15</v>
      </c>
      <c r="Q68" s="5"/>
      <c r="R68" s="5"/>
      <c r="S68" s="5"/>
      <c r="T68" s="5"/>
      <c r="U68" s="107"/>
      <c r="V68" s="107"/>
      <c r="W68" s="107"/>
      <c r="X68" s="107"/>
      <c r="Y68" s="5"/>
      <c r="Z68" s="21"/>
      <c r="AA68" s="5"/>
      <c r="AB68" s="5"/>
      <c r="AC68" s="107"/>
      <c r="AD68" s="107"/>
      <c r="AE68" s="107"/>
      <c r="AF68" s="107"/>
      <c r="AG68" s="5"/>
      <c r="AH68" s="5"/>
      <c r="AI68" s="5"/>
      <c r="AJ68" s="5"/>
      <c r="AK68" s="107"/>
      <c r="AL68" s="107"/>
      <c r="AM68" s="107"/>
      <c r="AN68" s="107"/>
      <c r="AO68" s="5"/>
      <c r="AP68" s="5"/>
      <c r="AQ68" s="5"/>
      <c r="AR68" s="5"/>
      <c r="AS68" s="107"/>
      <c r="AT68" s="107"/>
      <c r="AU68" s="107"/>
      <c r="AV68" s="107"/>
      <c r="AW68" s="5"/>
      <c r="AX68" s="5"/>
      <c r="AY68" s="5"/>
      <c r="AZ68" s="5"/>
      <c r="BA68" s="107"/>
      <c r="BB68" s="107"/>
      <c r="BC68" s="107"/>
      <c r="BD68" s="107"/>
      <c r="BE68" s="5"/>
      <c r="BF68" s="5"/>
      <c r="BG68" s="5"/>
      <c r="BH68" s="5"/>
    </row>
    <row r="69" spans="1:92" x14ac:dyDescent="0.25">
      <c r="A69" s="1">
        <v>67</v>
      </c>
      <c r="B69" s="11" t="b">
        <v>1</v>
      </c>
      <c r="C69" s="11" t="b">
        <v>1</v>
      </c>
      <c r="D69" s="1" t="s">
        <v>292</v>
      </c>
      <c r="E69" s="5">
        <f t="shared" si="12"/>
        <v>1.0651315789473685</v>
      </c>
      <c r="F69" s="24">
        <v>1</v>
      </c>
      <c r="G69" s="21" t="s">
        <v>223</v>
      </c>
      <c r="H69" s="20" t="s">
        <v>108</v>
      </c>
      <c r="I69" s="24">
        <f t="shared" si="16"/>
        <v>0</v>
      </c>
      <c r="J69" s="21">
        <f t="shared" si="17"/>
        <v>10</v>
      </c>
      <c r="K69" s="21">
        <f t="shared" si="18"/>
        <v>10</v>
      </c>
      <c r="L69" s="22">
        <v>12</v>
      </c>
      <c r="M69" s="107" t="s">
        <v>118</v>
      </c>
      <c r="N69" s="107">
        <v>0</v>
      </c>
      <c r="O69" s="109">
        <v>0.2</v>
      </c>
      <c r="P69" s="107">
        <v>0.45</v>
      </c>
      <c r="Q69" s="5"/>
      <c r="R69" s="5"/>
      <c r="S69" s="5"/>
      <c r="T69" s="5"/>
      <c r="U69" s="107"/>
      <c r="V69" s="107"/>
      <c r="W69" s="107"/>
      <c r="X69" s="107"/>
      <c r="Y69" s="5"/>
      <c r="Z69" s="21"/>
      <c r="AA69" s="5"/>
      <c r="AB69" s="5"/>
      <c r="AC69" s="107"/>
      <c r="AD69" s="107"/>
      <c r="AE69" s="107"/>
      <c r="AF69" s="107"/>
      <c r="AG69" s="5"/>
      <c r="AH69" s="5"/>
      <c r="AI69" s="5"/>
      <c r="AJ69" s="5"/>
      <c r="AK69" s="107"/>
      <c r="AL69" s="107"/>
      <c r="AM69" s="107"/>
      <c r="AN69" s="107"/>
      <c r="AO69" s="5"/>
      <c r="AP69" s="5"/>
      <c r="AQ69" s="5"/>
      <c r="AR69" s="5"/>
      <c r="AS69" s="107"/>
      <c r="AT69" s="107"/>
      <c r="AU69" s="107"/>
      <c r="AV69" s="107"/>
      <c r="AW69" s="5"/>
      <c r="AX69" s="5"/>
      <c r="AY69" s="5"/>
      <c r="AZ69" s="5"/>
      <c r="BA69" s="107"/>
      <c r="BB69" s="107"/>
      <c r="BC69" s="107"/>
      <c r="BD69" s="107"/>
      <c r="BE69" s="5"/>
      <c r="BF69" s="5"/>
      <c r="BG69" s="5"/>
      <c r="BH69" s="5"/>
    </row>
    <row r="70" spans="1:92" x14ac:dyDescent="0.25">
      <c r="A70" s="1">
        <v>68</v>
      </c>
      <c r="B70" s="11" t="b">
        <v>1</v>
      </c>
      <c r="C70" s="11" t="b">
        <v>1</v>
      </c>
      <c r="D70" s="1" t="s">
        <v>293</v>
      </c>
      <c r="E70" s="5">
        <f t="shared" si="12"/>
        <v>1.0651315789473685</v>
      </c>
      <c r="F70" s="24">
        <v>1</v>
      </c>
      <c r="G70" s="21" t="s">
        <v>223</v>
      </c>
      <c r="H70" s="20" t="s">
        <v>108</v>
      </c>
      <c r="I70" s="24">
        <f t="shared" si="16"/>
        <v>0</v>
      </c>
      <c r="J70" s="21">
        <f t="shared" si="17"/>
        <v>10</v>
      </c>
      <c r="K70" s="21">
        <f t="shared" si="18"/>
        <v>10</v>
      </c>
      <c r="L70" s="22">
        <v>12</v>
      </c>
      <c r="M70" s="107" t="s">
        <v>118</v>
      </c>
      <c r="N70" s="107">
        <v>0</v>
      </c>
      <c r="O70" s="109">
        <v>0.4</v>
      </c>
      <c r="P70" s="107">
        <v>0.75</v>
      </c>
      <c r="Q70" s="5"/>
      <c r="R70" s="25"/>
      <c r="S70" s="25"/>
      <c r="T70" s="25"/>
      <c r="U70" s="107"/>
      <c r="V70" s="107"/>
      <c r="W70" s="107"/>
      <c r="X70" s="107"/>
      <c r="Y70" s="5"/>
      <c r="Z70" s="21"/>
      <c r="AA70" s="5"/>
      <c r="AB70" s="5"/>
      <c r="AC70" s="107"/>
      <c r="AD70" s="107"/>
      <c r="AE70" s="107"/>
      <c r="AF70" s="107"/>
      <c r="AG70" s="5"/>
      <c r="AH70" s="5"/>
      <c r="AI70" s="5"/>
      <c r="AJ70" s="5"/>
      <c r="AK70" s="107"/>
      <c r="AL70" s="107"/>
      <c r="AM70" s="107"/>
      <c r="AN70" s="107"/>
      <c r="AO70" s="5"/>
      <c r="AP70" s="5"/>
      <c r="AQ70" s="5"/>
      <c r="AR70" s="5"/>
      <c r="AS70" s="107"/>
      <c r="AT70" s="107"/>
      <c r="AU70" s="107"/>
      <c r="AV70" s="107"/>
      <c r="AW70" s="5"/>
      <c r="AX70" s="5"/>
      <c r="AY70" s="5"/>
      <c r="AZ70" s="5"/>
      <c r="BA70" s="107"/>
      <c r="BB70" s="107"/>
      <c r="BC70" s="107"/>
      <c r="BD70" s="107"/>
      <c r="BE70" s="5"/>
      <c r="BF70" s="5"/>
      <c r="BG70" s="5"/>
      <c r="BH70" s="5"/>
    </row>
    <row r="71" spans="1:92" x14ac:dyDescent="0.25">
      <c r="A71" s="1">
        <v>69</v>
      </c>
      <c r="B71" s="11" t="b">
        <v>1</v>
      </c>
      <c r="C71" s="11" t="b">
        <v>1</v>
      </c>
      <c r="D71" s="1" t="s">
        <v>294</v>
      </c>
      <c r="E71" s="5">
        <f t="shared" si="12"/>
        <v>1.0651315789473685</v>
      </c>
      <c r="F71" s="24">
        <v>1</v>
      </c>
      <c r="G71" s="21" t="s">
        <v>223</v>
      </c>
      <c r="H71" s="20" t="s">
        <v>108</v>
      </c>
      <c r="I71" s="24">
        <f t="shared" si="16"/>
        <v>0</v>
      </c>
      <c r="J71" s="21">
        <f t="shared" si="17"/>
        <v>10</v>
      </c>
      <c r="K71" s="21">
        <f t="shared" si="18"/>
        <v>10</v>
      </c>
      <c r="L71" s="22">
        <v>12</v>
      </c>
      <c r="M71" s="107" t="s">
        <v>118</v>
      </c>
      <c r="N71" s="107">
        <v>0</v>
      </c>
      <c r="O71" s="109">
        <v>0.8</v>
      </c>
      <c r="P71" s="107">
        <v>1.35</v>
      </c>
      <c r="Q71" s="5"/>
      <c r="R71" s="25"/>
      <c r="S71" s="25"/>
      <c r="T71" s="25"/>
      <c r="U71" s="107"/>
      <c r="V71" s="107"/>
      <c r="W71" s="107"/>
      <c r="X71" s="107"/>
      <c r="Y71" s="5"/>
      <c r="Z71" s="21"/>
      <c r="AA71" s="5"/>
      <c r="AB71" s="5"/>
      <c r="AC71" s="107"/>
      <c r="AD71" s="107"/>
      <c r="AE71" s="107"/>
      <c r="AF71" s="107"/>
      <c r="AG71" s="5"/>
      <c r="AH71" s="5"/>
      <c r="AI71" s="5"/>
      <c r="AJ71" s="5"/>
      <c r="AK71" s="107"/>
      <c r="AL71" s="107"/>
      <c r="AM71" s="107"/>
      <c r="AN71" s="107"/>
      <c r="AO71" s="5"/>
      <c r="AP71" s="5"/>
      <c r="AQ71" s="5"/>
      <c r="AR71" s="5"/>
      <c r="AS71" s="107"/>
      <c r="AT71" s="107"/>
      <c r="AU71" s="107"/>
      <c r="AV71" s="107"/>
      <c r="AW71" s="5"/>
      <c r="AX71" s="5"/>
      <c r="AY71" s="5"/>
      <c r="AZ71" s="5"/>
      <c r="BA71" s="107"/>
      <c r="BB71" s="107"/>
      <c r="BC71" s="107"/>
      <c r="BD71" s="107"/>
      <c r="BE71" s="5"/>
      <c r="BF71" s="5"/>
      <c r="BG71" s="5"/>
      <c r="BH71" s="5"/>
    </row>
    <row r="72" spans="1:92" x14ac:dyDescent="0.25">
      <c r="A72" s="1">
        <v>70</v>
      </c>
      <c r="B72" s="11" t="b">
        <v>1</v>
      </c>
      <c r="C72" s="11" t="b">
        <v>1</v>
      </c>
      <c r="D72" s="1" t="s">
        <v>295</v>
      </c>
      <c r="E72" s="5">
        <f t="shared" si="12"/>
        <v>1.0651315789473685</v>
      </c>
      <c r="F72" s="24">
        <v>1</v>
      </c>
      <c r="G72" s="21" t="s">
        <v>223</v>
      </c>
      <c r="H72" s="20" t="s">
        <v>108</v>
      </c>
      <c r="I72" s="24">
        <f t="shared" si="16"/>
        <v>0</v>
      </c>
      <c r="J72" s="21">
        <f t="shared" si="17"/>
        <v>10</v>
      </c>
      <c r="K72" s="21">
        <f t="shared" si="18"/>
        <v>10</v>
      </c>
      <c r="L72" s="22">
        <v>12</v>
      </c>
      <c r="M72" s="107" t="s">
        <v>118</v>
      </c>
      <c r="N72" s="107">
        <v>0</v>
      </c>
      <c r="O72" s="109">
        <f>sel_lvfrt_start</f>
        <v>0.85</v>
      </c>
      <c r="P72" s="107">
        <v>1.35</v>
      </c>
      <c r="Q72" s="5"/>
      <c r="R72" s="25"/>
      <c r="S72" s="25"/>
      <c r="T72" s="25"/>
      <c r="U72" s="107"/>
      <c r="V72" s="107"/>
      <c r="W72" s="107"/>
      <c r="X72" s="107"/>
      <c r="Y72" s="5"/>
      <c r="Z72" s="21"/>
      <c r="AA72" s="5"/>
      <c r="AB72" s="5"/>
      <c r="AC72" s="107"/>
      <c r="AD72" s="107"/>
      <c r="AE72" s="107"/>
      <c r="AF72" s="107"/>
      <c r="AG72" s="5"/>
      <c r="AH72" s="5"/>
      <c r="AI72" s="5"/>
      <c r="AJ72" s="5"/>
      <c r="AK72" s="107"/>
      <c r="AL72" s="107"/>
      <c r="AM72" s="107"/>
      <c r="AN72" s="107"/>
      <c r="AO72" s="5"/>
      <c r="AP72" s="5"/>
      <c r="AQ72" s="5"/>
      <c r="AR72" s="5"/>
      <c r="AS72" s="107"/>
      <c r="AT72" s="107"/>
      <c r="AU72" s="107"/>
      <c r="AV72" s="107"/>
      <c r="AW72" s="5"/>
      <c r="AX72" s="5"/>
      <c r="AY72" s="5"/>
      <c r="AZ72" s="5"/>
      <c r="BA72" s="107"/>
      <c r="BB72" s="107"/>
      <c r="BC72" s="107"/>
      <c r="BD72" s="107"/>
      <c r="BE72" s="5"/>
      <c r="BF72" s="5"/>
      <c r="BG72" s="5"/>
      <c r="BH72" s="5"/>
    </row>
    <row r="73" spans="1:92" x14ac:dyDescent="0.25">
      <c r="A73" s="1">
        <v>71</v>
      </c>
      <c r="B73" s="11" t="b">
        <v>1</v>
      </c>
      <c r="C73" s="11" t="b">
        <v>1</v>
      </c>
      <c r="D73" s="1" t="s">
        <v>296</v>
      </c>
      <c r="E73" s="5">
        <f t="shared" si="12"/>
        <v>1.0651315789473685</v>
      </c>
      <c r="F73" s="24">
        <v>1</v>
      </c>
      <c r="G73" s="21" t="s">
        <v>223</v>
      </c>
      <c r="H73" s="20" t="s">
        <v>108</v>
      </c>
      <c r="I73" s="24">
        <f t="shared" si="16"/>
        <v>0</v>
      </c>
      <c r="J73" s="21">
        <f t="shared" si="17"/>
        <v>10</v>
      </c>
      <c r="K73" s="21">
        <f t="shared" si="18"/>
        <v>10</v>
      </c>
      <c r="L73" s="22">
        <v>12</v>
      </c>
      <c r="M73" s="107" t="s">
        <v>119</v>
      </c>
      <c r="N73" s="107">
        <v>0</v>
      </c>
      <c r="O73" s="109">
        <f>sel_ures</f>
        <v>0</v>
      </c>
      <c r="P73" s="107">
        <f>IF(O73&lt;sel_ures,0,
IF(AND(sel_uclear&gt;=O73, O73&gt;=sel_ures),sel_tclear,
IF(AND(sel_urec1&gt;=O73,O73&gt;sel_uclear),IF(sel_urec1&gt;sel_uclear,sel_tclear+(O73-sel_uclear)*(sel_trec1-sel_tclear)/(sel_urec1-sel_uclear),sel_tclear),
IF(AND(sel_urec2&gt;=O73,O73&gt;sel_urec1),IF(sel_urec2&gt;sel_urec1,sel_trec2+(O73-sel_urec1)*(sel_trec3-sel_trec2)/(sel_urec2-sel_urec1),-99999),5
))))</f>
        <v>0.15</v>
      </c>
      <c r="Q73" s="5"/>
      <c r="R73" s="5"/>
      <c r="S73" s="5"/>
      <c r="T73" s="5"/>
      <c r="U73" s="107"/>
      <c r="V73" s="107"/>
      <c r="W73" s="107"/>
      <c r="X73" s="107"/>
      <c r="Y73" s="5"/>
      <c r="Z73" s="21"/>
      <c r="AA73" s="5"/>
      <c r="AB73" s="5"/>
      <c r="AC73" s="107"/>
      <c r="AD73" s="107"/>
      <c r="AE73" s="107"/>
      <c r="AF73" s="107"/>
      <c r="AG73" s="5"/>
      <c r="AH73" s="5"/>
      <c r="AI73" s="5"/>
      <c r="AJ73" s="5"/>
      <c r="AK73" s="107"/>
      <c r="AL73" s="107"/>
      <c r="AM73" s="107"/>
      <c r="AN73" s="107"/>
      <c r="AO73" s="5"/>
      <c r="AP73" s="5"/>
      <c r="AQ73" s="5"/>
      <c r="AR73" s="5"/>
      <c r="AS73" s="107"/>
      <c r="AT73" s="107"/>
      <c r="AU73" s="107"/>
      <c r="AV73" s="107"/>
      <c r="AW73" s="5"/>
      <c r="AX73" s="5"/>
      <c r="AY73" s="5"/>
      <c r="AZ73" s="5"/>
      <c r="BA73" s="107"/>
      <c r="BB73" s="107"/>
      <c r="BC73" s="107"/>
      <c r="BD73" s="107"/>
      <c r="BE73" s="5"/>
      <c r="BF73" s="5"/>
      <c r="BG73" s="5"/>
      <c r="BH73" s="5"/>
    </row>
    <row r="74" spans="1:92" x14ac:dyDescent="0.25">
      <c r="A74" s="1">
        <v>72</v>
      </c>
      <c r="B74" s="11" t="b">
        <v>1</v>
      </c>
      <c r="C74" s="11" t="b">
        <v>1</v>
      </c>
      <c r="D74" s="1" t="s">
        <v>297</v>
      </c>
      <c r="E74" s="5">
        <f t="shared" si="12"/>
        <v>1.0651315789473685</v>
      </c>
      <c r="F74" s="24">
        <v>1</v>
      </c>
      <c r="G74" s="21" t="s">
        <v>223</v>
      </c>
      <c r="H74" s="20" t="s">
        <v>108</v>
      </c>
      <c r="I74" s="24">
        <f t="shared" si="16"/>
        <v>0</v>
      </c>
      <c r="J74" s="21">
        <f t="shared" si="17"/>
        <v>10</v>
      </c>
      <c r="K74" s="21">
        <f t="shared" si="18"/>
        <v>10</v>
      </c>
      <c r="L74" s="22">
        <v>12</v>
      </c>
      <c r="M74" s="107" t="s">
        <v>119</v>
      </c>
      <c r="N74" s="107">
        <v>0</v>
      </c>
      <c r="O74" s="109">
        <v>0.2</v>
      </c>
      <c r="P74" s="107">
        <v>0.45</v>
      </c>
      <c r="Q74" s="5"/>
      <c r="R74" s="5"/>
      <c r="S74" s="5"/>
      <c r="T74" s="5"/>
      <c r="U74" s="107"/>
      <c r="V74" s="117"/>
      <c r="W74" s="117"/>
      <c r="X74" s="117"/>
      <c r="Y74" s="5"/>
      <c r="Z74" s="89"/>
      <c r="AA74" s="25"/>
      <c r="AB74" s="25"/>
      <c r="AC74" s="107"/>
      <c r="AD74" s="117"/>
      <c r="AE74" s="117"/>
      <c r="AF74" s="117"/>
      <c r="AG74" s="5"/>
      <c r="AH74" s="5"/>
      <c r="AI74" s="5"/>
      <c r="AJ74" s="5"/>
      <c r="AK74" s="107"/>
      <c r="AL74" s="107"/>
      <c r="AM74" s="107"/>
      <c r="AN74" s="107"/>
      <c r="AO74" s="5"/>
      <c r="AP74" s="5"/>
      <c r="AQ74" s="5"/>
      <c r="AR74" s="5"/>
      <c r="AS74" s="107"/>
      <c r="AT74" s="107"/>
      <c r="AU74" s="107"/>
      <c r="AV74" s="107"/>
      <c r="AW74" s="5"/>
      <c r="AX74" s="5"/>
      <c r="AY74" s="5"/>
      <c r="AZ74" s="5"/>
      <c r="BA74" s="107"/>
      <c r="BB74" s="107"/>
      <c r="BC74" s="107"/>
      <c r="BD74" s="107"/>
      <c r="BE74" s="5"/>
      <c r="BF74" s="5"/>
      <c r="BG74" s="5"/>
      <c r="BH74" s="5"/>
    </row>
    <row r="75" spans="1:92" x14ac:dyDescent="0.25">
      <c r="A75" s="1">
        <v>73</v>
      </c>
      <c r="B75" s="11" t="b">
        <v>1</v>
      </c>
      <c r="C75" s="11" t="b">
        <v>1</v>
      </c>
      <c r="D75" s="1" t="s">
        <v>298</v>
      </c>
      <c r="E75" s="5">
        <f t="shared" si="12"/>
        <v>1.0651315789473685</v>
      </c>
      <c r="F75" s="24">
        <v>1</v>
      </c>
      <c r="G75" s="21" t="s">
        <v>223</v>
      </c>
      <c r="H75" s="20" t="s">
        <v>108</v>
      </c>
      <c r="I75" s="24">
        <f t="shared" si="16"/>
        <v>0</v>
      </c>
      <c r="J75" s="21">
        <f t="shared" si="17"/>
        <v>10</v>
      </c>
      <c r="K75" s="21">
        <f t="shared" si="18"/>
        <v>10</v>
      </c>
      <c r="L75" s="22">
        <v>12</v>
      </c>
      <c r="M75" s="107" t="s">
        <v>119</v>
      </c>
      <c r="N75" s="107">
        <v>0</v>
      </c>
      <c r="O75" s="109">
        <v>0.4</v>
      </c>
      <c r="P75" s="107">
        <v>0.75</v>
      </c>
      <c r="Q75" s="5"/>
      <c r="R75" s="5"/>
      <c r="S75" s="5"/>
      <c r="T75" s="5"/>
      <c r="U75" s="107"/>
      <c r="V75" s="117"/>
      <c r="W75" s="117"/>
      <c r="X75" s="117"/>
      <c r="Y75" s="5"/>
      <c r="Z75" s="89"/>
      <c r="AA75" s="25"/>
      <c r="AB75" s="25"/>
      <c r="AC75" s="107"/>
      <c r="AD75" s="117"/>
      <c r="AE75" s="117"/>
      <c r="AF75" s="117"/>
      <c r="AG75" s="5"/>
      <c r="AH75" s="5"/>
      <c r="AI75" s="5"/>
      <c r="AJ75" s="5"/>
      <c r="AK75" s="107"/>
      <c r="AL75" s="107"/>
      <c r="AM75" s="107"/>
      <c r="AN75" s="107"/>
      <c r="AO75" s="5"/>
      <c r="AP75" s="5"/>
      <c r="AQ75" s="5"/>
      <c r="AR75" s="5"/>
      <c r="AS75" s="107"/>
      <c r="AT75" s="107"/>
      <c r="AU75" s="107"/>
      <c r="AV75" s="107"/>
      <c r="AW75" s="5"/>
      <c r="AX75" s="5"/>
      <c r="AY75" s="5"/>
      <c r="AZ75" s="5"/>
      <c r="BA75" s="107"/>
      <c r="BB75" s="107"/>
      <c r="BC75" s="107"/>
      <c r="BD75" s="107"/>
      <c r="BE75" s="5"/>
      <c r="BF75" s="5"/>
      <c r="BG75" s="5"/>
      <c r="BH75" s="5"/>
    </row>
    <row r="76" spans="1:92" s="8" customFormat="1" x14ac:dyDescent="0.25">
      <c r="A76" s="1">
        <v>74</v>
      </c>
      <c r="B76" s="11" t="b">
        <v>1</v>
      </c>
      <c r="C76" s="11" t="b">
        <v>1</v>
      </c>
      <c r="D76" s="1" t="s">
        <v>299</v>
      </c>
      <c r="E76" s="5">
        <f t="shared" si="12"/>
        <v>1.0651315789473685</v>
      </c>
      <c r="F76" s="24">
        <v>1</v>
      </c>
      <c r="G76" s="21" t="s">
        <v>223</v>
      </c>
      <c r="H76" s="20" t="s">
        <v>108</v>
      </c>
      <c r="I76" s="24">
        <f t="shared" si="16"/>
        <v>0</v>
      </c>
      <c r="J76" s="21">
        <f t="shared" si="17"/>
        <v>10</v>
      </c>
      <c r="K76" s="21">
        <f t="shared" si="18"/>
        <v>10</v>
      </c>
      <c r="L76" s="22">
        <v>12</v>
      </c>
      <c r="M76" s="107" t="s">
        <v>119</v>
      </c>
      <c r="N76" s="107">
        <v>0</v>
      </c>
      <c r="O76" s="109">
        <v>0.8</v>
      </c>
      <c r="P76" s="107">
        <v>1.35</v>
      </c>
      <c r="Q76" s="5"/>
      <c r="R76" s="5"/>
      <c r="S76" s="5"/>
      <c r="T76" s="5"/>
      <c r="U76" s="107"/>
      <c r="V76" s="117"/>
      <c r="W76" s="117"/>
      <c r="X76" s="117"/>
      <c r="Y76" s="5"/>
      <c r="Z76" s="89"/>
      <c r="AA76" s="25"/>
      <c r="AB76" s="25"/>
      <c r="AC76" s="107"/>
      <c r="AD76" s="117"/>
      <c r="AE76" s="117"/>
      <c r="AF76" s="117"/>
      <c r="AG76" s="5"/>
      <c r="AH76" s="5"/>
      <c r="AI76" s="5"/>
      <c r="AJ76" s="5"/>
      <c r="AK76" s="107"/>
      <c r="AL76" s="107"/>
      <c r="AM76" s="107"/>
      <c r="AN76" s="107"/>
      <c r="AO76" s="5"/>
      <c r="AP76" s="5"/>
      <c r="AQ76" s="5"/>
      <c r="AR76" s="5"/>
      <c r="AS76" s="107"/>
      <c r="AT76" s="107"/>
      <c r="AU76" s="107"/>
      <c r="AV76" s="107"/>
      <c r="AW76" s="5"/>
      <c r="AX76" s="5"/>
      <c r="AY76" s="5"/>
      <c r="AZ76" s="5"/>
      <c r="BA76" s="107"/>
      <c r="BB76" s="107"/>
      <c r="BC76" s="107"/>
      <c r="BD76" s="107"/>
      <c r="BE76" s="5"/>
      <c r="BF76" s="5"/>
      <c r="BG76" s="5"/>
      <c r="BH76" s="5"/>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row>
    <row r="77" spans="1:92" s="8" customFormat="1" x14ac:dyDescent="0.25">
      <c r="A77" s="1">
        <v>75</v>
      </c>
      <c r="B77" s="11" t="b">
        <v>1</v>
      </c>
      <c r="C77" s="11" t="b">
        <v>1</v>
      </c>
      <c r="D77" s="1" t="s">
        <v>300</v>
      </c>
      <c r="E77" s="5">
        <f t="shared" si="12"/>
        <v>1.0651315789473685</v>
      </c>
      <c r="F77" s="24">
        <v>1</v>
      </c>
      <c r="G77" s="21" t="s">
        <v>223</v>
      </c>
      <c r="H77" s="20" t="s">
        <v>108</v>
      </c>
      <c r="I77" s="24">
        <f t="shared" si="16"/>
        <v>0</v>
      </c>
      <c r="J77" s="21">
        <f t="shared" si="17"/>
        <v>10</v>
      </c>
      <c r="K77" s="21">
        <f t="shared" si="18"/>
        <v>10</v>
      </c>
      <c r="L77" s="22">
        <v>12</v>
      </c>
      <c r="M77" s="107" t="s">
        <v>119</v>
      </c>
      <c r="N77" s="107">
        <v>0</v>
      </c>
      <c r="O77" s="109">
        <f>sel_lvfrt_start</f>
        <v>0.85</v>
      </c>
      <c r="P77" s="107">
        <v>1.35</v>
      </c>
      <c r="Q77" s="5"/>
      <c r="R77" s="5"/>
      <c r="S77" s="5"/>
      <c r="T77" s="5"/>
      <c r="U77" s="107"/>
      <c r="V77" s="107"/>
      <c r="W77" s="107"/>
      <c r="X77" s="107"/>
      <c r="Y77" s="5"/>
      <c r="Z77" s="5"/>
      <c r="AA77" s="5"/>
      <c r="AB77" s="5"/>
      <c r="AC77" s="107"/>
      <c r="AD77" s="107"/>
      <c r="AE77" s="107"/>
      <c r="AF77" s="107"/>
      <c r="AG77" s="5"/>
      <c r="AH77" s="5"/>
      <c r="AI77" s="5"/>
      <c r="AJ77" s="5"/>
      <c r="AK77" s="107"/>
      <c r="AL77" s="107"/>
      <c r="AM77" s="107"/>
      <c r="AN77" s="107"/>
      <c r="AO77" s="5"/>
      <c r="AP77" s="5"/>
      <c r="AQ77" s="5"/>
      <c r="AR77" s="5"/>
      <c r="AS77" s="107"/>
      <c r="AT77" s="117"/>
      <c r="AU77" s="117"/>
      <c r="AV77" s="117"/>
      <c r="AW77" s="5"/>
      <c r="AX77" s="5"/>
      <c r="AY77" s="5"/>
      <c r="AZ77" s="5"/>
      <c r="BA77" s="107"/>
      <c r="BB77" s="117"/>
      <c r="BC77" s="117"/>
      <c r="BD77" s="117"/>
      <c r="BE77" s="5"/>
      <c r="BF77" s="5"/>
      <c r="BG77" s="5"/>
      <c r="BH77" s="5"/>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row>
    <row r="78" spans="1:92" s="8" customFormat="1" x14ac:dyDescent="0.25">
      <c r="A78" s="1">
        <v>76</v>
      </c>
      <c r="B78" s="11" t="b">
        <v>1</v>
      </c>
      <c r="C78" s="11" t="b">
        <v>1</v>
      </c>
      <c r="D78" s="1" t="s">
        <v>301</v>
      </c>
      <c r="E78" s="5">
        <f t="shared" si="12"/>
        <v>1.0651315789473685</v>
      </c>
      <c r="F78" s="24">
        <v>1</v>
      </c>
      <c r="G78" s="21" t="s">
        <v>223</v>
      </c>
      <c r="H78" s="20" t="s">
        <v>108</v>
      </c>
      <c r="I78" s="24">
        <f t="shared" si="16"/>
        <v>0</v>
      </c>
      <c r="J78" s="21">
        <f t="shared" si="17"/>
        <v>10</v>
      </c>
      <c r="K78" s="21">
        <f t="shared" si="18"/>
        <v>10</v>
      </c>
      <c r="L78" s="22">
        <v>12</v>
      </c>
      <c r="M78" s="107" t="s">
        <v>120</v>
      </c>
      <c r="N78" s="107">
        <v>0</v>
      </c>
      <c r="O78" s="109">
        <f>sel_ures</f>
        <v>0</v>
      </c>
      <c r="P78" s="107">
        <f>IF(O78&lt;sel_ures,0,
IF(AND(sel_uclear&gt;=O78, O78&gt;=sel_ures),sel_tclear,
IF(AND(sel_urec1&gt;=O78,O78&gt;sel_uclear),IF(sel_urec1&gt;sel_uclear,sel_tclear+(O78-sel_uclear)*(sel_trec1-sel_tclear)/(sel_urec1-sel_uclear),sel_tclear),
IF(AND(sel_urec2&gt;=O78,O78&gt;sel_urec1),IF(sel_urec2&gt;sel_urec1,sel_trec2+(O78-sel_urec1)*(sel_trec3-sel_trec2)/(sel_urec2-sel_urec1),-99999),5
))))</f>
        <v>0.15</v>
      </c>
      <c r="Q78" s="5"/>
      <c r="R78" s="5"/>
      <c r="S78" s="5"/>
      <c r="T78" s="5"/>
      <c r="U78" s="107"/>
      <c r="V78" s="107"/>
      <c r="W78" s="107"/>
      <c r="X78" s="107"/>
      <c r="Y78" s="5"/>
      <c r="Z78" s="5"/>
      <c r="AA78" s="5"/>
      <c r="AB78" s="5"/>
      <c r="AC78" s="107"/>
      <c r="AD78" s="107"/>
      <c r="AE78" s="107"/>
      <c r="AF78" s="107"/>
      <c r="AG78" s="5"/>
      <c r="AH78" s="5"/>
      <c r="AI78" s="5"/>
      <c r="AJ78" s="5"/>
      <c r="AK78" s="107"/>
      <c r="AL78" s="117"/>
      <c r="AM78" s="117"/>
      <c r="AN78" s="117"/>
      <c r="AO78" s="5"/>
      <c r="AP78" s="5"/>
      <c r="AQ78" s="5"/>
      <c r="AR78" s="5"/>
      <c r="AS78" s="107"/>
      <c r="AT78" s="117"/>
      <c r="AU78" s="117"/>
      <c r="AV78" s="117"/>
      <c r="AW78" s="5"/>
      <c r="AX78" s="5"/>
      <c r="AY78" s="5"/>
      <c r="AZ78" s="5"/>
      <c r="BA78" s="107"/>
      <c r="BB78" s="117"/>
      <c r="BC78" s="117"/>
      <c r="BD78" s="117"/>
      <c r="BE78" s="5"/>
      <c r="BF78" s="5"/>
      <c r="BG78" s="5"/>
      <c r="BH78" s="5"/>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row>
    <row r="79" spans="1:92" x14ac:dyDescent="0.25">
      <c r="A79" s="1">
        <v>77</v>
      </c>
      <c r="B79" s="11" t="b">
        <v>1</v>
      </c>
      <c r="C79" s="11" t="b">
        <v>1</v>
      </c>
      <c r="D79" s="1" t="s">
        <v>302</v>
      </c>
      <c r="E79" s="5">
        <f t="shared" si="12"/>
        <v>1.0651315789473685</v>
      </c>
      <c r="F79" s="24">
        <v>1</v>
      </c>
      <c r="G79" s="21" t="s">
        <v>223</v>
      </c>
      <c r="H79" s="20" t="s">
        <v>108</v>
      </c>
      <c r="I79" s="24">
        <f t="shared" si="16"/>
        <v>0</v>
      </c>
      <c r="J79" s="21">
        <f t="shared" si="17"/>
        <v>10</v>
      </c>
      <c r="K79" s="21">
        <f t="shared" si="18"/>
        <v>10</v>
      </c>
      <c r="L79" s="22">
        <v>12</v>
      </c>
      <c r="M79" s="107" t="s">
        <v>120</v>
      </c>
      <c r="N79" s="107">
        <v>0</v>
      </c>
      <c r="O79" s="109">
        <v>0.2</v>
      </c>
      <c r="P79" s="107">
        <v>0.45</v>
      </c>
      <c r="Q79" s="5"/>
      <c r="R79" s="5"/>
      <c r="S79" s="5"/>
      <c r="T79" s="5"/>
      <c r="U79" s="107"/>
      <c r="V79" s="107"/>
      <c r="W79" s="107"/>
      <c r="X79" s="107"/>
      <c r="Y79" s="5"/>
      <c r="Z79" s="5"/>
      <c r="AA79" s="5"/>
      <c r="AB79" s="5"/>
      <c r="AC79" s="107"/>
      <c r="AD79" s="107"/>
      <c r="AE79" s="107"/>
      <c r="AF79" s="107"/>
      <c r="AG79" s="5"/>
      <c r="AH79" s="5"/>
      <c r="AI79" s="5"/>
      <c r="AJ79" s="5"/>
      <c r="AK79" s="107"/>
      <c r="AL79" s="117"/>
      <c r="AM79" s="117"/>
      <c r="AN79" s="117"/>
      <c r="AO79" s="5"/>
      <c r="AP79" s="5"/>
      <c r="AQ79" s="5"/>
      <c r="AR79" s="5"/>
      <c r="AS79" s="107"/>
      <c r="AT79" s="117"/>
      <c r="AU79" s="117"/>
      <c r="AV79" s="117"/>
      <c r="AW79" s="5"/>
      <c r="AX79" s="5"/>
      <c r="AY79" s="5"/>
      <c r="AZ79" s="5"/>
      <c r="BA79" s="107"/>
      <c r="BB79" s="117"/>
      <c r="BC79" s="117"/>
      <c r="BD79" s="117"/>
      <c r="BE79" s="5"/>
      <c r="BF79" s="5"/>
      <c r="BG79" s="5"/>
      <c r="BH79" s="5"/>
    </row>
    <row r="80" spans="1:92" x14ac:dyDescent="0.25">
      <c r="A80" s="1">
        <v>78</v>
      </c>
      <c r="B80" s="11" t="b">
        <v>1</v>
      </c>
      <c r="C80" s="11" t="b">
        <v>1</v>
      </c>
      <c r="D80" s="1" t="s">
        <v>303</v>
      </c>
      <c r="E80" s="5">
        <f t="shared" si="12"/>
        <v>1.0651315789473685</v>
      </c>
      <c r="F80" s="24">
        <v>1</v>
      </c>
      <c r="G80" s="21" t="s">
        <v>223</v>
      </c>
      <c r="H80" s="20" t="s">
        <v>108</v>
      </c>
      <c r="I80" s="24">
        <f t="shared" si="16"/>
        <v>0</v>
      </c>
      <c r="J80" s="21">
        <f t="shared" si="17"/>
        <v>10</v>
      </c>
      <c r="K80" s="21">
        <f t="shared" si="18"/>
        <v>10</v>
      </c>
      <c r="L80" s="22">
        <v>12</v>
      </c>
      <c r="M80" s="107" t="s">
        <v>120</v>
      </c>
      <c r="N80" s="107">
        <v>0</v>
      </c>
      <c r="O80" s="109">
        <v>0.4</v>
      </c>
      <c r="P80" s="107">
        <v>0.75</v>
      </c>
      <c r="Q80" s="5"/>
      <c r="R80" s="5"/>
      <c r="S80" s="5"/>
      <c r="T80" s="5"/>
      <c r="U80" s="107"/>
      <c r="V80" s="107"/>
      <c r="W80" s="107"/>
      <c r="X80" s="107"/>
      <c r="Y80" s="5"/>
      <c r="Z80" s="5"/>
      <c r="AA80" s="5"/>
      <c r="AB80" s="5"/>
      <c r="AC80" s="107"/>
      <c r="AD80" s="107"/>
      <c r="AE80" s="107"/>
      <c r="AF80" s="107"/>
      <c r="AG80" s="5"/>
      <c r="AH80" s="5"/>
      <c r="AI80" s="5"/>
      <c r="AJ80" s="5"/>
      <c r="AK80" s="107"/>
      <c r="AL80" s="107"/>
      <c r="AM80" s="107"/>
      <c r="AN80" s="107"/>
      <c r="AO80" s="5"/>
      <c r="AP80" s="5"/>
      <c r="AQ80" s="5"/>
      <c r="AR80" s="5"/>
      <c r="AS80" s="107"/>
      <c r="AT80" s="107"/>
      <c r="AU80" s="107"/>
      <c r="AV80" s="107"/>
      <c r="AW80" s="5"/>
      <c r="AX80" s="5"/>
      <c r="AY80" s="5"/>
      <c r="AZ80" s="5"/>
      <c r="BA80" s="107"/>
      <c r="BB80" s="107"/>
      <c r="BC80" s="107"/>
      <c r="BD80" s="107"/>
      <c r="BE80" s="5"/>
      <c r="BF80" s="5"/>
      <c r="BG80" s="5"/>
      <c r="BH80" s="5"/>
    </row>
    <row r="81" spans="1:60" x14ac:dyDescent="0.25">
      <c r="A81" s="1">
        <v>79</v>
      </c>
      <c r="B81" s="11" t="b">
        <v>1</v>
      </c>
      <c r="C81" s="11" t="b">
        <v>1</v>
      </c>
      <c r="D81" s="1" t="s">
        <v>304</v>
      </c>
      <c r="E81" s="5">
        <f t="shared" si="12"/>
        <v>1.0651315789473685</v>
      </c>
      <c r="F81" s="24">
        <v>1</v>
      </c>
      <c r="G81" s="21" t="s">
        <v>223</v>
      </c>
      <c r="H81" s="20" t="s">
        <v>108</v>
      </c>
      <c r="I81" s="24">
        <f t="shared" si="16"/>
        <v>0</v>
      </c>
      <c r="J81" s="21">
        <f t="shared" si="17"/>
        <v>10</v>
      </c>
      <c r="K81" s="21">
        <f t="shared" si="18"/>
        <v>10</v>
      </c>
      <c r="L81" s="22">
        <v>12</v>
      </c>
      <c r="M81" s="107" t="s">
        <v>120</v>
      </c>
      <c r="N81" s="107">
        <v>0</v>
      </c>
      <c r="O81" s="109">
        <v>0.8</v>
      </c>
      <c r="P81" s="107">
        <v>1.35</v>
      </c>
      <c r="Q81" s="5"/>
      <c r="R81" s="5"/>
      <c r="S81" s="5"/>
      <c r="T81" s="5"/>
      <c r="U81" s="107"/>
      <c r="V81" s="107"/>
      <c r="W81" s="107"/>
      <c r="X81" s="107"/>
      <c r="Y81" s="5"/>
      <c r="Z81" s="5"/>
      <c r="AA81" s="5"/>
      <c r="AB81" s="5"/>
      <c r="AC81" s="107"/>
      <c r="AD81" s="107"/>
      <c r="AE81" s="107"/>
      <c r="AF81" s="107"/>
      <c r="AG81" s="5"/>
      <c r="AH81" s="5"/>
      <c r="AI81" s="5"/>
      <c r="AJ81" s="5"/>
      <c r="AK81" s="107"/>
      <c r="AL81" s="107"/>
      <c r="AM81" s="107"/>
      <c r="AN81" s="107"/>
      <c r="AO81" s="5"/>
      <c r="AP81" s="5"/>
      <c r="AQ81" s="5"/>
      <c r="AR81" s="5"/>
      <c r="AS81" s="107"/>
      <c r="AT81" s="107"/>
      <c r="AU81" s="107"/>
      <c r="AV81" s="107"/>
      <c r="AW81" s="5"/>
      <c r="AX81" s="5"/>
      <c r="AY81" s="5"/>
      <c r="AZ81" s="5"/>
      <c r="BA81" s="107"/>
      <c r="BB81" s="107"/>
      <c r="BC81" s="107"/>
      <c r="BD81" s="107"/>
      <c r="BE81" s="5"/>
      <c r="BF81" s="5"/>
      <c r="BG81" s="5"/>
      <c r="BH81" s="5"/>
    </row>
    <row r="82" spans="1:60" x14ac:dyDescent="0.25">
      <c r="A82" s="1">
        <v>80</v>
      </c>
      <c r="B82" s="11" t="b">
        <v>1</v>
      </c>
      <c r="C82" s="11" t="b">
        <v>1</v>
      </c>
      <c r="D82" s="1" t="s">
        <v>305</v>
      </c>
      <c r="E82" s="5">
        <f t="shared" si="12"/>
        <v>1.0651315789473685</v>
      </c>
      <c r="F82" s="24">
        <v>1</v>
      </c>
      <c r="G82" s="21" t="s">
        <v>223</v>
      </c>
      <c r="H82" s="20" t="s">
        <v>108</v>
      </c>
      <c r="I82" s="24">
        <f t="shared" si="16"/>
        <v>0</v>
      </c>
      <c r="J82" s="21">
        <f t="shared" si="17"/>
        <v>10</v>
      </c>
      <c r="K82" s="21">
        <f t="shared" si="18"/>
        <v>10</v>
      </c>
      <c r="L82" s="22">
        <v>12</v>
      </c>
      <c r="M82" s="107" t="s">
        <v>120</v>
      </c>
      <c r="N82" s="107">
        <v>0</v>
      </c>
      <c r="O82" s="109">
        <f>sel_lvfrt_start</f>
        <v>0.85</v>
      </c>
      <c r="P82" s="107">
        <v>1.35</v>
      </c>
      <c r="Q82" s="5"/>
      <c r="R82" s="5"/>
      <c r="S82" s="5"/>
      <c r="T82" s="5"/>
      <c r="U82" s="107"/>
      <c r="V82" s="107"/>
      <c r="W82" s="107"/>
      <c r="X82" s="107"/>
      <c r="Y82" s="5"/>
      <c r="Z82" s="5"/>
      <c r="AA82" s="5"/>
      <c r="AB82" s="5"/>
      <c r="AC82" s="107"/>
      <c r="AD82" s="107"/>
      <c r="AE82" s="107"/>
      <c r="AF82" s="107"/>
      <c r="AG82" s="5"/>
      <c r="AH82" s="5"/>
      <c r="AI82" s="5"/>
      <c r="AJ82" s="5"/>
      <c r="AK82" s="107"/>
      <c r="AL82" s="107"/>
      <c r="AM82" s="107"/>
      <c r="AN82" s="107"/>
      <c r="AO82" s="5"/>
      <c r="AP82" s="5"/>
      <c r="AQ82" s="5"/>
      <c r="AR82" s="5"/>
      <c r="AS82" s="107"/>
      <c r="AT82" s="107"/>
      <c r="AU82" s="107"/>
      <c r="AV82" s="107"/>
      <c r="AW82" s="5"/>
      <c r="AX82" s="5"/>
      <c r="AY82" s="5"/>
      <c r="AZ82" s="5"/>
      <c r="BA82" s="107"/>
      <c r="BB82" s="107"/>
      <c r="BC82" s="107"/>
      <c r="BD82" s="107"/>
      <c r="BE82" s="5"/>
      <c r="BF82" s="5"/>
      <c r="BG82" s="5"/>
      <c r="BH82" s="5"/>
    </row>
    <row r="83" spans="1:60" x14ac:dyDescent="0.25">
      <c r="A83" s="1">
        <v>81</v>
      </c>
      <c r="B83" s="11" t="b">
        <v>1</v>
      </c>
      <c r="C83" s="11" t="b">
        <v>1</v>
      </c>
      <c r="D83" s="1" t="s">
        <v>306</v>
      </c>
      <c r="E83" s="5">
        <f t="shared" si="12"/>
        <v>1.0651315789473685</v>
      </c>
      <c r="F83" s="24">
        <v>1</v>
      </c>
      <c r="G83" s="21" t="s">
        <v>223</v>
      </c>
      <c r="H83" s="20" t="s">
        <v>108</v>
      </c>
      <c r="I83" s="24">
        <f t="shared" si="16"/>
        <v>0</v>
      </c>
      <c r="J83" s="21">
        <v>-1</v>
      </c>
      <c r="K83" s="21">
        <v>0</v>
      </c>
      <c r="L83" s="22">
        <v>5</v>
      </c>
      <c r="M83" s="107" t="s">
        <v>111</v>
      </c>
      <c r="N83" s="107">
        <v>0</v>
      </c>
      <c r="O83" s="110">
        <v>0.7</v>
      </c>
      <c r="P83" s="107"/>
      <c r="Q83" s="5" t="s">
        <v>111</v>
      </c>
      <c r="R83" s="5">
        <v>0.2</v>
      </c>
      <c r="S83" s="5">
        <v>0.5</v>
      </c>
      <c r="T83" s="5"/>
      <c r="U83" s="107" t="s">
        <v>111</v>
      </c>
      <c r="V83" s="107">
        <v>0.4</v>
      </c>
      <c r="W83" s="107">
        <v>0.3</v>
      </c>
      <c r="X83" s="107"/>
      <c r="Y83" s="5" t="s">
        <v>111</v>
      </c>
      <c r="Z83" s="5">
        <v>0.6</v>
      </c>
      <c r="AA83" s="5">
        <v>1</v>
      </c>
      <c r="AB83" s="5"/>
      <c r="AC83" s="107"/>
      <c r="AD83" s="107"/>
      <c r="AE83" s="107"/>
      <c r="AF83" s="107"/>
      <c r="AG83" s="5"/>
      <c r="AH83" s="5"/>
      <c r="AI83" s="5"/>
      <c r="AJ83" s="5"/>
      <c r="AK83" s="107"/>
      <c r="AL83" s="107"/>
      <c r="AM83" s="107"/>
      <c r="AN83" s="107"/>
      <c r="AO83" s="5"/>
      <c r="AP83" s="5"/>
      <c r="AQ83" s="5"/>
      <c r="AR83" s="5"/>
      <c r="AS83" s="107"/>
      <c r="AT83" s="107"/>
      <c r="AU83" s="107"/>
      <c r="AV83" s="107"/>
      <c r="AW83" s="5"/>
      <c r="AX83" s="5"/>
      <c r="AY83" s="5"/>
      <c r="AZ83" s="5"/>
      <c r="BA83" s="107"/>
      <c r="BB83" s="107"/>
      <c r="BC83" s="107"/>
      <c r="BD83" s="107"/>
      <c r="BE83" s="5"/>
      <c r="BF83" s="5"/>
      <c r="BG83" s="5"/>
      <c r="BH83" s="5"/>
    </row>
    <row r="84" spans="1:60" s="98" customFormat="1" x14ac:dyDescent="0.25">
      <c r="A84" s="1">
        <v>82</v>
      </c>
      <c r="B84" s="99" t="b">
        <f t="shared" ref="B84:C92" si="19">inp_Un&gt;=110</f>
        <v>1</v>
      </c>
      <c r="C84" s="99" t="b">
        <f t="shared" si="19"/>
        <v>1</v>
      </c>
      <c r="D84" s="98" t="s">
        <v>307</v>
      </c>
      <c r="E84" s="100">
        <f t="shared" si="12"/>
        <v>1.0651315789473685</v>
      </c>
      <c r="F84" s="100">
        <v>1</v>
      </c>
      <c r="G84" s="102" t="s">
        <v>223</v>
      </c>
      <c r="H84" s="101" t="s">
        <v>108</v>
      </c>
      <c r="I84" s="100">
        <f t="shared" ref="I84:I92" si="20">IF(inp_default="Q(U)",E84,IF(inp_default="PF",1,0))</f>
        <v>0</v>
      </c>
      <c r="J84" s="102">
        <f t="shared" si="17"/>
        <v>10</v>
      </c>
      <c r="K84" s="102">
        <f t="shared" si="18"/>
        <v>10</v>
      </c>
      <c r="L84" s="103">
        <v>15</v>
      </c>
      <c r="M84" s="108" t="s">
        <v>120</v>
      </c>
      <c r="N84" s="108">
        <v>0</v>
      </c>
      <c r="O84" s="111">
        <v>0.05</v>
      </c>
      <c r="P84" s="108">
        <v>0.15</v>
      </c>
      <c r="Q84" s="100" t="s">
        <v>120</v>
      </c>
      <c r="R84" s="100">
        <f>N84+P84+1.2</f>
        <v>1.3499999999999999</v>
      </c>
      <c r="S84" s="124">
        <v>0.05</v>
      </c>
      <c r="T84" s="100">
        <v>0.15</v>
      </c>
      <c r="U84" s="108" t="s">
        <v>120</v>
      </c>
      <c r="V84" s="108">
        <v>3</v>
      </c>
      <c r="W84" s="112">
        <v>0.2</v>
      </c>
      <c r="X84" s="108">
        <v>0.15</v>
      </c>
      <c r="Y84" s="100" t="s">
        <v>120</v>
      </c>
      <c r="Z84" s="100">
        <f>V84+X84+0.3</f>
        <v>3.4499999999999997</v>
      </c>
      <c r="AA84" s="124">
        <v>0.2</v>
      </c>
      <c r="AB84" s="100">
        <v>0.15</v>
      </c>
      <c r="AC84" s="108"/>
      <c r="AD84" s="108"/>
      <c r="AE84" s="108"/>
      <c r="AF84" s="108"/>
      <c r="AG84" s="100"/>
      <c r="AH84" s="100"/>
      <c r="AI84" s="100"/>
      <c r="AJ84" s="100"/>
      <c r="AK84" s="108"/>
      <c r="AL84" s="108"/>
      <c r="AM84" s="108"/>
      <c r="AN84" s="108"/>
      <c r="AO84" s="100"/>
      <c r="AP84" s="100"/>
      <c r="AQ84" s="100"/>
      <c r="AR84" s="100"/>
      <c r="AS84" s="108"/>
      <c r="AT84" s="108"/>
      <c r="AU84" s="108"/>
      <c r="AV84" s="108"/>
      <c r="AW84" s="100"/>
      <c r="AX84" s="100"/>
      <c r="AY84" s="100"/>
      <c r="AZ84" s="100"/>
      <c r="BA84" s="108"/>
      <c r="BB84" s="108"/>
      <c r="BC84" s="108"/>
      <c r="BD84" s="108"/>
      <c r="BE84" s="100"/>
      <c r="BF84" s="100"/>
      <c r="BG84" s="100"/>
      <c r="BH84" s="100"/>
    </row>
    <row r="85" spans="1:60" s="98" customFormat="1" x14ac:dyDescent="0.25">
      <c r="A85" s="1">
        <v>83</v>
      </c>
      <c r="B85" s="99" t="b">
        <f t="shared" si="19"/>
        <v>1</v>
      </c>
      <c r="C85" s="99" t="b">
        <f t="shared" si="19"/>
        <v>1</v>
      </c>
      <c r="D85" s="98" t="s">
        <v>308</v>
      </c>
      <c r="E85" s="100">
        <f t="shared" si="12"/>
        <v>1.0651315789473685</v>
      </c>
      <c r="F85" s="100">
        <v>1</v>
      </c>
      <c r="G85" s="102" t="s">
        <v>223</v>
      </c>
      <c r="H85" s="101" t="s">
        <v>108</v>
      </c>
      <c r="I85" s="100">
        <f t="shared" si="20"/>
        <v>0</v>
      </c>
      <c r="J85" s="102">
        <f t="shared" si="17"/>
        <v>10</v>
      </c>
      <c r="K85" s="102">
        <f t="shared" si="18"/>
        <v>10</v>
      </c>
      <c r="L85" s="103">
        <v>15</v>
      </c>
      <c r="M85" s="108" t="s">
        <v>118</v>
      </c>
      <c r="N85" s="108">
        <v>0</v>
      </c>
      <c r="O85" s="111">
        <v>0.1</v>
      </c>
      <c r="P85" s="108">
        <v>0.15</v>
      </c>
      <c r="Q85" s="100" t="s">
        <v>118</v>
      </c>
      <c r="R85" s="100">
        <f>N85+P85+1.5</f>
        <v>1.65</v>
      </c>
      <c r="S85" s="124">
        <v>0.2</v>
      </c>
      <c r="T85" s="100">
        <v>0.15</v>
      </c>
      <c r="U85" s="108"/>
      <c r="V85" s="108"/>
      <c r="W85" s="108"/>
      <c r="X85" s="108"/>
      <c r="Y85" s="100"/>
      <c r="Z85" s="100"/>
      <c r="AA85" s="100"/>
      <c r="AB85" s="100"/>
      <c r="AC85" s="108"/>
      <c r="AD85" s="108"/>
      <c r="AE85" s="108"/>
      <c r="AF85" s="108"/>
      <c r="AG85" s="100"/>
      <c r="AH85" s="100"/>
      <c r="AI85" s="100"/>
      <c r="AJ85" s="100"/>
      <c r="AK85" s="108"/>
      <c r="AL85" s="108"/>
      <c r="AM85" s="108"/>
      <c r="AN85" s="108"/>
      <c r="AO85" s="100"/>
      <c r="AP85" s="100"/>
      <c r="AQ85" s="100"/>
      <c r="AR85" s="100"/>
      <c r="AS85" s="108"/>
      <c r="AT85" s="108"/>
      <c r="AU85" s="108"/>
      <c r="AV85" s="108"/>
      <c r="AW85" s="100"/>
      <c r="AX85" s="100"/>
      <c r="AY85" s="100"/>
      <c r="AZ85" s="100"/>
      <c r="BA85" s="108"/>
      <c r="BB85" s="108"/>
      <c r="BC85" s="108"/>
      <c r="BD85" s="108"/>
      <c r="BE85" s="100"/>
      <c r="BF85" s="100"/>
      <c r="BG85" s="100"/>
      <c r="BH85" s="100"/>
    </row>
    <row r="86" spans="1:60" s="98" customFormat="1" x14ac:dyDescent="0.25">
      <c r="A86" s="1">
        <v>84</v>
      </c>
      <c r="B86" s="99" t="b">
        <f t="shared" si="19"/>
        <v>1</v>
      </c>
      <c r="C86" s="99" t="b">
        <f t="shared" si="19"/>
        <v>1</v>
      </c>
      <c r="D86" s="98" t="s">
        <v>309</v>
      </c>
      <c r="E86" s="100">
        <f t="shared" si="12"/>
        <v>1.0651315789473685</v>
      </c>
      <c r="F86" s="100">
        <v>1</v>
      </c>
      <c r="G86" s="102" t="s">
        <v>223</v>
      </c>
      <c r="H86" s="101" t="s">
        <v>108</v>
      </c>
      <c r="I86" s="100">
        <f t="shared" si="20"/>
        <v>0</v>
      </c>
      <c r="J86" s="102">
        <f t="shared" si="17"/>
        <v>10</v>
      </c>
      <c r="K86" s="102">
        <f t="shared" si="18"/>
        <v>10</v>
      </c>
      <c r="L86" s="103">
        <v>15</v>
      </c>
      <c r="M86" s="108" t="s">
        <v>121</v>
      </c>
      <c r="N86" s="108">
        <v>0</v>
      </c>
      <c r="O86" s="111">
        <v>0.1</v>
      </c>
      <c r="P86" s="108">
        <v>0.15</v>
      </c>
      <c r="Q86" s="100" t="s">
        <v>119</v>
      </c>
      <c r="R86" s="100">
        <f>N86+P86+1.5</f>
        <v>1.65</v>
      </c>
      <c r="S86" s="124">
        <v>0.2</v>
      </c>
      <c r="T86" s="100">
        <v>0.15</v>
      </c>
      <c r="U86" s="108"/>
      <c r="V86" s="108"/>
      <c r="W86" s="108"/>
      <c r="X86" s="108"/>
      <c r="Y86" s="100"/>
      <c r="Z86" s="100"/>
      <c r="AA86" s="100"/>
      <c r="AB86" s="100"/>
      <c r="AC86" s="108"/>
      <c r="AD86" s="108"/>
      <c r="AE86" s="108"/>
      <c r="AF86" s="108"/>
      <c r="AG86" s="100"/>
      <c r="AH86" s="100"/>
      <c r="AI86" s="100"/>
      <c r="AJ86" s="100"/>
      <c r="AK86" s="108"/>
      <c r="AL86" s="108"/>
      <c r="AM86" s="108"/>
      <c r="AN86" s="108"/>
      <c r="AO86" s="100"/>
      <c r="AP86" s="100"/>
      <c r="AQ86" s="100"/>
      <c r="AR86" s="100"/>
      <c r="AS86" s="108"/>
      <c r="AT86" s="108"/>
      <c r="AU86" s="108"/>
      <c r="AV86" s="108"/>
      <c r="AW86" s="100"/>
      <c r="AX86" s="100"/>
      <c r="AY86" s="100"/>
      <c r="AZ86" s="100"/>
      <c r="BA86" s="108"/>
      <c r="BB86" s="108"/>
      <c r="BC86" s="108"/>
      <c r="BD86" s="108"/>
      <c r="BE86" s="100"/>
      <c r="BF86" s="100"/>
      <c r="BG86" s="100"/>
      <c r="BH86" s="100"/>
    </row>
    <row r="87" spans="1:60" s="98" customFormat="1" x14ac:dyDescent="0.25">
      <c r="A87" s="1">
        <v>85</v>
      </c>
      <c r="B87" s="99" t="b">
        <f t="shared" si="19"/>
        <v>1</v>
      </c>
      <c r="C87" s="99" t="b">
        <f t="shared" si="19"/>
        <v>1</v>
      </c>
      <c r="D87" s="98" t="s">
        <v>310</v>
      </c>
      <c r="E87" s="100">
        <f t="shared" si="12"/>
        <v>1.0651315789473685</v>
      </c>
      <c r="F87" s="100">
        <v>1</v>
      </c>
      <c r="G87" s="102" t="s">
        <v>223</v>
      </c>
      <c r="H87" s="101" t="s">
        <v>108</v>
      </c>
      <c r="I87" s="100">
        <f t="shared" si="20"/>
        <v>0</v>
      </c>
      <c r="J87" s="102">
        <f>inp_scr_tun</f>
        <v>20</v>
      </c>
      <c r="K87" s="102">
        <f>inp_xr_tun</f>
        <v>15</v>
      </c>
      <c r="L87" s="103">
        <v>15</v>
      </c>
      <c r="M87" s="108" t="s">
        <v>118</v>
      </c>
      <c r="N87" s="108">
        <v>0</v>
      </c>
      <c r="O87" s="112">
        <v>0.05</v>
      </c>
      <c r="P87" s="108">
        <v>0.15</v>
      </c>
      <c r="Q87" s="100" t="s">
        <v>122</v>
      </c>
      <c r="R87" s="100">
        <f>N87+P87-0.001</f>
        <v>0.14899999999999999</v>
      </c>
      <c r="S87" s="100">
        <f>inp_scr_min</f>
        <v>10</v>
      </c>
      <c r="T87" s="100">
        <f>inp_xr_min</f>
        <v>10</v>
      </c>
      <c r="U87" s="108"/>
      <c r="V87" s="108"/>
      <c r="W87" s="108"/>
      <c r="X87" s="108"/>
      <c r="Y87" s="100"/>
      <c r="Z87" s="100"/>
      <c r="AA87" s="100"/>
      <c r="AB87" s="100"/>
      <c r="AC87" s="108"/>
      <c r="AD87" s="108"/>
      <c r="AE87" s="108"/>
      <c r="AF87" s="108"/>
      <c r="AG87" s="100"/>
      <c r="AH87" s="100"/>
      <c r="AI87" s="100"/>
      <c r="AJ87" s="100"/>
      <c r="AK87" s="108"/>
      <c r="AL87" s="108"/>
      <c r="AM87" s="108"/>
      <c r="AN87" s="108"/>
      <c r="AO87" s="100"/>
      <c r="AP87" s="100"/>
      <c r="AQ87" s="100"/>
      <c r="AR87" s="100"/>
      <c r="AS87" s="108"/>
      <c r="AT87" s="108"/>
      <c r="AU87" s="108"/>
      <c r="AV87" s="108"/>
      <c r="AW87" s="100"/>
      <c r="AX87" s="100"/>
      <c r="AY87" s="100"/>
      <c r="AZ87" s="100"/>
      <c r="BA87" s="108"/>
      <c r="BB87" s="108"/>
      <c r="BC87" s="108"/>
      <c r="BD87" s="108"/>
      <c r="BE87" s="100"/>
      <c r="BF87" s="100"/>
      <c r="BG87" s="100"/>
      <c r="BH87" s="100"/>
    </row>
    <row r="88" spans="1:60" s="98" customFormat="1" x14ac:dyDescent="0.25">
      <c r="A88" s="1">
        <v>86</v>
      </c>
      <c r="B88" s="99" t="b">
        <f t="shared" si="19"/>
        <v>1</v>
      </c>
      <c r="C88" s="99" t="b">
        <f t="shared" si="19"/>
        <v>1</v>
      </c>
      <c r="D88" s="98" t="s">
        <v>311</v>
      </c>
      <c r="E88" s="100">
        <f t="shared" si="12"/>
        <v>1.0651315789473685</v>
      </c>
      <c r="F88" s="100">
        <v>1</v>
      </c>
      <c r="G88" s="102" t="s">
        <v>223</v>
      </c>
      <c r="H88" s="101" t="s">
        <v>108</v>
      </c>
      <c r="I88" s="100">
        <f t="shared" si="20"/>
        <v>0</v>
      </c>
      <c r="J88" s="102">
        <f>inp_scr_tun</f>
        <v>20</v>
      </c>
      <c r="K88" s="102">
        <f>inp_xr_tun</f>
        <v>15</v>
      </c>
      <c r="L88" s="103">
        <v>15</v>
      </c>
      <c r="M88" s="108" t="s">
        <v>121</v>
      </c>
      <c r="N88" s="108">
        <v>0</v>
      </c>
      <c r="O88" s="112">
        <v>0.1</v>
      </c>
      <c r="P88" s="108">
        <v>0.15</v>
      </c>
      <c r="Q88" s="100" t="s">
        <v>122</v>
      </c>
      <c r="R88" s="100">
        <f>N88+P88-0.001</f>
        <v>0.14899999999999999</v>
      </c>
      <c r="S88" s="100">
        <f>inp_scr_min</f>
        <v>10</v>
      </c>
      <c r="T88" s="100">
        <f>inp_xr_min</f>
        <v>10</v>
      </c>
      <c r="U88" s="108"/>
      <c r="V88" s="108"/>
      <c r="W88" s="108"/>
      <c r="X88" s="108"/>
      <c r="Y88" s="100"/>
      <c r="Z88" s="100"/>
      <c r="AA88" s="100"/>
      <c r="AB88" s="100"/>
      <c r="AC88" s="108"/>
      <c r="AD88" s="108"/>
      <c r="AE88" s="108"/>
      <c r="AF88" s="108"/>
      <c r="AG88" s="100"/>
      <c r="AH88" s="100"/>
      <c r="AI88" s="100"/>
      <c r="AJ88" s="100"/>
      <c r="AK88" s="108"/>
      <c r="AL88" s="108"/>
      <c r="AM88" s="108"/>
      <c r="AN88" s="108"/>
      <c r="AO88" s="100"/>
      <c r="AP88" s="100"/>
      <c r="AQ88" s="100"/>
      <c r="AR88" s="100"/>
      <c r="AS88" s="108"/>
      <c r="AT88" s="108"/>
      <c r="AU88" s="108"/>
      <c r="AV88" s="108"/>
      <c r="AW88" s="100"/>
      <c r="AX88" s="100"/>
      <c r="AY88" s="100"/>
      <c r="AZ88" s="100"/>
      <c r="BA88" s="108"/>
      <c r="BB88" s="108"/>
      <c r="BC88" s="108"/>
      <c r="BD88" s="108"/>
      <c r="BE88" s="100"/>
      <c r="BF88" s="100"/>
      <c r="BG88" s="100"/>
      <c r="BH88" s="100"/>
    </row>
    <row r="89" spans="1:60" s="98" customFormat="1" x14ac:dyDescent="0.25">
      <c r="A89" s="1">
        <v>87</v>
      </c>
      <c r="B89" s="99" t="b">
        <f t="shared" si="19"/>
        <v>1</v>
      </c>
      <c r="C89" s="99" t="b">
        <f t="shared" si="19"/>
        <v>1</v>
      </c>
      <c r="D89" s="98" t="s">
        <v>312</v>
      </c>
      <c r="E89" s="100">
        <f>inp_Uc/inp_Un</f>
        <v>1.0651315789473685</v>
      </c>
      <c r="F89" s="100">
        <v>0.5</v>
      </c>
      <c r="G89" s="102" t="s">
        <v>223</v>
      </c>
      <c r="H89" s="101" t="s">
        <v>108</v>
      </c>
      <c r="I89" s="100">
        <f t="shared" si="20"/>
        <v>0</v>
      </c>
      <c r="J89" s="102">
        <f t="shared" ref="J89:J95" si="21">inp_scr_min</f>
        <v>10</v>
      </c>
      <c r="K89" s="102">
        <f t="shared" ref="K89:K95" si="22">inp_xr_min</f>
        <v>10</v>
      </c>
      <c r="L89" s="103">
        <v>160</v>
      </c>
      <c r="M89" s="108" t="s">
        <v>110</v>
      </c>
      <c r="N89" s="108">
        <v>0</v>
      </c>
      <c r="O89" s="108">
        <f>0.25 * 50 * sel_lfsmo_droop/100 + sel_lfsmo_start</f>
        <v>50.825000000000003</v>
      </c>
      <c r="P89" s="108"/>
      <c r="Q89" s="100" t="s">
        <v>110</v>
      </c>
      <c r="R89" s="100">
        <v>20</v>
      </c>
      <c r="S89" s="100">
        <v>50</v>
      </c>
      <c r="T89" s="100"/>
      <c r="U89" s="108" t="s">
        <v>110</v>
      </c>
      <c r="V89" s="108">
        <v>40</v>
      </c>
      <c r="W89" s="108">
        <f>-0.25 * 50 * sel_lfsmu_droop/100 + sel_lfsmu_start</f>
        <v>49.174999999999997</v>
      </c>
      <c r="X89" s="108"/>
      <c r="Y89" s="100" t="s">
        <v>110</v>
      </c>
      <c r="Z89" s="102">
        <v>60</v>
      </c>
      <c r="AA89" s="100">
        <v>50</v>
      </c>
      <c r="AB89" s="100"/>
      <c r="AC89" s="108" t="s">
        <v>110</v>
      </c>
      <c r="AD89" s="108">
        <v>80</v>
      </c>
      <c r="AE89" s="108">
        <f>0.5 * 50 * sel_lfsmu_droop/100 + sel_lfsmo_start</f>
        <v>51.45</v>
      </c>
      <c r="AF89" s="108"/>
      <c r="AG89" s="100" t="s">
        <v>110</v>
      </c>
      <c r="AH89" s="100">
        <v>100</v>
      </c>
      <c r="AI89" s="100">
        <v>50</v>
      </c>
      <c r="AJ89" s="100"/>
      <c r="AK89" s="108" t="s">
        <v>110</v>
      </c>
      <c r="AL89" s="108">
        <v>120</v>
      </c>
      <c r="AM89" s="108">
        <f>-0.5 * 50 * sel_lfsmu_droop/100 + sel_lfsmu_start</f>
        <v>48.55</v>
      </c>
      <c r="AN89" s="108"/>
      <c r="AO89" s="100" t="s">
        <v>110</v>
      </c>
      <c r="AP89" s="100">
        <v>140</v>
      </c>
      <c r="AQ89" s="100">
        <v>50</v>
      </c>
      <c r="AR89" s="100"/>
      <c r="AS89" s="114"/>
      <c r="AT89" s="108"/>
      <c r="AU89" s="108"/>
      <c r="AV89" s="108"/>
      <c r="AX89" s="100"/>
      <c r="AY89" s="100"/>
      <c r="AZ89" s="100"/>
      <c r="BA89" s="114"/>
      <c r="BB89" s="108"/>
      <c r="BC89" s="108"/>
      <c r="BD89" s="108"/>
      <c r="BF89" s="100"/>
      <c r="BG89" s="100"/>
      <c r="BH89" s="100"/>
    </row>
    <row r="90" spans="1:60" s="98" customFormat="1" x14ac:dyDescent="0.25">
      <c r="A90" s="1">
        <v>88</v>
      </c>
      <c r="B90" s="99" t="b">
        <f t="shared" si="19"/>
        <v>1</v>
      </c>
      <c r="C90" s="99" t="b">
        <f t="shared" si="19"/>
        <v>1</v>
      </c>
      <c r="D90" s="98" t="s">
        <v>440</v>
      </c>
      <c r="E90" s="100">
        <f>inp_Uc/inp_Un</f>
        <v>1.0651315789473685</v>
      </c>
      <c r="F90" s="100">
        <v>0.7</v>
      </c>
      <c r="G90" s="102" t="s">
        <v>224</v>
      </c>
      <c r="H90" s="101" t="s">
        <v>108</v>
      </c>
      <c r="I90" s="100">
        <f t="shared" si="20"/>
        <v>0</v>
      </c>
      <c r="J90" s="102">
        <f t="shared" si="21"/>
        <v>10</v>
      </c>
      <c r="K90" s="102">
        <f t="shared" si="22"/>
        <v>10</v>
      </c>
      <c r="L90" s="103">
        <v>80</v>
      </c>
      <c r="M90" s="108" t="s">
        <v>110</v>
      </c>
      <c r="N90" s="108">
        <v>0</v>
      </c>
      <c r="O90" s="108">
        <v>51.5</v>
      </c>
      <c r="P90" s="108"/>
      <c r="Q90" s="100" t="s">
        <v>110</v>
      </c>
      <c r="R90" s="100">
        <v>20</v>
      </c>
      <c r="S90" s="100">
        <v>50</v>
      </c>
      <c r="T90" s="100"/>
      <c r="U90" s="108" t="s">
        <v>110</v>
      </c>
      <c r="V90" s="108">
        <v>40</v>
      </c>
      <c r="W90" s="108">
        <v>48.5</v>
      </c>
      <c r="X90" s="108"/>
      <c r="Y90" s="100" t="s">
        <v>110</v>
      </c>
      <c r="Z90" s="102">
        <v>60</v>
      </c>
      <c r="AA90" s="100">
        <v>50</v>
      </c>
      <c r="AB90" s="100"/>
      <c r="AC90" s="108"/>
      <c r="AD90" s="108"/>
      <c r="AE90" s="108"/>
      <c r="AF90" s="108"/>
      <c r="AG90" s="100"/>
      <c r="AH90" s="100"/>
      <c r="AI90" s="100"/>
      <c r="AJ90" s="100"/>
      <c r="AK90" s="108"/>
      <c r="AL90" s="108"/>
      <c r="AM90" s="108"/>
      <c r="AN90" s="108"/>
      <c r="AO90" s="100"/>
      <c r="AP90" s="100"/>
      <c r="AQ90" s="100"/>
      <c r="AR90" s="100"/>
      <c r="AS90" s="114"/>
      <c r="AT90" s="108"/>
      <c r="AU90" s="108"/>
      <c r="AV90" s="108"/>
      <c r="AX90" s="100"/>
      <c r="AY90" s="100"/>
      <c r="AZ90" s="100"/>
      <c r="BA90" s="114"/>
      <c r="BB90" s="108"/>
      <c r="BC90" s="108"/>
      <c r="BD90" s="108"/>
      <c r="BF90" s="100"/>
      <c r="BG90" s="100"/>
      <c r="BH90" s="100"/>
    </row>
    <row r="91" spans="1:60" s="98" customFormat="1" x14ac:dyDescent="0.25">
      <c r="A91" s="1">
        <v>89</v>
      </c>
      <c r="B91" s="99" t="b">
        <f t="shared" si="19"/>
        <v>1</v>
      </c>
      <c r="C91" s="99" t="b">
        <f t="shared" si="19"/>
        <v>1</v>
      </c>
      <c r="D91" s="98" t="s">
        <v>313</v>
      </c>
      <c r="E91" s="100">
        <f>inp_Uc/inp_Un</f>
        <v>1.0651315789473685</v>
      </c>
      <c r="F91" s="100">
        <v>0.7</v>
      </c>
      <c r="G91" s="101" t="s">
        <v>224</v>
      </c>
      <c r="H91" s="101" t="s">
        <v>108</v>
      </c>
      <c r="I91" s="100">
        <f t="shared" si="20"/>
        <v>0</v>
      </c>
      <c r="J91" s="102">
        <f t="shared" si="21"/>
        <v>10</v>
      </c>
      <c r="K91" s="102">
        <f t="shared" si="22"/>
        <v>10</v>
      </c>
      <c r="L91" s="103"/>
      <c r="M91" s="108" t="s">
        <v>124</v>
      </c>
      <c r="N91" s="108"/>
      <c r="O91" s="108" t="s">
        <v>125</v>
      </c>
      <c r="P91" s="108">
        <v>1</v>
      </c>
      <c r="Q91" s="100" t="s">
        <v>109</v>
      </c>
      <c r="R91" s="100">
        <v>1</v>
      </c>
      <c r="S91" s="100">
        <v>0</v>
      </c>
      <c r="T91" s="100">
        <v>0</v>
      </c>
      <c r="U91" s="114"/>
      <c r="V91" s="108"/>
      <c r="W91" s="108"/>
      <c r="X91" s="108"/>
      <c r="Z91" s="100"/>
      <c r="AA91" s="100"/>
      <c r="AB91" s="100"/>
      <c r="AC91" s="114"/>
      <c r="AD91" s="108"/>
      <c r="AE91" s="108"/>
      <c r="AF91" s="108"/>
      <c r="AH91" s="100"/>
      <c r="AI91" s="100"/>
      <c r="AJ91" s="100"/>
      <c r="AK91" s="114"/>
      <c r="AL91" s="108"/>
      <c r="AM91" s="108"/>
      <c r="AN91" s="108"/>
      <c r="AP91" s="100"/>
      <c r="AQ91" s="100"/>
      <c r="AR91" s="100"/>
      <c r="AS91" s="114"/>
      <c r="AT91" s="108"/>
      <c r="AU91" s="108"/>
      <c r="AV91" s="108"/>
      <c r="AX91" s="100"/>
      <c r="AY91" s="100"/>
      <c r="AZ91" s="100"/>
      <c r="BA91" s="114"/>
      <c r="BB91" s="108"/>
      <c r="BC91" s="108"/>
      <c r="BD91" s="108"/>
      <c r="BF91" s="100"/>
      <c r="BG91" s="100"/>
      <c r="BH91" s="100"/>
    </row>
    <row r="92" spans="1:60" s="98" customFormat="1" x14ac:dyDescent="0.25">
      <c r="A92" s="1">
        <v>90</v>
      </c>
      <c r="B92" s="99" t="b">
        <f t="shared" si="19"/>
        <v>1</v>
      </c>
      <c r="C92" s="99" t="b">
        <f t="shared" si="19"/>
        <v>1</v>
      </c>
      <c r="D92" s="98" t="s">
        <v>314</v>
      </c>
      <c r="E92" s="100">
        <f>inp_Uc/inp_Un</f>
        <v>1.0651315789473685</v>
      </c>
      <c r="F92" s="100">
        <v>0.5</v>
      </c>
      <c r="G92" s="101" t="s">
        <v>223</v>
      </c>
      <c r="H92" s="101" t="s">
        <v>108</v>
      </c>
      <c r="I92" s="100">
        <f t="shared" si="20"/>
        <v>0</v>
      </c>
      <c r="J92" s="102">
        <f t="shared" si="21"/>
        <v>10</v>
      </c>
      <c r="K92" s="102">
        <f t="shared" si="22"/>
        <v>10</v>
      </c>
      <c r="L92" s="103">
        <v>40</v>
      </c>
      <c r="M92" s="108" t="s">
        <v>110</v>
      </c>
      <c r="N92" s="108">
        <v>0</v>
      </c>
      <c r="O92" s="108"/>
      <c r="P92" s="108">
        <f xml:space="preserve"> (sel_30min_fmax-50)/20</f>
        <v>7.4999999999999997E-2</v>
      </c>
      <c r="Q92" s="100" t="s">
        <v>110</v>
      </c>
      <c r="R92" s="100">
        <v>15</v>
      </c>
      <c r="S92" s="100"/>
      <c r="T92" s="100">
        <v>0</v>
      </c>
      <c r="U92" s="108" t="s">
        <v>109</v>
      </c>
      <c r="V92" s="108">
        <v>0.1</v>
      </c>
      <c r="W92" s="108">
        <v>1</v>
      </c>
      <c r="X92" s="108"/>
      <c r="Y92" s="98" t="s">
        <v>110</v>
      </c>
      <c r="Z92" s="100">
        <v>20</v>
      </c>
      <c r="AA92" s="100"/>
      <c r="AB92" s="100">
        <v>-0.125</v>
      </c>
      <c r="AC92" s="114" t="s">
        <v>110</v>
      </c>
      <c r="AD92" s="108">
        <v>29</v>
      </c>
      <c r="AE92" s="108">
        <v>50</v>
      </c>
      <c r="AF92" s="108">
        <v>0</v>
      </c>
      <c r="AH92" s="100"/>
      <c r="AI92" s="100"/>
      <c r="AJ92" s="100"/>
      <c r="AK92" s="114"/>
      <c r="AL92" s="108"/>
      <c r="AM92" s="108"/>
      <c r="AN92" s="108"/>
      <c r="AP92" s="100"/>
      <c r="AQ92" s="100"/>
      <c r="AR92" s="100"/>
      <c r="AS92" s="114"/>
      <c r="AT92" s="108"/>
      <c r="AU92" s="108"/>
      <c r="AV92" s="108"/>
      <c r="AX92" s="100"/>
      <c r="AY92" s="100"/>
      <c r="AZ92" s="100"/>
      <c r="BA92" s="114"/>
      <c r="BB92" s="108"/>
      <c r="BC92" s="108"/>
      <c r="BD92" s="108"/>
      <c r="BF92" s="100"/>
      <c r="BG92" s="100"/>
      <c r="BH92" s="100"/>
    </row>
    <row r="93" spans="1:60" s="98" customFormat="1" x14ac:dyDescent="0.25">
      <c r="A93" s="1">
        <v>91</v>
      </c>
      <c r="B93" s="99" t="b">
        <f t="shared" ref="B93:C124" si="23">inp_Un&gt;=110</f>
        <v>1</v>
      </c>
      <c r="C93" s="99" t="b">
        <f t="shared" si="23"/>
        <v>1</v>
      </c>
      <c r="D93" s="98" t="s">
        <v>315</v>
      </c>
      <c r="E93" s="100">
        <f t="shared" ref="E93:E114" si="24">inp_Uc/inp_Un</f>
        <v>1.0651315789473685</v>
      </c>
      <c r="F93" s="100">
        <v>0.7</v>
      </c>
      <c r="G93" s="102" t="s">
        <v>223</v>
      </c>
      <c r="H93" s="101" t="s">
        <v>23</v>
      </c>
      <c r="I93" s="100">
        <v>0.1</v>
      </c>
      <c r="J93" s="102">
        <f t="shared" si="21"/>
        <v>10</v>
      </c>
      <c r="K93" s="102">
        <f t="shared" si="22"/>
        <v>10</v>
      </c>
      <c r="L93" s="103">
        <v>40</v>
      </c>
      <c r="M93" s="108" t="s">
        <v>114</v>
      </c>
      <c r="N93" s="108">
        <v>0</v>
      </c>
      <c r="O93" s="108">
        <v>0.25</v>
      </c>
      <c r="P93" s="108"/>
      <c r="Q93" s="100" t="s">
        <v>110</v>
      </c>
      <c r="R93" s="100">
        <v>1</v>
      </c>
      <c r="S93" s="100">
        <v>51</v>
      </c>
      <c r="T93" s="120"/>
      <c r="U93" s="108" t="s">
        <v>110</v>
      </c>
      <c r="V93" s="108">
        <v>25</v>
      </c>
      <c r="W93" s="108">
        <v>50</v>
      </c>
      <c r="X93" s="108"/>
      <c r="Y93" s="100" t="s">
        <v>114</v>
      </c>
      <c r="Z93" s="102">
        <v>27</v>
      </c>
      <c r="AA93" s="100">
        <v>0.1</v>
      </c>
      <c r="AB93" s="100"/>
      <c r="AC93" s="114"/>
      <c r="AD93" s="108"/>
      <c r="AE93" s="108"/>
      <c r="AF93" s="108"/>
      <c r="AH93" s="100"/>
      <c r="AI93" s="100"/>
      <c r="AJ93" s="100"/>
      <c r="AK93" s="114"/>
      <c r="AL93" s="108"/>
      <c r="AM93" s="108"/>
      <c r="AN93" s="108"/>
      <c r="AP93" s="100"/>
      <c r="AQ93" s="100"/>
      <c r="AR93" s="100"/>
      <c r="AS93" s="114"/>
      <c r="AT93" s="108"/>
      <c r="AU93" s="108"/>
      <c r="AV93" s="108"/>
      <c r="AX93" s="100"/>
      <c r="AY93" s="100"/>
      <c r="AZ93" s="100"/>
      <c r="BA93" s="114"/>
      <c r="BB93" s="108"/>
      <c r="BC93" s="108"/>
      <c r="BD93" s="108"/>
      <c r="BF93" s="100"/>
      <c r="BG93" s="100"/>
      <c r="BH93" s="100"/>
    </row>
    <row r="94" spans="1:60" s="98" customFormat="1" x14ac:dyDescent="0.25">
      <c r="A94" s="1">
        <v>92</v>
      </c>
      <c r="B94" s="99" t="b">
        <f t="shared" si="23"/>
        <v>1</v>
      </c>
      <c r="C94" s="99" t="b">
        <f t="shared" si="23"/>
        <v>1</v>
      </c>
      <c r="D94" s="98" t="s">
        <v>321</v>
      </c>
      <c r="E94" s="100">
        <f t="shared" si="24"/>
        <v>1.0651315789473685</v>
      </c>
      <c r="F94" s="100">
        <v>0.7</v>
      </c>
      <c r="G94" s="102" t="s">
        <v>223</v>
      </c>
      <c r="H94" s="101" t="s">
        <v>113</v>
      </c>
      <c r="I94" s="100">
        <f>inp_Uc/inp_Un</f>
        <v>1.0651315789473685</v>
      </c>
      <c r="J94" s="102">
        <f t="shared" si="21"/>
        <v>10</v>
      </c>
      <c r="K94" s="102">
        <f t="shared" si="22"/>
        <v>10</v>
      </c>
      <c r="L94" s="121">
        <v>15</v>
      </c>
      <c r="M94" s="108" t="s">
        <v>112</v>
      </c>
      <c r="N94" s="108">
        <v>0</v>
      </c>
      <c r="O94" s="108">
        <v>-0.1</v>
      </c>
      <c r="P94" s="108"/>
      <c r="Q94" s="100" t="s">
        <v>110</v>
      </c>
      <c r="R94" s="100">
        <v>0.5</v>
      </c>
      <c r="S94" s="100"/>
      <c r="T94" s="100">
        <v>1</v>
      </c>
      <c r="U94" s="108" t="s">
        <v>110</v>
      </c>
      <c r="V94" s="108">
        <v>1.5</v>
      </c>
      <c r="W94" s="108">
        <v>51</v>
      </c>
      <c r="X94" s="108">
        <v>0</v>
      </c>
      <c r="Y94" s="100" t="s">
        <v>110</v>
      </c>
      <c r="Z94" s="100">
        <v>3.5</v>
      </c>
      <c r="AA94" s="100"/>
      <c r="AB94" s="100">
        <v>-0.5</v>
      </c>
      <c r="AC94" s="108" t="s">
        <v>110</v>
      </c>
      <c r="AD94" s="108">
        <v>5.5</v>
      </c>
      <c r="AE94" s="108">
        <v>50</v>
      </c>
      <c r="AF94" s="108">
        <v>0</v>
      </c>
      <c r="AG94" s="100" t="s">
        <v>112</v>
      </c>
      <c r="AH94" s="122">
        <v>5</v>
      </c>
      <c r="AI94" s="100">
        <v>0</v>
      </c>
      <c r="AJ94" s="100"/>
      <c r="AK94" s="114"/>
      <c r="AL94" s="108"/>
      <c r="AM94" s="108"/>
      <c r="AN94" s="108"/>
      <c r="AO94" s="100"/>
      <c r="AP94" s="100"/>
      <c r="AQ94" s="100"/>
      <c r="AR94" s="100"/>
      <c r="AS94" s="114"/>
      <c r="AT94" s="108"/>
      <c r="AU94" s="108"/>
      <c r="AV94" s="108"/>
      <c r="AX94" s="100"/>
      <c r="AY94" s="100"/>
      <c r="AZ94" s="100"/>
      <c r="BA94" s="114"/>
      <c r="BB94" s="108"/>
      <c r="BC94" s="108"/>
      <c r="BD94" s="108"/>
      <c r="BF94" s="100"/>
      <c r="BG94" s="100"/>
      <c r="BH94" s="100"/>
    </row>
    <row r="95" spans="1:60" s="98" customFormat="1" x14ac:dyDescent="0.25">
      <c r="A95" s="1">
        <v>93</v>
      </c>
      <c r="B95" s="99" t="b">
        <f t="shared" si="23"/>
        <v>1</v>
      </c>
      <c r="C95" s="99" t="b">
        <f t="shared" si="23"/>
        <v>1</v>
      </c>
      <c r="D95" s="98" t="s">
        <v>491</v>
      </c>
      <c r="E95" s="100">
        <f t="shared" si="24"/>
        <v>1.0651315789473685</v>
      </c>
      <c r="F95" s="100">
        <v>0.7</v>
      </c>
      <c r="G95" s="102" t="s">
        <v>223</v>
      </c>
      <c r="H95" s="101" t="s">
        <v>113</v>
      </c>
      <c r="I95" s="100">
        <f>inp_Uc/inp_Un</f>
        <v>1.0651315789473685</v>
      </c>
      <c r="J95" s="102">
        <f t="shared" si="21"/>
        <v>10</v>
      </c>
      <c r="K95" s="102">
        <f t="shared" si="22"/>
        <v>10</v>
      </c>
      <c r="L95" s="121">
        <v>25</v>
      </c>
      <c r="M95" s="108" t="s">
        <v>117</v>
      </c>
      <c r="N95" s="108">
        <v>0</v>
      </c>
      <c r="O95" s="108">
        <v>20</v>
      </c>
      <c r="P95" s="108"/>
      <c r="Q95" s="100" t="s">
        <v>112</v>
      </c>
      <c r="R95" s="100">
        <v>0.02</v>
      </c>
      <c r="S95" s="100">
        <v>-7.4999999999999997E-2</v>
      </c>
      <c r="T95" s="100"/>
      <c r="U95" s="108" t="s">
        <v>112</v>
      </c>
      <c r="V95" s="108">
        <v>15</v>
      </c>
      <c r="W95" s="108">
        <v>0</v>
      </c>
      <c r="X95" s="108"/>
      <c r="Y95" s="100"/>
      <c r="Z95" s="100"/>
      <c r="AA95" s="100"/>
      <c r="AB95" s="100"/>
      <c r="AC95" s="108"/>
      <c r="AD95" s="108"/>
      <c r="AE95" s="108"/>
      <c r="AF95" s="108"/>
      <c r="AG95" s="100"/>
      <c r="AH95" s="122"/>
      <c r="AI95" s="100"/>
      <c r="AJ95" s="100"/>
      <c r="AK95" s="114"/>
      <c r="AL95" s="108"/>
      <c r="AM95" s="108"/>
      <c r="AN95" s="108"/>
      <c r="AO95" s="100"/>
      <c r="AP95" s="122"/>
      <c r="AQ95" s="100"/>
      <c r="AR95" s="100"/>
      <c r="AS95" s="114"/>
      <c r="AT95" s="108"/>
      <c r="AU95" s="108"/>
      <c r="AV95" s="108"/>
      <c r="AX95" s="100"/>
      <c r="AY95" s="100"/>
      <c r="AZ95" s="100"/>
      <c r="BA95" s="114"/>
      <c r="BB95" s="108"/>
      <c r="BC95" s="108"/>
      <c r="BD95" s="108"/>
      <c r="BF95" s="100"/>
      <c r="BG95" s="100"/>
      <c r="BH95" s="100"/>
    </row>
    <row r="96" spans="1:60" s="98" customFormat="1" x14ac:dyDescent="0.25">
      <c r="A96" s="1">
        <v>94</v>
      </c>
      <c r="B96" s="99" t="b">
        <f t="shared" si="23"/>
        <v>1</v>
      </c>
      <c r="C96" s="99" t="b">
        <f t="shared" si="23"/>
        <v>1</v>
      </c>
      <c r="D96" s="98" t="s">
        <v>492</v>
      </c>
      <c r="E96" s="100">
        <f t="shared" si="24"/>
        <v>1.0651315789473685</v>
      </c>
      <c r="F96" s="100">
        <v>0.7</v>
      </c>
      <c r="G96" s="102" t="s">
        <v>223</v>
      </c>
      <c r="H96" s="101" t="s">
        <v>113</v>
      </c>
      <c r="I96" s="100">
        <f>inp_Uc/inp_Un</f>
        <v>1.0651315789473685</v>
      </c>
      <c r="J96" s="102">
        <f>inp_scr_tun</f>
        <v>20</v>
      </c>
      <c r="K96" s="102">
        <f>inp_xr_tun</f>
        <v>15</v>
      </c>
      <c r="L96" s="121">
        <v>25</v>
      </c>
      <c r="M96" s="108" t="s">
        <v>122</v>
      </c>
      <c r="N96" s="108">
        <v>0</v>
      </c>
      <c r="O96" s="108">
        <f>inp_scr_min</f>
        <v>10</v>
      </c>
      <c r="P96" s="108">
        <f>inp_xr_min</f>
        <v>10</v>
      </c>
      <c r="Q96" s="100" t="s">
        <v>112</v>
      </c>
      <c r="R96" s="100">
        <v>0.1</v>
      </c>
      <c r="S96" s="100">
        <v>-7.4999999999999997E-2</v>
      </c>
      <c r="T96" s="100"/>
      <c r="U96" s="108" t="s">
        <v>112</v>
      </c>
      <c r="V96" s="108">
        <v>15</v>
      </c>
      <c r="W96" s="108">
        <v>0</v>
      </c>
      <c r="X96" s="108"/>
      <c r="Y96" s="100"/>
      <c r="Z96" s="100"/>
      <c r="AA96" s="100"/>
      <c r="AB96" s="100"/>
      <c r="AC96" s="108"/>
      <c r="AD96" s="108"/>
      <c r="AE96" s="108"/>
      <c r="AF96" s="108"/>
      <c r="AG96" s="100"/>
      <c r="AH96" s="122"/>
      <c r="AI96" s="100"/>
      <c r="AJ96" s="100"/>
      <c r="AK96" s="114"/>
      <c r="AL96" s="108"/>
      <c r="AM96" s="108"/>
      <c r="AN96" s="108"/>
      <c r="AO96" s="100"/>
      <c r="AP96" s="122"/>
      <c r="AQ96" s="100"/>
      <c r="AR96" s="100"/>
      <c r="AS96" s="114"/>
      <c r="AT96" s="108"/>
      <c r="AU96" s="108"/>
      <c r="AV96" s="108"/>
      <c r="AX96" s="100"/>
      <c r="AY96" s="100"/>
      <c r="AZ96" s="100"/>
      <c r="BA96" s="114"/>
      <c r="BB96" s="108"/>
      <c r="BC96" s="108"/>
      <c r="BD96" s="108"/>
      <c r="BF96" s="100"/>
      <c r="BG96" s="100"/>
      <c r="BH96" s="100"/>
    </row>
    <row r="97" spans="1:60" s="98" customFormat="1" x14ac:dyDescent="0.25">
      <c r="A97" s="1">
        <v>95</v>
      </c>
      <c r="B97" s="99" t="b">
        <f t="shared" si="23"/>
        <v>1</v>
      </c>
      <c r="C97" s="99" t="b">
        <f t="shared" si="23"/>
        <v>1</v>
      </c>
      <c r="D97" s="98" t="s">
        <v>493</v>
      </c>
      <c r="E97" s="100">
        <f t="shared" si="24"/>
        <v>1.0651315789473685</v>
      </c>
      <c r="F97" s="100">
        <v>0.7</v>
      </c>
      <c r="G97" s="102" t="s">
        <v>223</v>
      </c>
      <c r="H97" s="101" t="s">
        <v>113</v>
      </c>
      <c r="I97" s="100">
        <f>inp_Uc/inp_Un</f>
        <v>1.0651315789473685</v>
      </c>
      <c r="J97" s="102">
        <f t="shared" ref="J97:J103" si="25">inp_scr_min</f>
        <v>10</v>
      </c>
      <c r="K97" s="102">
        <f t="shared" ref="K97:K103" si="26">inp_xr_min</f>
        <v>10</v>
      </c>
      <c r="L97" s="121">
        <v>25</v>
      </c>
      <c r="M97" s="108" t="s">
        <v>118</v>
      </c>
      <c r="N97" s="108">
        <v>0</v>
      </c>
      <c r="O97" s="111">
        <v>0.2</v>
      </c>
      <c r="P97" s="108">
        <v>0.45</v>
      </c>
      <c r="Q97" s="100" t="s">
        <v>112</v>
      </c>
      <c r="R97" s="100">
        <f>P97+0.001</f>
        <v>0.45100000000000001</v>
      </c>
      <c r="S97" s="100">
        <v>-7.4999999999999997E-2</v>
      </c>
      <c r="T97" s="100"/>
      <c r="U97" s="108" t="s">
        <v>112</v>
      </c>
      <c r="V97" s="108">
        <v>15</v>
      </c>
      <c r="W97" s="108">
        <v>0</v>
      </c>
      <c r="X97" s="108"/>
      <c r="Y97" s="100"/>
      <c r="Z97" s="100"/>
      <c r="AA97" s="100"/>
      <c r="AB97" s="100"/>
      <c r="AC97" s="108"/>
      <c r="AD97" s="108"/>
      <c r="AE97" s="108"/>
      <c r="AF97" s="108"/>
      <c r="AG97" s="100"/>
      <c r="AH97" s="122"/>
      <c r="AI97" s="100"/>
      <c r="AJ97" s="100"/>
      <c r="AK97" s="114"/>
      <c r="AL97" s="108"/>
      <c r="AM97" s="108"/>
      <c r="AN97" s="108"/>
      <c r="AO97" s="100"/>
      <c r="AP97" s="122"/>
      <c r="AQ97" s="100"/>
      <c r="AR97" s="100"/>
      <c r="AS97" s="114"/>
      <c r="AT97" s="108"/>
      <c r="AU97" s="108"/>
      <c r="AV97" s="108"/>
      <c r="AX97" s="100"/>
      <c r="AY97" s="100"/>
      <c r="AZ97" s="100"/>
      <c r="BA97" s="114"/>
      <c r="BB97" s="108"/>
      <c r="BC97" s="108"/>
      <c r="BD97" s="108"/>
      <c r="BF97" s="100"/>
      <c r="BG97" s="100"/>
      <c r="BH97" s="100"/>
    </row>
    <row r="98" spans="1:60" s="98" customFormat="1" x14ac:dyDescent="0.25">
      <c r="A98" s="1">
        <v>96</v>
      </c>
      <c r="B98" s="99" t="b">
        <f t="shared" si="23"/>
        <v>1</v>
      </c>
      <c r="C98" s="99" t="b">
        <f t="shared" si="23"/>
        <v>1</v>
      </c>
      <c r="D98" s="98" t="s">
        <v>456</v>
      </c>
      <c r="E98" s="100">
        <f t="shared" si="24"/>
        <v>1.0651315789473685</v>
      </c>
      <c r="F98" s="100">
        <v>1</v>
      </c>
      <c r="G98" s="102" t="s">
        <v>223</v>
      </c>
      <c r="H98" s="101" t="s">
        <v>108</v>
      </c>
      <c r="I98" s="100">
        <f t="shared" ref="I98:I103" si="27">IF(inp_default="Q(U)",E98,IF(inp_default="PF",1,0))</f>
        <v>0</v>
      </c>
      <c r="J98" s="102">
        <f t="shared" si="25"/>
        <v>10</v>
      </c>
      <c r="K98" s="102">
        <f t="shared" si="26"/>
        <v>10</v>
      </c>
      <c r="L98" s="103">
        <v>20</v>
      </c>
      <c r="M98" s="108" t="s">
        <v>126</v>
      </c>
      <c r="N98" s="108">
        <v>-1</v>
      </c>
      <c r="O98" s="108">
        <v>1</v>
      </c>
      <c r="P98" s="108"/>
      <c r="Q98" s="100" t="s">
        <v>126</v>
      </c>
      <c r="R98" s="100">
        <v>1</v>
      </c>
      <c r="S98" s="100">
        <v>0.75</v>
      </c>
      <c r="T98" s="100"/>
      <c r="U98" s="108" t="s">
        <v>126</v>
      </c>
      <c r="V98" s="108">
        <v>5</v>
      </c>
      <c r="W98" s="108">
        <v>0.25</v>
      </c>
      <c r="X98" s="108"/>
      <c r="Y98" s="100" t="s">
        <v>126</v>
      </c>
      <c r="Z98" s="100">
        <v>10</v>
      </c>
      <c r="AA98" s="100">
        <v>1</v>
      </c>
      <c r="AB98" s="100"/>
      <c r="AC98" s="108"/>
      <c r="AD98" s="108"/>
      <c r="AE98" s="108"/>
      <c r="AF98" s="108"/>
      <c r="AG98" s="100"/>
      <c r="AH98" s="122"/>
      <c r="AI98" s="100"/>
      <c r="AJ98" s="100"/>
      <c r="AK98" s="114"/>
      <c r="AL98" s="108"/>
      <c r="AM98" s="108"/>
      <c r="AN98" s="108"/>
      <c r="AO98" s="100"/>
      <c r="AP98" s="100"/>
      <c r="AQ98" s="100"/>
      <c r="AR98" s="100"/>
      <c r="AS98" s="114"/>
      <c r="AT98" s="108"/>
      <c r="AU98" s="108"/>
      <c r="AV98" s="108"/>
      <c r="AX98" s="100"/>
      <c r="AY98" s="100"/>
      <c r="AZ98" s="100"/>
      <c r="BA98" s="114"/>
      <c r="BB98" s="108"/>
      <c r="BC98" s="108"/>
      <c r="BD98" s="108"/>
      <c r="BF98" s="100"/>
      <c r="BG98" s="100"/>
      <c r="BH98" s="100"/>
    </row>
    <row r="99" spans="1:60" s="98" customFormat="1" x14ac:dyDescent="0.25">
      <c r="A99" s="1">
        <v>97</v>
      </c>
      <c r="B99" s="99" t="b">
        <f t="shared" si="23"/>
        <v>1</v>
      </c>
      <c r="C99" s="99" t="b">
        <f t="shared" si="23"/>
        <v>1</v>
      </c>
      <c r="D99" s="98" t="s">
        <v>316</v>
      </c>
      <c r="E99" s="100">
        <f>inp_Uc/inp_Un</f>
        <v>1.0651315789473685</v>
      </c>
      <c r="F99" s="100">
        <v>1</v>
      </c>
      <c r="G99" s="102" t="s">
        <v>223</v>
      </c>
      <c r="H99" s="101" t="s">
        <v>108</v>
      </c>
      <c r="I99" s="100">
        <f t="shared" si="27"/>
        <v>0</v>
      </c>
      <c r="J99" s="102">
        <f t="shared" si="25"/>
        <v>10</v>
      </c>
      <c r="K99" s="102">
        <f t="shared" si="26"/>
        <v>10</v>
      </c>
      <c r="L99" s="103">
        <v>20</v>
      </c>
      <c r="M99" s="108" t="s">
        <v>117</v>
      </c>
      <c r="N99" s="108">
        <v>0</v>
      </c>
      <c r="O99" s="108">
        <v>30</v>
      </c>
      <c r="P99" s="108"/>
      <c r="Q99" s="100" t="s">
        <v>117</v>
      </c>
      <c r="R99" s="100">
        <v>2.5</v>
      </c>
      <c r="S99" s="100">
        <v>0</v>
      </c>
      <c r="T99" s="100"/>
      <c r="U99" s="108" t="s">
        <v>117</v>
      </c>
      <c r="V99" s="108">
        <v>5</v>
      </c>
      <c r="W99" s="108">
        <v>-40</v>
      </c>
      <c r="X99" s="108"/>
      <c r="Y99" s="100" t="s">
        <v>117</v>
      </c>
      <c r="Z99" s="100">
        <v>7.5</v>
      </c>
      <c r="AA99" s="100">
        <v>0</v>
      </c>
      <c r="AB99" s="100"/>
      <c r="AC99" s="114"/>
      <c r="AD99" s="108"/>
      <c r="AE99" s="108"/>
      <c r="AF99" s="108"/>
      <c r="AH99" s="100"/>
      <c r="AI99" s="100"/>
      <c r="AJ99" s="100"/>
      <c r="AK99" s="114"/>
      <c r="AL99" s="108"/>
      <c r="AM99" s="108"/>
      <c r="AN99" s="108"/>
      <c r="AP99" s="100"/>
      <c r="AQ99" s="100"/>
      <c r="AR99" s="100"/>
      <c r="AS99" s="114"/>
      <c r="AT99" s="108"/>
      <c r="AU99" s="108"/>
      <c r="AV99" s="108"/>
      <c r="AX99" s="100"/>
      <c r="AY99" s="100"/>
      <c r="AZ99" s="100"/>
      <c r="BA99" s="114"/>
      <c r="BB99" s="108"/>
      <c r="BC99" s="108"/>
      <c r="BD99" s="108"/>
      <c r="BF99" s="100"/>
      <c r="BG99" s="100"/>
      <c r="BH99" s="100"/>
    </row>
    <row r="100" spans="1:60" s="98" customFormat="1" x14ac:dyDescent="0.25">
      <c r="A100" s="1">
        <v>98</v>
      </c>
      <c r="B100" s="99" t="b">
        <f t="shared" si="23"/>
        <v>1</v>
      </c>
      <c r="C100" s="99" t="b">
        <f t="shared" si="23"/>
        <v>1</v>
      </c>
      <c r="D100" s="98" t="s">
        <v>317</v>
      </c>
      <c r="E100" s="100">
        <f t="shared" si="24"/>
        <v>1.0651315789473685</v>
      </c>
      <c r="F100" s="100">
        <v>0.7</v>
      </c>
      <c r="G100" s="102" t="s">
        <v>223</v>
      </c>
      <c r="H100" s="101" t="s">
        <v>108</v>
      </c>
      <c r="I100" s="100">
        <f t="shared" si="27"/>
        <v>0</v>
      </c>
      <c r="J100" s="102">
        <f t="shared" si="25"/>
        <v>10</v>
      </c>
      <c r="K100" s="102">
        <f t="shared" si="26"/>
        <v>10</v>
      </c>
      <c r="L100" s="103">
        <v>12</v>
      </c>
      <c r="M100" s="114" t="s">
        <v>110</v>
      </c>
      <c r="N100" s="108">
        <v>0</v>
      </c>
      <c r="O100" s="108"/>
      <c r="P100" s="108">
        <v>4</v>
      </c>
      <c r="Q100" s="98" t="s">
        <v>110</v>
      </c>
      <c r="R100" s="100">
        <v>0.25</v>
      </c>
      <c r="S100" s="100"/>
      <c r="T100" s="100">
        <v>1.3333333333333333</v>
      </c>
      <c r="U100" s="114" t="s">
        <v>110</v>
      </c>
      <c r="V100" s="108">
        <v>1</v>
      </c>
      <c r="W100" s="108"/>
      <c r="X100" s="108">
        <v>0.33333333333333331</v>
      </c>
      <c r="Y100" s="98" t="s">
        <v>110</v>
      </c>
      <c r="Z100" s="100">
        <v>2.5</v>
      </c>
      <c r="AA100" s="100"/>
      <c r="AB100" s="100">
        <v>0</v>
      </c>
      <c r="AC100" s="114" t="s">
        <v>110</v>
      </c>
      <c r="AD100" s="108">
        <v>4.5</v>
      </c>
      <c r="AE100" s="108"/>
      <c r="AF100" s="108">
        <v>-1</v>
      </c>
      <c r="AG100" s="98" t="s">
        <v>110</v>
      </c>
      <c r="AH100" s="100">
        <v>5.5</v>
      </c>
      <c r="AI100" s="100"/>
      <c r="AJ100" s="100">
        <v>0</v>
      </c>
      <c r="AK100" s="114"/>
      <c r="AL100" s="108"/>
      <c r="AM100" s="108"/>
      <c r="AN100" s="108"/>
      <c r="AP100" s="100"/>
      <c r="AQ100" s="100"/>
      <c r="AR100" s="100"/>
      <c r="AS100" s="114"/>
      <c r="AT100" s="108"/>
      <c r="AU100" s="108"/>
      <c r="AV100" s="108"/>
      <c r="AX100" s="100"/>
      <c r="AY100" s="100"/>
      <c r="AZ100" s="100"/>
      <c r="BA100" s="114"/>
      <c r="BB100" s="108"/>
      <c r="BC100" s="108"/>
      <c r="BD100" s="108"/>
      <c r="BF100" s="100"/>
      <c r="BG100" s="100"/>
      <c r="BH100" s="100"/>
    </row>
    <row r="101" spans="1:60" s="98" customFormat="1" x14ac:dyDescent="0.25">
      <c r="A101" s="1">
        <v>99</v>
      </c>
      <c r="B101" s="99" t="b">
        <f t="shared" si="23"/>
        <v>1</v>
      </c>
      <c r="C101" s="99" t="b">
        <f t="shared" si="23"/>
        <v>1</v>
      </c>
      <c r="D101" s="98" t="s">
        <v>318</v>
      </c>
      <c r="E101" s="100">
        <f t="shared" si="24"/>
        <v>1.0651315789473685</v>
      </c>
      <c r="F101" s="100">
        <v>0.7</v>
      </c>
      <c r="G101" s="102" t="s">
        <v>223</v>
      </c>
      <c r="H101" s="101" t="s">
        <v>108</v>
      </c>
      <c r="I101" s="100">
        <f t="shared" si="27"/>
        <v>0</v>
      </c>
      <c r="J101" s="102">
        <f t="shared" si="25"/>
        <v>10</v>
      </c>
      <c r="K101" s="102">
        <f t="shared" si="26"/>
        <v>10</v>
      </c>
      <c r="L101" s="103">
        <v>12</v>
      </c>
      <c r="M101" s="114" t="s">
        <v>110</v>
      </c>
      <c r="N101" s="108">
        <v>0</v>
      </c>
      <c r="O101" s="108"/>
      <c r="P101" s="108">
        <v>-4</v>
      </c>
      <c r="Q101" s="98" t="s">
        <v>110</v>
      </c>
      <c r="R101" s="100">
        <v>0.25</v>
      </c>
      <c r="S101" s="100"/>
      <c r="T101" s="100">
        <v>-1.33</v>
      </c>
      <c r="U101" s="114" t="s">
        <v>110</v>
      </c>
      <c r="V101" s="108">
        <v>1</v>
      </c>
      <c r="W101" s="108"/>
      <c r="X101" s="108">
        <v>-0.33300000000000002</v>
      </c>
      <c r="Y101" s="98" t="s">
        <v>110</v>
      </c>
      <c r="Z101" s="100">
        <v>2.5</v>
      </c>
      <c r="AA101" s="100"/>
      <c r="AB101" s="100">
        <v>0</v>
      </c>
      <c r="AC101" s="114" t="s">
        <v>110</v>
      </c>
      <c r="AD101" s="108">
        <v>4.5</v>
      </c>
      <c r="AE101" s="108"/>
      <c r="AF101" s="108">
        <v>1</v>
      </c>
      <c r="AG101" s="98" t="s">
        <v>110</v>
      </c>
      <c r="AH101" s="100">
        <v>6</v>
      </c>
      <c r="AI101" s="100"/>
      <c r="AJ101" s="100">
        <v>0</v>
      </c>
      <c r="AK101" s="114"/>
      <c r="AL101" s="108"/>
      <c r="AM101" s="108"/>
      <c r="AN101" s="108"/>
      <c r="AP101" s="100"/>
      <c r="AQ101" s="100"/>
      <c r="AR101" s="100"/>
      <c r="AS101" s="114"/>
      <c r="AT101" s="108"/>
      <c r="AU101" s="108"/>
      <c r="AV101" s="108"/>
      <c r="AX101" s="100"/>
      <c r="AY101" s="100"/>
      <c r="AZ101" s="100"/>
      <c r="BA101" s="114"/>
      <c r="BB101" s="108"/>
      <c r="BC101" s="108"/>
      <c r="BD101" s="108"/>
      <c r="BF101" s="100"/>
      <c r="BG101" s="100"/>
      <c r="BH101" s="100"/>
    </row>
    <row r="102" spans="1:60" s="98" customFormat="1" x14ac:dyDescent="0.25">
      <c r="A102" s="1">
        <v>100</v>
      </c>
      <c r="B102" s="99" t="b">
        <f t="shared" si="23"/>
        <v>1</v>
      </c>
      <c r="C102" s="99" t="b">
        <f t="shared" si="23"/>
        <v>1</v>
      </c>
      <c r="D102" s="98" t="s">
        <v>319</v>
      </c>
      <c r="E102" s="100">
        <f t="shared" si="24"/>
        <v>1.0651315789473685</v>
      </c>
      <c r="F102" s="100">
        <v>0.7</v>
      </c>
      <c r="G102" s="102" t="s">
        <v>223</v>
      </c>
      <c r="H102" s="101" t="s">
        <v>108</v>
      </c>
      <c r="I102" s="100">
        <f t="shared" si="27"/>
        <v>0</v>
      </c>
      <c r="J102" s="102">
        <f t="shared" si="25"/>
        <v>10</v>
      </c>
      <c r="K102" s="102">
        <f t="shared" si="26"/>
        <v>10</v>
      </c>
      <c r="L102" s="103">
        <v>12</v>
      </c>
      <c r="M102" s="114" t="s">
        <v>110</v>
      </c>
      <c r="N102" s="108">
        <v>0</v>
      </c>
      <c r="O102" s="108">
        <v>50</v>
      </c>
      <c r="P102" s="108">
        <v>-1</v>
      </c>
      <c r="Q102" s="98" t="s">
        <v>110</v>
      </c>
      <c r="R102" s="100">
        <v>0.02</v>
      </c>
      <c r="S102" s="100"/>
      <c r="T102" s="100">
        <v>0</v>
      </c>
      <c r="U102" s="108" t="s">
        <v>117</v>
      </c>
      <c r="V102" s="108">
        <v>2.1000000000000001E-2</v>
      </c>
      <c r="W102" s="108">
        <v>-20</v>
      </c>
      <c r="X102" s="108"/>
      <c r="Y102" s="98" t="s">
        <v>110</v>
      </c>
      <c r="Z102" s="100">
        <v>0.04</v>
      </c>
      <c r="AA102" s="100"/>
      <c r="AB102" s="100">
        <v>-1</v>
      </c>
      <c r="AC102" s="114" t="s">
        <v>110</v>
      </c>
      <c r="AD102" s="108">
        <v>0.06</v>
      </c>
      <c r="AE102" s="108"/>
      <c r="AF102" s="108">
        <v>1</v>
      </c>
      <c r="AG102" s="98" t="s">
        <v>110</v>
      </c>
      <c r="AH102" s="100">
        <v>0.08</v>
      </c>
      <c r="AI102" s="100"/>
      <c r="AJ102" s="100">
        <v>-1</v>
      </c>
      <c r="AK102" s="114" t="s">
        <v>110</v>
      </c>
      <c r="AL102" s="108">
        <v>0.1</v>
      </c>
      <c r="AM102" s="108"/>
      <c r="AN102" s="108">
        <v>1</v>
      </c>
      <c r="AO102" s="98" t="s">
        <v>110</v>
      </c>
      <c r="AP102" s="100">
        <v>0.14000000000000001</v>
      </c>
      <c r="AQ102" s="100"/>
      <c r="AR102" s="100">
        <v>0</v>
      </c>
      <c r="AS102" s="114" t="s">
        <v>117</v>
      </c>
      <c r="AT102" s="108">
        <v>0.14099999999999999</v>
      </c>
      <c r="AU102" s="108">
        <v>0</v>
      </c>
      <c r="AV102" s="108"/>
      <c r="AW102" s="98" t="s">
        <v>110</v>
      </c>
      <c r="AX102" s="100">
        <v>0.16</v>
      </c>
      <c r="AY102" s="100"/>
      <c r="AZ102" s="100">
        <v>-1</v>
      </c>
      <c r="BA102" s="114" t="s">
        <v>110</v>
      </c>
      <c r="BB102" s="108">
        <v>0.18</v>
      </c>
      <c r="BC102" s="108"/>
      <c r="BD102" s="108">
        <v>0</v>
      </c>
      <c r="BF102" s="100"/>
      <c r="BG102" s="100"/>
      <c r="BH102" s="100"/>
    </row>
    <row r="103" spans="1:60" s="98" customFormat="1" x14ac:dyDescent="0.25">
      <c r="A103" s="1">
        <v>101</v>
      </c>
      <c r="B103" s="99" t="b">
        <f t="shared" si="23"/>
        <v>1</v>
      </c>
      <c r="C103" s="99" t="b">
        <f t="shared" si="23"/>
        <v>1</v>
      </c>
      <c r="D103" s="98" t="s">
        <v>320</v>
      </c>
      <c r="E103" s="100">
        <f t="shared" si="24"/>
        <v>1.0651315789473685</v>
      </c>
      <c r="F103" s="100">
        <v>0.7</v>
      </c>
      <c r="G103" s="102" t="s">
        <v>223</v>
      </c>
      <c r="H103" s="101" t="s">
        <v>108</v>
      </c>
      <c r="I103" s="100">
        <f t="shared" si="27"/>
        <v>0</v>
      </c>
      <c r="J103" s="102">
        <f t="shared" si="25"/>
        <v>10</v>
      </c>
      <c r="K103" s="102">
        <f t="shared" si="26"/>
        <v>10</v>
      </c>
      <c r="L103" s="103">
        <v>12</v>
      </c>
      <c r="M103" s="114" t="s">
        <v>110</v>
      </c>
      <c r="N103" s="108">
        <v>0</v>
      </c>
      <c r="O103" s="108">
        <v>50</v>
      </c>
      <c r="P103" s="108">
        <v>-1</v>
      </c>
      <c r="Q103" s="98" t="s">
        <v>110</v>
      </c>
      <c r="R103" s="100">
        <v>0.02</v>
      </c>
      <c r="S103" s="100"/>
      <c r="T103" s="100">
        <v>0</v>
      </c>
      <c r="U103" s="108" t="s">
        <v>117</v>
      </c>
      <c r="V103" s="108">
        <v>2.1000000000000001E-2</v>
      </c>
      <c r="W103" s="108">
        <v>20</v>
      </c>
      <c r="X103" s="108"/>
      <c r="Y103" s="98" t="s">
        <v>110</v>
      </c>
      <c r="Z103" s="100">
        <v>0.04</v>
      </c>
      <c r="AA103" s="100"/>
      <c r="AB103" s="100">
        <v>-1</v>
      </c>
      <c r="AC103" s="114" t="s">
        <v>110</v>
      </c>
      <c r="AD103" s="108">
        <v>0.06</v>
      </c>
      <c r="AE103" s="108"/>
      <c r="AF103" s="108">
        <v>1</v>
      </c>
      <c r="AG103" s="98" t="s">
        <v>110</v>
      </c>
      <c r="AH103" s="100">
        <v>0.08</v>
      </c>
      <c r="AI103" s="100"/>
      <c r="AJ103" s="100">
        <v>-1</v>
      </c>
      <c r="AK103" s="114" t="s">
        <v>110</v>
      </c>
      <c r="AL103" s="108">
        <v>0.1</v>
      </c>
      <c r="AM103" s="108"/>
      <c r="AN103" s="108">
        <v>1</v>
      </c>
      <c r="AO103" s="98" t="s">
        <v>110</v>
      </c>
      <c r="AP103" s="100">
        <v>0.14000000000000001</v>
      </c>
      <c r="AQ103" s="100"/>
      <c r="AR103" s="100">
        <v>0</v>
      </c>
      <c r="AS103" s="114" t="s">
        <v>117</v>
      </c>
      <c r="AT103" s="108">
        <v>0.14099999999999999</v>
      </c>
      <c r="AU103" s="108">
        <v>0</v>
      </c>
      <c r="AV103" s="108"/>
      <c r="AW103" s="98" t="s">
        <v>110</v>
      </c>
      <c r="AX103" s="100">
        <v>0.16</v>
      </c>
      <c r="AY103" s="100"/>
      <c r="AZ103" s="100">
        <v>-1</v>
      </c>
      <c r="BA103" s="114" t="s">
        <v>110</v>
      </c>
      <c r="BB103" s="108">
        <v>0.18</v>
      </c>
      <c r="BC103" s="108"/>
      <c r="BD103" s="108">
        <v>0</v>
      </c>
      <c r="BF103" s="100"/>
      <c r="BG103" s="100"/>
      <c r="BH103" s="100"/>
    </row>
    <row r="104" spans="1:60" s="98" customFormat="1" x14ac:dyDescent="0.25">
      <c r="A104" s="1">
        <v>102</v>
      </c>
      <c r="B104" s="99" t="b">
        <f t="shared" si="23"/>
        <v>1</v>
      </c>
      <c r="C104" s="99" t="b">
        <f t="shared" si="23"/>
        <v>1</v>
      </c>
      <c r="D104" s="98" t="s">
        <v>441</v>
      </c>
      <c r="E104" s="100">
        <f t="shared" si="24"/>
        <v>1.0651315789473685</v>
      </c>
      <c r="F104" s="100">
        <v>1</v>
      </c>
      <c r="G104" s="102" t="s">
        <v>223</v>
      </c>
      <c r="H104" s="101" t="str">
        <f t="shared" ref="H104:H114" si="28">IF(inp_default="Q(U)","Q",IF(inp_default="Q","Q(U)",0))</f>
        <v>Q(U)</v>
      </c>
      <c r="I104" s="100">
        <f t="shared" ref="I104:I117" si="29">IF(inp_default="Q",E104,IF(inp_default="PF",1,0))</f>
        <v>1.0651315789473685</v>
      </c>
      <c r="J104" s="102">
        <f t="shared" ref="J104:J114" si="30">inp_scr_min</f>
        <v>10</v>
      </c>
      <c r="K104" s="102">
        <f t="shared" ref="K104:K114" si="31">inp_xr_min</f>
        <v>10</v>
      </c>
      <c r="L104" s="103">
        <v>12</v>
      </c>
      <c r="M104" s="108" t="s">
        <v>118</v>
      </c>
      <c r="N104" s="108">
        <v>0</v>
      </c>
      <c r="O104" s="111">
        <f>sel_ures</f>
        <v>0</v>
      </c>
      <c r="P104" s="108">
        <f>IF(O104&lt;sel_ures,0,
IF(AND(sel_uclear&gt;=O104, O104&gt;=sel_ures),sel_tclear,
IF(AND(sel_urec1&gt;=O104,O104&gt;sel_uclear),IF(sel_urec1&gt;sel_uclear,sel_tclear+(O104-sel_uclear)*(sel_trec1-sel_tclear)/(sel_urec1-sel_uclear),sel_tclear),
IF(AND(sel_urec2&gt;=O104,O104&gt;sel_urec1),IF(sel_urec2&gt;sel_urec1,sel_trec2+(O104-sel_urec1)*(sel_trec3-sel_trec2)/(sel_urec2-sel_urec1),-99999),5
))))</f>
        <v>0.15</v>
      </c>
      <c r="R104" s="100"/>
      <c r="S104" s="100"/>
      <c r="T104" s="100"/>
      <c r="U104" s="114"/>
      <c r="V104" s="108"/>
      <c r="W104" s="108"/>
      <c r="X104" s="108"/>
      <c r="Z104" s="100"/>
      <c r="AA104" s="100"/>
      <c r="AB104" s="100"/>
      <c r="AC104" s="114"/>
      <c r="AD104" s="108"/>
      <c r="AE104" s="108"/>
      <c r="AF104" s="108"/>
      <c r="AH104" s="100"/>
      <c r="AI104" s="100"/>
      <c r="AJ104" s="100"/>
      <c r="AK104" s="114"/>
      <c r="AL104" s="108"/>
      <c r="AM104" s="108"/>
      <c r="AN104" s="108"/>
      <c r="AP104" s="100"/>
      <c r="AQ104" s="100"/>
      <c r="AR104" s="100"/>
      <c r="AS104" s="114"/>
      <c r="AT104" s="108"/>
      <c r="AU104" s="108"/>
      <c r="AV104" s="108"/>
      <c r="AX104" s="100"/>
      <c r="AY104" s="100"/>
      <c r="AZ104" s="100"/>
      <c r="BA104" s="114"/>
      <c r="BB104" s="108"/>
      <c r="BC104" s="108"/>
      <c r="BD104" s="108"/>
      <c r="BF104" s="100"/>
      <c r="BG104" s="100"/>
      <c r="BH104" s="100"/>
    </row>
    <row r="105" spans="1:60" s="98" customFormat="1" x14ac:dyDescent="0.25">
      <c r="A105" s="1">
        <v>103</v>
      </c>
      <c r="B105" s="99" t="b">
        <f t="shared" si="23"/>
        <v>1</v>
      </c>
      <c r="C105" s="99" t="b">
        <f t="shared" si="23"/>
        <v>1</v>
      </c>
      <c r="D105" s="98" t="s">
        <v>442</v>
      </c>
      <c r="E105" s="100">
        <f t="shared" si="24"/>
        <v>1.0651315789473685</v>
      </c>
      <c r="F105" s="100">
        <v>1</v>
      </c>
      <c r="G105" s="102" t="s">
        <v>223</v>
      </c>
      <c r="H105" s="101" t="str">
        <f t="shared" si="28"/>
        <v>Q(U)</v>
      </c>
      <c r="I105" s="100">
        <f t="shared" si="29"/>
        <v>1.0651315789473685</v>
      </c>
      <c r="J105" s="102">
        <f t="shared" si="30"/>
        <v>10</v>
      </c>
      <c r="K105" s="102">
        <f t="shared" si="31"/>
        <v>10</v>
      </c>
      <c r="L105" s="103">
        <v>12</v>
      </c>
      <c r="M105" s="108" t="s">
        <v>118</v>
      </c>
      <c r="N105" s="108">
        <v>0</v>
      </c>
      <c r="O105" s="111">
        <v>0.2</v>
      </c>
      <c r="P105" s="108">
        <v>0.45</v>
      </c>
      <c r="R105" s="100"/>
      <c r="S105" s="100"/>
      <c r="T105" s="100"/>
      <c r="U105" s="114"/>
      <c r="V105" s="108"/>
      <c r="W105" s="108"/>
      <c r="X105" s="108"/>
      <c r="Z105" s="100"/>
      <c r="AA105" s="100"/>
      <c r="AB105" s="100"/>
      <c r="AC105" s="114"/>
      <c r="AD105" s="108"/>
      <c r="AE105" s="108"/>
      <c r="AF105" s="108"/>
      <c r="AH105" s="100"/>
      <c r="AI105" s="100"/>
      <c r="AJ105" s="100"/>
      <c r="AK105" s="114"/>
      <c r="AL105" s="108"/>
      <c r="AM105" s="108"/>
      <c r="AN105" s="108"/>
      <c r="AP105" s="100"/>
      <c r="AQ105" s="100"/>
      <c r="AR105" s="100"/>
      <c r="AS105" s="114"/>
      <c r="AT105" s="108"/>
      <c r="AU105" s="108"/>
      <c r="AV105" s="108"/>
      <c r="AX105" s="100"/>
      <c r="AY105" s="100"/>
      <c r="AZ105" s="100"/>
      <c r="BA105" s="114"/>
      <c r="BB105" s="108"/>
      <c r="BC105" s="108"/>
      <c r="BD105" s="108"/>
      <c r="BF105" s="100"/>
      <c r="BG105" s="100"/>
      <c r="BH105" s="100"/>
    </row>
    <row r="106" spans="1:60" s="98" customFormat="1" x14ac:dyDescent="0.25">
      <c r="A106" s="1">
        <v>104</v>
      </c>
      <c r="B106" s="99" t="b">
        <f t="shared" si="23"/>
        <v>1</v>
      </c>
      <c r="C106" s="99" t="b">
        <f t="shared" si="23"/>
        <v>1</v>
      </c>
      <c r="D106" s="98" t="s">
        <v>443</v>
      </c>
      <c r="E106" s="100">
        <f t="shared" si="24"/>
        <v>1.0651315789473685</v>
      </c>
      <c r="F106" s="100">
        <v>1</v>
      </c>
      <c r="G106" s="102" t="s">
        <v>223</v>
      </c>
      <c r="H106" s="101" t="str">
        <f t="shared" si="28"/>
        <v>Q(U)</v>
      </c>
      <c r="I106" s="100">
        <f t="shared" si="29"/>
        <v>1.0651315789473685</v>
      </c>
      <c r="J106" s="102">
        <f t="shared" si="30"/>
        <v>10</v>
      </c>
      <c r="K106" s="102">
        <f t="shared" si="31"/>
        <v>10</v>
      </c>
      <c r="L106" s="103">
        <v>12</v>
      </c>
      <c r="M106" s="108" t="s">
        <v>118</v>
      </c>
      <c r="N106" s="108">
        <v>0</v>
      </c>
      <c r="O106" s="111">
        <v>0.4</v>
      </c>
      <c r="P106" s="108">
        <v>0.75</v>
      </c>
      <c r="R106" s="100"/>
      <c r="S106" s="100"/>
      <c r="T106" s="100"/>
      <c r="U106" s="114"/>
      <c r="V106" s="108"/>
      <c r="W106" s="108"/>
      <c r="X106" s="108"/>
      <c r="Z106" s="100"/>
      <c r="AA106" s="100"/>
      <c r="AB106" s="100"/>
      <c r="AC106" s="114"/>
      <c r="AD106" s="108"/>
      <c r="AE106" s="108"/>
      <c r="AF106" s="108"/>
      <c r="AH106" s="100"/>
      <c r="AI106" s="100"/>
      <c r="AJ106" s="100"/>
      <c r="AK106" s="114"/>
      <c r="AL106" s="108"/>
      <c r="AM106" s="108"/>
      <c r="AN106" s="108"/>
      <c r="AP106" s="100"/>
      <c r="AQ106" s="100"/>
      <c r="AR106" s="100"/>
      <c r="AS106" s="114"/>
      <c r="AT106" s="108"/>
      <c r="AU106" s="108"/>
      <c r="AV106" s="108"/>
      <c r="AX106" s="100"/>
      <c r="AY106" s="100"/>
      <c r="AZ106" s="100"/>
      <c r="BA106" s="114"/>
      <c r="BB106" s="108"/>
      <c r="BC106" s="108"/>
      <c r="BD106" s="108"/>
      <c r="BF106" s="100"/>
      <c r="BG106" s="100"/>
      <c r="BH106" s="100"/>
    </row>
    <row r="107" spans="1:60" s="98" customFormat="1" x14ac:dyDescent="0.25">
      <c r="A107" s="1">
        <v>105</v>
      </c>
      <c r="B107" s="99" t="b">
        <f t="shared" si="23"/>
        <v>1</v>
      </c>
      <c r="C107" s="99" t="b">
        <f t="shared" si="23"/>
        <v>1</v>
      </c>
      <c r="D107" s="98" t="s">
        <v>444</v>
      </c>
      <c r="E107" s="100">
        <f t="shared" si="24"/>
        <v>1.0651315789473685</v>
      </c>
      <c r="F107" s="100">
        <v>1</v>
      </c>
      <c r="G107" s="102" t="s">
        <v>223</v>
      </c>
      <c r="H107" s="101" t="str">
        <f t="shared" si="28"/>
        <v>Q(U)</v>
      </c>
      <c r="I107" s="100">
        <f t="shared" si="29"/>
        <v>1.0651315789473685</v>
      </c>
      <c r="J107" s="102">
        <f t="shared" si="30"/>
        <v>10</v>
      </c>
      <c r="K107" s="102">
        <f t="shared" si="31"/>
        <v>10</v>
      </c>
      <c r="L107" s="103">
        <v>12</v>
      </c>
      <c r="M107" s="108" t="s">
        <v>118</v>
      </c>
      <c r="N107" s="108">
        <v>0</v>
      </c>
      <c r="O107" s="111">
        <v>0.8</v>
      </c>
      <c r="P107" s="108">
        <v>1.35</v>
      </c>
      <c r="R107" s="100"/>
      <c r="S107" s="100"/>
      <c r="T107" s="100"/>
      <c r="U107" s="114"/>
      <c r="V107" s="108"/>
      <c r="W107" s="108"/>
      <c r="X107" s="108"/>
      <c r="Z107" s="100"/>
      <c r="AA107" s="100"/>
      <c r="AB107" s="100"/>
      <c r="AC107" s="114"/>
      <c r="AD107" s="108"/>
      <c r="AE107" s="108"/>
      <c r="AF107" s="108"/>
      <c r="AH107" s="100"/>
      <c r="AI107" s="100"/>
      <c r="AJ107" s="100"/>
      <c r="AK107" s="114"/>
      <c r="AL107" s="108"/>
      <c r="AM107" s="108"/>
      <c r="AN107" s="108"/>
      <c r="AP107" s="100"/>
      <c r="AQ107" s="100"/>
      <c r="AR107" s="100"/>
      <c r="AS107" s="114"/>
      <c r="AT107" s="108"/>
      <c r="AU107" s="108"/>
      <c r="AV107" s="108"/>
      <c r="AX107" s="100"/>
      <c r="AY107" s="100"/>
      <c r="AZ107" s="100"/>
      <c r="BA107" s="114"/>
      <c r="BB107" s="108"/>
      <c r="BC107" s="108"/>
      <c r="BD107" s="108"/>
      <c r="BF107" s="100"/>
      <c r="BG107" s="100"/>
      <c r="BH107" s="100"/>
    </row>
    <row r="108" spans="1:60" s="98" customFormat="1" x14ac:dyDescent="0.25">
      <c r="A108" s="1">
        <v>106</v>
      </c>
      <c r="B108" s="99" t="b">
        <f t="shared" si="23"/>
        <v>1</v>
      </c>
      <c r="C108" s="99" t="b">
        <f t="shared" si="23"/>
        <v>1</v>
      </c>
      <c r="D108" s="98" t="s">
        <v>445</v>
      </c>
      <c r="E108" s="100">
        <f t="shared" si="24"/>
        <v>1.0651315789473685</v>
      </c>
      <c r="F108" s="100">
        <v>1</v>
      </c>
      <c r="G108" s="102" t="s">
        <v>223</v>
      </c>
      <c r="H108" s="101" t="str">
        <f t="shared" si="28"/>
        <v>Q(U)</v>
      </c>
      <c r="I108" s="100">
        <f t="shared" si="29"/>
        <v>1.0651315789473685</v>
      </c>
      <c r="J108" s="102">
        <f t="shared" si="30"/>
        <v>10</v>
      </c>
      <c r="K108" s="102">
        <f t="shared" si="31"/>
        <v>10</v>
      </c>
      <c r="L108" s="103">
        <v>12</v>
      </c>
      <c r="M108" s="108" t="s">
        <v>118</v>
      </c>
      <c r="N108" s="108">
        <v>0</v>
      </c>
      <c r="O108" s="111">
        <f>sel_lvfrt_start</f>
        <v>0.85</v>
      </c>
      <c r="P108" s="108">
        <v>1.35</v>
      </c>
      <c r="R108" s="100"/>
      <c r="S108" s="100"/>
      <c r="T108" s="100"/>
      <c r="U108" s="114"/>
      <c r="V108" s="108"/>
      <c r="W108" s="108"/>
      <c r="X108" s="108"/>
      <c r="Z108" s="100"/>
      <c r="AA108" s="100"/>
      <c r="AB108" s="100"/>
      <c r="AC108" s="114"/>
      <c r="AD108" s="108"/>
      <c r="AE108" s="108"/>
      <c r="AF108" s="108"/>
      <c r="AH108" s="100"/>
      <c r="AI108" s="100"/>
      <c r="AJ108" s="100"/>
      <c r="AK108" s="114"/>
      <c r="AL108" s="108"/>
      <c r="AM108" s="108"/>
      <c r="AN108" s="108"/>
      <c r="AP108" s="100"/>
      <c r="AQ108" s="100"/>
      <c r="AR108" s="100"/>
      <c r="AS108" s="114"/>
      <c r="AT108" s="108"/>
      <c r="AU108" s="108"/>
      <c r="AV108" s="108"/>
      <c r="AX108" s="100"/>
      <c r="AY108" s="100"/>
      <c r="AZ108" s="100"/>
      <c r="BA108" s="114"/>
      <c r="BB108" s="108"/>
      <c r="BC108" s="108"/>
      <c r="BD108" s="108"/>
      <c r="BF108" s="100"/>
      <c r="BG108" s="100"/>
      <c r="BH108" s="100"/>
    </row>
    <row r="109" spans="1:60" s="98" customFormat="1" x14ac:dyDescent="0.25">
      <c r="A109" s="1">
        <v>107</v>
      </c>
      <c r="B109" s="99" t="b">
        <f t="shared" si="23"/>
        <v>1</v>
      </c>
      <c r="C109" s="99" t="b">
        <f t="shared" si="23"/>
        <v>1</v>
      </c>
      <c r="D109" s="98" t="s">
        <v>446</v>
      </c>
      <c r="E109" s="100">
        <f t="shared" si="24"/>
        <v>1.0651315789473685</v>
      </c>
      <c r="F109" s="100">
        <v>1</v>
      </c>
      <c r="G109" s="102" t="s">
        <v>223</v>
      </c>
      <c r="H109" s="101" t="str">
        <f t="shared" si="28"/>
        <v>Q(U)</v>
      </c>
      <c r="I109" s="100">
        <f t="shared" si="29"/>
        <v>1.0651315789473685</v>
      </c>
      <c r="J109" s="102">
        <f t="shared" si="30"/>
        <v>10</v>
      </c>
      <c r="K109" s="102">
        <f t="shared" si="31"/>
        <v>10</v>
      </c>
      <c r="L109" s="103">
        <v>12</v>
      </c>
      <c r="M109" s="108" t="s">
        <v>119</v>
      </c>
      <c r="N109" s="108">
        <v>0</v>
      </c>
      <c r="O109" s="111">
        <v>0.2</v>
      </c>
      <c r="P109" s="108">
        <v>0.45</v>
      </c>
      <c r="R109" s="100"/>
      <c r="S109" s="100"/>
      <c r="T109" s="100"/>
      <c r="U109" s="114"/>
      <c r="V109" s="108"/>
      <c r="W109" s="108"/>
      <c r="X109" s="108"/>
      <c r="Z109" s="100"/>
      <c r="AA109" s="100"/>
      <c r="AB109" s="100"/>
      <c r="AC109" s="114"/>
      <c r="AD109" s="108"/>
      <c r="AE109" s="108"/>
      <c r="AF109" s="108"/>
      <c r="AH109" s="100"/>
      <c r="AI109" s="100"/>
      <c r="AJ109" s="100"/>
      <c r="AK109" s="114"/>
      <c r="AL109" s="108"/>
      <c r="AM109" s="108"/>
      <c r="AN109" s="108"/>
      <c r="AP109" s="100"/>
      <c r="AQ109" s="100"/>
      <c r="AR109" s="100"/>
      <c r="AS109" s="114"/>
      <c r="AT109" s="108"/>
      <c r="AU109" s="108"/>
      <c r="AV109" s="108"/>
      <c r="AX109" s="100"/>
      <c r="AY109" s="100"/>
      <c r="AZ109" s="100"/>
      <c r="BA109" s="114"/>
      <c r="BB109" s="108"/>
      <c r="BC109" s="108"/>
      <c r="BD109" s="108"/>
      <c r="BF109" s="100"/>
      <c r="BG109" s="100"/>
      <c r="BH109" s="100"/>
    </row>
    <row r="110" spans="1:60" s="98" customFormat="1" x14ac:dyDescent="0.25">
      <c r="A110" s="1">
        <v>108</v>
      </c>
      <c r="B110" s="99" t="b">
        <f t="shared" si="23"/>
        <v>1</v>
      </c>
      <c r="C110" s="99" t="b">
        <f t="shared" si="23"/>
        <v>1</v>
      </c>
      <c r="D110" s="98" t="s">
        <v>447</v>
      </c>
      <c r="E110" s="100">
        <f t="shared" si="24"/>
        <v>1.0651315789473685</v>
      </c>
      <c r="F110" s="100">
        <v>1</v>
      </c>
      <c r="G110" s="102" t="s">
        <v>223</v>
      </c>
      <c r="H110" s="101" t="str">
        <f t="shared" si="28"/>
        <v>Q(U)</v>
      </c>
      <c r="I110" s="100">
        <f t="shared" si="29"/>
        <v>1.0651315789473685</v>
      </c>
      <c r="J110" s="102">
        <f t="shared" si="30"/>
        <v>10</v>
      </c>
      <c r="K110" s="102">
        <f t="shared" si="31"/>
        <v>10</v>
      </c>
      <c r="L110" s="103">
        <v>12</v>
      </c>
      <c r="M110" s="108" t="s">
        <v>119</v>
      </c>
      <c r="N110" s="108">
        <v>0</v>
      </c>
      <c r="O110" s="111">
        <v>0.4</v>
      </c>
      <c r="P110" s="108">
        <v>0.75</v>
      </c>
      <c r="R110" s="100"/>
      <c r="S110" s="100"/>
      <c r="T110" s="100"/>
      <c r="U110" s="114"/>
      <c r="V110" s="108"/>
      <c r="W110" s="108"/>
      <c r="X110" s="108"/>
      <c r="Z110" s="100"/>
      <c r="AA110" s="100"/>
      <c r="AB110" s="100"/>
      <c r="AC110" s="114"/>
      <c r="AD110" s="108"/>
      <c r="AE110" s="108"/>
      <c r="AF110" s="108"/>
      <c r="AH110" s="100"/>
      <c r="AI110" s="100"/>
      <c r="AJ110" s="100"/>
      <c r="AK110" s="114"/>
      <c r="AL110" s="108"/>
      <c r="AM110" s="108"/>
      <c r="AN110" s="108"/>
      <c r="AP110" s="100"/>
      <c r="AQ110" s="100"/>
      <c r="AR110" s="100"/>
      <c r="AS110" s="114"/>
      <c r="AT110" s="108"/>
      <c r="AU110" s="108"/>
      <c r="AV110" s="108"/>
      <c r="AX110" s="100"/>
      <c r="AY110" s="100"/>
      <c r="AZ110" s="100"/>
      <c r="BA110" s="114"/>
      <c r="BB110" s="108"/>
      <c r="BC110" s="108"/>
      <c r="BD110" s="108"/>
      <c r="BF110" s="100"/>
      <c r="BG110" s="100"/>
      <c r="BH110" s="100"/>
    </row>
    <row r="111" spans="1:60" s="98" customFormat="1" x14ac:dyDescent="0.25">
      <c r="A111" s="1">
        <v>109</v>
      </c>
      <c r="B111" s="99" t="b">
        <f t="shared" si="23"/>
        <v>1</v>
      </c>
      <c r="C111" s="99" t="b">
        <f t="shared" si="23"/>
        <v>1</v>
      </c>
      <c r="D111" s="98" t="s">
        <v>509</v>
      </c>
      <c r="E111" s="100">
        <f t="shared" si="24"/>
        <v>1.0651315789473685</v>
      </c>
      <c r="F111" s="100">
        <v>1</v>
      </c>
      <c r="G111" s="102" t="s">
        <v>223</v>
      </c>
      <c r="H111" s="101" t="str">
        <f t="shared" si="28"/>
        <v>Q(U)</v>
      </c>
      <c r="I111" s="100">
        <f t="shared" si="29"/>
        <v>1.0651315789473685</v>
      </c>
      <c r="J111" s="102">
        <f t="shared" si="30"/>
        <v>10</v>
      </c>
      <c r="K111" s="102">
        <f t="shared" si="31"/>
        <v>10</v>
      </c>
      <c r="L111" s="103">
        <v>12</v>
      </c>
      <c r="M111" s="108" t="s">
        <v>119</v>
      </c>
      <c r="N111" s="108">
        <v>0</v>
      </c>
      <c r="O111" s="111">
        <v>0.8</v>
      </c>
      <c r="P111" s="108">
        <v>1.35</v>
      </c>
      <c r="R111" s="100"/>
      <c r="S111" s="100"/>
      <c r="T111" s="100"/>
      <c r="U111" s="114"/>
      <c r="V111" s="108"/>
      <c r="W111" s="108"/>
      <c r="X111" s="108"/>
      <c r="Z111" s="100"/>
      <c r="AA111" s="100"/>
      <c r="AB111" s="100"/>
      <c r="AC111" s="114"/>
      <c r="AD111" s="108"/>
      <c r="AE111" s="108"/>
      <c r="AF111" s="108"/>
      <c r="AH111" s="100"/>
      <c r="AI111" s="100"/>
      <c r="AJ111" s="100"/>
      <c r="AK111" s="114"/>
      <c r="AL111" s="108"/>
      <c r="AM111" s="108"/>
      <c r="AN111" s="108"/>
      <c r="AP111" s="100"/>
      <c r="AQ111" s="100"/>
      <c r="AR111" s="100"/>
      <c r="AS111" s="114"/>
      <c r="AT111" s="108"/>
      <c r="AU111" s="108"/>
      <c r="AV111" s="108"/>
      <c r="AX111" s="100"/>
      <c r="AY111" s="100"/>
      <c r="AZ111" s="100"/>
      <c r="BA111" s="114"/>
      <c r="BB111" s="108"/>
      <c r="BC111" s="108"/>
      <c r="BD111" s="108"/>
      <c r="BF111" s="100"/>
      <c r="BG111" s="100"/>
      <c r="BH111" s="100"/>
    </row>
    <row r="112" spans="1:60" s="98" customFormat="1" x14ac:dyDescent="0.25">
      <c r="A112" s="1">
        <v>110</v>
      </c>
      <c r="B112" s="99" t="b">
        <f t="shared" si="23"/>
        <v>1</v>
      </c>
      <c r="C112" s="99" t="b">
        <f t="shared" si="23"/>
        <v>1</v>
      </c>
      <c r="D112" s="98" t="s">
        <v>510</v>
      </c>
      <c r="E112" s="100">
        <f t="shared" si="24"/>
        <v>1.0651315789473685</v>
      </c>
      <c r="F112" s="100">
        <v>1</v>
      </c>
      <c r="G112" s="102" t="s">
        <v>223</v>
      </c>
      <c r="H112" s="101" t="str">
        <f t="shared" si="28"/>
        <v>Q(U)</v>
      </c>
      <c r="I112" s="100">
        <f t="shared" si="29"/>
        <v>1.0651315789473685</v>
      </c>
      <c r="J112" s="102">
        <f t="shared" si="30"/>
        <v>10</v>
      </c>
      <c r="K112" s="102">
        <f t="shared" si="31"/>
        <v>10</v>
      </c>
      <c r="L112" s="103">
        <v>12</v>
      </c>
      <c r="M112" s="108" t="s">
        <v>120</v>
      </c>
      <c r="N112" s="108">
        <v>0</v>
      </c>
      <c r="O112" s="111">
        <v>0.2</v>
      </c>
      <c r="P112" s="108">
        <v>0.45</v>
      </c>
      <c r="R112" s="100"/>
      <c r="S112" s="100"/>
      <c r="T112" s="100"/>
      <c r="U112" s="114"/>
      <c r="V112" s="108"/>
      <c r="W112" s="108"/>
      <c r="X112" s="108"/>
      <c r="Z112" s="100"/>
      <c r="AA112" s="100"/>
      <c r="AB112" s="100"/>
      <c r="AC112" s="114"/>
      <c r="AD112" s="108"/>
      <c r="AE112" s="108"/>
      <c r="AF112" s="108"/>
      <c r="AH112" s="100"/>
      <c r="AI112" s="100"/>
      <c r="AJ112" s="100"/>
      <c r="AK112" s="114"/>
      <c r="AL112" s="108"/>
      <c r="AM112" s="108"/>
      <c r="AN112" s="108"/>
      <c r="AP112" s="100"/>
      <c r="AQ112" s="100"/>
      <c r="AR112" s="100"/>
      <c r="AS112" s="114"/>
      <c r="AT112" s="108"/>
      <c r="AU112" s="108"/>
      <c r="AV112" s="108"/>
      <c r="AX112" s="100"/>
      <c r="AY112" s="100"/>
      <c r="AZ112" s="100"/>
      <c r="BA112" s="114"/>
      <c r="BB112" s="108"/>
      <c r="BC112" s="108"/>
      <c r="BD112" s="108"/>
      <c r="BF112" s="100"/>
      <c r="BG112" s="100"/>
      <c r="BH112" s="100"/>
    </row>
    <row r="113" spans="1:60" s="98" customFormat="1" x14ac:dyDescent="0.25">
      <c r="A113" s="1">
        <v>111</v>
      </c>
      <c r="B113" s="99" t="b">
        <f t="shared" si="23"/>
        <v>1</v>
      </c>
      <c r="C113" s="99" t="b">
        <f t="shared" si="23"/>
        <v>1</v>
      </c>
      <c r="D113" s="98" t="s">
        <v>511</v>
      </c>
      <c r="E113" s="100">
        <f t="shared" si="24"/>
        <v>1.0651315789473685</v>
      </c>
      <c r="F113" s="100">
        <v>1</v>
      </c>
      <c r="G113" s="102" t="s">
        <v>223</v>
      </c>
      <c r="H113" s="101" t="str">
        <f t="shared" si="28"/>
        <v>Q(U)</v>
      </c>
      <c r="I113" s="100">
        <f t="shared" si="29"/>
        <v>1.0651315789473685</v>
      </c>
      <c r="J113" s="102">
        <f t="shared" si="30"/>
        <v>10</v>
      </c>
      <c r="K113" s="102">
        <f t="shared" si="31"/>
        <v>10</v>
      </c>
      <c r="L113" s="103">
        <v>12</v>
      </c>
      <c r="M113" s="108" t="s">
        <v>120</v>
      </c>
      <c r="N113" s="108">
        <v>0</v>
      </c>
      <c r="O113" s="111">
        <v>0.4</v>
      </c>
      <c r="P113" s="108">
        <v>0.75</v>
      </c>
      <c r="R113" s="100"/>
      <c r="S113" s="100"/>
      <c r="T113" s="100"/>
      <c r="U113" s="114"/>
      <c r="V113" s="108"/>
      <c r="W113" s="108"/>
      <c r="X113" s="108"/>
      <c r="Z113" s="100"/>
      <c r="AA113" s="100"/>
      <c r="AB113" s="100"/>
      <c r="AC113" s="114"/>
      <c r="AD113" s="108"/>
      <c r="AE113" s="108"/>
      <c r="AF113" s="108"/>
      <c r="AH113" s="100"/>
      <c r="AI113" s="100"/>
      <c r="AJ113" s="100"/>
      <c r="AK113" s="114"/>
      <c r="AL113" s="108"/>
      <c r="AM113" s="108"/>
      <c r="AN113" s="108"/>
      <c r="AP113" s="100"/>
      <c r="AQ113" s="100"/>
      <c r="AR113" s="100"/>
      <c r="AS113" s="114"/>
      <c r="AT113" s="108"/>
      <c r="AU113" s="108"/>
      <c r="AV113" s="108"/>
      <c r="AX113" s="100"/>
      <c r="AY113" s="100"/>
      <c r="AZ113" s="100"/>
      <c r="BA113" s="114"/>
      <c r="BB113" s="108"/>
      <c r="BC113" s="108"/>
      <c r="BD113" s="108"/>
      <c r="BF113" s="100"/>
      <c r="BG113" s="100"/>
      <c r="BH113" s="100"/>
    </row>
    <row r="114" spans="1:60" s="98" customFormat="1" x14ac:dyDescent="0.25">
      <c r="A114" s="1">
        <v>112</v>
      </c>
      <c r="B114" s="99" t="b">
        <f t="shared" si="23"/>
        <v>1</v>
      </c>
      <c r="C114" s="99" t="b">
        <f t="shared" si="23"/>
        <v>1</v>
      </c>
      <c r="D114" s="98" t="s">
        <v>512</v>
      </c>
      <c r="E114" s="100">
        <f t="shared" si="24"/>
        <v>1.0651315789473685</v>
      </c>
      <c r="F114" s="100">
        <v>1</v>
      </c>
      <c r="G114" s="102" t="s">
        <v>223</v>
      </c>
      <c r="H114" s="101" t="str">
        <f t="shared" si="28"/>
        <v>Q(U)</v>
      </c>
      <c r="I114" s="100">
        <f t="shared" si="29"/>
        <v>1.0651315789473685</v>
      </c>
      <c r="J114" s="102">
        <f t="shared" si="30"/>
        <v>10</v>
      </c>
      <c r="K114" s="102">
        <f t="shared" si="31"/>
        <v>10</v>
      </c>
      <c r="L114" s="103">
        <v>12</v>
      </c>
      <c r="M114" s="108" t="s">
        <v>120</v>
      </c>
      <c r="N114" s="108">
        <v>0</v>
      </c>
      <c r="O114" s="111">
        <v>0.8</v>
      </c>
      <c r="P114" s="108">
        <v>1.35</v>
      </c>
      <c r="R114" s="100"/>
      <c r="S114" s="100"/>
      <c r="T114" s="100"/>
      <c r="U114" s="114"/>
      <c r="V114" s="108"/>
      <c r="W114" s="108"/>
      <c r="X114" s="108"/>
      <c r="Z114" s="100"/>
      <c r="AA114" s="100"/>
      <c r="AB114" s="100"/>
      <c r="AC114" s="114"/>
      <c r="AD114" s="108"/>
      <c r="AE114" s="108"/>
      <c r="AF114" s="108"/>
      <c r="AH114" s="100"/>
      <c r="AI114" s="100"/>
      <c r="AJ114" s="100"/>
      <c r="AK114" s="114"/>
      <c r="AL114" s="108"/>
      <c r="AM114" s="108"/>
      <c r="AN114" s="108"/>
      <c r="AP114" s="100"/>
      <c r="AQ114" s="100"/>
      <c r="AR114" s="100"/>
      <c r="AS114" s="114"/>
      <c r="AT114" s="108"/>
      <c r="AU114" s="108"/>
      <c r="AV114" s="108"/>
      <c r="AX114" s="100"/>
      <c r="AY114" s="100"/>
      <c r="AZ114" s="100"/>
      <c r="BA114" s="114"/>
      <c r="BB114" s="108"/>
      <c r="BC114" s="108"/>
      <c r="BD114" s="108"/>
      <c r="BF114" s="100"/>
      <c r="BG114" s="100"/>
      <c r="BH114" s="100"/>
    </row>
    <row r="115" spans="1:60" s="98" customFormat="1" x14ac:dyDescent="0.25">
      <c r="A115" s="1">
        <v>113</v>
      </c>
      <c r="B115" s="99" t="b">
        <f t="shared" si="23"/>
        <v>1</v>
      </c>
      <c r="C115" s="99" t="b">
        <f t="shared" si="23"/>
        <v>1</v>
      </c>
      <c r="D115" s="98" t="s">
        <v>448</v>
      </c>
      <c r="E115" s="100">
        <f t="shared" ref="E115:E127" si="32">inp_Uc/inp_Un</f>
        <v>1.0651315789473685</v>
      </c>
      <c r="F115" s="100">
        <v>1</v>
      </c>
      <c r="G115" s="102" t="s">
        <v>223</v>
      </c>
      <c r="H115" s="102" t="str">
        <f>IF(inp_default="Q(U)","Q", "Q(U)")</f>
        <v>Q(U)</v>
      </c>
      <c r="I115" s="100">
        <f t="shared" si="29"/>
        <v>1.0651315789473685</v>
      </c>
      <c r="J115" s="102">
        <f>inp_scr_tun</f>
        <v>20</v>
      </c>
      <c r="K115" s="102">
        <f>inp_xr_tun</f>
        <v>15</v>
      </c>
      <c r="L115" s="103">
        <v>15</v>
      </c>
      <c r="M115" s="108" t="s">
        <v>118</v>
      </c>
      <c r="N115" s="108">
        <v>0</v>
      </c>
      <c r="O115" s="112">
        <v>0.05</v>
      </c>
      <c r="P115" s="108">
        <v>0.15</v>
      </c>
      <c r="Q115" s="100" t="s">
        <v>122</v>
      </c>
      <c r="R115" s="100">
        <f>N115+P115-0.001</f>
        <v>0.14899999999999999</v>
      </c>
      <c r="S115" s="100">
        <f>inp_scr_min</f>
        <v>10</v>
      </c>
      <c r="T115" s="100">
        <f>inp_xr_min</f>
        <v>10</v>
      </c>
      <c r="U115" s="114"/>
      <c r="V115" s="108"/>
      <c r="W115" s="108"/>
      <c r="X115" s="108"/>
      <c r="Z115" s="100"/>
      <c r="AA115" s="100"/>
      <c r="AB115" s="100"/>
      <c r="AC115" s="114"/>
      <c r="AD115" s="108"/>
      <c r="AE115" s="108"/>
      <c r="AF115" s="108"/>
      <c r="AH115" s="100"/>
      <c r="AI115" s="100"/>
      <c r="AJ115" s="100"/>
      <c r="AK115" s="114"/>
      <c r="AL115" s="108"/>
      <c r="AM115" s="108"/>
      <c r="AN115" s="108"/>
      <c r="AP115" s="100"/>
      <c r="AQ115" s="100"/>
      <c r="AR115" s="100"/>
      <c r="AS115" s="114"/>
      <c r="AT115" s="108"/>
      <c r="AU115" s="108"/>
      <c r="AV115" s="108"/>
      <c r="AX115" s="100"/>
      <c r="AY115" s="100"/>
      <c r="AZ115" s="100"/>
      <c r="BA115" s="114"/>
      <c r="BB115" s="108"/>
      <c r="BC115" s="108"/>
      <c r="BD115" s="108"/>
      <c r="BF115" s="100"/>
      <c r="BG115" s="100"/>
      <c r="BH115" s="100"/>
    </row>
    <row r="116" spans="1:60" s="98" customFormat="1" x14ac:dyDescent="0.25">
      <c r="A116" s="1">
        <v>114</v>
      </c>
      <c r="B116" s="99" t="b">
        <f t="shared" si="23"/>
        <v>1</v>
      </c>
      <c r="C116" s="99" t="b">
        <f t="shared" si="23"/>
        <v>1</v>
      </c>
      <c r="D116" s="98" t="s">
        <v>449</v>
      </c>
      <c r="E116" s="100">
        <f t="shared" si="32"/>
        <v>1.0651315789473685</v>
      </c>
      <c r="F116" s="100">
        <v>1</v>
      </c>
      <c r="G116" s="102" t="s">
        <v>223</v>
      </c>
      <c r="H116" s="102" t="str">
        <f>IF(inp_default="Q(U)","Q", "Q(U)")</f>
        <v>Q(U)</v>
      </c>
      <c r="I116" s="100">
        <f t="shared" si="29"/>
        <v>1.0651315789473685</v>
      </c>
      <c r="J116" s="102">
        <f>inp_scr_tun</f>
        <v>20</v>
      </c>
      <c r="K116" s="102">
        <f>inp_xr_tun</f>
        <v>15</v>
      </c>
      <c r="L116" s="103">
        <v>15</v>
      </c>
      <c r="M116" s="108" t="s">
        <v>121</v>
      </c>
      <c r="N116" s="108">
        <v>0</v>
      </c>
      <c r="O116" s="112">
        <v>0.1</v>
      </c>
      <c r="P116" s="108">
        <v>0.15</v>
      </c>
      <c r="Q116" s="100" t="s">
        <v>122</v>
      </c>
      <c r="R116" s="100">
        <f>N116+P116-0.001</f>
        <v>0.14899999999999999</v>
      </c>
      <c r="S116" s="100">
        <f>inp_scr_min</f>
        <v>10</v>
      </c>
      <c r="T116" s="100">
        <f>inp_xr_min</f>
        <v>10</v>
      </c>
      <c r="U116" s="114"/>
      <c r="V116" s="108"/>
      <c r="W116" s="108"/>
      <c r="X116" s="108"/>
      <c r="Z116" s="100"/>
      <c r="AA116" s="100"/>
      <c r="AB116" s="100"/>
      <c r="AC116" s="114"/>
      <c r="AD116" s="108"/>
      <c r="AE116" s="108"/>
      <c r="AF116" s="108"/>
      <c r="AH116" s="100"/>
      <c r="AI116" s="100"/>
      <c r="AJ116" s="100"/>
      <c r="AK116" s="114"/>
      <c r="AL116" s="108"/>
      <c r="AM116" s="108"/>
      <c r="AN116" s="108"/>
      <c r="AP116" s="100"/>
      <c r="AQ116" s="100"/>
      <c r="AR116" s="100"/>
      <c r="AS116" s="114"/>
      <c r="AT116" s="108"/>
      <c r="AU116" s="108"/>
      <c r="AV116" s="108"/>
      <c r="AX116" s="100"/>
      <c r="AY116" s="100"/>
      <c r="AZ116" s="100"/>
      <c r="BA116" s="114"/>
      <c r="BB116" s="108"/>
      <c r="BC116" s="108"/>
      <c r="BD116" s="108"/>
      <c r="BF116" s="100"/>
      <c r="BG116" s="100"/>
      <c r="BH116" s="100"/>
    </row>
    <row r="117" spans="1:60" s="98" customFormat="1" x14ac:dyDescent="0.25">
      <c r="A117" s="1">
        <v>115</v>
      </c>
      <c r="B117" s="99" t="b">
        <f t="shared" si="23"/>
        <v>1</v>
      </c>
      <c r="C117" s="99" t="b">
        <f t="shared" si="23"/>
        <v>1</v>
      </c>
      <c r="D117" s="98" t="s">
        <v>480</v>
      </c>
      <c r="E117" s="100">
        <f t="shared" si="32"/>
        <v>1.0651315789473685</v>
      </c>
      <c r="F117" s="100">
        <v>1</v>
      </c>
      <c r="G117" s="102" t="s">
        <v>223</v>
      </c>
      <c r="H117" s="101" t="str">
        <f>IF(inp_default="Q(U)","Q",IF(inp_default="Q","Q(U)",0))</f>
        <v>Q(U)</v>
      </c>
      <c r="I117" s="100">
        <f t="shared" si="29"/>
        <v>1.0651315789473685</v>
      </c>
      <c r="J117" s="102">
        <f>inp_scr_min</f>
        <v>10</v>
      </c>
      <c r="K117" s="102">
        <f>inp_xr_min</f>
        <v>10</v>
      </c>
      <c r="L117" s="103">
        <v>12</v>
      </c>
      <c r="M117" s="108" t="s">
        <v>118</v>
      </c>
      <c r="N117" s="108">
        <v>0</v>
      </c>
      <c r="O117" s="111">
        <f>sel_lvfrt_start-0.02</f>
        <v>0.83</v>
      </c>
      <c r="P117" s="108">
        <v>1.35</v>
      </c>
      <c r="Q117" s="100"/>
      <c r="R117" s="100"/>
      <c r="S117" s="100"/>
      <c r="T117" s="100"/>
      <c r="U117" s="114"/>
      <c r="V117" s="108"/>
      <c r="W117" s="108"/>
      <c r="X117" s="108"/>
      <c r="Z117" s="100"/>
      <c r="AA117" s="100"/>
      <c r="AB117" s="100"/>
      <c r="AC117" s="114"/>
      <c r="AD117" s="108"/>
      <c r="AE117" s="108"/>
      <c r="AF117" s="108"/>
      <c r="AH117" s="100"/>
      <c r="AI117" s="100"/>
      <c r="AJ117" s="100"/>
      <c r="AK117" s="114"/>
      <c r="AL117" s="108"/>
      <c r="AM117" s="108"/>
      <c r="AN117" s="108"/>
      <c r="AP117" s="100"/>
      <c r="AQ117" s="100"/>
      <c r="AR117" s="100"/>
      <c r="AS117" s="114"/>
      <c r="AT117" s="108"/>
      <c r="AU117" s="108"/>
      <c r="AV117" s="108"/>
      <c r="AX117" s="100"/>
      <c r="AY117" s="100"/>
      <c r="AZ117" s="100"/>
      <c r="BA117" s="114"/>
      <c r="BB117" s="108"/>
      <c r="BC117" s="108"/>
      <c r="BD117" s="108"/>
      <c r="BF117" s="100"/>
      <c r="BG117" s="100"/>
      <c r="BH117" s="100"/>
    </row>
    <row r="118" spans="1:60" s="98" customFormat="1" x14ac:dyDescent="0.25">
      <c r="A118" s="1">
        <v>116</v>
      </c>
      <c r="B118" s="99" t="b">
        <f t="shared" si="23"/>
        <v>1</v>
      </c>
      <c r="C118" s="99" t="b">
        <f t="shared" si="23"/>
        <v>1</v>
      </c>
      <c r="D118" s="98" t="s">
        <v>481</v>
      </c>
      <c r="E118" s="100">
        <f t="shared" si="32"/>
        <v>1.0651315789473685</v>
      </c>
      <c r="F118" s="100">
        <v>1</v>
      </c>
      <c r="G118" s="102" t="s">
        <v>223</v>
      </c>
      <c r="H118" s="101" t="s">
        <v>108</v>
      </c>
      <c r="I118" s="100">
        <f>IF(inp_default="Q(U)",#REF!,IF(inp_default="PF",1,0))</f>
        <v>0</v>
      </c>
      <c r="J118" s="102">
        <f>inp_scr_min</f>
        <v>10</v>
      </c>
      <c r="K118" s="102">
        <f>inp_xr_min</f>
        <v>10</v>
      </c>
      <c r="L118" s="103">
        <v>12</v>
      </c>
      <c r="M118" s="108" t="s">
        <v>118</v>
      </c>
      <c r="N118" s="108">
        <v>0</v>
      </c>
      <c r="O118" s="111">
        <f>sel_lvfrt_start-0.02</f>
        <v>0.83</v>
      </c>
      <c r="P118" s="108">
        <v>1.35</v>
      </c>
      <c r="Q118" s="100"/>
      <c r="R118" s="100"/>
      <c r="S118" s="100"/>
      <c r="T118" s="100"/>
      <c r="U118" s="114"/>
      <c r="V118" s="108"/>
      <c r="W118" s="108"/>
      <c r="X118" s="108"/>
      <c r="Z118" s="100"/>
      <c r="AA118" s="100"/>
      <c r="AB118" s="100"/>
      <c r="AC118" s="114"/>
      <c r="AD118" s="108"/>
      <c r="AE118" s="108"/>
      <c r="AF118" s="108"/>
      <c r="AH118" s="100"/>
      <c r="AI118" s="100"/>
      <c r="AJ118" s="100"/>
      <c r="AK118" s="114"/>
      <c r="AL118" s="108"/>
      <c r="AM118" s="108"/>
      <c r="AN118" s="108"/>
      <c r="AP118" s="100"/>
      <c r="AQ118" s="100"/>
      <c r="AR118" s="100"/>
      <c r="AS118" s="114"/>
      <c r="AT118" s="108"/>
      <c r="AU118" s="108"/>
      <c r="AV118" s="108"/>
      <c r="AX118" s="100"/>
      <c r="AY118" s="100"/>
      <c r="AZ118" s="100"/>
      <c r="BA118" s="114"/>
      <c r="BB118" s="108"/>
      <c r="BC118" s="108"/>
      <c r="BD118" s="108"/>
      <c r="BF118" s="100"/>
      <c r="BG118" s="100"/>
      <c r="BH118" s="100"/>
    </row>
    <row r="119" spans="1:60" s="98" customFormat="1" x14ac:dyDescent="0.25">
      <c r="A119" s="1">
        <v>117</v>
      </c>
      <c r="B119" s="99" t="b">
        <f t="shared" si="23"/>
        <v>1</v>
      </c>
      <c r="C119" s="99" t="b">
        <f t="shared" si="23"/>
        <v>1</v>
      </c>
      <c r="D119" s="98" t="s">
        <v>513</v>
      </c>
      <c r="E119" s="100">
        <f t="shared" si="32"/>
        <v>1.0651315789473685</v>
      </c>
      <c r="F119" s="100">
        <v>1</v>
      </c>
      <c r="G119" s="102" t="s">
        <v>223</v>
      </c>
      <c r="H119" s="101" t="s">
        <v>108</v>
      </c>
      <c r="I119" s="100">
        <f>IF(inp_default="Q(U)",#REF!,IF(inp_default="PF",1,0))</f>
        <v>0</v>
      </c>
      <c r="J119" s="102">
        <f>inp_scr_min</f>
        <v>10</v>
      </c>
      <c r="K119" s="102">
        <f>inp_xr_min</f>
        <v>10</v>
      </c>
      <c r="L119" s="103">
        <v>12</v>
      </c>
      <c r="M119" s="108" t="s">
        <v>120</v>
      </c>
      <c r="N119" s="108">
        <v>0</v>
      </c>
      <c r="O119" s="111">
        <f>sel_lvfrt_start-0.02</f>
        <v>0.83</v>
      </c>
      <c r="P119" s="108">
        <v>1.35</v>
      </c>
      <c r="Q119" s="100"/>
      <c r="R119" s="100"/>
      <c r="S119" s="100"/>
      <c r="T119" s="100"/>
      <c r="U119" s="114"/>
      <c r="V119" s="108"/>
      <c r="W119" s="108"/>
      <c r="X119" s="108"/>
      <c r="Z119" s="100"/>
      <c r="AA119" s="100"/>
      <c r="AB119" s="100"/>
      <c r="AC119" s="114"/>
      <c r="AD119" s="108"/>
      <c r="AE119" s="108"/>
      <c r="AF119" s="108"/>
      <c r="AH119" s="100"/>
      <c r="AI119" s="100"/>
      <c r="AJ119" s="100"/>
      <c r="AK119" s="114"/>
      <c r="AL119" s="108"/>
      <c r="AM119" s="108"/>
      <c r="AN119" s="108"/>
      <c r="AP119" s="100"/>
      <c r="AQ119" s="100"/>
      <c r="AR119" s="100"/>
      <c r="AS119" s="114"/>
      <c r="AT119" s="108"/>
      <c r="AU119" s="108"/>
      <c r="AV119" s="108"/>
      <c r="AX119" s="100"/>
      <c r="AY119" s="100"/>
      <c r="AZ119" s="100"/>
      <c r="BA119" s="114"/>
      <c r="BB119" s="108"/>
      <c r="BC119" s="108"/>
      <c r="BD119" s="108"/>
      <c r="BF119" s="100"/>
      <c r="BG119" s="100"/>
      <c r="BH119" s="100"/>
    </row>
    <row r="120" spans="1:60" s="98" customFormat="1" x14ac:dyDescent="0.25">
      <c r="A120" s="1">
        <v>118</v>
      </c>
      <c r="B120" s="99" t="b">
        <f t="shared" si="23"/>
        <v>1</v>
      </c>
      <c r="C120" s="99" t="b">
        <f t="shared" si="23"/>
        <v>1</v>
      </c>
      <c r="D120" s="98" t="s">
        <v>516</v>
      </c>
      <c r="E120" s="100">
        <f t="shared" si="32"/>
        <v>1.0651315789473685</v>
      </c>
      <c r="F120" s="100">
        <v>1</v>
      </c>
      <c r="G120" s="102" t="s">
        <v>223</v>
      </c>
      <c r="H120" s="101" t="str">
        <f>IF(inp_default="Q(U)","Q",IF(inp_default="Q","Q(U)",0))</f>
        <v>Q(U)</v>
      </c>
      <c r="I120" s="100">
        <f>IF(inp_default="Q",E120,IF(inp_default="PF",1,0))</f>
        <v>1.0651315789473685</v>
      </c>
      <c r="J120" s="102">
        <f>inp_scr_min</f>
        <v>10</v>
      </c>
      <c r="K120" s="102">
        <f>inp_xr_min</f>
        <v>10</v>
      </c>
      <c r="L120" s="103">
        <v>15</v>
      </c>
      <c r="M120" s="108" t="s">
        <v>121</v>
      </c>
      <c r="N120" s="108">
        <v>0</v>
      </c>
      <c r="O120" s="111">
        <v>0.1</v>
      </c>
      <c r="P120" s="108">
        <v>0.15</v>
      </c>
      <c r="Q120" s="100" t="s">
        <v>119</v>
      </c>
      <c r="R120" s="100">
        <f>N120+P120+1.5</f>
        <v>1.65</v>
      </c>
      <c r="S120" s="124">
        <v>0.2</v>
      </c>
      <c r="T120" s="100">
        <v>0.15</v>
      </c>
      <c r="U120" s="114"/>
      <c r="V120" s="108"/>
      <c r="W120" s="108"/>
      <c r="X120" s="108"/>
      <c r="Z120" s="100"/>
      <c r="AA120" s="100"/>
      <c r="AB120" s="100"/>
      <c r="AC120" s="114"/>
      <c r="AD120" s="108"/>
      <c r="AE120" s="108"/>
      <c r="AF120" s="108"/>
      <c r="AH120" s="100"/>
      <c r="AI120" s="100"/>
      <c r="AJ120" s="100"/>
      <c r="AK120" s="114"/>
      <c r="AL120" s="108"/>
      <c r="AM120" s="108"/>
      <c r="AN120" s="108"/>
      <c r="AP120" s="100"/>
      <c r="AQ120" s="100"/>
      <c r="AR120" s="100"/>
      <c r="AS120" s="114"/>
      <c r="AT120" s="108"/>
      <c r="AU120" s="108"/>
      <c r="AV120" s="108"/>
      <c r="AX120" s="100"/>
      <c r="AY120" s="100"/>
      <c r="AZ120" s="100"/>
      <c r="BA120" s="114"/>
      <c r="BB120" s="108"/>
      <c r="BC120" s="108"/>
      <c r="BD120" s="108"/>
      <c r="BF120" s="100"/>
      <c r="BG120" s="100"/>
      <c r="BH120" s="100"/>
    </row>
    <row r="121" spans="1:60" s="98" customFormat="1" x14ac:dyDescent="0.25">
      <c r="A121" s="1">
        <v>119</v>
      </c>
      <c r="B121" s="99" t="b">
        <f t="shared" si="23"/>
        <v>1</v>
      </c>
      <c r="C121" s="99" t="b">
        <f t="shared" si="23"/>
        <v>1</v>
      </c>
      <c r="D121" s="98" t="s">
        <v>515</v>
      </c>
      <c r="E121" s="100">
        <f t="shared" si="32"/>
        <v>1.0651315789473685</v>
      </c>
      <c r="F121" s="100">
        <v>1</v>
      </c>
      <c r="G121" s="102" t="s">
        <v>223</v>
      </c>
      <c r="H121" s="101" t="s">
        <v>108</v>
      </c>
      <c r="I121" s="100">
        <f t="shared" ref="I121:I128" si="33">IF(inp_default="Q(U)",E121,IF(inp_default="PF",1,0))</f>
        <v>0</v>
      </c>
      <c r="J121" s="102">
        <f>inp_scr_tun</f>
        <v>20</v>
      </c>
      <c r="K121" s="102">
        <f>inp_xr_tun</f>
        <v>15</v>
      </c>
      <c r="L121" s="103">
        <v>15</v>
      </c>
      <c r="M121" s="108" t="s">
        <v>121</v>
      </c>
      <c r="N121" s="108">
        <v>0</v>
      </c>
      <c r="O121" s="111">
        <v>0.3</v>
      </c>
      <c r="P121" s="108">
        <v>0.15</v>
      </c>
      <c r="Q121" s="100" t="s">
        <v>118</v>
      </c>
      <c r="R121" s="100">
        <f>N121+P121+1.5</f>
        <v>1.65</v>
      </c>
      <c r="S121" s="124">
        <v>0.3</v>
      </c>
      <c r="T121" s="100">
        <v>0.15</v>
      </c>
      <c r="U121" s="114" t="s">
        <v>122</v>
      </c>
      <c r="V121" s="108">
        <f>T121+R121-0.001</f>
        <v>1.7989999999999999</v>
      </c>
      <c r="W121" s="108">
        <f>inp_scr_min</f>
        <v>10</v>
      </c>
      <c r="X121" s="108">
        <f>inp_xr_min</f>
        <v>10</v>
      </c>
      <c r="Z121" s="100"/>
      <c r="AA121" s="100"/>
      <c r="AB121" s="100"/>
      <c r="AC121" s="114"/>
      <c r="AD121" s="108"/>
      <c r="AE121" s="108"/>
      <c r="AF121" s="108"/>
      <c r="AH121" s="100"/>
      <c r="AI121" s="100"/>
      <c r="AJ121" s="100"/>
      <c r="AK121" s="114"/>
      <c r="AL121" s="108"/>
      <c r="AM121" s="108"/>
      <c r="AN121" s="108"/>
      <c r="AP121" s="100"/>
      <c r="AQ121" s="100"/>
      <c r="AR121" s="100"/>
      <c r="AS121" s="114"/>
      <c r="AT121" s="108"/>
      <c r="AU121" s="108"/>
      <c r="AV121" s="108"/>
      <c r="AX121" s="100"/>
      <c r="AY121" s="100"/>
      <c r="AZ121" s="100"/>
      <c r="BA121" s="114"/>
      <c r="BB121" s="108"/>
      <c r="BC121" s="108"/>
      <c r="BD121" s="108"/>
      <c r="BF121" s="100"/>
      <c r="BG121" s="100"/>
      <c r="BH121" s="100"/>
    </row>
    <row r="122" spans="1:60" s="98" customFormat="1" x14ac:dyDescent="0.25">
      <c r="A122" s="1">
        <v>120</v>
      </c>
      <c r="B122" s="99" t="b">
        <f t="shared" si="23"/>
        <v>1</v>
      </c>
      <c r="C122" s="99" t="b">
        <f t="shared" si="23"/>
        <v>1</v>
      </c>
      <c r="D122" s="98" t="s">
        <v>322</v>
      </c>
      <c r="E122" s="100">
        <f t="shared" si="32"/>
        <v>1.0651315789473685</v>
      </c>
      <c r="F122" s="100">
        <v>1</v>
      </c>
      <c r="G122" s="102" t="s">
        <v>223</v>
      </c>
      <c r="H122" s="101" t="s">
        <v>108</v>
      </c>
      <c r="I122" s="100">
        <f t="shared" si="33"/>
        <v>0</v>
      </c>
      <c r="J122" s="102">
        <v>2</v>
      </c>
      <c r="K122" s="102">
        <v>3</v>
      </c>
      <c r="L122" s="103">
        <v>20</v>
      </c>
      <c r="M122" s="108" t="s">
        <v>118</v>
      </c>
      <c r="N122" s="108">
        <v>0</v>
      </c>
      <c r="O122" s="111">
        <v>0.2</v>
      </c>
      <c r="P122" s="108">
        <v>0.2</v>
      </c>
      <c r="R122" s="100"/>
      <c r="S122" s="100"/>
      <c r="T122" s="100"/>
      <c r="U122" s="114"/>
      <c r="V122" s="108"/>
      <c r="W122" s="108"/>
      <c r="X122" s="108"/>
      <c r="Z122" s="100"/>
      <c r="AA122" s="100"/>
      <c r="AB122" s="100"/>
      <c r="AC122" s="114"/>
      <c r="AD122" s="108"/>
      <c r="AE122" s="108"/>
      <c r="AF122" s="108"/>
      <c r="AH122" s="100"/>
      <c r="AI122" s="100"/>
      <c r="AJ122" s="100"/>
      <c r="AK122" s="114"/>
      <c r="AL122" s="108"/>
      <c r="AM122" s="108"/>
      <c r="AN122" s="108"/>
      <c r="AP122" s="100"/>
      <c r="AQ122" s="100"/>
      <c r="AR122" s="100"/>
      <c r="AS122" s="114"/>
      <c r="AT122" s="108"/>
      <c r="AU122" s="108"/>
      <c r="AV122" s="108"/>
      <c r="AX122" s="100"/>
      <c r="AY122" s="100"/>
      <c r="AZ122" s="100"/>
      <c r="BA122" s="114"/>
      <c r="BB122" s="108"/>
      <c r="BC122" s="108"/>
      <c r="BD122" s="108"/>
      <c r="BF122" s="100"/>
      <c r="BG122" s="100"/>
      <c r="BH122" s="100"/>
    </row>
    <row r="123" spans="1:60" s="98" customFormat="1" x14ac:dyDescent="0.25">
      <c r="A123" s="1">
        <v>121</v>
      </c>
      <c r="B123" s="99" t="b">
        <f t="shared" si="23"/>
        <v>1</v>
      </c>
      <c r="C123" s="99" t="b">
        <f t="shared" si="23"/>
        <v>1</v>
      </c>
      <c r="D123" s="98" t="s">
        <v>323</v>
      </c>
      <c r="E123" s="100">
        <f t="shared" si="32"/>
        <v>1.0651315789473685</v>
      </c>
      <c r="F123" s="100">
        <v>1</v>
      </c>
      <c r="G123" s="102" t="s">
        <v>223</v>
      </c>
      <c r="H123" s="101" t="s">
        <v>108</v>
      </c>
      <c r="I123" s="100">
        <f t="shared" si="33"/>
        <v>0</v>
      </c>
      <c r="J123" s="102">
        <v>2</v>
      </c>
      <c r="K123" s="102">
        <v>3</v>
      </c>
      <c r="L123" s="103">
        <v>20</v>
      </c>
      <c r="M123" s="108" t="s">
        <v>119</v>
      </c>
      <c r="N123" s="108">
        <v>0</v>
      </c>
      <c r="O123" s="111">
        <v>0.2</v>
      </c>
      <c r="P123" s="108">
        <v>0.2</v>
      </c>
      <c r="R123" s="100"/>
      <c r="S123" s="100"/>
      <c r="T123" s="100"/>
      <c r="U123" s="114"/>
      <c r="V123" s="108"/>
      <c r="W123" s="108"/>
      <c r="X123" s="108"/>
      <c r="Z123" s="100"/>
      <c r="AA123" s="100"/>
      <c r="AB123" s="100"/>
      <c r="AC123" s="114"/>
      <c r="AD123" s="108"/>
      <c r="AE123" s="108"/>
      <c r="AF123" s="108"/>
      <c r="AH123" s="100"/>
      <c r="AI123" s="100"/>
      <c r="AJ123" s="100"/>
      <c r="AK123" s="114"/>
      <c r="AL123" s="108"/>
      <c r="AM123" s="108"/>
      <c r="AN123" s="108"/>
      <c r="AP123" s="100"/>
      <c r="AQ123" s="100"/>
      <c r="AR123" s="100"/>
      <c r="AS123" s="114"/>
      <c r="AT123" s="108"/>
      <c r="AU123" s="108"/>
      <c r="AV123" s="108"/>
      <c r="AX123" s="100"/>
      <c r="AY123" s="100"/>
      <c r="AZ123" s="100"/>
      <c r="BA123" s="114"/>
      <c r="BB123" s="108"/>
      <c r="BC123" s="108"/>
      <c r="BD123" s="108"/>
      <c r="BF123" s="100"/>
      <c r="BG123" s="100"/>
      <c r="BH123" s="100"/>
    </row>
    <row r="124" spans="1:60" s="98" customFormat="1" x14ac:dyDescent="0.25">
      <c r="A124" s="1">
        <v>122</v>
      </c>
      <c r="B124" s="99" t="b">
        <f t="shared" si="23"/>
        <v>1</v>
      </c>
      <c r="C124" s="99" t="b">
        <f t="shared" si="23"/>
        <v>1</v>
      </c>
      <c r="D124" s="98" t="s">
        <v>324</v>
      </c>
      <c r="E124" s="100">
        <f t="shared" si="32"/>
        <v>1.0651315789473685</v>
      </c>
      <c r="F124" s="100">
        <v>1</v>
      </c>
      <c r="G124" s="102" t="s">
        <v>223</v>
      </c>
      <c r="H124" s="101" t="s">
        <v>108</v>
      </c>
      <c r="I124" s="100">
        <f t="shared" si="33"/>
        <v>0</v>
      </c>
      <c r="J124" s="102">
        <f>inp_scr_min</f>
        <v>10</v>
      </c>
      <c r="K124" s="102">
        <f>inp_xr_min</f>
        <v>10</v>
      </c>
      <c r="L124" s="103">
        <v>15</v>
      </c>
      <c r="M124" s="108" t="s">
        <v>118</v>
      </c>
      <c r="N124" s="108">
        <v>0</v>
      </c>
      <c r="O124" s="111">
        <v>0.4</v>
      </c>
      <c r="P124" s="108">
        <v>0.2</v>
      </c>
      <c r="Q124" s="98" t="s">
        <v>110</v>
      </c>
      <c r="R124" s="100">
        <v>1.21</v>
      </c>
      <c r="S124" s="100"/>
      <c r="T124" s="100">
        <v>4</v>
      </c>
      <c r="U124" s="114" t="s">
        <v>110</v>
      </c>
      <c r="V124" s="108">
        <f>0.05+R124</f>
        <v>1.26</v>
      </c>
      <c r="W124" s="108"/>
      <c r="X124" s="108">
        <v>2</v>
      </c>
      <c r="Y124" s="98" t="s">
        <v>110</v>
      </c>
      <c r="Z124" s="100">
        <f>0.15+R124</f>
        <v>1.3599999999999999</v>
      </c>
      <c r="AA124" s="100"/>
      <c r="AB124" s="100">
        <v>1</v>
      </c>
      <c r="AC124" s="114" t="s">
        <v>110</v>
      </c>
      <c r="AD124" s="108">
        <f>0.9+R124</f>
        <v>2.11</v>
      </c>
      <c r="AE124" s="108"/>
      <c r="AF124" s="108">
        <v>0.35</v>
      </c>
      <c r="AG124" s="98" t="s">
        <v>110</v>
      </c>
      <c r="AH124" s="100">
        <f>1.9+R124</f>
        <v>3.11</v>
      </c>
      <c r="AI124" s="100"/>
      <c r="AJ124" s="100">
        <v>0</v>
      </c>
      <c r="AK124" s="114" t="s">
        <v>110</v>
      </c>
      <c r="AL124" s="108">
        <f>3.9+R124</f>
        <v>5.1099999999999994</v>
      </c>
      <c r="AM124" s="108"/>
      <c r="AN124" s="108">
        <v>-1</v>
      </c>
      <c r="AO124" s="98" t="s">
        <v>110</v>
      </c>
      <c r="AP124" s="100">
        <f>4.9+R124</f>
        <v>6.11</v>
      </c>
      <c r="AQ124" s="100"/>
      <c r="AR124" s="100">
        <v>0</v>
      </c>
      <c r="AS124" s="114"/>
      <c r="AT124" s="108"/>
      <c r="AU124" s="108"/>
      <c r="AV124" s="108"/>
      <c r="AX124" s="100"/>
      <c r="AY124" s="100"/>
      <c r="AZ124" s="100"/>
      <c r="BA124" s="114"/>
      <c r="BB124" s="108"/>
      <c r="BC124" s="108"/>
      <c r="BD124" s="108"/>
      <c r="BF124" s="100"/>
      <c r="BG124" s="100"/>
      <c r="BH124" s="100"/>
    </row>
    <row r="125" spans="1:60" s="98" customFormat="1" x14ac:dyDescent="0.25">
      <c r="A125" s="1">
        <v>123</v>
      </c>
      <c r="B125" s="99" t="b">
        <f t="shared" ref="B125:C141" si="34">inp_Un&gt;=110</f>
        <v>1</v>
      </c>
      <c r="C125" s="99" t="b">
        <f t="shared" si="34"/>
        <v>1</v>
      </c>
      <c r="D125" s="98" t="s">
        <v>325</v>
      </c>
      <c r="E125" s="100">
        <f t="shared" si="32"/>
        <v>1.0651315789473685</v>
      </c>
      <c r="F125" s="100">
        <v>1</v>
      </c>
      <c r="G125" s="102" t="s">
        <v>223</v>
      </c>
      <c r="H125" s="101" t="s">
        <v>108</v>
      </c>
      <c r="I125" s="100">
        <f t="shared" si="33"/>
        <v>0</v>
      </c>
      <c r="J125" s="102">
        <f>inp_scr_min</f>
        <v>10</v>
      </c>
      <c r="K125" s="102">
        <f>inp_xr_min</f>
        <v>10</v>
      </c>
      <c r="L125" s="103">
        <v>15</v>
      </c>
      <c r="M125" s="108" t="s">
        <v>118</v>
      </c>
      <c r="N125" s="108">
        <v>0</v>
      </c>
      <c r="O125" s="111">
        <v>0.4</v>
      </c>
      <c r="P125" s="108">
        <v>0.2</v>
      </c>
      <c r="Q125" s="98" t="s">
        <v>110</v>
      </c>
      <c r="R125" s="100">
        <v>1.21</v>
      </c>
      <c r="S125" s="100"/>
      <c r="T125" s="100">
        <v>-4</v>
      </c>
      <c r="U125" s="114" t="s">
        <v>110</v>
      </c>
      <c r="V125" s="108">
        <f>0.05+R125</f>
        <v>1.26</v>
      </c>
      <c r="W125" s="108"/>
      <c r="X125" s="108">
        <v>-2</v>
      </c>
      <c r="Y125" s="98" t="s">
        <v>110</v>
      </c>
      <c r="Z125" s="100">
        <f>0.15+R125</f>
        <v>1.3599999999999999</v>
      </c>
      <c r="AA125" s="100"/>
      <c r="AB125" s="100">
        <v>-1</v>
      </c>
      <c r="AC125" s="114" t="s">
        <v>110</v>
      </c>
      <c r="AD125" s="108">
        <f>0.9+R125</f>
        <v>2.11</v>
      </c>
      <c r="AE125" s="108"/>
      <c r="AF125" s="108">
        <v>-0.35</v>
      </c>
      <c r="AG125" s="98" t="s">
        <v>110</v>
      </c>
      <c r="AH125" s="100">
        <f>1.9+R125</f>
        <v>3.11</v>
      </c>
      <c r="AI125" s="100"/>
      <c r="AJ125" s="100">
        <v>0</v>
      </c>
      <c r="AK125" s="114" t="s">
        <v>110</v>
      </c>
      <c r="AL125" s="108">
        <f>3.9+R125</f>
        <v>5.1099999999999994</v>
      </c>
      <c r="AM125" s="108"/>
      <c r="AN125" s="108">
        <v>1</v>
      </c>
      <c r="AO125" s="98" t="s">
        <v>110</v>
      </c>
      <c r="AP125" s="100">
        <f>4.9+R125</f>
        <v>6.11</v>
      </c>
      <c r="AQ125" s="100"/>
      <c r="AR125" s="100">
        <v>0</v>
      </c>
      <c r="AS125" s="114"/>
      <c r="AT125" s="108"/>
      <c r="AU125" s="108"/>
      <c r="AV125" s="108"/>
      <c r="AX125" s="100"/>
      <c r="AY125" s="100"/>
      <c r="AZ125" s="100"/>
      <c r="BA125" s="114"/>
      <c r="BB125" s="108"/>
      <c r="BC125" s="108"/>
      <c r="BD125" s="108"/>
      <c r="BF125" s="100"/>
      <c r="BG125" s="100"/>
      <c r="BH125" s="100"/>
    </row>
    <row r="126" spans="1:60" s="98" customFormat="1" x14ac:dyDescent="0.25">
      <c r="A126" s="1">
        <v>124</v>
      </c>
      <c r="B126" s="99" t="b">
        <f t="shared" si="34"/>
        <v>1</v>
      </c>
      <c r="C126" s="99" t="b">
        <f t="shared" si="34"/>
        <v>1</v>
      </c>
      <c r="D126" s="98" t="s">
        <v>450</v>
      </c>
      <c r="E126" s="100">
        <f t="shared" si="32"/>
        <v>1.0651315789473685</v>
      </c>
      <c r="F126" s="100">
        <v>1</v>
      </c>
      <c r="G126" s="102" t="s">
        <v>223</v>
      </c>
      <c r="H126" s="101" t="s">
        <v>108</v>
      </c>
      <c r="I126" s="100">
        <f t="shared" si="33"/>
        <v>0</v>
      </c>
      <c r="J126" s="102">
        <f>inp_scr_tun</f>
        <v>20</v>
      </c>
      <c r="K126" s="102">
        <f>inp_xr_tun</f>
        <v>15</v>
      </c>
      <c r="L126" s="103">
        <v>20</v>
      </c>
      <c r="M126" s="108" t="s">
        <v>118</v>
      </c>
      <c r="N126" s="108">
        <v>0</v>
      </c>
      <c r="O126" s="111">
        <v>0.4</v>
      </c>
      <c r="P126" s="108">
        <v>0.2</v>
      </c>
      <c r="Q126" s="100" t="s">
        <v>122</v>
      </c>
      <c r="R126" s="100">
        <f>N126+P126-0.001</f>
        <v>0.19900000000000001</v>
      </c>
      <c r="S126" s="100">
        <f>inp_scr_min</f>
        <v>10</v>
      </c>
      <c r="T126" s="100">
        <f>inp_xr_min</f>
        <v>10</v>
      </c>
      <c r="U126" s="114" t="s">
        <v>110</v>
      </c>
      <c r="V126" s="108">
        <f>N126+P126+0.005</f>
        <v>0.20500000000000002</v>
      </c>
      <c r="W126" s="108">
        <v>51</v>
      </c>
      <c r="X126" s="108"/>
      <c r="Y126" s="98" t="s">
        <v>110</v>
      </c>
      <c r="Z126" s="100">
        <v>6</v>
      </c>
      <c r="AA126" s="100">
        <v>50</v>
      </c>
      <c r="AB126" s="100"/>
      <c r="AC126" s="114"/>
      <c r="AD126" s="108"/>
      <c r="AE126" s="108"/>
      <c r="AF126" s="108"/>
      <c r="AH126" s="100"/>
      <c r="AI126" s="100"/>
      <c r="AJ126" s="100"/>
      <c r="AK126" s="114"/>
      <c r="AL126" s="108"/>
      <c r="AM126" s="108"/>
      <c r="AN126" s="108"/>
      <c r="AP126" s="100"/>
      <c r="AQ126" s="100"/>
      <c r="AR126" s="100"/>
      <c r="AS126" s="114"/>
      <c r="AT126" s="108"/>
      <c r="AU126" s="108"/>
      <c r="AV126" s="108"/>
      <c r="AX126" s="100"/>
      <c r="AY126" s="100"/>
      <c r="AZ126" s="100"/>
      <c r="BA126" s="114"/>
      <c r="BB126" s="108"/>
      <c r="BC126" s="108"/>
      <c r="BD126" s="108"/>
      <c r="BF126" s="100"/>
      <c r="BG126" s="100"/>
      <c r="BH126" s="100"/>
    </row>
    <row r="127" spans="1:60" s="98" customFormat="1" x14ac:dyDescent="0.25">
      <c r="A127" s="1">
        <v>125</v>
      </c>
      <c r="B127" s="99" t="b">
        <f t="shared" si="34"/>
        <v>1</v>
      </c>
      <c r="C127" s="99" t="b">
        <f t="shared" si="34"/>
        <v>1</v>
      </c>
      <c r="D127" s="98" t="s">
        <v>451</v>
      </c>
      <c r="E127" s="100">
        <f t="shared" si="32"/>
        <v>1.0651315789473685</v>
      </c>
      <c r="F127" s="100">
        <v>1</v>
      </c>
      <c r="G127" s="102" t="s">
        <v>223</v>
      </c>
      <c r="H127" s="101" t="s">
        <v>108</v>
      </c>
      <c r="I127" s="100">
        <f t="shared" si="33"/>
        <v>0</v>
      </c>
      <c r="J127" s="102">
        <f>inp_scr_tun</f>
        <v>20</v>
      </c>
      <c r="K127" s="102">
        <f>inp_xr_tun</f>
        <v>15</v>
      </c>
      <c r="L127" s="103">
        <v>20</v>
      </c>
      <c r="M127" s="108" t="s">
        <v>118</v>
      </c>
      <c r="N127" s="108">
        <v>0</v>
      </c>
      <c r="O127" s="111">
        <v>0.4</v>
      </c>
      <c r="P127" s="108">
        <v>0.2</v>
      </c>
      <c r="Q127" s="100" t="s">
        <v>122</v>
      </c>
      <c r="R127" s="100">
        <f>N127+P127-0.001</f>
        <v>0.19900000000000001</v>
      </c>
      <c r="S127" s="100">
        <f>inp_scr_min</f>
        <v>10</v>
      </c>
      <c r="T127" s="100">
        <f>inp_xr_min</f>
        <v>10</v>
      </c>
      <c r="U127" s="114" t="s">
        <v>110</v>
      </c>
      <c r="V127" s="108">
        <f>N127+P127+0.005</f>
        <v>0.20500000000000002</v>
      </c>
      <c r="W127" s="108">
        <v>51</v>
      </c>
      <c r="X127" s="108"/>
      <c r="Y127" s="98" t="s">
        <v>110</v>
      </c>
      <c r="Z127" s="100">
        <v>4</v>
      </c>
      <c r="AA127" s="100">
        <v>50</v>
      </c>
      <c r="AB127" s="100"/>
      <c r="AC127" s="114"/>
      <c r="AD127" s="108"/>
      <c r="AE127" s="108"/>
      <c r="AF127" s="108"/>
      <c r="AH127" s="100"/>
      <c r="AI127" s="100"/>
      <c r="AJ127" s="100"/>
      <c r="AK127" s="114"/>
      <c r="AL127" s="108"/>
      <c r="AM127" s="108"/>
      <c r="AN127" s="108"/>
      <c r="AP127" s="100"/>
      <c r="AQ127" s="100"/>
      <c r="AR127" s="100"/>
      <c r="AS127" s="114"/>
      <c r="AT127" s="108"/>
      <c r="AU127" s="108"/>
      <c r="AV127" s="108"/>
      <c r="AX127" s="100"/>
      <c r="AY127" s="100"/>
      <c r="AZ127" s="100"/>
      <c r="BA127" s="114"/>
      <c r="BB127" s="108"/>
      <c r="BC127" s="108"/>
      <c r="BD127" s="108"/>
      <c r="BF127" s="100"/>
      <c r="BG127" s="100"/>
      <c r="BH127" s="100"/>
    </row>
    <row r="128" spans="1:60" s="98" customFormat="1" x14ac:dyDescent="0.25">
      <c r="A128" s="1">
        <v>126</v>
      </c>
      <c r="B128" s="99" t="b">
        <f t="shared" si="34"/>
        <v>1</v>
      </c>
      <c r="C128" s="99" t="b">
        <f t="shared" si="34"/>
        <v>1</v>
      </c>
      <c r="D128" s="98" t="s">
        <v>326</v>
      </c>
      <c r="E128" s="100">
        <f>inp_Uc/inp_Un</f>
        <v>1.0651315789473685</v>
      </c>
      <c r="F128" s="100">
        <v>1</v>
      </c>
      <c r="G128" s="102" t="s">
        <v>223</v>
      </c>
      <c r="H128" s="101" t="s">
        <v>108</v>
      </c>
      <c r="I128" s="100">
        <f t="shared" si="33"/>
        <v>0</v>
      </c>
      <c r="J128" s="102">
        <f>inp_scr_max</f>
        <v>30</v>
      </c>
      <c r="K128" s="102">
        <f>inp_xr_max</f>
        <v>20</v>
      </c>
      <c r="L128" s="103">
        <v>10</v>
      </c>
      <c r="M128" s="108" t="s">
        <v>122</v>
      </c>
      <c r="N128" s="108">
        <v>0</v>
      </c>
      <c r="O128" s="108">
        <f>inp_scr_min</f>
        <v>10</v>
      </c>
      <c r="P128" s="108">
        <f>inp_xr_min</f>
        <v>10</v>
      </c>
      <c r="Q128" s="100" t="s">
        <v>122</v>
      </c>
      <c r="R128" s="100">
        <v>5</v>
      </c>
      <c r="S128" s="100">
        <f>inp_scr_max</f>
        <v>30</v>
      </c>
      <c r="T128" s="100">
        <f>inp_xr_max</f>
        <v>20</v>
      </c>
      <c r="U128" s="114"/>
      <c r="V128" s="108"/>
      <c r="W128" s="108"/>
      <c r="X128" s="108"/>
      <c r="Z128" s="100"/>
      <c r="AA128" s="100"/>
      <c r="AB128" s="100"/>
      <c r="AC128" s="114"/>
      <c r="AD128" s="108"/>
      <c r="AE128" s="108"/>
      <c r="AF128" s="108"/>
      <c r="AH128" s="100"/>
      <c r="AI128" s="100"/>
      <c r="AJ128" s="100"/>
      <c r="AK128" s="114"/>
      <c r="AL128" s="108"/>
      <c r="AM128" s="108"/>
      <c r="AN128" s="108"/>
      <c r="AP128" s="100"/>
      <c r="AQ128" s="100"/>
      <c r="AR128" s="100"/>
      <c r="AS128" s="114"/>
      <c r="AT128" s="108"/>
      <c r="AU128" s="108"/>
      <c r="AV128" s="108"/>
      <c r="AX128" s="100"/>
      <c r="AY128" s="100"/>
      <c r="AZ128" s="100"/>
      <c r="BA128" s="114"/>
      <c r="BB128" s="108"/>
      <c r="BC128" s="108"/>
      <c r="BD128" s="108"/>
      <c r="BF128" s="100"/>
      <c r="BG128" s="100"/>
      <c r="BH128" s="100"/>
    </row>
    <row r="129" spans="1:60" s="98" customFormat="1" x14ac:dyDescent="0.25">
      <c r="A129" s="1">
        <v>127</v>
      </c>
      <c r="B129" s="99" t="b">
        <f t="shared" si="34"/>
        <v>1</v>
      </c>
      <c r="C129" s="99" t="b">
        <f t="shared" si="34"/>
        <v>1</v>
      </c>
      <c r="D129" s="98" t="s">
        <v>483</v>
      </c>
      <c r="E129" s="100">
        <f>inp_Uc/inp_Un</f>
        <v>1.0651315789473685</v>
      </c>
      <c r="F129" s="100">
        <v>1</v>
      </c>
      <c r="G129" s="102" t="s">
        <v>223</v>
      </c>
      <c r="H129" s="102" t="str">
        <f>IF(inp_default="Q(U)","Q", "Q(U)")</f>
        <v>Q(U)</v>
      </c>
      <c r="I129" s="100">
        <f>IF(inp_default="Q",E129,IF(inp_default="PF",1,0))</f>
        <v>1.0651315789473685</v>
      </c>
      <c r="J129" s="102">
        <f>inp_scr_max</f>
        <v>30</v>
      </c>
      <c r="K129" s="102">
        <f>inp_xr_max</f>
        <v>20</v>
      </c>
      <c r="L129" s="103">
        <v>10</v>
      </c>
      <c r="M129" s="108" t="s">
        <v>122</v>
      </c>
      <c r="N129" s="108">
        <v>0</v>
      </c>
      <c r="O129" s="108">
        <f>inp_scr_min</f>
        <v>10</v>
      </c>
      <c r="P129" s="108">
        <f>inp_xr_min</f>
        <v>10</v>
      </c>
      <c r="Q129" s="100" t="s">
        <v>122</v>
      </c>
      <c r="R129" s="100">
        <v>5</v>
      </c>
      <c r="S129" s="100">
        <f>inp_scr_max</f>
        <v>30</v>
      </c>
      <c r="T129" s="100">
        <f>inp_xr_max</f>
        <v>20</v>
      </c>
      <c r="U129" s="114"/>
      <c r="V129" s="108"/>
      <c r="W129" s="108"/>
      <c r="X129" s="108"/>
      <c r="Z129" s="100"/>
      <c r="AA129" s="100"/>
      <c r="AB129" s="100"/>
      <c r="AC129" s="114"/>
      <c r="AD129" s="108"/>
      <c r="AE129" s="108"/>
      <c r="AF129" s="108"/>
      <c r="AH129" s="100"/>
      <c r="AI129" s="100"/>
      <c r="AJ129" s="100"/>
      <c r="AK129" s="114"/>
      <c r="AL129" s="108"/>
      <c r="AM129" s="108"/>
      <c r="AN129" s="108"/>
      <c r="AP129" s="100"/>
      <c r="AQ129" s="100"/>
      <c r="AR129" s="100"/>
      <c r="AS129" s="114"/>
      <c r="AT129" s="108"/>
      <c r="AU129" s="108"/>
      <c r="AV129" s="108"/>
      <c r="AX129" s="100"/>
      <c r="AY129" s="100"/>
      <c r="AZ129" s="100"/>
      <c r="BA129" s="114"/>
      <c r="BB129" s="108"/>
      <c r="BC129" s="108"/>
      <c r="BD129" s="108"/>
      <c r="BF129" s="100"/>
      <c r="BG129" s="100"/>
      <c r="BH129" s="100"/>
    </row>
    <row r="130" spans="1:60" s="98" customFormat="1" x14ac:dyDescent="0.25">
      <c r="A130" s="1">
        <v>128</v>
      </c>
      <c r="B130" s="99" t="b">
        <f t="shared" si="34"/>
        <v>1</v>
      </c>
      <c r="C130" s="99" t="b">
        <f t="shared" si="34"/>
        <v>1</v>
      </c>
      <c r="D130" s="98" t="s">
        <v>327</v>
      </c>
      <c r="E130" s="100">
        <f t="shared" ref="E130:E152" si="35">inp_Uc/inp_Un</f>
        <v>1.0651315789473685</v>
      </c>
      <c r="F130" s="100">
        <v>1</v>
      </c>
      <c r="G130" s="102" t="s">
        <v>223</v>
      </c>
      <c r="H130" s="101" t="s">
        <v>23</v>
      </c>
      <c r="I130" s="100">
        <v>0</v>
      </c>
      <c r="J130" s="102">
        <v>-1</v>
      </c>
      <c r="K130" s="102">
        <v>0</v>
      </c>
      <c r="L130" s="103"/>
      <c r="M130" s="108" t="s">
        <v>127</v>
      </c>
      <c r="N130" s="108"/>
      <c r="O130" s="113" t="s">
        <v>128</v>
      </c>
      <c r="P130" s="113">
        <f t="shared" ref="P130:P137" si="36">inp_Uc/inp_Un</f>
        <v>1.0651315789473685</v>
      </c>
      <c r="R130" s="100"/>
      <c r="S130" s="100"/>
      <c r="T130" s="100"/>
      <c r="U130" s="114"/>
      <c r="V130" s="108"/>
      <c r="W130" s="108"/>
      <c r="X130" s="108"/>
      <c r="Z130" s="100"/>
      <c r="AA130" s="100"/>
      <c r="AB130" s="100"/>
      <c r="AC130" s="114"/>
      <c r="AD130" s="108"/>
      <c r="AE130" s="108"/>
      <c r="AF130" s="108"/>
      <c r="AH130" s="100"/>
      <c r="AI130" s="100"/>
      <c r="AJ130" s="100"/>
      <c r="AK130" s="114"/>
      <c r="AL130" s="108"/>
      <c r="AM130" s="108"/>
      <c r="AN130" s="108"/>
      <c r="AP130" s="100"/>
      <c r="AQ130" s="100"/>
      <c r="AR130" s="100"/>
      <c r="AS130" s="114"/>
      <c r="AT130" s="108"/>
      <c r="AU130" s="108"/>
      <c r="AV130" s="108"/>
      <c r="AX130" s="100"/>
      <c r="AY130" s="100"/>
      <c r="AZ130" s="100"/>
      <c r="BA130" s="114"/>
      <c r="BB130" s="108"/>
      <c r="BC130" s="108"/>
      <c r="BD130" s="108"/>
      <c r="BF130" s="100"/>
      <c r="BG130" s="100"/>
      <c r="BH130" s="100"/>
    </row>
    <row r="131" spans="1:60" s="98" customFormat="1" x14ac:dyDescent="0.25">
      <c r="A131" s="1">
        <v>129</v>
      </c>
      <c r="B131" s="99" t="b">
        <f t="shared" si="34"/>
        <v>1</v>
      </c>
      <c r="C131" s="99" t="b">
        <f t="shared" si="34"/>
        <v>1</v>
      </c>
      <c r="D131" s="98" t="s">
        <v>328</v>
      </c>
      <c r="E131" s="100">
        <f t="shared" si="35"/>
        <v>1.0651315789473685</v>
      </c>
      <c r="F131" s="100">
        <v>1</v>
      </c>
      <c r="G131" s="102" t="s">
        <v>223</v>
      </c>
      <c r="H131" s="102" t="s">
        <v>113</v>
      </c>
      <c r="I131" s="100">
        <f>inp_Uc/inp_Un</f>
        <v>1.0651315789473685</v>
      </c>
      <c r="J131" s="102">
        <v>-1</v>
      </c>
      <c r="K131" s="102">
        <v>0</v>
      </c>
      <c r="L131" s="103"/>
      <c r="M131" s="108" t="s">
        <v>127</v>
      </c>
      <c r="N131" s="108"/>
      <c r="O131" s="113" t="s">
        <v>128</v>
      </c>
      <c r="P131" s="113">
        <f t="shared" si="36"/>
        <v>1.0651315789473685</v>
      </c>
      <c r="R131" s="100"/>
      <c r="S131" s="100"/>
      <c r="T131" s="100"/>
      <c r="U131" s="114"/>
      <c r="V131" s="108"/>
      <c r="W131" s="108"/>
      <c r="X131" s="108"/>
      <c r="Z131" s="100"/>
      <c r="AA131" s="100"/>
      <c r="AB131" s="100"/>
      <c r="AC131" s="114"/>
      <c r="AD131" s="108"/>
      <c r="AE131" s="108"/>
      <c r="AF131" s="108"/>
      <c r="AH131" s="100"/>
      <c r="AI131" s="100"/>
      <c r="AJ131" s="100"/>
      <c r="AK131" s="114"/>
      <c r="AL131" s="108"/>
      <c r="AM131" s="108"/>
      <c r="AN131" s="108"/>
      <c r="AP131" s="100"/>
      <c r="AQ131" s="100"/>
      <c r="AR131" s="100"/>
      <c r="AS131" s="114"/>
      <c r="AT131" s="108"/>
      <c r="AU131" s="108"/>
      <c r="AV131" s="108"/>
      <c r="AX131" s="100"/>
      <c r="AY131" s="100"/>
      <c r="AZ131" s="100"/>
      <c r="BA131" s="114"/>
      <c r="BB131" s="108"/>
      <c r="BC131" s="108"/>
      <c r="BD131" s="108"/>
      <c r="BF131" s="100"/>
      <c r="BG131" s="100"/>
      <c r="BH131" s="100"/>
    </row>
    <row r="132" spans="1:60" s="98" customFormat="1" x14ac:dyDescent="0.25">
      <c r="A132" s="1">
        <v>130</v>
      </c>
      <c r="B132" s="99" t="b">
        <f t="shared" si="34"/>
        <v>1</v>
      </c>
      <c r="C132" s="99" t="b">
        <f t="shared" si="34"/>
        <v>1</v>
      </c>
      <c r="D132" s="98" t="s">
        <v>329</v>
      </c>
      <c r="E132" s="100">
        <f t="shared" si="35"/>
        <v>1.0651315789473685</v>
      </c>
      <c r="F132" s="100">
        <v>1</v>
      </c>
      <c r="G132" s="102" t="s">
        <v>223</v>
      </c>
      <c r="H132" s="101" t="s">
        <v>23</v>
      </c>
      <c r="I132" s="100">
        <v>0</v>
      </c>
      <c r="J132" s="102">
        <f>inp_scr_min</f>
        <v>10</v>
      </c>
      <c r="K132" s="102">
        <f>inp_xr_min</f>
        <v>10</v>
      </c>
      <c r="L132" s="103"/>
      <c r="M132" s="108" t="s">
        <v>127</v>
      </c>
      <c r="N132" s="108"/>
      <c r="O132" s="113" t="s">
        <v>128</v>
      </c>
      <c r="P132" s="113">
        <f t="shared" si="36"/>
        <v>1.0651315789473685</v>
      </c>
      <c r="R132" s="100"/>
      <c r="S132" s="100"/>
      <c r="T132" s="100"/>
      <c r="U132" s="114"/>
      <c r="V132" s="108"/>
      <c r="W132" s="108"/>
      <c r="X132" s="108"/>
      <c r="Z132" s="100"/>
      <c r="AA132" s="100"/>
      <c r="AB132" s="100"/>
      <c r="AC132" s="114"/>
      <c r="AD132" s="108"/>
      <c r="AE132" s="108"/>
      <c r="AF132" s="108"/>
      <c r="AH132" s="100"/>
      <c r="AI132" s="100"/>
      <c r="AJ132" s="100"/>
      <c r="AK132" s="114"/>
      <c r="AL132" s="108"/>
      <c r="AM132" s="108"/>
      <c r="AN132" s="108"/>
      <c r="AP132" s="100"/>
      <c r="AQ132" s="100"/>
      <c r="AR132" s="100"/>
      <c r="AS132" s="114"/>
      <c r="AT132" s="108"/>
      <c r="AU132" s="108"/>
      <c r="AV132" s="108"/>
      <c r="AX132" s="100"/>
      <c r="AY132" s="100"/>
      <c r="AZ132" s="100"/>
      <c r="BA132" s="114"/>
      <c r="BB132" s="108"/>
      <c r="BC132" s="108"/>
      <c r="BD132" s="108"/>
      <c r="BF132" s="100"/>
      <c r="BG132" s="100"/>
      <c r="BH132" s="100"/>
    </row>
    <row r="133" spans="1:60" s="98" customFormat="1" x14ac:dyDescent="0.25">
      <c r="A133" s="1">
        <v>131</v>
      </c>
      <c r="B133" s="99" t="b">
        <f t="shared" si="34"/>
        <v>1</v>
      </c>
      <c r="C133" s="99" t="b">
        <f t="shared" si="34"/>
        <v>1</v>
      </c>
      <c r="D133" s="98" t="s">
        <v>330</v>
      </c>
      <c r="E133" s="100">
        <f t="shared" si="35"/>
        <v>1.0651315789473685</v>
      </c>
      <c r="F133" s="100">
        <v>1</v>
      </c>
      <c r="G133" s="102" t="s">
        <v>223</v>
      </c>
      <c r="H133" s="102" t="s">
        <v>113</v>
      </c>
      <c r="I133" s="100">
        <f>inp_Uc/inp_Un</f>
        <v>1.0651315789473685</v>
      </c>
      <c r="J133" s="102">
        <f>inp_scr_min</f>
        <v>10</v>
      </c>
      <c r="K133" s="102">
        <f>inp_xr_min</f>
        <v>10</v>
      </c>
      <c r="L133" s="103"/>
      <c r="M133" s="108" t="s">
        <v>127</v>
      </c>
      <c r="N133" s="108"/>
      <c r="O133" s="113" t="s">
        <v>128</v>
      </c>
      <c r="P133" s="113">
        <f t="shared" si="36"/>
        <v>1.0651315789473685</v>
      </c>
      <c r="R133" s="100"/>
      <c r="S133" s="100"/>
      <c r="T133" s="100"/>
      <c r="U133" s="114"/>
      <c r="V133" s="108"/>
      <c r="W133" s="108"/>
      <c r="X133" s="108"/>
      <c r="Z133" s="100"/>
      <c r="AA133" s="100"/>
      <c r="AB133" s="100"/>
      <c r="AC133" s="114"/>
      <c r="AD133" s="108"/>
      <c r="AE133" s="108"/>
      <c r="AF133" s="108"/>
      <c r="AH133" s="100"/>
      <c r="AI133" s="100"/>
      <c r="AJ133" s="100"/>
      <c r="AK133" s="114"/>
      <c r="AL133" s="108"/>
      <c r="AM133" s="108"/>
      <c r="AN133" s="108"/>
      <c r="AP133" s="100"/>
      <c r="AQ133" s="100"/>
      <c r="AR133" s="100"/>
      <c r="AS133" s="114"/>
      <c r="AT133" s="108"/>
      <c r="AU133" s="108"/>
      <c r="AV133" s="108"/>
      <c r="AX133" s="100"/>
      <c r="AY133" s="100"/>
      <c r="AZ133" s="100"/>
      <c r="BA133" s="114"/>
      <c r="BB133" s="108"/>
      <c r="BC133" s="108"/>
      <c r="BD133" s="108"/>
      <c r="BF133" s="100"/>
      <c r="BG133" s="100"/>
      <c r="BH133" s="100"/>
    </row>
    <row r="134" spans="1:60" s="98" customFormat="1" x14ac:dyDescent="0.25">
      <c r="A134" s="1">
        <v>132</v>
      </c>
      <c r="B134" s="99" t="b">
        <f t="shared" si="34"/>
        <v>1</v>
      </c>
      <c r="C134" s="99" t="b">
        <f t="shared" si="34"/>
        <v>1</v>
      </c>
      <c r="D134" s="98" t="s">
        <v>331</v>
      </c>
      <c r="E134" s="100">
        <f t="shared" si="35"/>
        <v>1.0651315789473685</v>
      </c>
      <c r="F134" s="100">
        <v>1</v>
      </c>
      <c r="G134" s="102" t="s">
        <v>223</v>
      </c>
      <c r="H134" s="101" t="s">
        <v>23</v>
      </c>
      <c r="I134" s="100">
        <v>0</v>
      </c>
      <c r="J134" s="102">
        <v>-1</v>
      </c>
      <c r="K134" s="102">
        <v>0</v>
      </c>
      <c r="L134" s="103"/>
      <c r="M134" s="108" t="s">
        <v>127</v>
      </c>
      <c r="N134" s="108"/>
      <c r="O134" s="113" t="s">
        <v>129</v>
      </c>
      <c r="P134" s="113">
        <f t="shared" si="36"/>
        <v>1.0651315789473685</v>
      </c>
      <c r="R134" s="100"/>
      <c r="S134" s="100"/>
      <c r="T134" s="100"/>
      <c r="U134" s="114"/>
      <c r="V134" s="108"/>
      <c r="W134" s="108"/>
      <c r="X134" s="108"/>
      <c r="Z134" s="100"/>
      <c r="AA134" s="100"/>
      <c r="AB134" s="100"/>
      <c r="AC134" s="114"/>
      <c r="AD134" s="108"/>
      <c r="AE134" s="108"/>
      <c r="AF134" s="108"/>
      <c r="AH134" s="100"/>
      <c r="AI134" s="100"/>
      <c r="AJ134" s="100"/>
      <c r="AK134" s="114"/>
      <c r="AL134" s="108"/>
      <c r="AM134" s="108"/>
      <c r="AN134" s="108"/>
      <c r="AP134" s="100"/>
      <c r="AQ134" s="100"/>
      <c r="AR134" s="100"/>
      <c r="AS134" s="114"/>
      <c r="AT134" s="108"/>
      <c r="AU134" s="108"/>
      <c r="AV134" s="108"/>
      <c r="AX134" s="100"/>
      <c r="AY134" s="100"/>
      <c r="AZ134" s="100"/>
      <c r="BA134" s="114"/>
      <c r="BB134" s="108"/>
      <c r="BC134" s="108"/>
      <c r="BD134" s="108"/>
      <c r="BF134" s="100"/>
      <c r="BG134" s="100"/>
      <c r="BH134" s="100"/>
    </row>
    <row r="135" spans="1:60" s="98" customFormat="1" x14ac:dyDescent="0.25">
      <c r="A135" s="1">
        <v>133</v>
      </c>
      <c r="B135" s="99" t="b">
        <f t="shared" si="34"/>
        <v>1</v>
      </c>
      <c r="C135" s="99" t="b">
        <f t="shared" si="34"/>
        <v>1</v>
      </c>
      <c r="D135" s="98" t="s">
        <v>332</v>
      </c>
      <c r="E135" s="100">
        <f t="shared" si="35"/>
        <v>1.0651315789473685</v>
      </c>
      <c r="F135" s="100">
        <v>1</v>
      </c>
      <c r="G135" s="102" t="s">
        <v>223</v>
      </c>
      <c r="H135" s="102" t="s">
        <v>113</v>
      </c>
      <c r="I135" s="100">
        <f>inp_Uc/inp_Un</f>
        <v>1.0651315789473685</v>
      </c>
      <c r="J135" s="102">
        <v>-1</v>
      </c>
      <c r="K135" s="102">
        <v>0</v>
      </c>
      <c r="L135" s="103"/>
      <c r="M135" s="108" t="s">
        <v>127</v>
      </c>
      <c r="N135" s="108"/>
      <c r="O135" s="113" t="s">
        <v>129</v>
      </c>
      <c r="P135" s="113">
        <f t="shared" si="36"/>
        <v>1.0651315789473685</v>
      </c>
      <c r="Q135" s="100"/>
      <c r="R135" s="100"/>
      <c r="S135" s="100"/>
      <c r="T135" s="100"/>
      <c r="U135" s="114"/>
      <c r="V135" s="108"/>
      <c r="W135" s="108"/>
      <c r="X135" s="108"/>
      <c r="Z135" s="100"/>
      <c r="AA135" s="100"/>
      <c r="AB135" s="100"/>
      <c r="AC135" s="114"/>
      <c r="AD135" s="108"/>
      <c r="AE135" s="108"/>
      <c r="AF135" s="108"/>
      <c r="AH135" s="100"/>
      <c r="AI135" s="100"/>
      <c r="AJ135" s="100"/>
      <c r="AK135" s="114"/>
      <c r="AL135" s="108"/>
      <c r="AM135" s="108"/>
      <c r="AN135" s="108"/>
      <c r="AP135" s="100"/>
      <c r="AQ135" s="100"/>
      <c r="AR135" s="100"/>
      <c r="AS135" s="114"/>
      <c r="AT135" s="108"/>
      <c r="AU135" s="108"/>
      <c r="AV135" s="108"/>
      <c r="AX135" s="100"/>
      <c r="AY135" s="100"/>
      <c r="AZ135" s="100"/>
      <c r="BA135" s="114"/>
      <c r="BB135" s="108"/>
      <c r="BC135" s="108"/>
      <c r="BD135" s="108"/>
      <c r="BF135" s="100"/>
      <c r="BG135" s="100"/>
      <c r="BH135" s="100"/>
    </row>
    <row r="136" spans="1:60" s="98" customFormat="1" x14ac:dyDescent="0.25">
      <c r="A136" s="1">
        <v>134</v>
      </c>
      <c r="B136" s="99" t="b">
        <f t="shared" si="34"/>
        <v>1</v>
      </c>
      <c r="C136" s="99" t="b">
        <f t="shared" si="34"/>
        <v>1</v>
      </c>
      <c r="D136" s="98" t="s">
        <v>465</v>
      </c>
      <c r="E136" s="100">
        <f t="shared" si="35"/>
        <v>1.0651315789473685</v>
      </c>
      <c r="F136" s="100">
        <v>1</v>
      </c>
      <c r="G136" s="102" t="s">
        <v>223</v>
      </c>
      <c r="H136" s="101" t="s">
        <v>23</v>
      </c>
      <c r="I136" s="100">
        <v>0</v>
      </c>
      <c r="J136" s="102">
        <v>-1</v>
      </c>
      <c r="K136" s="102">
        <v>0</v>
      </c>
      <c r="L136" s="103"/>
      <c r="M136" s="108" t="s">
        <v>127</v>
      </c>
      <c r="N136" s="108"/>
      <c r="O136" s="113" t="s">
        <v>467</v>
      </c>
      <c r="P136" s="113">
        <f t="shared" si="36"/>
        <v>1.0651315789473685</v>
      </c>
      <c r="R136" s="100"/>
      <c r="S136" s="100"/>
      <c r="T136" s="100"/>
      <c r="U136" s="114"/>
      <c r="V136" s="108"/>
      <c r="W136" s="108"/>
      <c r="X136" s="108"/>
      <c r="Z136" s="100"/>
      <c r="AA136" s="100"/>
      <c r="AB136" s="100"/>
      <c r="AC136" s="114"/>
      <c r="AD136" s="108"/>
      <c r="AE136" s="108"/>
      <c r="AF136" s="108"/>
      <c r="AH136" s="100"/>
      <c r="AI136" s="100"/>
      <c r="AJ136" s="100"/>
      <c r="AK136" s="114"/>
      <c r="AL136" s="108"/>
      <c r="AM136" s="108"/>
      <c r="AN136" s="108"/>
      <c r="AP136" s="100"/>
      <c r="AQ136" s="100"/>
      <c r="AR136" s="100"/>
      <c r="AS136" s="114"/>
      <c r="AT136" s="108"/>
      <c r="AU136" s="108"/>
      <c r="AV136" s="108"/>
      <c r="AX136" s="100"/>
      <c r="AY136" s="100"/>
      <c r="AZ136" s="100"/>
      <c r="BA136" s="114"/>
      <c r="BB136" s="108"/>
      <c r="BC136" s="108"/>
      <c r="BD136" s="108"/>
      <c r="BF136" s="100"/>
      <c r="BG136" s="100"/>
      <c r="BH136" s="100"/>
    </row>
    <row r="137" spans="1:60" s="98" customFormat="1" x14ac:dyDescent="0.25">
      <c r="A137" s="1">
        <v>135</v>
      </c>
      <c r="B137" s="99" t="b">
        <f t="shared" si="34"/>
        <v>1</v>
      </c>
      <c r="C137" s="99" t="b">
        <f t="shared" si="34"/>
        <v>1</v>
      </c>
      <c r="D137" s="98" t="s">
        <v>466</v>
      </c>
      <c r="E137" s="100">
        <f t="shared" si="35"/>
        <v>1.0651315789473685</v>
      </c>
      <c r="F137" s="100">
        <v>1</v>
      </c>
      <c r="G137" s="102" t="s">
        <v>223</v>
      </c>
      <c r="H137" s="102" t="s">
        <v>113</v>
      </c>
      <c r="I137" s="100">
        <f>inp_Uc/inp_Un</f>
        <v>1.0651315789473685</v>
      </c>
      <c r="J137" s="102">
        <v>-1</v>
      </c>
      <c r="K137" s="102">
        <v>0</v>
      </c>
      <c r="L137" s="103"/>
      <c r="M137" s="108" t="s">
        <v>127</v>
      </c>
      <c r="N137" s="108"/>
      <c r="O137" s="113" t="s">
        <v>467</v>
      </c>
      <c r="P137" s="113">
        <f t="shared" si="36"/>
        <v>1.0651315789473685</v>
      </c>
      <c r="Q137" s="100"/>
      <c r="R137" s="100"/>
      <c r="S137" s="100"/>
      <c r="T137" s="100"/>
      <c r="U137" s="114"/>
      <c r="V137" s="108"/>
      <c r="W137" s="108"/>
      <c r="X137" s="108"/>
      <c r="Z137" s="100"/>
      <c r="AA137" s="100"/>
      <c r="AB137" s="100"/>
      <c r="AC137" s="114"/>
      <c r="AD137" s="108"/>
      <c r="AE137" s="108"/>
      <c r="AF137" s="108"/>
      <c r="AH137" s="100"/>
      <c r="AI137" s="100"/>
      <c r="AJ137" s="100"/>
      <c r="AK137" s="114"/>
      <c r="AL137" s="108"/>
      <c r="AM137" s="108"/>
      <c r="AN137" s="108"/>
      <c r="AP137" s="100"/>
      <c r="AQ137" s="100"/>
      <c r="AR137" s="100"/>
      <c r="AS137" s="114"/>
      <c r="AT137" s="108"/>
      <c r="AU137" s="108"/>
      <c r="AV137" s="108"/>
      <c r="AX137" s="100"/>
      <c r="AY137" s="100"/>
      <c r="AZ137" s="100"/>
      <c r="BA137" s="114"/>
      <c r="BB137" s="108"/>
      <c r="BC137" s="108"/>
      <c r="BD137" s="108"/>
      <c r="BF137" s="100"/>
      <c r="BG137" s="100"/>
      <c r="BH137" s="100"/>
    </row>
    <row r="138" spans="1:60" s="98" customFormat="1" x14ac:dyDescent="0.25">
      <c r="A138" s="1">
        <v>136</v>
      </c>
      <c r="B138" s="99" t="b">
        <f t="shared" si="34"/>
        <v>1</v>
      </c>
      <c r="C138" s="99" t="b">
        <f t="shared" si="34"/>
        <v>1</v>
      </c>
      <c r="D138" s="98" t="s">
        <v>333</v>
      </c>
      <c r="E138" s="100">
        <f t="shared" si="35"/>
        <v>1.0651315789473685</v>
      </c>
      <c r="F138" s="100">
        <v>1</v>
      </c>
      <c r="G138" s="102" t="s">
        <v>223</v>
      </c>
      <c r="H138" s="101" t="s">
        <v>23</v>
      </c>
      <c r="I138" s="100">
        <v>0</v>
      </c>
      <c r="J138" s="102">
        <f>inp_scr_min</f>
        <v>10</v>
      </c>
      <c r="K138" s="102">
        <f>inp_xr_min</f>
        <v>10</v>
      </c>
      <c r="L138" s="121">
        <v>60</v>
      </c>
      <c r="M138" s="134" t="s">
        <v>112</v>
      </c>
      <c r="N138" s="137">
        <v>0</v>
      </c>
      <c r="O138" s="137">
        <v>0.2</v>
      </c>
      <c r="P138" s="137">
        <v>0</v>
      </c>
      <c r="R138" s="100"/>
      <c r="S138" s="100"/>
      <c r="T138" s="100"/>
      <c r="U138" s="134"/>
      <c r="V138" s="137"/>
      <c r="W138" s="137"/>
      <c r="X138" s="137"/>
      <c r="Z138" s="100"/>
      <c r="AA138" s="100"/>
      <c r="AB138" s="100"/>
      <c r="AC138" s="134"/>
      <c r="AD138" s="137"/>
      <c r="AE138" s="137"/>
      <c r="AF138" s="137"/>
      <c r="AH138" s="100"/>
      <c r="AI138" s="100"/>
      <c r="AJ138" s="100"/>
      <c r="AK138" s="134"/>
      <c r="AL138" s="137"/>
      <c r="AM138" s="137"/>
      <c r="AN138" s="137"/>
      <c r="AP138" s="100"/>
      <c r="AQ138" s="100"/>
      <c r="AR138" s="100"/>
      <c r="AS138" s="134"/>
      <c r="AT138" s="137"/>
      <c r="AU138" s="137"/>
      <c r="AV138" s="137"/>
      <c r="AX138" s="100"/>
      <c r="AY138" s="100"/>
      <c r="AZ138" s="100"/>
      <c r="BA138" s="134"/>
      <c r="BB138" s="137"/>
      <c r="BC138" s="137"/>
      <c r="BD138" s="137"/>
      <c r="BF138" s="100"/>
      <c r="BG138" s="100"/>
      <c r="BH138" s="100"/>
    </row>
    <row r="139" spans="1:60" s="98" customFormat="1" x14ac:dyDescent="0.25">
      <c r="A139" s="1">
        <v>137</v>
      </c>
      <c r="B139" s="99" t="b">
        <f t="shared" si="34"/>
        <v>1</v>
      </c>
      <c r="C139" s="99" t="b">
        <f t="shared" si="34"/>
        <v>1</v>
      </c>
      <c r="D139" s="98" t="s">
        <v>334</v>
      </c>
      <c r="E139" s="100">
        <f t="shared" si="35"/>
        <v>1.0651315789473685</v>
      </c>
      <c r="F139" s="100">
        <v>1</v>
      </c>
      <c r="G139" s="102" t="s">
        <v>223</v>
      </c>
      <c r="H139" s="101" t="s">
        <v>23</v>
      </c>
      <c r="I139" s="100">
        <v>0</v>
      </c>
      <c r="J139" s="102">
        <f>inp_scr_min</f>
        <v>10</v>
      </c>
      <c r="K139" s="102">
        <f>inp_xr_min</f>
        <v>10</v>
      </c>
      <c r="L139" s="121">
        <v>60</v>
      </c>
      <c r="M139" s="134" t="s">
        <v>112</v>
      </c>
      <c r="N139" s="137">
        <v>0</v>
      </c>
      <c r="O139" s="137">
        <v>0.3</v>
      </c>
      <c r="P139" s="137">
        <v>0</v>
      </c>
      <c r="Q139" s="135"/>
      <c r="R139" s="100"/>
      <c r="S139" s="100"/>
      <c r="T139" s="100"/>
      <c r="U139" s="134"/>
      <c r="V139" s="137"/>
      <c r="W139" s="137"/>
      <c r="X139" s="137"/>
      <c r="Z139" s="100"/>
      <c r="AA139" s="100"/>
      <c r="AB139" s="100"/>
      <c r="AC139" s="134"/>
      <c r="AD139" s="137"/>
      <c r="AE139" s="137"/>
      <c r="AF139" s="137"/>
      <c r="AG139" s="135"/>
      <c r="AH139" s="100"/>
      <c r="AI139" s="100"/>
      <c r="AJ139" s="100"/>
      <c r="AK139" s="134"/>
      <c r="AL139" s="137"/>
      <c r="AM139" s="137"/>
      <c r="AN139" s="137"/>
      <c r="AP139" s="100"/>
      <c r="AQ139" s="100"/>
      <c r="AR139" s="100"/>
      <c r="AS139" s="134"/>
      <c r="AT139" s="137"/>
      <c r="AU139" s="137"/>
      <c r="AV139" s="137"/>
      <c r="AX139" s="100"/>
      <c r="AY139" s="100"/>
      <c r="AZ139" s="100"/>
      <c r="BA139" s="134"/>
      <c r="BB139" s="137"/>
      <c r="BC139" s="137"/>
      <c r="BD139" s="137"/>
      <c r="BF139" s="100"/>
      <c r="BG139" s="100"/>
      <c r="BH139" s="100"/>
    </row>
    <row r="140" spans="1:60" s="98" customFormat="1" x14ac:dyDescent="0.25">
      <c r="A140" s="1">
        <v>138</v>
      </c>
      <c r="B140" s="99" t="b">
        <f t="shared" si="34"/>
        <v>1</v>
      </c>
      <c r="C140" s="99" t="b">
        <f t="shared" si="34"/>
        <v>1</v>
      </c>
      <c r="D140" s="98" t="s">
        <v>335</v>
      </c>
      <c r="E140" s="100">
        <f t="shared" si="35"/>
        <v>1.0651315789473685</v>
      </c>
      <c r="F140" s="100">
        <v>1</v>
      </c>
      <c r="G140" s="102" t="s">
        <v>223</v>
      </c>
      <c r="H140" s="101" t="s">
        <v>23</v>
      </c>
      <c r="I140" s="100">
        <v>0</v>
      </c>
      <c r="J140" s="102">
        <f>inp_scr_min</f>
        <v>10</v>
      </c>
      <c r="K140" s="102">
        <f>inp_xr_min</f>
        <v>10</v>
      </c>
      <c r="L140" s="121">
        <v>60</v>
      </c>
      <c r="M140" s="134" t="s">
        <v>112</v>
      </c>
      <c r="N140" s="137">
        <v>0</v>
      </c>
      <c r="O140" s="137">
        <v>0.4</v>
      </c>
      <c r="P140" s="137">
        <v>0</v>
      </c>
      <c r="R140" s="100"/>
      <c r="S140" s="100"/>
      <c r="T140" s="100"/>
      <c r="U140" s="134"/>
      <c r="V140" s="137"/>
      <c r="W140" s="137"/>
      <c r="X140" s="137"/>
      <c r="Z140" s="100"/>
      <c r="AA140" s="100"/>
      <c r="AB140" s="100"/>
      <c r="AC140" s="134"/>
      <c r="AD140" s="137"/>
      <c r="AE140" s="137"/>
      <c r="AF140" s="137"/>
      <c r="AH140" s="100"/>
      <c r="AI140" s="100"/>
      <c r="AJ140" s="100"/>
      <c r="AK140" s="134"/>
      <c r="AL140" s="137"/>
      <c r="AM140" s="137"/>
      <c r="AN140" s="137"/>
      <c r="AP140" s="100"/>
      <c r="AQ140" s="100"/>
      <c r="AR140" s="100"/>
      <c r="AS140" s="134"/>
      <c r="AT140" s="137"/>
      <c r="AU140" s="137"/>
      <c r="AV140" s="137"/>
      <c r="AX140" s="100"/>
      <c r="AY140" s="100"/>
      <c r="AZ140" s="100"/>
      <c r="BA140" s="134"/>
      <c r="BB140" s="137"/>
      <c r="BC140" s="137"/>
      <c r="BD140" s="137"/>
      <c r="BF140" s="100"/>
      <c r="BG140" s="100"/>
      <c r="BH140" s="100"/>
    </row>
    <row r="141" spans="1:60" s="98" customFormat="1" x14ac:dyDescent="0.25">
      <c r="A141" s="1">
        <v>139</v>
      </c>
      <c r="B141" s="99" t="b">
        <f t="shared" si="34"/>
        <v>1</v>
      </c>
      <c r="C141" s="99" t="b">
        <f t="shared" si="34"/>
        <v>1</v>
      </c>
      <c r="D141" s="98" t="s">
        <v>336</v>
      </c>
      <c r="E141" s="100">
        <f t="shared" si="35"/>
        <v>1.0651315789473685</v>
      </c>
      <c r="F141" s="100">
        <v>1</v>
      </c>
      <c r="G141" s="102" t="s">
        <v>223</v>
      </c>
      <c r="H141" s="101" t="s">
        <v>23</v>
      </c>
      <c r="I141" s="100">
        <v>0</v>
      </c>
      <c r="J141" s="102">
        <f>inp_scr_min</f>
        <v>10</v>
      </c>
      <c r="K141" s="102">
        <f>inp_xr_min</f>
        <v>10</v>
      </c>
      <c r="L141" s="121">
        <v>60</v>
      </c>
      <c r="M141" s="134" t="s">
        <v>112</v>
      </c>
      <c r="N141" s="137">
        <v>0</v>
      </c>
      <c r="O141" s="137">
        <v>0.5</v>
      </c>
      <c r="P141" s="137">
        <v>0</v>
      </c>
      <c r="R141" s="100"/>
      <c r="S141" s="100"/>
      <c r="T141" s="100"/>
      <c r="U141" s="134"/>
      <c r="V141" s="137"/>
      <c r="W141" s="137"/>
      <c r="X141" s="137"/>
      <c r="Z141" s="100"/>
      <c r="AA141" s="100"/>
      <c r="AB141" s="100"/>
      <c r="AC141" s="134"/>
      <c r="AD141" s="137"/>
      <c r="AE141" s="137"/>
      <c r="AF141" s="137"/>
      <c r="AH141" s="100"/>
      <c r="AI141" s="100"/>
      <c r="AJ141" s="100"/>
      <c r="AK141" s="134"/>
      <c r="AL141" s="137"/>
      <c r="AM141" s="137"/>
      <c r="AN141" s="137"/>
      <c r="AP141" s="100"/>
      <c r="AQ141" s="100"/>
      <c r="AR141" s="100"/>
      <c r="AS141" s="134"/>
      <c r="AT141" s="137"/>
      <c r="AU141" s="137"/>
      <c r="AV141" s="137"/>
      <c r="AX141" s="100"/>
      <c r="AY141" s="100"/>
      <c r="AZ141" s="100"/>
      <c r="BA141" s="134"/>
      <c r="BB141" s="137"/>
      <c r="BC141" s="137"/>
      <c r="BD141" s="137"/>
      <c r="BF141" s="100"/>
      <c r="BG141" s="100"/>
      <c r="BH141" s="100"/>
    </row>
    <row r="142" spans="1:60" s="98" customFormat="1" x14ac:dyDescent="0.25">
      <c r="A142" s="1">
        <v>140</v>
      </c>
      <c r="B142" s="99" t="b">
        <f t="shared" ref="B142:C152" si="37">inp_Un&gt;=110</f>
        <v>1</v>
      </c>
      <c r="C142" s="99" t="b">
        <f t="shared" si="37"/>
        <v>1</v>
      </c>
      <c r="D142" s="98" t="s">
        <v>452</v>
      </c>
      <c r="E142" s="100">
        <f t="shared" si="35"/>
        <v>1.0651315789473685</v>
      </c>
      <c r="F142" s="100">
        <v>1</v>
      </c>
      <c r="G142" s="102" t="s">
        <v>223</v>
      </c>
      <c r="H142" s="101" t="s">
        <v>23</v>
      </c>
      <c r="I142" s="100">
        <v>0</v>
      </c>
      <c r="J142" s="102">
        <f>inp_scr_min</f>
        <v>10</v>
      </c>
      <c r="K142" s="102">
        <f>inp_xr_min</f>
        <v>10</v>
      </c>
      <c r="L142" s="121">
        <v>7</v>
      </c>
      <c r="M142" s="134" t="s">
        <v>111</v>
      </c>
      <c r="N142" s="137">
        <v>0</v>
      </c>
      <c r="O142" s="137">
        <v>1.3</v>
      </c>
      <c r="P142" s="137">
        <v>0</v>
      </c>
      <c r="Q142" s="98" t="s">
        <v>111</v>
      </c>
      <c r="R142" s="100">
        <v>0.1</v>
      </c>
      <c r="S142" s="100">
        <v>1</v>
      </c>
      <c r="T142" s="100"/>
      <c r="U142" s="134" t="s">
        <v>111</v>
      </c>
      <c r="V142" s="137">
        <v>1</v>
      </c>
      <c r="W142" s="137">
        <v>1.5</v>
      </c>
      <c r="X142" s="137"/>
      <c r="Y142" s="98" t="s">
        <v>111</v>
      </c>
      <c r="Z142" s="100">
        <v>1.1000000000000001</v>
      </c>
      <c r="AA142" s="100">
        <v>1</v>
      </c>
      <c r="AB142" s="100"/>
      <c r="AC142" s="134" t="s">
        <v>111</v>
      </c>
      <c r="AD142" s="137">
        <v>2</v>
      </c>
      <c r="AE142" s="137">
        <v>1.7</v>
      </c>
      <c r="AF142" s="137"/>
      <c r="AG142" s="98" t="s">
        <v>111</v>
      </c>
      <c r="AH142" s="100">
        <v>2.1</v>
      </c>
      <c r="AI142" s="100">
        <v>1</v>
      </c>
      <c r="AJ142" s="100"/>
      <c r="AK142" s="134" t="s">
        <v>111</v>
      </c>
      <c r="AL142" s="137">
        <v>3</v>
      </c>
      <c r="AM142" s="137">
        <v>1.9</v>
      </c>
      <c r="AN142" s="137"/>
      <c r="AO142" s="98" t="s">
        <v>111</v>
      </c>
      <c r="AP142" s="100">
        <v>3.1</v>
      </c>
      <c r="AQ142" s="100">
        <v>1</v>
      </c>
      <c r="AR142" s="100"/>
      <c r="AS142" s="134" t="s">
        <v>111</v>
      </c>
      <c r="AT142" s="137">
        <v>4</v>
      </c>
      <c r="AU142" s="137">
        <v>2.1</v>
      </c>
      <c r="AV142" s="137"/>
      <c r="AW142" s="98" t="s">
        <v>111</v>
      </c>
      <c r="AX142" s="100">
        <v>4.0999999999999996</v>
      </c>
      <c r="AY142" s="100">
        <v>1</v>
      </c>
      <c r="AZ142" s="100"/>
      <c r="BA142" s="134" t="s">
        <v>111</v>
      </c>
      <c r="BB142" s="137">
        <v>5</v>
      </c>
      <c r="BC142" s="137">
        <v>2.2999999999999998</v>
      </c>
      <c r="BD142" s="137"/>
      <c r="BE142" s="98" t="s">
        <v>111</v>
      </c>
      <c r="BF142" s="100">
        <v>5.0999999999999996</v>
      </c>
      <c r="BG142" s="100">
        <v>1</v>
      </c>
      <c r="BH142" s="100"/>
    </row>
    <row r="143" spans="1:60" s="98" customFormat="1" x14ac:dyDescent="0.25">
      <c r="A143" s="1">
        <v>141</v>
      </c>
      <c r="B143" s="99" t="b">
        <f t="shared" si="37"/>
        <v>1</v>
      </c>
      <c r="C143" s="99" t="b">
        <f t="shared" si="37"/>
        <v>1</v>
      </c>
      <c r="D143" s="98" t="s">
        <v>453</v>
      </c>
      <c r="E143" s="100">
        <f t="shared" si="35"/>
        <v>1.0651315789473685</v>
      </c>
      <c r="F143" s="100">
        <v>1</v>
      </c>
      <c r="G143" s="102" t="s">
        <v>223</v>
      </c>
      <c r="H143" s="101" t="s">
        <v>23</v>
      </c>
      <c r="I143" s="100">
        <v>0</v>
      </c>
      <c r="J143" s="102">
        <f>inp_scr_max</f>
        <v>30</v>
      </c>
      <c r="K143" s="102">
        <f>inp_xr_max</f>
        <v>20</v>
      </c>
      <c r="L143" s="121">
        <v>7</v>
      </c>
      <c r="M143" s="134" t="s">
        <v>111</v>
      </c>
      <c r="N143" s="137">
        <v>0</v>
      </c>
      <c r="O143" s="137">
        <v>1.3</v>
      </c>
      <c r="P143" s="137">
        <v>0</v>
      </c>
      <c r="Q143" s="98" t="s">
        <v>111</v>
      </c>
      <c r="R143" s="100">
        <v>0.1</v>
      </c>
      <c r="S143" s="100">
        <v>1</v>
      </c>
      <c r="T143" s="100"/>
      <c r="U143" s="134" t="s">
        <v>111</v>
      </c>
      <c r="V143" s="137">
        <v>1</v>
      </c>
      <c r="W143" s="137">
        <v>1.5</v>
      </c>
      <c r="X143" s="137"/>
      <c r="Y143" s="98" t="s">
        <v>111</v>
      </c>
      <c r="Z143" s="100">
        <v>1.1000000000000001</v>
      </c>
      <c r="AA143" s="100">
        <v>1</v>
      </c>
      <c r="AB143" s="100"/>
      <c r="AC143" s="134" t="s">
        <v>111</v>
      </c>
      <c r="AD143" s="137">
        <v>2</v>
      </c>
      <c r="AE143" s="137">
        <v>1.7</v>
      </c>
      <c r="AF143" s="137"/>
      <c r="AG143" s="98" t="s">
        <v>111</v>
      </c>
      <c r="AH143" s="100">
        <v>2.1</v>
      </c>
      <c r="AI143" s="100">
        <v>1</v>
      </c>
      <c r="AJ143" s="100"/>
      <c r="AK143" s="134" t="s">
        <v>111</v>
      </c>
      <c r="AL143" s="137">
        <v>3</v>
      </c>
      <c r="AM143" s="137">
        <v>1.9</v>
      </c>
      <c r="AN143" s="137"/>
      <c r="AO143" s="98" t="s">
        <v>111</v>
      </c>
      <c r="AP143" s="100">
        <v>3.1</v>
      </c>
      <c r="AQ143" s="100">
        <v>1</v>
      </c>
      <c r="AR143" s="100"/>
      <c r="AS143" s="134" t="s">
        <v>111</v>
      </c>
      <c r="AT143" s="137">
        <v>4</v>
      </c>
      <c r="AU143" s="137">
        <v>2.1</v>
      </c>
      <c r="AV143" s="137"/>
      <c r="AW143" s="98" t="s">
        <v>111</v>
      </c>
      <c r="AX143" s="100">
        <v>4.0999999999999996</v>
      </c>
      <c r="AY143" s="100">
        <v>1</v>
      </c>
      <c r="AZ143" s="100"/>
      <c r="BA143" s="134" t="s">
        <v>111</v>
      </c>
      <c r="BB143" s="137">
        <v>5</v>
      </c>
      <c r="BC143" s="137">
        <v>2.2999999999999998</v>
      </c>
      <c r="BD143" s="137"/>
      <c r="BE143" s="98" t="s">
        <v>111</v>
      </c>
      <c r="BF143" s="100">
        <v>5.0999999999999996</v>
      </c>
      <c r="BG143" s="100">
        <v>1</v>
      </c>
      <c r="BH143" s="100"/>
    </row>
    <row r="144" spans="1:60" s="98" customFormat="1" x14ac:dyDescent="0.25">
      <c r="A144" s="1">
        <v>142</v>
      </c>
      <c r="B144" s="99" t="b">
        <f t="shared" si="37"/>
        <v>1</v>
      </c>
      <c r="C144" s="99" t="b">
        <f t="shared" si="37"/>
        <v>1</v>
      </c>
      <c r="D144" s="98" t="s">
        <v>337</v>
      </c>
      <c r="E144" s="100">
        <f t="shared" si="35"/>
        <v>1.0651315789473685</v>
      </c>
      <c r="F144" s="100">
        <v>1</v>
      </c>
      <c r="G144" s="102" t="s">
        <v>223</v>
      </c>
      <c r="H144" s="101" t="s">
        <v>23</v>
      </c>
      <c r="I144" s="100">
        <v>0</v>
      </c>
      <c r="J144" s="102">
        <f t="shared" ref="J144:J151" si="38">inp_scr_min</f>
        <v>10</v>
      </c>
      <c r="K144" s="102">
        <f t="shared" ref="K144:K152" si="39">inp_xr_min</f>
        <v>10</v>
      </c>
      <c r="L144" s="121">
        <v>60</v>
      </c>
      <c r="M144" s="134" t="s">
        <v>118</v>
      </c>
      <c r="N144" s="137">
        <v>0</v>
      </c>
      <c r="O144" s="136">
        <v>0.8</v>
      </c>
      <c r="P144" s="137">
        <v>60</v>
      </c>
      <c r="Q144" s="135"/>
      <c r="R144" s="100"/>
      <c r="S144" s="100"/>
      <c r="T144" s="100"/>
      <c r="U144" s="134"/>
      <c r="V144" s="137"/>
      <c r="W144" s="137"/>
      <c r="X144" s="137"/>
      <c r="Z144" s="100"/>
      <c r="AA144" s="100"/>
      <c r="AB144" s="100"/>
      <c r="AC144" s="134"/>
      <c r="AD144" s="137"/>
      <c r="AE144" s="137"/>
      <c r="AF144" s="137"/>
      <c r="AH144" s="100"/>
      <c r="AI144" s="100"/>
      <c r="AJ144" s="100"/>
      <c r="AK144" s="134"/>
      <c r="AL144" s="137"/>
      <c r="AM144" s="137"/>
      <c r="AN144" s="137"/>
      <c r="AP144" s="100"/>
      <c r="AQ144" s="100"/>
      <c r="AR144" s="100"/>
      <c r="AS144" s="134"/>
      <c r="AT144" s="137"/>
      <c r="AU144" s="137"/>
      <c r="AV144" s="137"/>
      <c r="AX144" s="100"/>
      <c r="AY144" s="100"/>
      <c r="AZ144" s="100"/>
      <c r="BA144" s="134"/>
      <c r="BB144" s="137"/>
      <c r="BC144" s="137"/>
      <c r="BD144" s="137"/>
      <c r="BF144" s="100"/>
      <c r="BG144" s="100"/>
      <c r="BH144" s="100"/>
    </row>
    <row r="145" spans="1:60" s="98" customFormat="1" x14ac:dyDescent="0.25">
      <c r="A145" s="1">
        <v>143</v>
      </c>
      <c r="B145" s="99" t="b">
        <f t="shared" si="37"/>
        <v>1</v>
      </c>
      <c r="C145" s="99" t="b">
        <f t="shared" si="37"/>
        <v>1</v>
      </c>
      <c r="D145" s="98" t="s">
        <v>338</v>
      </c>
      <c r="E145" s="100">
        <f t="shared" si="35"/>
        <v>1.0651315789473685</v>
      </c>
      <c r="F145" s="100">
        <v>1</v>
      </c>
      <c r="G145" s="102" t="s">
        <v>223</v>
      </c>
      <c r="H145" s="101" t="s">
        <v>23</v>
      </c>
      <c r="I145" s="100">
        <v>0</v>
      </c>
      <c r="J145" s="102">
        <f t="shared" si="38"/>
        <v>10</v>
      </c>
      <c r="K145" s="102">
        <f t="shared" si="39"/>
        <v>10</v>
      </c>
      <c r="L145" s="121">
        <v>60</v>
      </c>
      <c r="M145" s="134" t="s">
        <v>118</v>
      </c>
      <c r="N145" s="137">
        <v>0</v>
      </c>
      <c r="O145" s="136">
        <v>0.6</v>
      </c>
      <c r="P145" s="137">
        <v>60</v>
      </c>
      <c r="Q145" s="135"/>
      <c r="R145" s="100"/>
      <c r="S145" s="100"/>
      <c r="T145" s="100"/>
      <c r="U145" s="134"/>
      <c r="V145" s="137"/>
      <c r="W145" s="137"/>
      <c r="X145" s="137"/>
      <c r="Z145" s="100"/>
      <c r="AA145" s="100"/>
      <c r="AB145" s="100"/>
      <c r="AC145" s="134"/>
      <c r="AD145" s="137"/>
      <c r="AE145" s="137"/>
      <c r="AF145" s="137"/>
      <c r="AH145" s="100"/>
      <c r="AI145" s="100"/>
      <c r="AJ145" s="100"/>
      <c r="AK145" s="134"/>
      <c r="AL145" s="137"/>
      <c r="AM145" s="137"/>
      <c r="AN145" s="137"/>
      <c r="AP145" s="100"/>
      <c r="AQ145" s="100"/>
      <c r="AR145" s="100"/>
      <c r="AS145" s="134"/>
      <c r="AT145" s="137"/>
      <c r="AU145" s="137"/>
      <c r="AV145" s="137"/>
      <c r="AX145" s="100"/>
      <c r="AY145" s="100"/>
      <c r="AZ145" s="100"/>
      <c r="BA145" s="134"/>
      <c r="BB145" s="137"/>
      <c r="BC145" s="137"/>
      <c r="BD145" s="137"/>
      <c r="BF145" s="100"/>
      <c r="BG145" s="100"/>
      <c r="BH145" s="100"/>
    </row>
    <row r="146" spans="1:60" s="98" customFormat="1" x14ac:dyDescent="0.25">
      <c r="A146" s="1">
        <v>144</v>
      </c>
      <c r="B146" s="99" t="b">
        <f t="shared" si="37"/>
        <v>1</v>
      </c>
      <c r="C146" s="99" t="b">
        <f t="shared" si="37"/>
        <v>1</v>
      </c>
      <c r="D146" s="98" t="s">
        <v>339</v>
      </c>
      <c r="E146" s="100">
        <f t="shared" si="35"/>
        <v>1.0651315789473685</v>
      </c>
      <c r="F146" s="100">
        <v>1</v>
      </c>
      <c r="G146" s="102" t="s">
        <v>223</v>
      </c>
      <c r="H146" s="101" t="s">
        <v>23</v>
      </c>
      <c r="I146" s="100">
        <v>0</v>
      </c>
      <c r="J146" s="102">
        <f t="shared" si="38"/>
        <v>10</v>
      </c>
      <c r="K146" s="102">
        <f t="shared" si="39"/>
        <v>10</v>
      </c>
      <c r="L146" s="121">
        <v>60</v>
      </c>
      <c r="M146" s="134" t="s">
        <v>118</v>
      </c>
      <c r="N146" s="137">
        <v>0</v>
      </c>
      <c r="O146" s="136">
        <v>0.4</v>
      </c>
      <c r="P146" s="137">
        <v>60</v>
      </c>
      <c r="Q146" s="135"/>
      <c r="R146" s="100"/>
      <c r="S146" s="100"/>
      <c r="T146" s="100"/>
      <c r="U146" s="134"/>
      <c r="V146" s="137"/>
      <c r="W146" s="137"/>
      <c r="X146" s="137"/>
      <c r="Z146" s="100"/>
      <c r="AA146" s="100"/>
      <c r="AB146" s="100"/>
      <c r="AC146" s="134"/>
      <c r="AD146" s="137"/>
      <c r="AE146" s="137"/>
      <c r="AF146" s="137"/>
      <c r="AH146" s="100"/>
      <c r="AI146" s="100"/>
      <c r="AJ146" s="100"/>
      <c r="AK146" s="134"/>
      <c r="AL146" s="137"/>
      <c r="AM146" s="137"/>
      <c r="AN146" s="137"/>
      <c r="AP146" s="100"/>
      <c r="AQ146" s="100"/>
      <c r="AR146" s="100"/>
      <c r="AS146" s="134"/>
      <c r="AT146" s="137"/>
      <c r="AU146" s="137"/>
      <c r="AV146" s="137"/>
      <c r="AX146" s="100"/>
      <c r="AY146" s="100"/>
      <c r="AZ146" s="100"/>
      <c r="BA146" s="134"/>
      <c r="BB146" s="137"/>
      <c r="BC146" s="137"/>
      <c r="BD146" s="137"/>
      <c r="BF146" s="100"/>
      <c r="BG146" s="100"/>
      <c r="BH146" s="100"/>
    </row>
    <row r="147" spans="1:60" s="98" customFormat="1" x14ac:dyDescent="0.25">
      <c r="A147" s="1">
        <v>145</v>
      </c>
      <c r="B147" s="99" t="b">
        <f t="shared" si="37"/>
        <v>1</v>
      </c>
      <c r="C147" s="99" t="b">
        <f t="shared" si="37"/>
        <v>1</v>
      </c>
      <c r="D147" s="98" t="s">
        <v>340</v>
      </c>
      <c r="E147" s="100">
        <f t="shared" si="35"/>
        <v>1.0651315789473685</v>
      </c>
      <c r="F147" s="100">
        <v>1</v>
      </c>
      <c r="G147" s="102" t="s">
        <v>223</v>
      </c>
      <c r="H147" s="101" t="s">
        <v>23</v>
      </c>
      <c r="I147" s="100">
        <v>0</v>
      </c>
      <c r="J147" s="102">
        <f t="shared" si="38"/>
        <v>10</v>
      </c>
      <c r="K147" s="102">
        <f t="shared" si="39"/>
        <v>10</v>
      </c>
      <c r="L147" s="121">
        <v>60</v>
      </c>
      <c r="M147" s="134" t="s">
        <v>118</v>
      </c>
      <c r="N147" s="137">
        <v>0</v>
      </c>
      <c r="O147" s="136">
        <v>0.2</v>
      </c>
      <c r="P147" s="137">
        <v>60</v>
      </c>
      <c r="Q147" s="135"/>
      <c r="R147" s="100"/>
      <c r="S147" s="100"/>
      <c r="T147" s="100"/>
      <c r="U147" s="134"/>
      <c r="V147" s="137"/>
      <c r="W147" s="137"/>
      <c r="X147" s="137"/>
      <c r="Z147" s="100"/>
      <c r="AA147" s="100"/>
      <c r="AB147" s="100"/>
      <c r="AC147" s="134"/>
      <c r="AD147" s="137"/>
      <c r="AE147" s="137"/>
      <c r="AF147" s="137"/>
      <c r="AH147" s="100"/>
      <c r="AI147" s="100"/>
      <c r="AJ147" s="100"/>
      <c r="AK147" s="134"/>
      <c r="AL147" s="137"/>
      <c r="AM147" s="137"/>
      <c r="AN147" s="137"/>
      <c r="AP147" s="100"/>
      <c r="AQ147" s="100"/>
      <c r="AR147" s="100"/>
      <c r="AS147" s="134"/>
      <c r="AT147" s="137"/>
      <c r="AU147" s="137"/>
      <c r="AV147" s="137"/>
      <c r="AX147" s="100"/>
      <c r="AY147" s="100"/>
      <c r="AZ147" s="100"/>
      <c r="BA147" s="134"/>
      <c r="BB147" s="137"/>
      <c r="BC147" s="137"/>
      <c r="BD147" s="137"/>
      <c r="BF147" s="100"/>
      <c r="BG147" s="100"/>
      <c r="BH147" s="100"/>
    </row>
    <row r="148" spans="1:60" s="98" customFormat="1" x14ac:dyDescent="0.25">
      <c r="A148" s="1">
        <v>146</v>
      </c>
      <c r="B148" s="99" t="b">
        <f t="shared" si="37"/>
        <v>1</v>
      </c>
      <c r="C148" s="99" t="b">
        <f t="shared" si="37"/>
        <v>1</v>
      </c>
      <c r="D148" s="98" t="s">
        <v>341</v>
      </c>
      <c r="E148" s="100">
        <f t="shared" si="35"/>
        <v>1.0651315789473685</v>
      </c>
      <c r="F148" s="100">
        <v>0.7</v>
      </c>
      <c r="G148" s="102" t="s">
        <v>223</v>
      </c>
      <c r="H148" s="101" t="s">
        <v>23</v>
      </c>
      <c r="I148" s="100">
        <v>0</v>
      </c>
      <c r="J148" s="102">
        <f t="shared" si="38"/>
        <v>10</v>
      </c>
      <c r="K148" s="102">
        <f t="shared" si="39"/>
        <v>10</v>
      </c>
      <c r="L148" s="121">
        <v>60</v>
      </c>
      <c r="M148" s="114" t="s">
        <v>110</v>
      </c>
      <c r="N148" s="137">
        <v>0</v>
      </c>
      <c r="O148" s="137">
        <v>51.6</v>
      </c>
      <c r="P148" s="137"/>
      <c r="Q148" s="135"/>
      <c r="R148" s="100"/>
      <c r="S148" s="100"/>
      <c r="T148" s="100"/>
      <c r="U148" s="134"/>
      <c r="V148" s="137"/>
      <c r="W148" s="137"/>
      <c r="X148" s="137"/>
      <c r="Z148" s="100"/>
      <c r="AA148" s="100"/>
      <c r="AB148" s="100"/>
      <c r="AC148" s="134"/>
      <c r="AD148" s="137"/>
      <c r="AE148" s="137"/>
      <c r="AF148" s="137"/>
      <c r="AH148" s="100"/>
      <c r="AI148" s="100"/>
      <c r="AJ148" s="100"/>
      <c r="AK148" s="134"/>
      <c r="AL148" s="137"/>
      <c r="AM148" s="137"/>
      <c r="AN148" s="137"/>
      <c r="AP148" s="100"/>
      <c r="AQ148" s="100"/>
      <c r="AR148" s="100"/>
      <c r="AS148" s="134"/>
      <c r="AT148" s="137"/>
      <c r="AU148" s="137"/>
      <c r="AV148" s="137"/>
      <c r="AX148" s="100"/>
      <c r="AY148" s="100"/>
      <c r="AZ148" s="100"/>
      <c r="BA148" s="134"/>
      <c r="BB148" s="137"/>
      <c r="BC148" s="137"/>
      <c r="BD148" s="137"/>
      <c r="BF148" s="100"/>
      <c r="BG148" s="100"/>
      <c r="BH148" s="100"/>
    </row>
    <row r="149" spans="1:60" s="98" customFormat="1" x14ac:dyDescent="0.25">
      <c r="A149" s="1">
        <v>147</v>
      </c>
      <c r="B149" s="99" t="b">
        <f t="shared" si="37"/>
        <v>1</v>
      </c>
      <c r="C149" s="99" t="b">
        <f t="shared" si="37"/>
        <v>1</v>
      </c>
      <c r="D149" s="98" t="s">
        <v>342</v>
      </c>
      <c r="E149" s="100">
        <f t="shared" si="35"/>
        <v>1.0651315789473685</v>
      </c>
      <c r="F149" s="100">
        <v>0.7</v>
      </c>
      <c r="G149" s="102" t="s">
        <v>223</v>
      </c>
      <c r="H149" s="101" t="s">
        <v>23</v>
      </c>
      <c r="I149" s="100">
        <v>0</v>
      </c>
      <c r="J149" s="102">
        <f t="shared" si="38"/>
        <v>10</v>
      </c>
      <c r="K149" s="102">
        <f t="shared" si="39"/>
        <v>10</v>
      </c>
      <c r="L149" s="121">
        <v>60</v>
      </c>
      <c r="M149" s="114" t="s">
        <v>110</v>
      </c>
      <c r="N149" s="137">
        <v>0</v>
      </c>
      <c r="O149" s="137">
        <v>47.4</v>
      </c>
      <c r="P149" s="137"/>
      <c r="Q149" s="135"/>
      <c r="R149" s="100"/>
      <c r="S149" s="100"/>
      <c r="T149" s="100"/>
      <c r="U149" s="134"/>
      <c r="V149" s="137"/>
      <c r="W149" s="137"/>
      <c r="X149" s="137"/>
      <c r="Z149" s="100"/>
      <c r="AA149" s="100"/>
      <c r="AB149" s="100"/>
      <c r="AC149" s="134"/>
      <c r="AD149" s="137"/>
      <c r="AE149" s="137"/>
      <c r="AF149" s="137"/>
      <c r="AH149" s="100"/>
      <c r="AI149" s="100"/>
      <c r="AJ149" s="100"/>
      <c r="AK149" s="134"/>
      <c r="AL149" s="137"/>
      <c r="AM149" s="137"/>
      <c r="AN149" s="137"/>
      <c r="AP149" s="100"/>
      <c r="AQ149" s="100"/>
      <c r="AR149" s="100"/>
      <c r="AS149" s="134"/>
      <c r="AT149" s="137"/>
      <c r="AU149" s="137"/>
      <c r="AV149" s="137"/>
      <c r="AX149" s="100"/>
      <c r="AY149" s="100"/>
      <c r="AZ149" s="100"/>
      <c r="BA149" s="134"/>
      <c r="BB149" s="137"/>
      <c r="BC149" s="137"/>
      <c r="BD149" s="137"/>
      <c r="BF149" s="100"/>
      <c r="BG149" s="100"/>
      <c r="BH149" s="100"/>
    </row>
    <row r="150" spans="1:60" s="98" customFormat="1" x14ac:dyDescent="0.25">
      <c r="A150" s="1">
        <v>148</v>
      </c>
      <c r="B150" s="99" t="b">
        <f t="shared" si="37"/>
        <v>1</v>
      </c>
      <c r="C150" s="99" t="b">
        <f t="shared" si="37"/>
        <v>1</v>
      </c>
      <c r="D150" s="98" t="s">
        <v>343</v>
      </c>
      <c r="E150" s="100">
        <f t="shared" si="35"/>
        <v>1.0651315789473685</v>
      </c>
      <c r="F150" s="100">
        <v>0.7</v>
      </c>
      <c r="G150" s="102" t="s">
        <v>223</v>
      </c>
      <c r="H150" s="101" t="s">
        <v>23</v>
      </c>
      <c r="I150" s="100">
        <v>0</v>
      </c>
      <c r="J150" s="102">
        <f t="shared" si="38"/>
        <v>10</v>
      </c>
      <c r="K150" s="102">
        <f t="shared" si="39"/>
        <v>10</v>
      </c>
      <c r="L150" s="121">
        <v>40</v>
      </c>
      <c r="M150" s="114" t="s">
        <v>110</v>
      </c>
      <c r="N150" s="137">
        <v>0</v>
      </c>
      <c r="O150" s="137">
        <v>52</v>
      </c>
      <c r="P150" s="137"/>
      <c r="Q150" s="98" t="s">
        <v>110</v>
      </c>
      <c r="R150" s="100">
        <v>8</v>
      </c>
      <c r="S150" s="100">
        <v>53</v>
      </c>
      <c r="T150" s="100"/>
      <c r="U150" s="114" t="s">
        <v>110</v>
      </c>
      <c r="V150" s="137">
        <v>16</v>
      </c>
      <c r="W150" s="137">
        <v>54</v>
      </c>
      <c r="X150" s="137"/>
      <c r="Y150" s="98" t="s">
        <v>110</v>
      </c>
      <c r="Z150" s="100">
        <v>24</v>
      </c>
      <c r="AA150" s="100">
        <v>55</v>
      </c>
      <c r="AB150" s="100"/>
      <c r="AC150" s="114" t="s">
        <v>110</v>
      </c>
      <c r="AD150" s="137">
        <v>32</v>
      </c>
      <c r="AE150" s="137">
        <v>56</v>
      </c>
      <c r="AF150" s="137"/>
      <c r="AG150" s="98" t="s">
        <v>110</v>
      </c>
      <c r="AH150" s="100">
        <v>35</v>
      </c>
      <c r="AI150" s="100">
        <v>50</v>
      </c>
      <c r="AJ150" s="100"/>
      <c r="AK150" s="134"/>
      <c r="AL150" s="137"/>
      <c r="AM150" s="137"/>
      <c r="AN150" s="137"/>
      <c r="AO150" s="135"/>
      <c r="AP150" s="100"/>
      <c r="AQ150" s="100"/>
      <c r="AR150" s="100"/>
      <c r="AS150" s="134"/>
      <c r="AT150" s="137"/>
      <c r="AU150" s="137"/>
      <c r="AV150" s="137"/>
      <c r="AX150" s="100"/>
      <c r="AY150" s="100"/>
      <c r="AZ150" s="100"/>
      <c r="BA150" s="134"/>
      <c r="BB150" s="137"/>
      <c r="BC150" s="137"/>
      <c r="BD150" s="137"/>
      <c r="BF150" s="100"/>
      <c r="BG150" s="100"/>
      <c r="BH150" s="100"/>
    </row>
    <row r="151" spans="1:60" s="98" customFormat="1" x14ac:dyDescent="0.25">
      <c r="A151" s="1">
        <v>149</v>
      </c>
      <c r="B151" s="99" t="b">
        <f t="shared" si="37"/>
        <v>1</v>
      </c>
      <c r="C151" s="99" t="b">
        <f t="shared" si="37"/>
        <v>1</v>
      </c>
      <c r="D151" s="98" t="s">
        <v>344</v>
      </c>
      <c r="E151" s="100">
        <f t="shared" si="35"/>
        <v>1.0651315789473685</v>
      </c>
      <c r="F151" s="100">
        <v>0.7</v>
      </c>
      <c r="G151" s="102" t="s">
        <v>223</v>
      </c>
      <c r="H151" s="101" t="s">
        <v>23</v>
      </c>
      <c r="I151" s="100">
        <v>0</v>
      </c>
      <c r="J151" s="102">
        <f t="shared" si="38"/>
        <v>10</v>
      </c>
      <c r="K151" s="102">
        <f t="shared" si="39"/>
        <v>10</v>
      </c>
      <c r="L151" s="121">
        <v>40</v>
      </c>
      <c r="M151" s="114" t="s">
        <v>110</v>
      </c>
      <c r="N151" s="137">
        <v>0</v>
      </c>
      <c r="O151" s="137">
        <v>47</v>
      </c>
      <c r="P151" s="137"/>
      <c r="Q151" s="98" t="s">
        <v>110</v>
      </c>
      <c r="R151" s="100">
        <v>8</v>
      </c>
      <c r="S151" s="100">
        <v>46</v>
      </c>
      <c r="T151" s="100"/>
      <c r="U151" s="114" t="s">
        <v>110</v>
      </c>
      <c r="V151" s="137">
        <v>16</v>
      </c>
      <c r="W151" s="137">
        <v>45</v>
      </c>
      <c r="X151" s="137"/>
      <c r="Y151" s="98" t="s">
        <v>110</v>
      </c>
      <c r="Z151" s="100">
        <v>24</v>
      </c>
      <c r="AA151" s="100">
        <v>44</v>
      </c>
      <c r="AB151" s="100"/>
      <c r="AC151" s="114" t="s">
        <v>110</v>
      </c>
      <c r="AD151" s="137">
        <v>32</v>
      </c>
      <c r="AE151" s="137">
        <v>43</v>
      </c>
      <c r="AF151" s="137"/>
      <c r="AG151" s="98" t="s">
        <v>110</v>
      </c>
      <c r="AH151" s="100">
        <v>35</v>
      </c>
      <c r="AI151" s="100">
        <v>50</v>
      </c>
      <c r="AJ151" s="100"/>
      <c r="AK151" s="134"/>
      <c r="AL151" s="137"/>
      <c r="AM151" s="137"/>
      <c r="AN151" s="137"/>
      <c r="AP151" s="100"/>
      <c r="AQ151" s="100"/>
      <c r="AR151" s="100"/>
      <c r="AS151" s="134"/>
      <c r="AT151" s="137"/>
      <c r="AU151" s="137"/>
      <c r="AV151" s="137"/>
      <c r="AX151" s="100"/>
      <c r="AY151" s="100"/>
      <c r="AZ151" s="100"/>
      <c r="BA151" s="134"/>
      <c r="BB151" s="137"/>
      <c r="BC151" s="137"/>
      <c r="BD151" s="137"/>
      <c r="BF151" s="100"/>
      <c r="BG151" s="100"/>
      <c r="BH151" s="100"/>
    </row>
    <row r="152" spans="1:60" s="98" customFormat="1" x14ac:dyDescent="0.25">
      <c r="A152" s="1">
        <v>150</v>
      </c>
      <c r="B152" s="99" t="b">
        <f t="shared" si="37"/>
        <v>1</v>
      </c>
      <c r="C152" s="99" t="b">
        <f t="shared" si="37"/>
        <v>1</v>
      </c>
      <c r="D152" s="98" t="s">
        <v>345</v>
      </c>
      <c r="E152" s="100">
        <f t="shared" si="35"/>
        <v>1.0651315789473685</v>
      </c>
      <c r="F152" s="100">
        <v>1</v>
      </c>
      <c r="G152" s="102" t="s">
        <v>223</v>
      </c>
      <c r="H152" s="101" t="s">
        <v>23</v>
      </c>
      <c r="I152" s="100">
        <v>0</v>
      </c>
      <c r="J152" s="102">
        <f>inp_scr_max</f>
        <v>30</v>
      </c>
      <c r="K152" s="102">
        <f t="shared" si="39"/>
        <v>10</v>
      </c>
      <c r="L152" s="121">
        <v>60</v>
      </c>
      <c r="M152" s="134" t="s">
        <v>120</v>
      </c>
      <c r="N152" s="137">
        <v>0</v>
      </c>
      <c r="O152" s="136">
        <v>0.05</v>
      </c>
      <c r="P152" s="137">
        <v>60</v>
      </c>
      <c r="Q152" s="135"/>
      <c r="S152" s="100"/>
      <c r="T152" s="100"/>
      <c r="U152" s="134"/>
      <c r="V152" s="134"/>
      <c r="W152" s="137"/>
      <c r="X152" s="137"/>
      <c r="AA152" s="100"/>
      <c r="AB152" s="100"/>
      <c r="AC152" s="134"/>
      <c r="AD152" s="134"/>
      <c r="AE152" s="137"/>
      <c r="AF152" s="137"/>
      <c r="AI152" s="100"/>
      <c r="AJ152" s="100"/>
      <c r="AK152" s="134"/>
      <c r="AL152" s="134"/>
      <c r="AM152" s="137"/>
      <c r="AN152" s="137"/>
      <c r="AQ152" s="100"/>
      <c r="AR152" s="100"/>
      <c r="AS152" s="134"/>
      <c r="AT152" s="134"/>
      <c r="AU152" s="137"/>
      <c r="AV152" s="137"/>
      <c r="AY152" s="100"/>
      <c r="AZ152" s="100"/>
      <c r="BA152" s="134"/>
      <c r="BB152" s="134"/>
      <c r="BC152" s="137"/>
      <c r="BD152" s="137"/>
      <c r="BG152" s="100"/>
      <c r="BH152" s="100"/>
    </row>
    <row r="153" spans="1:60" x14ac:dyDescent="0.25">
      <c r="L153" s="6"/>
      <c r="P153" s="107"/>
      <c r="S153" s="5"/>
      <c r="T153" s="5"/>
      <c r="W153" s="107"/>
      <c r="X153" s="107"/>
      <c r="AA153" s="5"/>
      <c r="AB153" s="5"/>
      <c r="AE153" s="107"/>
      <c r="AF153" s="107"/>
      <c r="AI153" s="5"/>
      <c r="AJ153" s="5"/>
      <c r="AM153" s="107"/>
      <c r="AN153" s="107"/>
      <c r="AQ153" s="5"/>
      <c r="AR153" s="5"/>
      <c r="AU153" s="107"/>
      <c r="AV153" s="107"/>
      <c r="AY153" s="5"/>
      <c r="AZ153" s="5"/>
      <c r="BC153" s="107"/>
      <c r="BD153" s="107"/>
      <c r="BG153" s="5"/>
      <c r="BH153" s="5"/>
    </row>
    <row r="154" spans="1:60" x14ac:dyDescent="0.25">
      <c r="L154" s="6"/>
      <c r="P154" s="107"/>
      <c r="S154" s="5"/>
      <c r="T154" s="5"/>
      <c r="W154" s="107"/>
      <c r="X154" s="107"/>
      <c r="AA154" s="5"/>
      <c r="AB154" s="5"/>
      <c r="AE154" s="107"/>
      <c r="AF154" s="107"/>
      <c r="AI154" s="5"/>
      <c r="AJ154" s="5"/>
      <c r="AM154" s="107"/>
      <c r="AN154" s="107"/>
      <c r="AQ154" s="5"/>
      <c r="AR154" s="5"/>
      <c r="AU154" s="107"/>
      <c r="AV154" s="107"/>
      <c r="AY154" s="5"/>
      <c r="AZ154" s="5"/>
      <c r="BC154" s="107"/>
      <c r="BD154" s="107"/>
      <c r="BG154" s="5"/>
      <c r="BH154" s="5"/>
    </row>
    <row r="155" spans="1:60" x14ac:dyDescent="0.25">
      <c r="L155" s="6"/>
      <c r="P155" s="107"/>
      <c r="S155" s="5"/>
      <c r="T155" s="5"/>
      <c r="W155" s="107"/>
      <c r="X155" s="107"/>
      <c r="AA155" s="5"/>
      <c r="AB155" s="5"/>
      <c r="AE155" s="107"/>
      <c r="AF155" s="107"/>
      <c r="AI155" s="5"/>
      <c r="AJ155" s="5"/>
      <c r="AM155" s="107"/>
      <c r="AN155" s="107"/>
      <c r="AQ155" s="5"/>
      <c r="AR155" s="5"/>
      <c r="AU155" s="107"/>
      <c r="AV155" s="107"/>
      <c r="AY155" s="5"/>
      <c r="AZ155" s="5"/>
      <c r="BC155" s="107"/>
      <c r="BD155" s="107"/>
      <c r="BG155" s="5"/>
      <c r="BH155" s="5"/>
    </row>
    <row r="156" spans="1:60" x14ac:dyDescent="0.25">
      <c r="L156" s="6"/>
      <c r="P156" s="107"/>
      <c r="S156" s="5"/>
      <c r="T156" s="5"/>
      <c r="W156" s="107"/>
      <c r="X156" s="107"/>
      <c r="AA156" s="5"/>
      <c r="AB156" s="5"/>
      <c r="AE156" s="107"/>
      <c r="AF156" s="107"/>
      <c r="AU156" s="107"/>
      <c r="AV156" s="107"/>
      <c r="AY156" s="5"/>
      <c r="AZ156" s="5"/>
      <c r="BC156" s="107"/>
      <c r="BD156" s="107"/>
    </row>
    <row r="157" spans="1:60" x14ac:dyDescent="0.25">
      <c r="L157" s="6"/>
      <c r="P157" s="107"/>
      <c r="S157" s="5"/>
      <c r="T157" s="5"/>
      <c r="W157" s="107"/>
      <c r="X157" s="107"/>
      <c r="AA157" s="5"/>
      <c r="AB157" s="5"/>
      <c r="AE157" s="107"/>
      <c r="AF157" s="107"/>
      <c r="AY157" s="5"/>
      <c r="AZ157" s="5"/>
      <c r="BC157" s="107"/>
      <c r="BD157" s="107"/>
    </row>
    <row r="158" spans="1:60" x14ac:dyDescent="0.25">
      <c r="L158" s="6"/>
      <c r="P158" s="107"/>
      <c r="S158" s="5"/>
      <c r="T158" s="5"/>
      <c r="W158" s="107"/>
      <c r="X158" s="107"/>
      <c r="AA158" s="5"/>
      <c r="AB158" s="5"/>
      <c r="AE158" s="107"/>
      <c r="AF158" s="107"/>
    </row>
    <row r="159" spans="1:60" x14ac:dyDescent="0.25">
      <c r="L159" s="6"/>
      <c r="P159" s="107"/>
      <c r="S159" s="5"/>
      <c r="T159" s="5"/>
      <c r="W159" s="107"/>
      <c r="X159" s="107"/>
      <c r="AA159" s="5"/>
      <c r="AB159" s="5"/>
      <c r="AE159" s="107"/>
      <c r="AF159" s="107"/>
    </row>
    <row r="160" spans="1:60" x14ac:dyDescent="0.25">
      <c r="L160" s="6"/>
      <c r="P160" s="107"/>
      <c r="S160" s="5"/>
      <c r="T160" s="5"/>
      <c r="W160" s="107"/>
      <c r="X160" s="107"/>
      <c r="AA160" s="5"/>
      <c r="AB160" s="5"/>
      <c r="AE160" s="107"/>
      <c r="AF160" s="107"/>
    </row>
    <row r="161" spans="12:32" x14ac:dyDescent="0.25">
      <c r="L161" s="6"/>
      <c r="S161" s="5"/>
      <c r="T161" s="5"/>
      <c r="W161" s="107"/>
      <c r="X161" s="107"/>
      <c r="AA161" s="5"/>
      <c r="AB161" s="5"/>
      <c r="AE161" s="107"/>
      <c r="AF161" s="107"/>
    </row>
    <row r="162" spans="12:32" x14ac:dyDescent="0.25">
      <c r="L162" s="6"/>
      <c r="W162" s="107"/>
      <c r="X162" s="107"/>
      <c r="AA162" s="5"/>
      <c r="AB162" s="5"/>
      <c r="AE162" s="107"/>
      <c r="AF162" s="107"/>
    </row>
    <row r="163" spans="12:32" x14ac:dyDescent="0.25">
      <c r="L163" s="6"/>
      <c r="AA163" s="5"/>
      <c r="AB163" s="5"/>
      <c r="AE163" s="107"/>
      <c r="AF163" s="107"/>
    </row>
    <row r="164" spans="12:32" x14ac:dyDescent="0.25">
      <c r="L164" s="6"/>
      <c r="AE164" s="107"/>
      <c r="AF164" s="107"/>
    </row>
    <row r="165" spans="12:32" x14ac:dyDescent="0.25">
      <c r="L165" s="6"/>
      <c r="AE165" s="107"/>
      <c r="AF165" s="107"/>
    </row>
    <row r="166" spans="12:32" x14ac:dyDescent="0.25">
      <c r="L166" s="6"/>
      <c r="AE166" s="107"/>
      <c r="AF166" s="107"/>
    </row>
    <row r="167" spans="12:32" x14ac:dyDescent="0.25">
      <c r="L167" s="6"/>
      <c r="AE167" s="107"/>
      <c r="AF167" s="107"/>
    </row>
    <row r="168" spans="12:32" x14ac:dyDescent="0.25">
      <c r="L168" s="6"/>
      <c r="AE168" s="107"/>
      <c r="AF168" s="107"/>
    </row>
    <row r="169" spans="12:32" x14ac:dyDescent="0.25">
      <c r="L169" s="6"/>
    </row>
    <row r="170" spans="12:32" x14ac:dyDescent="0.25">
      <c r="L170" s="6"/>
    </row>
    <row r="171" spans="12:32" x14ac:dyDescent="0.25">
      <c r="L171" s="6"/>
    </row>
    <row r="172" spans="12:32" x14ac:dyDescent="0.25">
      <c r="L172" s="6"/>
    </row>
    <row r="173" spans="12:32" x14ac:dyDescent="0.25">
      <c r="L173" s="6"/>
    </row>
    <row r="174" spans="12:32" x14ac:dyDescent="0.25">
      <c r="L174" s="6"/>
    </row>
    <row r="175" spans="12:32" x14ac:dyDescent="0.25">
      <c r="L175" s="6"/>
    </row>
    <row r="176" spans="12:32" x14ac:dyDescent="0.25">
      <c r="L176" s="6"/>
    </row>
    <row r="177" spans="12:12" x14ac:dyDescent="0.25">
      <c r="L177" s="6"/>
    </row>
    <row r="178" spans="12:12" x14ac:dyDescent="0.25">
      <c r="L178" s="6"/>
    </row>
    <row r="179" spans="12:12" x14ac:dyDescent="0.25">
      <c r="L179" s="6"/>
    </row>
    <row r="180" spans="12:12" x14ac:dyDescent="0.25">
      <c r="L180" s="6"/>
    </row>
    <row r="181" spans="12:12" x14ac:dyDescent="0.25">
      <c r="L181" s="6"/>
    </row>
    <row r="182" spans="12:12" x14ac:dyDescent="0.25">
      <c r="L182" s="6"/>
    </row>
    <row r="183" spans="12:12" x14ac:dyDescent="0.25">
      <c r="L183" s="6"/>
    </row>
    <row r="184" spans="12:12" x14ac:dyDescent="0.25">
      <c r="L184" s="6"/>
    </row>
    <row r="185" spans="12:12" x14ac:dyDescent="0.25">
      <c r="L185" s="6"/>
    </row>
    <row r="186" spans="12:12" x14ac:dyDescent="0.25">
      <c r="L186" s="6"/>
    </row>
    <row r="187" spans="12:12" x14ac:dyDescent="0.25">
      <c r="L187" s="6"/>
    </row>
    <row r="188" spans="12:12" x14ac:dyDescent="0.25">
      <c r="L188" s="6"/>
    </row>
    <row r="189" spans="12:12" x14ac:dyDescent="0.25">
      <c r="L189" s="6"/>
    </row>
    <row r="190" spans="12:12" x14ac:dyDescent="0.25">
      <c r="L190" s="6"/>
    </row>
    <row r="191" spans="12:12" x14ac:dyDescent="0.25">
      <c r="L191" s="6"/>
    </row>
    <row r="192" spans="12:12" x14ac:dyDescent="0.25">
      <c r="L192" s="6"/>
    </row>
    <row r="193" spans="12:12" x14ac:dyDescent="0.25">
      <c r="L193" s="6"/>
    </row>
    <row r="194" spans="12:12" x14ac:dyDescent="0.25">
      <c r="L194" s="6"/>
    </row>
  </sheetData>
  <autoFilter ref="A2:BH152"/>
  <mergeCells count="12">
    <mergeCell ref="BE1:BH1"/>
    <mergeCell ref="M1:P1"/>
    <mergeCell ref="Q1:T1"/>
    <mergeCell ref="U1:X1"/>
    <mergeCell ref="Y1:AB1"/>
    <mergeCell ref="AC1:AF1"/>
    <mergeCell ref="AG1:AJ1"/>
    <mergeCell ref="AK1:AN1"/>
    <mergeCell ref="AO1:AR1"/>
    <mergeCell ref="AS1:AV1"/>
    <mergeCell ref="AW1:AZ1"/>
    <mergeCell ref="BA1:BD1"/>
  </mergeCells>
  <phoneticPr fontId="6" type="noConversion"/>
  <pageMargins left="0.7" right="0.7" top="0.75" bottom="0.75" header="0.3" footer="0.3"/>
  <pageSetup paperSize="9" orientation="portrait" r:id="rId1"/>
  <ignoredErrors>
    <ignoredError sqref="Z23:AA23 O67 E46 E51 I128 J143:K143" formula="1"/>
  </ignoredErrors>
  <extLst>
    <ext xmlns:x14="http://schemas.microsoft.com/office/spreadsheetml/2009/9/main" uri="{CCE6A557-97BC-4b89-ADB6-D9C93CAAB3DF}">
      <x14:dataValidations xmlns:xm="http://schemas.microsoft.com/office/excel/2006/main" count="6">
        <x14:dataValidation type="list" allowBlank="1" showInputMessage="1" showErrorMessage="1">
          <x14:formula1>
            <xm:f>'Event types'!$A$2:$A$939</xm:f>
          </x14:formula1>
          <xm:sqref>Q38 Q153:Q192 Q36 M153:M1048576 M90 Q90 AC90 Y90 U90 BA3:BA39 AC3:AC38 AG3:AG38 AK3:AK38 Y3:Y38 M45:M88 U30:U38 Q30:Q34 M13:M27 U3:U27 Q3:Q27 AO45:AO88 Y45:Y88 AG45:AG88 Q45:Q88 U45:U88 AC45:AC88 M120:M121 AK45:AK88 Q120:Q121 AC40:AC42 U40:U42 Q40:Q42 AG40:AG42 Y40:Y42 AO3:AO42 M30:M42 AW3:AW88 AS3:AS88 BE3:BE88 BA43:BA88</xm:sqref>
        </x14:dataValidation>
        <x14:dataValidation type="list" allowBlank="1" showInputMessage="1" showErrorMessage="1">
          <x14:formula1>
            <xm:f>'Event types'!$A$2:$A$272</xm:f>
          </x14:formula1>
          <xm:sqref>AG150:AG151 Q150:Q151 Y150:Y151 AC150:AC151 U150:U151 M148:M151 M3:M12 M28:M29 Q28:Q29 U28:U29 M89 Q89 U89 Y89 AC89 M122:M137 Q122:Q137 M91:M119 U91:U137 AK89:AK137 AG89:AG137 BE89:BE137 AW89:AW137 BA89:BA137 AS89:AS137 Y91:Y137 AC91:AC137 AO89:AO137 Q91:Q119 U43:U44 Q43:Q44 M43:M44 AC43:AC44 Y43:Y44 AG43:AG44 AK43:AK44 AO43:AO44</xm:sqref>
        </x14:dataValidation>
        <x14:dataValidation type="list" allowBlank="1" showInputMessage="1" showErrorMessage="1">
          <x14:formula1>
            <xm:f>'Event types'!$A$2:$A$228</xm:f>
          </x14:formula1>
          <xm:sqref>U153</xm:sqref>
        </x14:dataValidation>
        <x14:dataValidation type="list" allowBlank="1" showInputMessage="1" showErrorMessage="1">
          <x14:formula1>
            <xm:f>datavalidation!$E$1:$E$2</xm:f>
          </x14:formula1>
          <xm:sqref>B3:C152</xm:sqref>
        </x14:dataValidation>
        <x14:dataValidation type="list" allowBlank="1" showInputMessage="1" showErrorMessage="1">
          <x14:formula1>
            <xm:f>datavalidation!$C$1:$C$8</xm:f>
          </x14:formula1>
          <xm:sqref>G3:G1048576</xm:sqref>
        </x14:dataValidation>
        <x14:dataValidation type="list" allowBlank="1" showInputMessage="1" showErrorMessage="1">
          <x14:formula1>
            <xm:f>datavalidation!$B$1:$B$8</xm:f>
          </x14:formula1>
          <xm:sqref>H3:H1048576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N171"/>
  <sheetViews>
    <sheetView zoomScale="85" zoomScaleNormal="85" workbookViewId="0">
      <pane ySplit="2" topLeftCell="A3" activePane="bottomLeft" state="frozen"/>
      <selection pane="bottomLeft" activeCell="E24" sqref="E24"/>
    </sheetView>
  </sheetViews>
  <sheetFormatPr defaultColWidth="9.140625" defaultRowHeight="15" x14ac:dyDescent="0.25"/>
  <cols>
    <col min="1" max="1" width="12.85546875" style="1" bestFit="1" customWidth="1"/>
    <col min="2" max="2" width="12.42578125" style="1" bestFit="1" customWidth="1"/>
    <col min="3" max="3" width="12" style="1" bestFit="1" customWidth="1"/>
    <col min="4" max="4" width="29.42578125" style="1" customWidth="1"/>
    <col min="5" max="6" width="10.5703125" style="1" bestFit="1" customWidth="1"/>
    <col min="7" max="7" width="12.7109375" style="1" bestFit="1" customWidth="1"/>
    <col min="8" max="8" width="14.85546875" style="1" bestFit="1" customWidth="1"/>
    <col min="9" max="9" width="13.140625" style="1" customWidth="1"/>
    <col min="10" max="10" width="9.85546875" style="1" bestFit="1" customWidth="1"/>
    <col min="11" max="11" width="9.85546875" style="1" customWidth="1"/>
    <col min="12" max="12" width="21.5703125" style="1" bestFit="1" customWidth="1"/>
    <col min="13" max="13" width="22.85546875" style="18" bestFit="1" customWidth="1"/>
    <col min="14" max="14" width="9.7109375" style="18" bestFit="1" customWidth="1"/>
    <col min="15" max="15" width="35" style="18" bestFit="1" customWidth="1"/>
    <col min="16" max="16" width="16.5703125" style="18" bestFit="1" customWidth="1"/>
    <col min="17" max="17" width="17.5703125" style="1" bestFit="1" customWidth="1"/>
    <col min="18" max="18" width="9.7109375" style="1" bestFit="1" customWidth="1"/>
    <col min="19" max="19" width="25" style="1" bestFit="1" customWidth="1"/>
    <col min="20" max="20" width="16.5703125" style="1" bestFit="1" customWidth="1"/>
    <col min="21" max="21" width="12" style="18" bestFit="1" customWidth="1"/>
    <col min="22" max="22" width="9.7109375" style="18" bestFit="1" customWidth="1"/>
    <col min="23" max="23" width="12.42578125" style="18" bestFit="1" customWidth="1"/>
    <col min="24" max="24" width="16.5703125" style="18"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8" bestFit="1" customWidth="1"/>
    <col min="30" max="30" width="9.7109375" style="18" bestFit="1" customWidth="1"/>
    <col min="31" max="31" width="12.42578125" style="18" bestFit="1" customWidth="1"/>
    <col min="32" max="32" width="16.5703125" style="18"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8" bestFit="1" customWidth="1"/>
    <col min="38" max="38" width="9.7109375" style="18" bestFit="1" customWidth="1"/>
    <col min="39" max="39" width="12.42578125" style="18" bestFit="1" customWidth="1"/>
    <col min="40" max="40" width="16.5703125" style="18"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8" customWidth="1"/>
    <col min="46" max="46" width="9.7109375" style="18" bestFit="1" customWidth="1"/>
    <col min="47" max="47" width="12.42578125" style="18" bestFit="1" customWidth="1"/>
    <col min="48" max="48" width="16.5703125" style="18"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8" customWidth="1"/>
    <col min="54" max="54" width="9.7109375" style="18" bestFit="1" customWidth="1"/>
    <col min="55" max="55" width="12.42578125" style="18" bestFit="1" customWidth="1"/>
    <col min="56" max="56" width="16.5703125" style="18"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92" x14ac:dyDescent="0.25">
      <c r="D1" s="96" t="s">
        <v>79</v>
      </c>
      <c r="M1" s="255" t="s">
        <v>80</v>
      </c>
      <c r="N1" s="256"/>
      <c r="O1" s="256"/>
      <c r="P1" s="257"/>
      <c r="Q1" s="253" t="s">
        <v>81</v>
      </c>
      <c r="R1" s="251"/>
      <c r="S1" s="251"/>
      <c r="T1" s="254"/>
      <c r="U1" s="255" t="s">
        <v>82</v>
      </c>
      <c r="V1" s="256"/>
      <c r="W1" s="256"/>
      <c r="X1" s="257"/>
      <c r="Y1" s="253" t="s">
        <v>83</v>
      </c>
      <c r="Z1" s="251"/>
      <c r="AA1" s="251"/>
      <c r="AB1" s="254"/>
      <c r="AC1" s="255" t="s">
        <v>84</v>
      </c>
      <c r="AD1" s="256"/>
      <c r="AE1" s="256"/>
      <c r="AF1" s="257"/>
      <c r="AG1" s="253" t="s">
        <v>85</v>
      </c>
      <c r="AH1" s="251"/>
      <c r="AI1" s="251"/>
      <c r="AJ1" s="254"/>
      <c r="AK1" s="255" t="s">
        <v>86</v>
      </c>
      <c r="AL1" s="256"/>
      <c r="AM1" s="256"/>
      <c r="AN1" s="257"/>
      <c r="AO1" s="253" t="s">
        <v>87</v>
      </c>
      <c r="AP1" s="251"/>
      <c r="AQ1" s="251"/>
      <c r="AR1" s="254"/>
      <c r="AS1" s="255" t="s">
        <v>88</v>
      </c>
      <c r="AT1" s="256"/>
      <c r="AU1" s="256"/>
      <c r="AV1" s="257"/>
      <c r="AW1" s="253" t="s">
        <v>89</v>
      </c>
      <c r="AX1" s="251"/>
      <c r="AY1" s="251"/>
      <c r="AZ1" s="254"/>
      <c r="BA1" s="255" t="s">
        <v>90</v>
      </c>
      <c r="BB1" s="256"/>
      <c r="BC1" s="256"/>
      <c r="BD1" s="257"/>
      <c r="BE1" s="253" t="s">
        <v>91</v>
      </c>
      <c r="BF1" s="251"/>
      <c r="BG1" s="251"/>
      <c r="BH1" s="254"/>
    </row>
    <row r="2" spans="1:92"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83" t="s">
        <v>104</v>
      </c>
      <c r="BF2" s="12" t="s">
        <v>105</v>
      </c>
      <c r="BG2" s="12" t="s">
        <v>106</v>
      </c>
      <c r="BH2" s="26" t="s">
        <v>107</v>
      </c>
    </row>
    <row r="3" spans="1:92" x14ac:dyDescent="0.25">
      <c r="A3" s="1">
        <v>1001</v>
      </c>
      <c r="B3" s="11" t="b">
        <v>1</v>
      </c>
      <c r="C3" s="11" t="b">
        <v>1</v>
      </c>
      <c r="D3" s="1" t="s">
        <v>346</v>
      </c>
      <c r="E3" s="5">
        <f t="shared" ref="E3:E32" si="0">inp_Uc/inp_Un</f>
        <v>1.0651315789473685</v>
      </c>
      <c r="F3" s="24">
        <v>1</v>
      </c>
      <c r="G3" s="21" t="s">
        <v>222</v>
      </c>
      <c r="H3" s="20" t="s">
        <v>108</v>
      </c>
      <c r="I3" s="24">
        <f t="shared" ref="I3:I14" si="1">IF(inp_default="Q(U)",E3,IF(inp_default="PF",1,0))</f>
        <v>0</v>
      </c>
      <c r="J3" s="21">
        <f t="shared" ref="J3:J14" si="2">inp_scr_min</f>
        <v>10</v>
      </c>
      <c r="K3" s="21">
        <f t="shared" ref="K3:K14" si="3">inp_xr_min</f>
        <v>10</v>
      </c>
      <c r="L3" s="22">
        <v>12</v>
      </c>
      <c r="M3" s="17" t="s">
        <v>118</v>
      </c>
      <c r="N3" s="17">
        <v>0</v>
      </c>
      <c r="O3" s="87">
        <f>sel_ures</f>
        <v>0</v>
      </c>
      <c r="P3" s="17">
        <f>IF(O3&lt;sel_ures,0,
IF(AND(sel_uclear&gt;=O3, O3&gt;=sel_ures),sel_tclear,
IF(AND(sel_urec1&gt;=O3,O3&gt;sel_uclear),IF(sel_urec1&gt;sel_uclear,sel_tclear+(O3-sel_uclear)*(sel_trec1-sel_tclear)/(sel_urec1-sel_uclear),sel_tclear),
IF(AND(sel_urec2&gt;=O3,O3&gt;sel_urec1),IF(sel_urec2&gt;sel_urec1,sel_trec2+(O3-sel_urec1)*(sel_trec3-sel_trec2)/(sel_urec2-sel_urec1),-99999),5
))))</f>
        <v>0.15</v>
      </c>
      <c r="Q3" s="23"/>
      <c r="R3" s="5"/>
      <c r="S3" s="5"/>
      <c r="T3" s="5"/>
      <c r="U3" s="17"/>
      <c r="V3" s="17"/>
      <c r="W3" s="17"/>
      <c r="X3" s="17"/>
      <c r="Y3" s="5"/>
      <c r="Z3" s="21"/>
      <c r="AA3" s="5"/>
      <c r="AB3" s="5"/>
      <c r="AC3" s="17"/>
      <c r="AD3" s="17"/>
      <c r="AE3" s="17"/>
      <c r="AF3" s="17"/>
      <c r="AG3" s="23"/>
      <c r="AH3" s="5"/>
      <c r="AI3" s="5"/>
      <c r="AJ3" s="5"/>
      <c r="AK3" s="17"/>
      <c r="AL3" s="17"/>
      <c r="AM3" s="17"/>
      <c r="AN3" s="17"/>
      <c r="AO3" s="23"/>
      <c r="AP3" s="5"/>
      <c r="AQ3" s="5"/>
      <c r="AR3" s="5"/>
      <c r="AS3" s="17"/>
      <c r="AT3" s="17"/>
      <c r="AU3" s="17"/>
      <c r="AV3" s="17"/>
      <c r="AW3" s="23"/>
      <c r="AX3" s="5"/>
      <c r="AY3" s="5"/>
      <c r="AZ3" s="5"/>
      <c r="BA3" s="17"/>
      <c r="BB3" s="17"/>
      <c r="BC3" s="17"/>
      <c r="BD3" s="17"/>
      <c r="BE3" s="23"/>
      <c r="BF3" s="5"/>
      <c r="BG3" s="5"/>
      <c r="BH3" s="84"/>
    </row>
    <row r="4" spans="1:92" x14ac:dyDescent="0.25">
      <c r="A4" s="1">
        <v>1002</v>
      </c>
      <c r="B4" s="11" t="b">
        <v>1</v>
      </c>
      <c r="C4" s="11" t="b">
        <v>1</v>
      </c>
      <c r="D4" s="1" t="s">
        <v>347</v>
      </c>
      <c r="E4" s="5">
        <f t="shared" si="0"/>
        <v>1.0651315789473685</v>
      </c>
      <c r="F4" s="24">
        <v>1</v>
      </c>
      <c r="G4" s="21" t="s">
        <v>222</v>
      </c>
      <c r="H4" s="20" t="s">
        <v>108</v>
      </c>
      <c r="I4" s="24">
        <f t="shared" si="1"/>
        <v>0</v>
      </c>
      <c r="J4" s="21">
        <f t="shared" si="2"/>
        <v>10</v>
      </c>
      <c r="K4" s="21">
        <f t="shared" si="3"/>
        <v>10</v>
      </c>
      <c r="L4" s="22">
        <v>12</v>
      </c>
      <c r="M4" s="17" t="s">
        <v>118</v>
      </c>
      <c r="N4" s="17">
        <v>0</v>
      </c>
      <c r="O4" s="87">
        <v>0.2</v>
      </c>
      <c r="P4" s="17">
        <v>0.45</v>
      </c>
      <c r="Q4" s="23"/>
      <c r="R4" s="5"/>
      <c r="S4" s="5"/>
      <c r="T4" s="5"/>
      <c r="U4" s="17"/>
      <c r="V4" s="17"/>
      <c r="W4" s="17"/>
      <c r="X4" s="17"/>
      <c r="Y4" s="5"/>
      <c r="Z4" s="21"/>
      <c r="AA4" s="5"/>
      <c r="AB4" s="5"/>
      <c r="AC4" s="17"/>
      <c r="AD4" s="17"/>
      <c r="AE4" s="17"/>
      <c r="AF4" s="17"/>
      <c r="AG4" s="23"/>
      <c r="AH4" s="5"/>
      <c r="AI4" s="5"/>
      <c r="AJ4" s="5"/>
      <c r="AK4" s="17"/>
      <c r="AL4" s="17"/>
      <c r="AM4" s="17"/>
      <c r="AN4" s="17"/>
      <c r="AO4" s="23"/>
      <c r="AP4" s="5"/>
      <c r="AQ4" s="5"/>
      <c r="AR4" s="5"/>
      <c r="AS4" s="17"/>
      <c r="AT4" s="17"/>
      <c r="AU4" s="17"/>
      <c r="AV4" s="17"/>
      <c r="AW4" s="23"/>
      <c r="AX4" s="5"/>
      <c r="AY4" s="5"/>
      <c r="AZ4" s="5"/>
      <c r="BA4" s="17"/>
      <c r="BB4" s="17"/>
      <c r="BC4" s="17"/>
      <c r="BD4" s="17"/>
      <c r="BE4" s="23"/>
      <c r="BF4" s="5"/>
      <c r="BG4" s="5"/>
      <c r="BH4" s="84"/>
    </row>
    <row r="5" spans="1:92" x14ac:dyDescent="0.25">
      <c r="A5" s="1">
        <v>1003</v>
      </c>
      <c r="B5" s="11" t="b">
        <v>1</v>
      </c>
      <c r="C5" s="11" t="b">
        <v>1</v>
      </c>
      <c r="D5" s="1" t="s">
        <v>348</v>
      </c>
      <c r="E5" s="5">
        <f t="shared" si="0"/>
        <v>1.0651315789473685</v>
      </c>
      <c r="F5" s="24">
        <v>1</v>
      </c>
      <c r="G5" s="21" t="s">
        <v>222</v>
      </c>
      <c r="H5" s="20" t="s">
        <v>108</v>
      </c>
      <c r="I5" s="24">
        <f t="shared" si="1"/>
        <v>0</v>
      </c>
      <c r="J5" s="21">
        <f t="shared" si="2"/>
        <v>10</v>
      </c>
      <c r="K5" s="21">
        <f t="shared" si="3"/>
        <v>10</v>
      </c>
      <c r="L5" s="22">
        <v>12</v>
      </c>
      <c r="M5" s="17" t="s">
        <v>118</v>
      </c>
      <c r="N5" s="17">
        <v>0</v>
      </c>
      <c r="O5" s="87">
        <v>0.4</v>
      </c>
      <c r="P5" s="17">
        <v>0.75</v>
      </c>
      <c r="Q5" s="23"/>
      <c r="R5" s="25"/>
      <c r="S5" s="25"/>
      <c r="T5" s="25"/>
      <c r="U5" s="17"/>
      <c r="V5" s="17"/>
      <c r="W5" s="17"/>
      <c r="X5" s="17"/>
      <c r="Y5" s="5"/>
      <c r="Z5" s="21"/>
      <c r="AA5" s="5"/>
      <c r="AB5" s="5"/>
      <c r="AC5" s="17"/>
      <c r="AD5" s="17"/>
      <c r="AE5" s="17"/>
      <c r="AF5" s="17"/>
      <c r="AG5" s="23"/>
      <c r="AH5" s="5"/>
      <c r="AI5" s="5"/>
      <c r="AJ5" s="5"/>
      <c r="AK5" s="17"/>
      <c r="AL5" s="17"/>
      <c r="AM5" s="17"/>
      <c r="AN5" s="17"/>
      <c r="AO5" s="23"/>
      <c r="AP5" s="5"/>
      <c r="AQ5" s="5"/>
      <c r="AR5" s="5"/>
      <c r="AS5" s="17"/>
      <c r="AT5" s="17"/>
      <c r="AU5" s="17"/>
      <c r="AV5" s="17"/>
      <c r="AW5" s="23"/>
      <c r="AX5" s="5"/>
      <c r="AY5" s="5"/>
      <c r="AZ5" s="5"/>
      <c r="BA5" s="17"/>
      <c r="BB5" s="17"/>
      <c r="BC5" s="17"/>
      <c r="BD5" s="17"/>
      <c r="BE5" s="23"/>
      <c r="BF5" s="5"/>
      <c r="BG5" s="5"/>
      <c r="BH5" s="84"/>
    </row>
    <row r="6" spans="1:92" x14ac:dyDescent="0.25">
      <c r="A6" s="1">
        <v>1004</v>
      </c>
      <c r="B6" s="11" t="b">
        <v>1</v>
      </c>
      <c r="C6" s="11" t="b">
        <v>1</v>
      </c>
      <c r="D6" s="1" t="s">
        <v>349</v>
      </c>
      <c r="E6" s="5">
        <f t="shared" si="0"/>
        <v>1.0651315789473685</v>
      </c>
      <c r="F6" s="24">
        <v>1</v>
      </c>
      <c r="G6" s="21" t="s">
        <v>222</v>
      </c>
      <c r="H6" s="20" t="s">
        <v>108</v>
      </c>
      <c r="I6" s="24">
        <f t="shared" si="1"/>
        <v>0</v>
      </c>
      <c r="J6" s="21">
        <f t="shared" si="2"/>
        <v>10</v>
      </c>
      <c r="K6" s="21">
        <f t="shared" si="3"/>
        <v>10</v>
      </c>
      <c r="L6" s="22">
        <v>12</v>
      </c>
      <c r="M6" s="17" t="s">
        <v>118</v>
      </c>
      <c r="N6" s="17">
        <v>0</v>
      </c>
      <c r="O6" s="87">
        <v>0.8</v>
      </c>
      <c r="P6" s="17">
        <v>1.35</v>
      </c>
      <c r="Q6" s="23"/>
      <c r="R6" s="25"/>
      <c r="S6" s="25"/>
      <c r="T6" s="25"/>
      <c r="U6" s="17"/>
      <c r="V6" s="17"/>
      <c r="W6" s="17"/>
      <c r="X6" s="17"/>
      <c r="Y6" s="5"/>
      <c r="Z6" s="21"/>
      <c r="AA6" s="5"/>
      <c r="AB6" s="5"/>
      <c r="AC6" s="17"/>
      <c r="AD6" s="17"/>
      <c r="AE6" s="17"/>
      <c r="AF6" s="17"/>
      <c r="AG6" s="23"/>
      <c r="AH6" s="5"/>
      <c r="AI6" s="5"/>
      <c r="AJ6" s="5"/>
      <c r="AK6" s="17"/>
      <c r="AL6" s="17"/>
      <c r="AM6" s="17"/>
      <c r="AN6" s="17"/>
      <c r="AO6" s="23"/>
      <c r="AP6" s="5"/>
      <c r="AQ6" s="5"/>
      <c r="AR6" s="5"/>
      <c r="AS6" s="17"/>
      <c r="AT6" s="17"/>
      <c r="AU6" s="17"/>
      <c r="AV6" s="17"/>
      <c r="AW6" s="23"/>
      <c r="AX6" s="5"/>
      <c r="AY6" s="5"/>
      <c r="AZ6" s="5"/>
      <c r="BA6" s="17"/>
      <c r="BB6" s="17"/>
      <c r="BC6" s="17"/>
      <c r="BD6" s="17"/>
      <c r="BE6" s="23"/>
      <c r="BF6" s="5"/>
      <c r="BG6" s="5"/>
      <c r="BH6" s="84"/>
    </row>
    <row r="7" spans="1:92" x14ac:dyDescent="0.25">
      <c r="A7" s="1">
        <v>1005</v>
      </c>
      <c r="B7" s="11" t="b">
        <v>1</v>
      </c>
      <c r="C7" s="11" t="b">
        <v>1</v>
      </c>
      <c r="D7" s="1" t="s">
        <v>350</v>
      </c>
      <c r="E7" s="5">
        <f t="shared" si="0"/>
        <v>1.0651315789473685</v>
      </c>
      <c r="F7" s="24">
        <v>1</v>
      </c>
      <c r="G7" s="21" t="s">
        <v>222</v>
      </c>
      <c r="H7" s="20" t="s">
        <v>108</v>
      </c>
      <c r="I7" s="24">
        <f t="shared" si="1"/>
        <v>0</v>
      </c>
      <c r="J7" s="21">
        <f t="shared" si="2"/>
        <v>10</v>
      </c>
      <c r="K7" s="21">
        <f t="shared" si="3"/>
        <v>10</v>
      </c>
      <c r="L7" s="22">
        <v>12</v>
      </c>
      <c r="M7" s="17" t="s">
        <v>119</v>
      </c>
      <c r="N7" s="17">
        <v>0</v>
      </c>
      <c r="O7" s="87">
        <f>sel_ures</f>
        <v>0</v>
      </c>
      <c r="P7" s="17">
        <f>IF(O7&lt;sel_ures,0,
IF(AND(sel_uclear&gt;=O7, O7&gt;=sel_ures),sel_tclear,
IF(AND(sel_urec1&gt;=O7,O7&gt;sel_uclear),IF(sel_urec1&gt;sel_uclear,sel_tclear+(O7-sel_uclear)*(sel_trec1-sel_tclear)/(sel_urec1-sel_uclear),sel_tclear),
IF(AND(sel_urec2&gt;=O7,O7&gt;sel_urec1),IF(sel_urec2&gt;sel_urec1,sel_trec2+(O7-sel_urec1)*(sel_trec3-sel_trec2)/(sel_urec2-sel_urec1),-99999),5
))))</f>
        <v>0.15</v>
      </c>
      <c r="Q7" s="23"/>
      <c r="R7" s="5"/>
      <c r="S7" s="5"/>
      <c r="T7" s="5"/>
      <c r="U7" s="17"/>
      <c r="V7" s="17"/>
      <c r="W7" s="17"/>
      <c r="X7" s="17"/>
      <c r="Y7" s="5"/>
      <c r="Z7" s="21"/>
      <c r="AA7" s="5"/>
      <c r="AB7" s="5"/>
      <c r="AC7" s="17"/>
      <c r="AD7" s="17"/>
      <c r="AE7" s="17"/>
      <c r="AF7" s="17"/>
      <c r="AG7" s="23"/>
      <c r="AH7" s="5"/>
      <c r="AI7" s="5"/>
      <c r="AJ7" s="5"/>
      <c r="AK7" s="17"/>
      <c r="AL7" s="17"/>
      <c r="AM7" s="17"/>
      <c r="AN7" s="17"/>
      <c r="AO7" s="23"/>
      <c r="AP7" s="5"/>
      <c r="AQ7" s="5"/>
      <c r="AR7" s="5"/>
      <c r="AS7" s="17"/>
      <c r="AT7" s="17"/>
      <c r="AU7" s="17"/>
      <c r="AV7" s="17"/>
      <c r="AW7" s="23"/>
      <c r="AX7" s="5"/>
      <c r="AY7" s="5"/>
      <c r="AZ7" s="5"/>
      <c r="BA7" s="17"/>
      <c r="BB7" s="17"/>
      <c r="BC7" s="17"/>
      <c r="BD7" s="17"/>
      <c r="BE7" s="23"/>
      <c r="BF7" s="5"/>
      <c r="BG7" s="5"/>
      <c r="BH7" s="84"/>
    </row>
    <row r="8" spans="1:92" x14ac:dyDescent="0.25">
      <c r="A8" s="1">
        <v>1006</v>
      </c>
      <c r="B8" s="11" t="b">
        <v>1</v>
      </c>
      <c r="C8" s="11" t="b">
        <v>1</v>
      </c>
      <c r="D8" s="1" t="s">
        <v>351</v>
      </c>
      <c r="E8" s="5">
        <f t="shared" si="0"/>
        <v>1.0651315789473685</v>
      </c>
      <c r="F8" s="24">
        <v>1</v>
      </c>
      <c r="G8" s="21" t="s">
        <v>222</v>
      </c>
      <c r="H8" s="20" t="s">
        <v>108</v>
      </c>
      <c r="I8" s="24">
        <f t="shared" si="1"/>
        <v>0</v>
      </c>
      <c r="J8" s="21">
        <f t="shared" si="2"/>
        <v>10</v>
      </c>
      <c r="K8" s="21">
        <f t="shared" si="3"/>
        <v>10</v>
      </c>
      <c r="L8" s="22">
        <v>12</v>
      </c>
      <c r="M8" s="17" t="s">
        <v>119</v>
      </c>
      <c r="N8" s="17">
        <v>0</v>
      </c>
      <c r="O8" s="87">
        <v>0.2</v>
      </c>
      <c r="P8" s="17">
        <v>0.45</v>
      </c>
      <c r="Q8" s="23"/>
      <c r="R8" s="5"/>
      <c r="S8" s="5"/>
      <c r="T8" s="5"/>
      <c r="U8" s="17"/>
      <c r="V8" s="19"/>
      <c r="W8" s="19"/>
      <c r="X8" s="19"/>
      <c r="Y8" s="5"/>
      <c r="Z8" s="89"/>
      <c r="AA8" s="25"/>
      <c r="AB8" s="25"/>
      <c r="AC8" s="17"/>
      <c r="AD8" s="19"/>
      <c r="AE8" s="19"/>
      <c r="AF8" s="19"/>
      <c r="AG8" s="23"/>
      <c r="AH8" s="5"/>
      <c r="AI8" s="5"/>
      <c r="AJ8" s="5"/>
      <c r="AK8" s="17"/>
      <c r="AL8" s="17"/>
      <c r="AM8" s="17"/>
      <c r="AN8" s="17"/>
      <c r="AO8" s="23"/>
      <c r="AP8" s="5"/>
      <c r="AQ8" s="5"/>
      <c r="AR8" s="5"/>
      <c r="AS8" s="17"/>
      <c r="AT8" s="17"/>
      <c r="AU8" s="17"/>
      <c r="AV8" s="17"/>
      <c r="AW8" s="23"/>
      <c r="AX8" s="5"/>
      <c r="AY8" s="5"/>
      <c r="AZ8" s="5"/>
      <c r="BA8" s="17"/>
      <c r="BB8" s="17"/>
      <c r="BC8" s="17"/>
      <c r="BD8" s="17"/>
      <c r="BE8" s="23"/>
      <c r="BF8" s="5"/>
      <c r="BG8" s="5"/>
      <c r="BH8" s="84"/>
    </row>
    <row r="9" spans="1:92" x14ac:dyDescent="0.25">
      <c r="A9" s="1">
        <v>1007</v>
      </c>
      <c r="B9" s="11" t="b">
        <v>1</v>
      </c>
      <c r="C9" s="11" t="b">
        <v>1</v>
      </c>
      <c r="D9" s="1" t="s">
        <v>352</v>
      </c>
      <c r="E9" s="5">
        <f t="shared" si="0"/>
        <v>1.0651315789473685</v>
      </c>
      <c r="F9" s="24">
        <v>1</v>
      </c>
      <c r="G9" s="21" t="s">
        <v>222</v>
      </c>
      <c r="H9" s="20" t="s">
        <v>108</v>
      </c>
      <c r="I9" s="24">
        <f t="shared" si="1"/>
        <v>0</v>
      </c>
      <c r="J9" s="21">
        <f t="shared" si="2"/>
        <v>10</v>
      </c>
      <c r="K9" s="21">
        <f t="shared" si="3"/>
        <v>10</v>
      </c>
      <c r="L9" s="22">
        <v>12</v>
      </c>
      <c r="M9" s="17" t="s">
        <v>119</v>
      </c>
      <c r="N9" s="17">
        <v>0</v>
      </c>
      <c r="O9" s="87">
        <v>0.4</v>
      </c>
      <c r="P9" s="17">
        <v>0.75</v>
      </c>
      <c r="Q9" s="23"/>
      <c r="R9" s="5"/>
      <c r="S9" s="5"/>
      <c r="T9" s="5"/>
      <c r="U9" s="17"/>
      <c r="V9" s="19"/>
      <c r="W9" s="19"/>
      <c r="X9" s="19"/>
      <c r="Y9" s="5"/>
      <c r="Z9" s="89"/>
      <c r="AA9" s="25"/>
      <c r="AB9" s="25"/>
      <c r="AC9" s="17"/>
      <c r="AD9" s="19"/>
      <c r="AE9" s="19"/>
      <c r="AF9" s="19"/>
      <c r="AG9" s="23"/>
      <c r="AH9" s="5"/>
      <c r="AI9" s="5"/>
      <c r="AJ9" s="5"/>
      <c r="AK9" s="17"/>
      <c r="AL9" s="17"/>
      <c r="AM9" s="17"/>
      <c r="AN9" s="17"/>
      <c r="AO9" s="23"/>
      <c r="AP9" s="5"/>
      <c r="AQ9" s="5"/>
      <c r="AR9" s="5"/>
      <c r="AS9" s="17"/>
      <c r="AT9" s="17"/>
      <c r="AU9" s="17"/>
      <c r="AV9" s="17"/>
      <c r="AW9" s="23"/>
      <c r="AX9" s="5"/>
      <c r="AY9" s="5"/>
      <c r="AZ9" s="5"/>
      <c r="BA9" s="17"/>
      <c r="BB9" s="17"/>
      <c r="BC9" s="17"/>
      <c r="BD9" s="17"/>
      <c r="BE9" s="23"/>
      <c r="BF9" s="5"/>
      <c r="BG9" s="5"/>
      <c r="BH9" s="84"/>
    </row>
    <row r="10" spans="1:92" s="8" customFormat="1" x14ac:dyDescent="0.25">
      <c r="A10" s="1">
        <v>1008</v>
      </c>
      <c r="B10" s="11" t="b">
        <v>1</v>
      </c>
      <c r="C10" s="11" t="b">
        <v>1</v>
      </c>
      <c r="D10" s="1" t="s">
        <v>353</v>
      </c>
      <c r="E10" s="5">
        <f t="shared" si="0"/>
        <v>1.0651315789473685</v>
      </c>
      <c r="F10" s="24">
        <v>1</v>
      </c>
      <c r="G10" s="21" t="s">
        <v>222</v>
      </c>
      <c r="H10" s="20" t="s">
        <v>108</v>
      </c>
      <c r="I10" s="24">
        <f t="shared" si="1"/>
        <v>0</v>
      </c>
      <c r="J10" s="21">
        <f t="shared" si="2"/>
        <v>10</v>
      </c>
      <c r="K10" s="21">
        <f t="shared" si="3"/>
        <v>10</v>
      </c>
      <c r="L10" s="22">
        <v>12</v>
      </c>
      <c r="M10" s="17" t="s">
        <v>119</v>
      </c>
      <c r="N10" s="17">
        <v>0</v>
      </c>
      <c r="O10" s="87">
        <v>0.8</v>
      </c>
      <c r="P10" s="17">
        <v>1.35</v>
      </c>
      <c r="Q10" s="23"/>
      <c r="R10" s="5"/>
      <c r="S10" s="5"/>
      <c r="T10" s="5"/>
      <c r="U10" s="17"/>
      <c r="V10" s="19"/>
      <c r="W10" s="19"/>
      <c r="X10" s="19"/>
      <c r="Y10" s="5"/>
      <c r="Z10" s="89"/>
      <c r="AA10" s="25"/>
      <c r="AB10" s="25"/>
      <c r="AC10" s="17"/>
      <c r="AD10" s="19"/>
      <c r="AE10" s="19"/>
      <c r="AF10" s="19"/>
      <c r="AG10" s="23"/>
      <c r="AH10" s="5"/>
      <c r="AI10" s="5"/>
      <c r="AJ10" s="5"/>
      <c r="AK10" s="17"/>
      <c r="AL10" s="17"/>
      <c r="AM10" s="17"/>
      <c r="AN10" s="17"/>
      <c r="AO10" s="23"/>
      <c r="AP10" s="5"/>
      <c r="AQ10" s="5"/>
      <c r="AR10" s="5"/>
      <c r="AS10" s="17"/>
      <c r="AT10" s="17"/>
      <c r="AU10" s="17"/>
      <c r="AV10" s="17"/>
      <c r="AW10" s="23"/>
      <c r="AX10" s="5"/>
      <c r="AY10" s="5"/>
      <c r="AZ10" s="5"/>
      <c r="BA10" s="17"/>
      <c r="BB10" s="17"/>
      <c r="BC10" s="17"/>
      <c r="BD10" s="17"/>
      <c r="BE10" s="23"/>
      <c r="BF10" s="5"/>
      <c r="BG10" s="5"/>
      <c r="BH10" s="84"/>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row>
    <row r="11" spans="1:92" s="8" customFormat="1" x14ac:dyDescent="0.25">
      <c r="A11" s="1">
        <v>1009</v>
      </c>
      <c r="B11" s="11" t="b">
        <v>1</v>
      </c>
      <c r="C11" s="11" t="b">
        <v>1</v>
      </c>
      <c r="D11" s="1" t="s">
        <v>354</v>
      </c>
      <c r="E11" s="5">
        <f t="shared" si="0"/>
        <v>1.0651315789473685</v>
      </c>
      <c r="F11" s="24">
        <v>1</v>
      </c>
      <c r="G11" s="21" t="s">
        <v>222</v>
      </c>
      <c r="H11" s="20" t="s">
        <v>108</v>
      </c>
      <c r="I11" s="24">
        <f t="shared" si="1"/>
        <v>0</v>
      </c>
      <c r="J11" s="21">
        <f t="shared" si="2"/>
        <v>10</v>
      </c>
      <c r="K11" s="21">
        <f t="shared" si="3"/>
        <v>10</v>
      </c>
      <c r="L11" s="22">
        <v>12</v>
      </c>
      <c r="M11" s="17" t="s">
        <v>120</v>
      </c>
      <c r="N11" s="17">
        <v>0</v>
      </c>
      <c r="O11" s="87">
        <f>sel_ures</f>
        <v>0</v>
      </c>
      <c r="P11" s="17">
        <f>IF(O11&lt;sel_ures,0,
IF(AND(sel_uclear&gt;=O11, O11&gt;=sel_ures),sel_tclear,
IF(AND(sel_urec1&gt;=O11,O11&gt;sel_uclear),IF(sel_urec1&gt;sel_uclear,sel_tclear+(O11-sel_uclear)*(sel_trec1-sel_tclear)/(sel_urec1-sel_uclear),sel_tclear),
IF(AND(sel_urec2&gt;=O11,O11&gt;sel_urec1),IF(sel_urec2&gt;sel_urec1,sel_trec2+(O11-sel_urec1)*(sel_trec3-sel_trec2)/(sel_urec2-sel_urec1),-99999),5
))))</f>
        <v>0.15</v>
      </c>
      <c r="Q11" s="23"/>
      <c r="R11" s="5"/>
      <c r="S11" s="5"/>
      <c r="T11" s="5"/>
      <c r="U11" s="17"/>
      <c r="V11" s="17"/>
      <c r="W11" s="17"/>
      <c r="X11" s="17"/>
      <c r="Y11" s="5"/>
      <c r="Z11" s="5"/>
      <c r="AA11" s="5"/>
      <c r="AB11" s="5"/>
      <c r="AC11" s="17"/>
      <c r="AD11" s="17"/>
      <c r="AE11" s="17"/>
      <c r="AF11" s="17"/>
      <c r="AG11" s="23"/>
      <c r="AH11" s="5"/>
      <c r="AI11" s="5"/>
      <c r="AJ11" s="5"/>
      <c r="AK11" s="17"/>
      <c r="AL11" s="19"/>
      <c r="AM11" s="19"/>
      <c r="AN11" s="19"/>
      <c r="AO11" s="23"/>
      <c r="AP11" s="5"/>
      <c r="AQ11" s="5"/>
      <c r="AR11" s="5"/>
      <c r="AS11" s="17"/>
      <c r="AT11" s="19"/>
      <c r="AU11" s="19"/>
      <c r="AV11" s="19"/>
      <c r="AW11" s="23"/>
      <c r="AX11" s="5"/>
      <c r="AY11" s="5"/>
      <c r="AZ11" s="5"/>
      <c r="BA11" s="17"/>
      <c r="BB11" s="19"/>
      <c r="BC11" s="19"/>
      <c r="BD11" s="19"/>
      <c r="BE11" s="23"/>
      <c r="BF11" s="5"/>
      <c r="BG11" s="5"/>
      <c r="BH11" s="84"/>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row>
    <row r="12" spans="1:92" x14ac:dyDescent="0.25">
      <c r="A12" s="1">
        <v>1010</v>
      </c>
      <c r="B12" s="11" t="b">
        <v>1</v>
      </c>
      <c r="C12" s="11" t="b">
        <v>1</v>
      </c>
      <c r="D12" s="1" t="s">
        <v>355</v>
      </c>
      <c r="E12" s="5">
        <f t="shared" si="0"/>
        <v>1.0651315789473685</v>
      </c>
      <c r="F12" s="24">
        <v>1</v>
      </c>
      <c r="G12" s="21" t="s">
        <v>222</v>
      </c>
      <c r="H12" s="20" t="s">
        <v>108</v>
      </c>
      <c r="I12" s="24">
        <f t="shared" si="1"/>
        <v>0</v>
      </c>
      <c r="J12" s="21">
        <f t="shared" si="2"/>
        <v>10</v>
      </c>
      <c r="K12" s="21">
        <f t="shared" si="3"/>
        <v>10</v>
      </c>
      <c r="L12" s="22">
        <v>12</v>
      </c>
      <c r="M12" s="17" t="s">
        <v>120</v>
      </c>
      <c r="N12" s="17">
        <v>0</v>
      </c>
      <c r="O12" s="87">
        <v>0.2</v>
      </c>
      <c r="P12" s="17">
        <v>0.45</v>
      </c>
      <c r="Q12" s="23"/>
      <c r="R12" s="5"/>
      <c r="S12" s="5"/>
      <c r="T12" s="5"/>
      <c r="U12" s="17"/>
      <c r="V12" s="17"/>
      <c r="W12" s="17"/>
      <c r="X12" s="17"/>
      <c r="Y12" s="5"/>
      <c r="Z12" s="5"/>
      <c r="AA12" s="5"/>
      <c r="AB12" s="5"/>
      <c r="AC12" s="17"/>
      <c r="AD12" s="17"/>
      <c r="AE12" s="17"/>
      <c r="AF12" s="17"/>
      <c r="AG12" s="23"/>
      <c r="AH12" s="5"/>
      <c r="AI12" s="5"/>
      <c r="AJ12" s="5"/>
      <c r="AK12" s="17"/>
      <c r="AL12" s="19"/>
      <c r="AM12" s="19"/>
      <c r="AN12" s="19"/>
      <c r="AO12" s="23"/>
      <c r="AP12" s="5"/>
      <c r="AQ12" s="5"/>
      <c r="AR12" s="5"/>
      <c r="AS12" s="17"/>
      <c r="AT12" s="19"/>
      <c r="AU12" s="19"/>
      <c r="AV12" s="19"/>
      <c r="AW12" s="23"/>
      <c r="AX12" s="5"/>
      <c r="AY12" s="5"/>
      <c r="AZ12" s="5"/>
      <c r="BA12" s="17"/>
      <c r="BB12" s="19"/>
      <c r="BC12" s="19"/>
      <c r="BD12" s="19"/>
      <c r="BE12" s="23"/>
      <c r="BF12" s="5"/>
      <c r="BG12" s="5"/>
      <c r="BH12" s="84"/>
    </row>
    <row r="13" spans="1:92" x14ac:dyDescent="0.25">
      <c r="A13" s="1">
        <v>1011</v>
      </c>
      <c r="B13" s="11" t="b">
        <v>1</v>
      </c>
      <c r="C13" s="11" t="b">
        <v>1</v>
      </c>
      <c r="D13" s="1" t="s">
        <v>356</v>
      </c>
      <c r="E13" s="5">
        <f t="shared" si="0"/>
        <v>1.0651315789473685</v>
      </c>
      <c r="F13" s="24">
        <v>1</v>
      </c>
      <c r="G13" s="21" t="s">
        <v>222</v>
      </c>
      <c r="H13" s="20" t="s">
        <v>108</v>
      </c>
      <c r="I13" s="24">
        <f t="shared" si="1"/>
        <v>0</v>
      </c>
      <c r="J13" s="21">
        <f t="shared" si="2"/>
        <v>10</v>
      </c>
      <c r="K13" s="21">
        <f t="shared" si="3"/>
        <v>10</v>
      </c>
      <c r="L13" s="22">
        <v>12</v>
      </c>
      <c r="M13" s="17" t="s">
        <v>120</v>
      </c>
      <c r="N13" s="17">
        <v>0</v>
      </c>
      <c r="O13" s="87">
        <v>0.4</v>
      </c>
      <c r="P13" s="17">
        <v>0.75</v>
      </c>
      <c r="Q13" s="23"/>
      <c r="R13" s="5"/>
      <c r="S13" s="5"/>
      <c r="T13" s="5"/>
      <c r="U13" s="17"/>
      <c r="V13" s="17"/>
      <c r="W13" s="17"/>
      <c r="X13" s="17"/>
      <c r="Y13" s="5"/>
      <c r="Z13" s="5"/>
      <c r="AA13" s="5"/>
      <c r="AB13" s="5"/>
      <c r="AC13" s="17"/>
      <c r="AD13" s="17"/>
      <c r="AE13" s="17"/>
      <c r="AF13" s="17"/>
      <c r="AG13" s="23"/>
      <c r="AH13" s="5"/>
      <c r="AI13" s="5"/>
      <c r="AJ13" s="5"/>
      <c r="AK13" s="17"/>
      <c r="AL13" s="17"/>
      <c r="AM13" s="17"/>
      <c r="AN13" s="17"/>
      <c r="AO13" s="23"/>
      <c r="AP13" s="5"/>
      <c r="AQ13" s="5"/>
      <c r="AR13" s="5"/>
      <c r="AS13" s="17"/>
      <c r="AT13" s="17"/>
      <c r="AU13" s="17"/>
      <c r="AV13" s="17"/>
      <c r="AW13" s="23"/>
      <c r="AX13" s="5"/>
      <c r="AY13" s="5"/>
      <c r="AZ13" s="5"/>
      <c r="BA13" s="17"/>
      <c r="BB13" s="17"/>
      <c r="BC13" s="17"/>
      <c r="BD13" s="17"/>
      <c r="BE13" s="23"/>
      <c r="BF13" s="5"/>
      <c r="BG13" s="5"/>
      <c r="BH13" s="84"/>
    </row>
    <row r="14" spans="1:92" x14ac:dyDescent="0.25">
      <c r="A14" s="1">
        <v>1012</v>
      </c>
      <c r="B14" s="11" t="b">
        <v>1</v>
      </c>
      <c r="C14" s="11" t="b">
        <v>1</v>
      </c>
      <c r="D14" s="1" t="s">
        <v>357</v>
      </c>
      <c r="E14" s="5">
        <f t="shared" si="0"/>
        <v>1.0651315789473685</v>
      </c>
      <c r="F14" s="24">
        <v>1</v>
      </c>
      <c r="G14" s="21" t="s">
        <v>222</v>
      </c>
      <c r="H14" s="20" t="s">
        <v>108</v>
      </c>
      <c r="I14" s="24">
        <f t="shared" si="1"/>
        <v>0</v>
      </c>
      <c r="J14" s="21">
        <f t="shared" si="2"/>
        <v>10</v>
      </c>
      <c r="K14" s="21">
        <f t="shared" si="3"/>
        <v>10</v>
      </c>
      <c r="L14" s="22">
        <v>12</v>
      </c>
      <c r="M14" s="17" t="s">
        <v>120</v>
      </c>
      <c r="N14" s="17">
        <v>0</v>
      </c>
      <c r="O14" s="87">
        <v>0.8</v>
      </c>
      <c r="P14" s="17">
        <v>1.35</v>
      </c>
      <c r="Q14" s="23"/>
      <c r="R14" s="5"/>
      <c r="S14" s="5"/>
      <c r="T14" s="5"/>
      <c r="U14" s="17"/>
      <c r="V14" s="17"/>
      <c r="W14" s="17"/>
      <c r="X14" s="17"/>
      <c r="Y14" s="5"/>
      <c r="Z14" s="5"/>
      <c r="AA14" s="5"/>
      <c r="AB14" s="5"/>
      <c r="AC14" s="17"/>
      <c r="AD14" s="17"/>
      <c r="AE14" s="17"/>
      <c r="AF14" s="17"/>
      <c r="AG14" s="23"/>
      <c r="AH14" s="5"/>
      <c r="AI14" s="5"/>
      <c r="AJ14" s="5"/>
      <c r="AK14" s="17"/>
      <c r="AL14" s="17"/>
      <c r="AM14" s="17"/>
      <c r="AN14" s="17"/>
      <c r="AO14" s="23"/>
      <c r="AP14" s="5"/>
      <c r="AQ14" s="5"/>
      <c r="AR14" s="5"/>
      <c r="AS14" s="17"/>
      <c r="AT14" s="17"/>
      <c r="AU14" s="17"/>
      <c r="AV14" s="17"/>
      <c r="AW14" s="23"/>
      <c r="AX14" s="5"/>
      <c r="AY14" s="5"/>
      <c r="AZ14" s="5"/>
      <c r="BA14" s="17"/>
      <c r="BB14" s="17"/>
      <c r="BC14" s="17"/>
      <c r="BD14" s="17"/>
      <c r="BE14" s="23"/>
      <c r="BF14" s="5"/>
      <c r="BG14" s="5"/>
      <c r="BH14" s="84"/>
    </row>
    <row r="15" spans="1:92" x14ac:dyDescent="0.25">
      <c r="A15" s="1">
        <v>1013</v>
      </c>
      <c r="B15" s="11" t="b">
        <v>1</v>
      </c>
      <c r="C15" s="11" t="b">
        <v>1</v>
      </c>
      <c r="D15" s="1" t="s">
        <v>358</v>
      </c>
      <c r="E15" s="5">
        <f t="shared" si="0"/>
        <v>1.0651315789473685</v>
      </c>
      <c r="F15" s="24">
        <v>1</v>
      </c>
      <c r="G15" s="21" t="s">
        <v>222</v>
      </c>
      <c r="H15" s="20" t="s">
        <v>108</v>
      </c>
      <c r="I15" s="24">
        <f>IF(inp_default="Q(U)",E15,IF(inp_default="PF",1,0))</f>
        <v>0</v>
      </c>
      <c r="J15" s="21">
        <f>inp_scr_tun</f>
        <v>20</v>
      </c>
      <c r="K15" s="21">
        <f>inp_xr_tun</f>
        <v>15</v>
      </c>
      <c r="L15" s="22">
        <v>12</v>
      </c>
      <c r="M15" s="17" t="s">
        <v>118</v>
      </c>
      <c r="N15" s="17">
        <v>0</v>
      </c>
      <c r="O15" s="88">
        <v>0.05</v>
      </c>
      <c r="P15" s="17">
        <v>0.15</v>
      </c>
      <c r="Q15" s="23" t="s">
        <v>122</v>
      </c>
      <c r="R15" s="5">
        <f>N15+P15-0.001</f>
        <v>0.14899999999999999</v>
      </c>
      <c r="S15" s="5">
        <f>inp_scr_min</f>
        <v>10</v>
      </c>
      <c r="T15" s="5">
        <f>inp_xr_min</f>
        <v>10</v>
      </c>
      <c r="V15" s="17"/>
      <c r="W15" s="17"/>
      <c r="X15" s="17"/>
      <c r="Z15" s="5"/>
      <c r="AA15" s="5"/>
      <c r="AB15" s="5"/>
      <c r="AD15" s="17"/>
      <c r="AE15" s="17"/>
      <c r="AF15" s="17"/>
      <c r="AH15" s="5"/>
      <c r="AI15" s="5"/>
      <c r="AJ15" s="5"/>
      <c r="AL15" s="17"/>
      <c r="AM15" s="17"/>
      <c r="AN15" s="17"/>
      <c r="AP15" s="5"/>
      <c r="AQ15" s="5"/>
      <c r="AR15" s="5"/>
      <c r="AT15" s="17"/>
      <c r="AU15" s="17"/>
      <c r="AV15" s="17"/>
      <c r="AX15" s="5"/>
      <c r="AY15" s="5"/>
      <c r="AZ15" s="5"/>
      <c r="BB15" s="17"/>
      <c r="BC15" s="17"/>
      <c r="BD15" s="17"/>
      <c r="BF15" s="5"/>
      <c r="BG15" s="5"/>
      <c r="BH15" s="84"/>
    </row>
    <row r="16" spans="1:92" x14ac:dyDescent="0.25">
      <c r="A16" s="1">
        <v>1014</v>
      </c>
      <c r="B16" s="11" t="b">
        <v>1</v>
      </c>
      <c r="C16" s="11" t="b">
        <v>1</v>
      </c>
      <c r="D16" s="1" t="s">
        <v>359</v>
      </c>
      <c r="E16" s="5">
        <f t="shared" si="0"/>
        <v>1.0651315789473685</v>
      </c>
      <c r="F16" s="24">
        <v>1</v>
      </c>
      <c r="G16" s="21" t="s">
        <v>222</v>
      </c>
      <c r="H16" s="20" t="s">
        <v>108</v>
      </c>
      <c r="I16" s="24">
        <f>IF(inp_default="Q(U)",E16,IF(inp_default="PF",1,0))</f>
        <v>0</v>
      </c>
      <c r="J16" s="21">
        <f>inp_scr_tun</f>
        <v>20</v>
      </c>
      <c r="K16" s="21">
        <f>inp_xr_tun</f>
        <v>15</v>
      </c>
      <c r="L16" s="22">
        <v>12</v>
      </c>
      <c r="M16" s="17" t="s">
        <v>121</v>
      </c>
      <c r="N16" s="17">
        <v>0</v>
      </c>
      <c r="O16" s="88">
        <v>0.1</v>
      </c>
      <c r="P16" s="17">
        <v>0.15</v>
      </c>
      <c r="Q16" s="23" t="s">
        <v>122</v>
      </c>
      <c r="R16" s="5">
        <f>N16+P16-0.001</f>
        <v>0.14899999999999999</v>
      </c>
      <c r="S16" s="5">
        <f>inp_scr_min</f>
        <v>10</v>
      </c>
      <c r="T16" s="5">
        <f>inp_xr_min</f>
        <v>10</v>
      </c>
      <c r="V16" s="17"/>
      <c r="W16" s="17"/>
      <c r="X16" s="17"/>
      <c r="Z16" s="5"/>
      <c r="AA16" s="5"/>
      <c r="AB16" s="5"/>
      <c r="AD16" s="17"/>
      <c r="AE16" s="17"/>
      <c r="AF16" s="17"/>
      <c r="AH16" s="5"/>
      <c r="AI16" s="5"/>
      <c r="AJ16" s="5"/>
      <c r="AL16" s="17"/>
      <c r="AM16" s="17"/>
      <c r="AN16" s="17"/>
      <c r="AP16" s="5"/>
      <c r="AQ16" s="5"/>
      <c r="AR16" s="5"/>
      <c r="AT16" s="17"/>
      <c r="AU16" s="17"/>
      <c r="AV16" s="17"/>
      <c r="AX16" s="5"/>
      <c r="AY16" s="5"/>
      <c r="AZ16" s="5"/>
      <c r="BB16" s="17"/>
      <c r="BC16" s="17"/>
      <c r="BD16" s="17"/>
      <c r="BF16" s="5"/>
      <c r="BG16" s="5"/>
      <c r="BH16" s="84"/>
    </row>
    <row r="17" spans="1:60" x14ac:dyDescent="0.25">
      <c r="A17" s="1">
        <v>1015</v>
      </c>
      <c r="B17" s="11" t="b">
        <v>1</v>
      </c>
      <c r="C17" s="11" t="b">
        <v>1</v>
      </c>
      <c r="D17" s="1" t="s">
        <v>482</v>
      </c>
      <c r="E17" s="24">
        <f t="shared" si="0"/>
        <v>1.0651315789473685</v>
      </c>
      <c r="F17" s="24">
        <v>1</v>
      </c>
      <c r="G17" s="140" t="s">
        <v>222</v>
      </c>
      <c r="H17" s="141" t="s">
        <v>108</v>
      </c>
      <c r="I17" s="24">
        <f>IF(inp_default="Q(U)",E17,IF(inp_default="PF",1,0))</f>
        <v>0</v>
      </c>
      <c r="J17" s="140">
        <f>inp_scr_max</f>
        <v>30</v>
      </c>
      <c r="K17" s="140">
        <f>inp_xr_max</f>
        <v>20</v>
      </c>
      <c r="L17" s="142">
        <v>10</v>
      </c>
      <c r="M17" s="143" t="s">
        <v>122</v>
      </c>
      <c r="N17" s="143">
        <v>0</v>
      </c>
      <c r="O17" s="143">
        <f>inp_scr_min</f>
        <v>10</v>
      </c>
      <c r="P17" s="143">
        <f>inp_xr_min</f>
        <v>10</v>
      </c>
      <c r="Q17" s="24" t="s">
        <v>122</v>
      </c>
      <c r="R17" s="24">
        <v>5</v>
      </c>
      <c r="S17" s="24">
        <f>inp_scr_max</f>
        <v>30</v>
      </c>
      <c r="T17" s="24">
        <f>inp_xr_max</f>
        <v>20</v>
      </c>
      <c r="U17" s="90"/>
      <c r="V17" s="86"/>
      <c r="W17" s="86"/>
      <c r="X17" s="86"/>
      <c r="Z17" s="5"/>
      <c r="AA17" s="5"/>
      <c r="AB17" s="5"/>
      <c r="AC17" s="90"/>
      <c r="AD17" s="86"/>
      <c r="AE17" s="86"/>
      <c r="AF17" s="86"/>
      <c r="AH17" s="5"/>
      <c r="AI17" s="5"/>
      <c r="AJ17" s="5"/>
      <c r="AL17" s="17"/>
      <c r="AM17" s="17"/>
      <c r="AN17" s="17"/>
      <c r="AP17" s="5"/>
      <c r="AQ17" s="5"/>
      <c r="AR17" s="5"/>
      <c r="AT17" s="17"/>
      <c r="AU17" s="17"/>
      <c r="AV17" s="17"/>
      <c r="AX17" s="5"/>
      <c r="AY17" s="5"/>
      <c r="AZ17" s="5"/>
      <c r="BB17" s="17"/>
      <c r="BC17" s="17"/>
      <c r="BD17" s="17"/>
      <c r="BF17" s="5"/>
      <c r="BG17" s="5"/>
      <c r="BH17" s="84"/>
    </row>
    <row r="18" spans="1:60" x14ac:dyDescent="0.25">
      <c r="A18" s="1">
        <v>1016</v>
      </c>
      <c r="B18" s="11" t="b">
        <v>1</v>
      </c>
      <c r="C18" s="11" t="b">
        <v>1</v>
      </c>
      <c r="D18" s="1" t="s">
        <v>360</v>
      </c>
      <c r="E18" s="5">
        <f t="shared" si="0"/>
        <v>1.0651315789473685</v>
      </c>
      <c r="F18" s="24">
        <v>1</v>
      </c>
      <c r="G18" s="21" t="s">
        <v>222</v>
      </c>
      <c r="H18" s="20" t="s">
        <v>108</v>
      </c>
      <c r="I18" s="24">
        <f>IF(inp_default="Q(U)",E18,IF(inp_default="PF",1,0))</f>
        <v>0</v>
      </c>
      <c r="J18" s="21">
        <v>-1</v>
      </c>
      <c r="K18" s="21">
        <v>0</v>
      </c>
      <c r="L18" s="22">
        <v>30</v>
      </c>
      <c r="M18" s="86" t="s">
        <v>111</v>
      </c>
      <c r="N18" s="86">
        <v>0</v>
      </c>
      <c r="O18" s="86">
        <v>1.1499999999999999</v>
      </c>
      <c r="P18" s="86">
        <v>0</v>
      </c>
      <c r="Q18" s="23" t="s">
        <v>111</v>
      </c>
      <c r="R18" s="5">
        <v>10</v>
      </c>
      <c r="S18" s="5">
        <v>1.2</v>
      </c>
      <c r="T18" s="5">
        <f>IF(sel_trec1&gt;sel_tclear,(sel_urec1-sel_uclear)/(sel_trec1-sel_tclear),0)</f>
        <v>0</v>
      </c>
      <c r="U18" s="86" t="s">
        <v>111</v>
      </c>
      <c r="V18" s="86">
        <v>17</v>
      </c>
      <c r="W18" s="86">
        <v>1.3</v>
      </c>
      <c r="X18" s="86">
        <v>0</v>
      </c>
      <c r="Y18" s="5" t="s">
        <v>111</v>
      </c>
      <c r="Z18" s="5">
        <v>25</v>
      </c>
      <c r="AA18" s="5">
        <v>1</v>
      </c>
      <c r="AB18" s="5"/>
      <c r="AC18" s="86"/>
      <c r="AD18" s="86"/>
      <c r="AE18" s="86"/>
      <c r="AF18" s="86"/>
      <c r="AH18" s="5"/>
      <c r="AI18" s="5"/>
      <c r="AJ18" s="5"/>
      <c r="AL18" s="17"/>
      <c r="AM18" s="17"/>
      <c r="AN18" s="17"/>
      <c r="AP18" s="5"/>
      <c r="AQ18" s="5"/>
      <c r="AR18" s="5"/>
      <c r="AT18" s="17"/>
      <c r="AU18" s="17"/>
      <c r="AV18" s="17"/>
      <c r="AX18" s="5"/>
      <c r="AY18" s="5"/>
      <c r="AZ18" s="5"/>
      <c r="BB18" s="17"/>
      <c r="BC18" s="17"/>
      <c r="BD18" s="17"/>
      <c r="BF18" s="5"/>
      <c r="BG18" s="5"/>
      <c r="BH18" s="84"/>
    </row>
    <row r="19" spans="1:60" x14ac:dyDescent="0.25">
      <c r="A19" s="1">
        <v>1017</v>
      </c>
      <c r="B19" s="11" t="b">
        <v>1</v>
      </c>
      <c r="C19" s="11" t="b">
        <v>1</v>
      </c>
      <c r="D19" s="1" t="s">
        <v>361</v>
      </c>
      <c r="E19" s="5">
        <f t="shared" si="0"/>
        <v>1.0651315789473685</v>
      </c>
      <c r="F19" s="24">
        <v>1</v>
      </c>
      <c r="G19" s="21" t="s">
        <v>222</v>
      </c>
      <c r="H19" s="20" t="s">
        <v>108</v>
      </c>
      <c r="I19" s="24">
        <f>IF(inp_default="Q(U)",E19,IF(inp_default="PF",1,0))</f>
        <v>0</v>
      </c>
      <c r="J19" s="21">
        <v>-1</v>
      </c>
      <c r="K19" s="21">
        <v>0</v>
      </c>
      <c r="L19" s="22">
        <v>45</v>
      </c>
      <c r="M19" s="17" t="s">
        <v>111</v>
      </c>
      <c r="N19" s="17">
        <v>0</v>
      </c>
      <c r="O19" s="17">
        <v>0.9</v>
      </c>
      <c r="P19" s="17"/>
      <c r="Q19" s="23" t="s">
        <v>111</v>
      </c>
      <c r="R19" s="5">
        <v>10</v>
      </c>
      <c r="S19" s="5">
        <v>0.85</v>
      </c>
      <c r="T19" s="5"/>
      <c r="U19" s="17" t="s">
        <v>111</v>
      </c>
      <c r="V19" s="17">
        <v>17</v>
      </c>
      <c r="W19" s="17">
        <v>0.8</v>
      </c>
      <c r="X19" s="17"/>
      <c r="Y19" s="5" t="s">
        <v>111</v>
      </c>
      <c r="Z19" s="21">
        <v>25</v>
      </c>
      <c r="AA19" s="5">
        <v>0.7</v>
      </c>
      <c r="AB19" s="5"/>
      <c r="AC19" s="17" t="s">
        <v>111</v>
      </c>
      <c r="AD19" s="17">
        <v>32</v>
      </c>
      <c r="AE19" s="17">
        <v>0.6</v>
      </c>
      <c r="AF19" s="17"/>
      <c r="AG19" s="1" t="s">
        <v>111</v>
      </c>
      <c r="AH19" s="5">
        <v>37</v>
      </c>
      <c r="AI19" s="5">
        <v>1</v>
      </c>
      <c r="AJ19" s="5"/>
      <c r="AL19" s="17"/>
      <c r="AM19" s="17"/>
      <c r="AN19" s="17"/>
      <c r="AP19" s="5"/>
      <c r="AQ19" s="5"/>
      <c r="AR19" s="5"/>
      <c r="AT19" s="17"/>
      <c r="AU19" s="17"/>
      <c r="AV19" s="17"/>
      <c r="AX19" s="5"/>
      <c r="AY19" s="5"/>
      <c r="AZ19" s="5"/>
      <c r="BB19" s="17"/>
      <c r="BC19" s="17"/>
      <c r="BD19" s="17"/>
      <c r="BF19" s="5"/>
      <c r="BG19" s="5"/>
      <c r="BH19" s="84"/>
    </row>
    <row r="20" spans="1:60" x14ac:dyDescent="0.25">
      <c r="A20" s="1">
        <v>1018</v>
      </c>
      <c r="B20" s="11" t="b">
        <v>1</v>
      </c>
      <c r="C20" s="11" t="b">
        <v>1</v>
      </c>
      <c r="D20" s="1" t="s">
        <v>362</v>
      </c>
      <c r="E20" s="5">
        <f t="shared" si="0"/>
        <v>1.0651315789473685</v>
      </c>
      <c r="F20" s="24">
        <v>1</v>
      </c>
      <c r="G20" s="21" t="s">
        <v>222</v>
      </c>
      <c r="H20" s="20" t="s">
        <v>108</v>
      </c>
      <c r="I20" s="24">
        <f t="shared" ref="I20:I33" si="4">IF(inp_default="Q(U)",E20,IF(inp_default="PF",1,0))</f>
        <v>0</v>
      </c>
      <c r="J20" s="21">
        <f t="shared" ref="J20:J32" si="5">inp_scr_min</f>
        <v>10</v>
      </c>
      <c r="K20" s="21">
        <f t="shared" ref="K20:K32" si="6">inp_xr_min</f>
        <v>10</v>
      </c>
      <c r="L20" s="22">
        <v>45</v>
      </c>
      <c r="M20" s="86" t="s">
        <v>116</v>
      </c>
      <c r="N20" s="86">
        <v>-1</v>
      </c>
      <c r="O20" s="86">
        <v>1</v>
      </c>
      <c r="P20" s="86"/>
      <c r="Q20" s="23" t="s">
        <v>116</v>
      </c>
      <c r="R20" s="5">
        <v>0</v>
      </c>
      <c r="S20" s="5">
        <v>0.5</v>
      </c>
      <c r="T20" s="5"/>
      <c r="U20" s="17" t="s">
        <v>116</v>
      </c>
      <c r="V20" s="17">
        <v>15</v>
      </c>
      <c r="W20" s="17">
        <v>0.25</v>
      </c>
      <c r="X20" s="17"/>
      <c r="Y20" s="5" t="s">
        <v>116</v>
      </c>
      <c r="Z20" s="5">
        <v>30</v>
      </c>
      <c r="AA20" s="5">
        <v>1</v>
      </c>
      <c r="AB20" s="5"/>
      <c r="AC20" s="17"/>
      <c r="AD20" s="17"/>
      <c r="AE20" s="17"/>
      <c r="AF20" s="17"/>
      <c r="AG20" s="23"/>
      <c r="AH20" s="5"/>
      <c r="AI20" s="5"/>
      <c r="AJ20" s="5"/>
      <c r="AK20" s="17"/>
      <c r="AL20" s="17"/>
      <c r="AM20" s="17"/>
      <c r="AN20" s="17"/>
      <c r="AO20" s="23"/>
      <c r="AP20" s="5"/>
      <c r="AQ20" s="5"/>
      <c r="AR20" s="5"/>
      <c r="AS20" s="17"/>
      <c r="AT20" s="17"/>
      <c r="AU20" s="17"/>
      <c r="AV20" s="17"/>
      <c r="AW20" s="23"/>
      <c r="AX20" s="5"/>
      <c r="AY20" s="5"/>
      <c r="AZ20" s="5"/>
      <c r="BA20" s="17"/>
      <c r="BB20" s="17"/>
      <c r="BC20" s="17"/>
      <c r="BD20" s="17"/>
      <c r="BE20" s="23"/>
      <c r="BF20" s="5"/>
      <c r="BG20" s="5"/>
      <c r="BH20" s="84"/>
    </row>
    <row r="21" spans="1:60" x14ac:dyDescent="0.25">
      <c r="A21" s="1">
        <v>1019</v>
      </c>
      <c r="B21" s="11" t="b">
        <v>1</v>
      </c>
      <c r="C21" s="11" t="b">
        <v>1</v>
      </c>
      <c r="D21" s="1" t="s">
        <v>363</v>
      </c>
      <c r="E21" s="5">
        <f t="shared" si="0"/>
        <v>1.0651315789473685</v>
      </c>
      <c r="F21" s="24">
        <v>1</v>
      </c>
      <c r="G21" s="21" t="s">
        <v>222</v>
      </c>
      <c r="H21" s="20" t="s">
        <v>108</v>
      </c>
      <c r="I21" s="24">
        <f t="shared" si="4"/>
        <v>0</v>
      </c>
      <c r="J21" s="21">
        <f t="shared" si="5"/>
        <v>10</v>
      </c>
      <c r="K21" s="21">
        <f t="shared" si="6"/>
        <v>10</v>
      </c>
      <c r="L21" s="22">
        <v>10</v>
      </c>
      <c r="M21" s="17" t="s">
        <v>117</v>
      </c>
      <c r="N21" s="17">
        <v>0</v>
      </c>
      <c r="O21" s="17">
        <v>20</v>
      </c>
      <c r="P21" s="17"/>
      <c r="Q21" s="23" t="s">
        <v>117</v>
      </c>
      <c r="R21" s="5">
        <v>2.5</v>
      </c>
      <c r="S21" s="5">
        <v>0</v>
      </c>
      <c r="T21" s="5"/>
      <c r="U21" s="17" t="s">
        <v>117</v>
      </c>
      <c r="V21" s="17">
        <v>5</v>
      </c>
      <c r="W21" s="17">
        <v>-20</v>
      </c>
      <c r="X21" s="17"/>
      <c r="Y21" s="5" t="s">
        <v>117</v>
      </c>
      <c r="Z21" s="5">
        <v>7.5</v>
      </c>
      <c r="AA21" s="5">
        <v>0</v>
      </c>
      <c r="AB21" s="5"/>
      <c r="AC21" s="17"/>
      <c r="AD21" s="17"/>
      <c r="AE21" s="17"/>
      <c r="AF21" s="17"/>
      <c r="AG21" s="23"/>
      <c r="AH21" s="5"/>
      <c r="AI21" s="5"/>
      <c r="AJ21" s="5"/>
      <c r="AK21" s="17"/>
      <c r="AL21" s="17"/>
      <c r="AM21" s="17"/>
      <c r="AN21" s="17"/>
      <c r="AO21" s="23"/>
      <c r="AP21" s="5"/>
      <c r="AQ21" s="5"/>
      <c r="AR21" s="5"/>
      <c r="AS21" s="17"/>
      <c r="AT21" s="17"/>
      <c r="AU21" s="17"/>
      <c r="AV21" s="17"/>
      <c r="AW21" s="23"/>
      <c r="AX21" s="5"/>
      <c r="AY21" s="5"/>
      <c r="AZ21" s="5"/>
      <c r="BA21" s="17"/>
      <c r="BB21" s="17"/>
      <c r="BC21" s="17"/>
      <c r="BD21" s="17"/>
      <c r="BE21" s="23"/>
      <c r="BF21" s="5"/>
      <c r="BG21" s="5"/>
      <c r="BH21" s="84"/>
    </row>
    <row r="22" spans="1:60" x14ac:dyDescent="0.25">
      <c r="A22" s="1">
        <v>1020</v>
      </c>
      <c r="B22" s="11" t="b">
        <v>1</v>
      </c>
      <c r="C22" s="11" t="b">
        <v>1</v>
      </c>
      <c r="D22" s="1" t="s">
        <v>364</v>
      </c>
      <c r="E22" s="5">
        <f t="shared" si="0"/>
        <v>1.0651315789473685</v>
      </c>
      <c r="F22" s="24">
        <v>1</v>
      </c>
      <c r="G22" s="21" t="s">
        <v>222</v>
      </c>
      <c r="H22" s="20" t="s">
        <v>108</v>
      </c>
      <c r="I22" s="24">
        <f t="shared" si="4"/>
        <v>0</v>
      </c>
      <c r="J22" s="21">
        <f t="shared" si="5"/>
        <v>10</v>
      </c>
      <c r="K22" s="21">
        <f t="shared" si="6"/>
        <v>10</v>
      </c>
      <c r="L22" s="22">
        <v>5</v>
      </c>
      <c r="M22" s="107" t="s">
        <v>117</v>
      </c>
      <c r="N22" s="107">
        <v>0</v>
      </c>
      <c r="O22" s="107">
        <v>6.5</v>
      </c>
      <c r="P22" s="107"/>
      <c r="Q22" s="5" t="s">
        <v>117</v>
      </c>
      <c r="R22" s="5">
        <v>0.02</v>
      </c>
      <c r="S22" s="5">
        <f>O22+6.75</f>
        <v>13.25</v>
      </c>
      <c r="T22" s="5"/>
      <c r="U22" s="107" t="s">
        <v>117</v>
      </c>
      <c r="V22" s="107">
        <v>0.04</v>
      </c>
      <c r="W22" s="107">
        <f>S22+6.75</f>
        <v>20</v>
      </c>
      <c r="X22" s="107"/>
      <c r="Y22" s="5" t="s">
        <v>117</v>
      </c>
      <c r="Z22" s="5">
        <v>2.5</v>
      </c>
      <c r="AA22" s="5">
        <f>W22-6.5</f>
        <v>13.5</v>
      </c>
      <c r="AB22" s="5"/>
      <c r="AC22" s="107" t="s">
        <v>117</v>
      </c>
      <c r="AD22" s="107">
        <v>2.52</v>
      </c>
      <c r="AE22" s="107">
        <f>AA22-6.75</f>
        <v>6.75</v>
      </c>
      <c r="AF22" s="107"/>
      <c r="AG22" s="5" t="s">
        <v>117</v>
      </c>
      <c r="AH22" s="5">
        <v>2.54</v>
      </c>
      <c r="AI22" s="5">
        <f>AE22-6.75</f>
        <v>0</v>
      </c>
      <c r="AJ22" s="5"/>
      <c r="AK22" s="17"/>
      <c r="AL22" s="17"/>
      <c r="AM22" s="17"/>
      <c r="AN22" s="17"/>
      <c r="AO22" s="23"/>
      <c r="AP22" s="5"/>
      <c r="AQ22" s="5"/>
      <c r="AR22" s="5"/>
      <c r="AS22" s="17"/>
      <c r="AT22" s="17"/>
      <c r="AU22" s="17"/>
      <c r="AV22" s="17"/>
      <c r="AW22" s="23"/>
      <c r="AX22" s="5"/>
      <c r="AY22" s="5"/>
      <c r="AZ22" s="5"/>
      <c r="BA22" s="17"/>
      <c r="BB22" s="17"/>
      <c r="BC22" s="17"/>
      <c r="BD22" s="17"/>
      <c r="BE22" s="23"/>
      <c r="BF22" s="5"/>
      <c r="BG22" s="5"/>
      <c r="BH22" s="84"/>
    </row>
    <row r="23" spans="1:60" x14ac:dyDescent="0.25">
      <c r="A23" s="1">
        <v>1021</v>
      </c>
      <c r="B23" s="11" t="b">
        <v>1</v>
      </c>
      <c r="C23" s="11" t="b">
        <v>1</v>
      </c>
      <c r="D23" s="1" t="s">
        <v>365</v>
      </c>
      <c r="E23" s="5">
        <f t="shared" si="0"/>
        <v>1.0651315789473685</v>
      </c>
      <c r="F23" s="24">
        <v>1</v>
      </c>
      <c r="G23" s="21" t="s">
        <v>222</v>
      </c>
      <c r="H23" s="20" t="s">
        <v>108</v>
      </c>
      <c r="I23" s="24">
        <f t="shared" si="4"/>
        <v>0</v>
      </c>
      <c r="J23" s="21">
        <f t="shared" si="5"/>
        <v>10</v>
      </c>
      <c r="K23" s="21">
        <f t="shared" si="6"/>
        <v>10</v>
      </c>
      <c r="L23" s="22">
        <v>10</v>
      </c>
      <c r="M23" s="17" t="s">
        <v>110</v>
      </c>
      <c r="N23" s="17">
        <v>0</v>
      </c>
      <c r="O23" s="17">
        <v>50</v>
      </c>
      <c r="P23" s="17">
        <v>2</v>
      </c>
      <c r="Q23" s="23" t="s">
        <v>110</v>
      </c>
      <c r="R23" s="5">
        <v>0.5</v>
      </c>
      <c r="S23" s="5"/>
      <c r="T23" s="5">
        <v>-2</v>
      </c>
      <c r="U23" s="17" t="s">
        <v>110</v>
      </c>
      <c r="V23" s="17">
        <v>1</v>
      </c>
      <c r="W23" s="17"/>
      <c r="X23" s="17">
        <v>0</v>
      </c>
      <c r="Y23" s="5" t="s">
        <v>110</v>
      </c>
      <c r="Z23" s="5">
        <v>2</v>
      </c>
      <c r="AA23" s="5">
        <v>50</v>
      </c>
      <c r="AB23" s="5">
        <v>-0.5</v>
      </c>
      <c r="AC23" s="17" t="s">
        <v>110</v>
      </c>
      <c r="AD23" s="17">
        <v>4</v>
      </c>
      <c r="AE23" s="17"/>
      <c r="AF23" s="17">
        <v>0.5</v>
      </c>
      <c r="AG23" s="23" t="s">
        <v>110</v>
      </c>
      <c r="AH23" s="5">
        <v>6</v>
      </c>
      <c r="AI23" s="5"/>
      <c r="AJ23" s="5">
        <v>0</v>
      </c>
      <c r="AK23" s="17"/>
      <c r="AL23" s="17"/>
      <c r="AM23" s="17"/>
      <c r="AN23" s="17"/>
      <c r="AO23" s="23"/>
      <c r="AP23" s="5"/>
      <c r="AQ23" s="5"/>
      <c r="AR23" s="5"/>
      <c r="AS23" s="17"/>
      <c r="AT23" s="17"/>
      <c r="AU23" s="17"/>
      <c r="AV23" s="17"/>
      <c r="AW23" s="23"/>
      <c r="AX23" s="5"/>
      <c r="AY23" s="5"/>
      <c r="AZ23" s="5"/>
      <c r="BA23" s="17"/>
      <c r="BB23" s="17"/>
      <c r="BC23" s="17"/>
      <c r="BD23" s="17"/>
      <c r="BE23" s="23"/>
      <c r="BF23" s="5"/>
      <c r="BG23" s="5"/>
      <c r="BH23" s="84"/>
    </row>
    <row r="24" spans="1:60" x14ac:dyDescent="0.25">
      <c r="A24" s="1">
        <v>1022</v>
      </c>
      <c r="B24" s="11" t="b">
        <v>1</v>
      </c>
      <c r="C24" s="11" t="b">
        <v>1</v>
      </c>
      <c r="D24" s="1" t="s">
        <v>366</v>
      </c>
      <c r="E24" s="5">
        <f t="shared" si="0"/>
        <v>1.0651315789473685</v>
      </c>
      <c r="F24" s="24">
        <v>1</v>
      </c>
      <c r="G24" s="21" t="s">
        <v>222</v>
      </c>
      <c r="H24" s="20" t="s">
        <v>108</v>
      </c>
      <c r="I24" s="24">
        <f t="shared" si="4"/>
        <v>0</v>
      </c>
      <c r="J24" s="21">
        <f t="shared" si="5"/>
        <v>10</v>
      </c>
      <c r="K24" s="21">
        <f t="shared" si="6"/>
        <v>10</v>
      </c>
      <c r="L24" s="22">
        <v>5</v>
      </c>
      <c r="M24" s="17" t="s">
        <v>110</v>
      </c>
      <c r="N24" s="17">
        <v>0</v>
      </c>
      <c r="O24" s="17">
        <v>50</v>
      </c>
      <c r="P24" s="17">
        <v>-4</v>
      </c>
      <c r="Q24" s="23" t="s">
        <v>110</v>
      </c>
      <c r="R24" s="5">
        <v>0.08</v>
      </c>
      <c r="S24" s="5"/>
      <c r="T24" s="5">
        <v>0</v>
      </c>
      <c r="U24" s="17" t="s">
        <v>110</v>
      </c>
      <c r="V24" s="17">
        <v>0.1</v>
      </c>
      <c r="W24" s="17"/>
      <c r="X24" s="17">
        <v>4</v>
      </c>
      <c r="Y24" s="5" t="s">
        <v>110</v>
      </c>
      <c r="Z24" s="5">
        <v>0.2</v>
      </c>
      <c r="AA24" s="5">
        <v>50</v>
      </c>
      <c r="AB24" s="5">
        <v>0</v>
      </c>
      <c r="AC24" s="17" t="s">
        <v>110</v>
      </c>
      <c r="AD24" s="17">
        <v>0.22</v>
      </c>
      <c r="AE24" s="17"/>
      <c r="AF24" s="17">
        <v>4</v>
      </c>
      <c r="AG24" s="23" t="s">
        <v>110</v>
      </c>
      <c r="AH24" s="5">
        <v>0.3</v>
      </c>
      <c r="AI24" s="5"/>
      <c r="AJ24" s="5">
        <v>0</v>
      </c>
      <c r="AK24" s="17" t="s">
        <v>110</v>
      </c>
      <c r="AL24" s="17">
        <v>0.32</v>
      </c>
      <c r="AM24" s="17"/>
      <c r="AN24" s="17">
        <v>-4</v>
      </c>
      <c r="AO24" s="23" t="s">
        <v>110</v>
      </c>
      <c r="AP24" s="5">
        <v>0.42</v>
      </c>
      <c r="AQ24" s="5"/>
      <c r="AR24" s="5">
        <v>0</v>
      </c>
      <c r="AS24" s="17" t="s">
        <v>110</v>
      </c>
      <c r="AT24" s="17">
        <v>1</v>
      </c>
      <c r="AU24" s="17"/>
      <c r="AV24" s="17">
        <v>-20</v>
      </c>
      <c r="AW24" s="23" t="s">
        <v>110</v>
      </c>
      <c r="AX24" s="5">
        <v>1.02</v>
      </c>
      <c r="AY24" s="5"/>
      <c r="AZ24" s="5">
        <v>0</v>
      </c>
      <c r="BA24" s="17" t="s">
        <v>110</v>
      </c>
      <c r="BB24" s="17">
        <v>1.04</v>
      </c>
      <c r="BC24" s="17"/>
      <c r="BD24" s="17">
        <v>20</v>
      </c>
      <c r="BE24" s="23" t="s">
        <v>110</v>
      </c>
      <c r="BF24" s="5">
        <v>1.06</v>
      </c>
      <c r="BG24" s="5"/>
      <c r="BH24" s="84">
        <v>0</v>
      </c>
    </row>
    <row r="25" spans="1:60" x14ac:dyDescent="0.25">
      <c r="A25" s="1">
        <v>1023</v>
      </c>
      <c r="B25" s="11" t="b">
        <v>1</v>
      </c>
      <c r="C25" s="11" t="b">
        <v>1</v>
      </c>
      <c r="D25" s="1" t="s">
        <v>367</v>
      </c>
      <c r="E25" s="5">
        <f t="shared" si="0"/>
        <v>1.0651315789473685</v>
      </c>
      <c r="F25" s="24">
        <v>1</v>
      </c>
      <c r="G25" s="21" t="s">
        <v>222</v>
      </c>
      <c r="H25" s="20" t="s">
        <v>108</v>
      </c>
      <c r="I25" s="24">
        <f t="shared" si="4"/>
        <v>0</v>
      </c>
      <c r="J25" s="21">
        <f t="shared" si="5"/>
        <v>10</v>
      </c>
      <c r="K25" s="21">
        <f t="shared" si="6"/>
        <v>10</v>
      </c>
      <c r="L25" s="22">
        <v>10</v>
      </c>
      <c r="M25" s="91" t="s">
        <v>110</v>
      </c>
      <c r="N25" s="91">
        <v>0</v>
      </c>
      <c r="O25" s="91"/>
      <c r="P25" s="91">
        <v>4</v>
      </c>
      <c r="Q25" s="23" t="s">
        <v>110</v>
      </c>
      <c r="R25" s="5">
        <v>0.05</v>
      </c>
      <c r="S25" s="5"/>
      <c r="T25" s="5">
        <v>2</v>
      </c>
      <c r="U25" s="91" t="s">
        <v>110</v>
      </c>
      <c r="V25" s="91">
        <v>0.15</v>
      </c>
      <c r="W25" s="91"/>
      <c r="X25" s="91">
        <v>1</v>
      </c>
      <c r="Y25" s="5" t="s">
        <v>110</v>
      </c>
      <c r="Z25" s="5">
        <v>0.9</v>
      </c>
      <c r="AA25" s="5"/>
      <c r="AB25" s="5">
        <v>0.35</v>
      </c>
      <c r="AC25" s="91" t="s">
        <v>110</v>
      </c>
      <c r="AD25" s="91">
        <v>1.9</v>
      </c>
      <c r="AE25" s="91"/>
      <c r="AF25" s="91">
        <v>0</v>
      </c>
      <c r="AG25" s="23" t="s">
        <v>110</v>
      </c>
      <c r="AH25" s="5">
        <v>3.9</v>
      </c>
      <c r="AI25" s="5"/>
      <c r="AJ25" s="5">
        <v>-1</v>
      </c>
      <c r="AK25" s="91" t="s">
        <v>110</v>
      </c>
      <c r="AL25" s="91">
        <v>4.9000000000000004</v>
      </c>
      <c r="AM25" s="91"/>
      <c r="AN25" s="91">
        <v>0</v>
      </c>
      <c r="AO25" s="23"/>
      <c r="AP25" s="5"/>
      <c r="AQ25" s="5"/>
      <c r="AR25" s="5"/>
      <c r="AS25" s="91"/>
      <c r="AT25" s="91"/>
      <c r="AU25" s="91"/>
      <c r="AV25" s="91"/>
      <c r="AW25" s="23"/>
      <c r="AX25" s="5"/>
      <c r="AY25" s="5"/>
      <c r="AZ25" s="5"/>
      <c r="BA25" s="91"/>
      <c r="BB25" s="91"/>
      <c r="BC25" s="91"/>
      <c r="BD25" s="91"/>
      <c r="BE25" s="23"/>
      <c r="BF25" s="5"/>
      <c r="BG25" s="5"/>
      <c r="BH25" s="84"/>
    </row>
    <row r="26" spans="1:60" x14ac:dyDescent="0.25">
      <c r="A26" s="1">
        <v>1024</v>
      </c>
      <c r="B26" s="11" t="b">
        <v>1</v>
      </c>
      <c r="C26" s="11" t="b">
        <v>1</v>
      </c>
      <c r="D26" s="1" t="s">
        <v>368</v>
      </c>
      <c r="E26" s="5">
        <f t="shared" si="0"/>
        <v>1.0651315789473685</v>
      </c>
      <c r="F26" s="24">
        <v>1</v>
      </c>
      <c r="G26" s="21" t="s">
        <v>222</v>
      </c>
      <c r="H26" s="20" t="s">
        <v>108</v>
      </c>
      <c r="I26" s="24">
        <f t="shared" si="4"/>
        <v>0</v>
      </c>
      <c r="J26" s="21">
        <f t="shared" si="5"/>
        <v>10</v>
      </c>
      <c r="K26" s="21">
        <f t="shared" si="6"/>
        <v>10</v>
      </c>
      <c r="L26" s="22">
        <v>10</v>
      </c>
      <c r="M26" s="17" t="s">
        <v>110</v>
      </c>
      <c r="N26" s="17">
        <v>0</v>
      </c>
      <c r="O26" s="17"/>
      <c r="P26" s="17">
        <v>-4</v>
      </c>
      <c r="Q26" s="5" t="s">
        <v>110</v>
      </c>
      <c r="R26" s="5">
        <v>0.05</v>
      </c>
      <c r="S26" s="5"/>
      <c r="T26" s="5">
        <v>-2</v>
      </c>
      <c r="U26" s="17" t="s">
        <v>110</v>
      </c>
      <c r="V26" s="17">
        <v>0.15</v>
      </c>
      <c r="W26" s="17"/>
      <c r="X26" s="17">
        <v>-1</v>
      </c>
      <c r="Y26" s="5" t="s">
        <v>110</v>
      </c>
      <c r="Z26" s="5">
        <v>0.9</v>
      </c>
      <c r="AA26" s="5"/>
      <c r="AB26" s="5">
        <v>-0.35</v>
      </c>
      <c r="AC26" s="17" t="s">
        <v>110</v>
      </c>
      <c r="AD26" s="17">
        <v>1.9</v>
      </c>
      <c r="AE26" s="17"/>
      <c r="AF26" s="17">
        <v>0</v>
      </c>
      <c r="AG26" s="5" t="s">
        <v>110</v>
      </c>
      <c r="AH26" s="5">
        <v>3.9</v>
      </c>
      <c r="AI26" s="5"/>
      <c r="AJ26" s="5">
        <v>1</v>
      </c>
      <c r="AK26" s="17" t="s">
        <v>110</v>
      </c>
      <c r="AL26" s="17">
        <v>4.9000000000000004</v>
      </c>
      <c r="AM26" s="17"/>
      <c r="AN26" s="17">
        <v>0</v>
      </c>
      <c r="AO26" s="5"/>
      <c r="AP26" s="5"/>
      <c r="AQ26" s="5"/>
      <c r="AR26" s="5"/>
      <c r="AS26" s="17"/>
      <c r="AT26" s="17"/>
      <c r="AU26" s="17"/>
      <c r="AV26" s="17"/>
      <c r="AW26" s="5"/>
      <c r="AX26" s="5"/>
      <c r="AY26" s="5"/>
      <c r="AZ26" s="5"/>
      <c r="BA26" s="17"/>
      <c r="BB26" s="17"/>
      <c r="BC26" s="17"/>
      <c r="BD26" s="17"/>
      <c r="BE26" s="5"/>
      <c r="BF26" s="5"/>
      <c r="BG26" s="5"/>
      <c r="BH26" s="84"/>
    </row>
    <row r="27" spans="1:60" x14ac:dyDescent="0.25">
      <c r="A27" s="1">
        <v>1025</v>
      </c>
      <c r="B27" s="11" t="b">
        <v>1</v>
      </c>
      <c r="C27" s="11" t="b">
        <v>1</v>
      </c>
      <c r="D27" s="1" t="s">
        <v>369</v>
      </c>
      <c r="E27" s="5">
        <f t="shared" si="0"/>
        <v>1.0651315789473685</v>
      </c>
      <c r="F27" s="24">
        <v>0.7</v>
      </c>
      <c r="G27" s="21" t="s">
        <v>222</v>
      </c>
      <c r="H27" s="20" t="s">
        <v>108</v>
      </c>
      <c r="I27" s="24">
        <f t="shared" si="4"/>
        <v>0</v>
      </c>
      <c r="J27" s="21">
        <f t="shared" si="5"/>
        <v>10</v>
      </c>
      <c r="K27" s="21">
        <f t="shared" si="6"/>
        <v>10</v>
      </c>
      <c r="L27" s="22">
        <v>100</v>
      </c>
      <c r="M27" s="17" t="s">
        <v>110</v>
      </c>
      <c r="N27" s="17">
        <v>0</v>
      </c>
      <c r="O27" s="17">
        <v>51.5</v>
      </c>
      <c r="P27" s="17"/>
      <c r="Q27" s="23" t="s">
        <v>110</v>
      </c>
      <c r="R27" s="5">
        <v>20</v>
      </c>
      <c r="S27" s="5">
        <v>50</v>
      </c>
      <c r="T27" s="5"/>
      <c r="U27" s="17" t="s">
        <v>110</v>
      </c>
      <c r="V27" s="17">
        <v>40</v>
      </c>
      <c r="W27" s="17">
        <v>48.5</v>
      </c>
      <c r="X27" s="17"/>
      <c r="Y27" s="5" t="s">
        <v>110</v>
      </c>
      <c r="Z27" s="21">
        <v>60</v>
      </c>
      <c r="AA27" s="5">
        <v>47.5</v>
      </c>
      <c r="AB27" s="5"/>
      <c r="AC27" s="17" t="s">
        <v>110</v>
      </c>
      <c r="AD27" s="17">
        <v>80</v>
      </c>
      <c r="AE27" s="17">
        <v>50</v>
      </c>
      <c r="AF27" s="17"/>
      <c r="AH27" s="5"/>
      <c r="AI27" s="5"/>
      <c r="AJ27" s="5"/>
      <c r="AK27" s="86"/>
      <c r="AL27" s="86"/>
      <c r="AM27" s="86"/>
      <c r="AN27" s="86"/>
      <c r="AO27" s="5"/>
      <c r="AP27" s="5"/>
      <c r="AQ27" s="5"/>
      <c r="AR27" s="5"/>
      <c r="AS27" s="86"/>
      <c r="AT27" s="86"/>
      <c r="AU27" s="86"/>
      <c r="AV27" s="86"/>
      <c r="AW27" s="5"/>
      <c r="AX27" s="5"/>
      <c r="AY27" s="5"/>
      <c r="AZ27" s="5"/>
      <c r="BA27" s="86"/>
      <c r="BB27" s="86"/>
      <c r="BC27" s="86"/>
      <c r="BD27" s="86"/>
      <c r="BE27" s="5"/>
      <c r="BF27" s="5"/>
      <c r="BG27" s="5"/>
      <c r="BH27" s="84"/>
    </row>
    <row r="28" spans="1:60" x14ac:dyDescent="0.25">
      <c r="A28" s="1">
        <v>1026</v>
      </c>
      <c r="B28" s="11" t="b">
        <v>1</v>
      </c>
      <c r="C28" s="11" t="b">
        <v>1</v>
      </c>
      <c r="D28" s="1" t="s">
        <v>370</v>
      </c>
      <c r="E28" s="5">
        <f t="shared" si="0"/>
        <v>1.0651315789473685</v>
      </c>
      <c r="F28" s="24">
        <v>1</v>
      </c>
      <c r="G28" s="21" t="s">
        <v>222</v>
      </c>
      <c r="H28" s="20" t="s">
        <v>108</v>
      </c>
      <c r="I28" s="24">
        <f t="shared" si="4"/>
        <v>0</v>
      </c>
      <c r="J28" s="21">
        <f t="shared" si="5"/>
        <v>10</v>
      </c>
      <c r="K28" s="21">
        <f t="shared" si="6"/>
        <v>10</v>
      </c>
      <c r="L28" s="22">
        <f>Z28+10</f>
        <v>21.499999999999986</v>
      </c>
      <c r="M28" s="17" t="s">
        <v>110</v>
      </c>
      <c r="N28" s="17">
        <v>0</v>
      </c>
      <c r="O28" s="17"/>
      <c r="P28" s="17">
        <v>0.5</v>
      </c>
      <c r="Q28" s="23" t="s">
        <v>110</v>
      </c>
      <c r="R28" s="5">
        <v>3</v>
      </c>
      <c r="S28" s="5">
        <v>51.5</v>
      </c>
      <c r="T28" s="5">
        <v>0</v>
      </c>
      <c r="U28" s="17" t="s">
        <v>110</v>
      </c>
      <c r="V28" s="17">
        <v>5</v>
      </c>
      <c r="W28" s="17"/>
      <c r="X28" s="17">
        <v>-0.2</v>
      </c>
      <c r="Y28" s="5" t="s">
        <v>110</v>
      </c>
      <c r="Z28" s="21">
        <f>V28+(AA28-51.5)/X28</f>
        <v>11.499999999999986</v>
      </c>
      <c r="AA28" s="5">
        <f>sel_lfsmo_start</f>
        <v>50.2</v>
      </c>
      <c r="AB28" s="5">
        <v>0</v>
      </c>
      <c r="AC28" s="90"/>
      <c r="AD28" s="86"/>
      <c r="AE28" s="86"/>
      <c r="AF28" s="86"/>
      <c r="AH28" s="5"/>
      <c r="AI28" s="5"/>
      <c r="AJ28" s="5"/>
      <c r="AK28" s="90"/>
      <c r="AL28" s="86"/>
      <c r="AM28" s="86"/>
      <c r="AN28" s="86"/>
      <c r="AP28" s="5"/>
      <c r="AQ28" s="5"/>
      <c r="AR28" s="5"/>
      <c r="AS28" s="90"/>
      <c r="AT28" s="86"/>
      <c r="AU28" s="86"/>
      <c r="AV28" s="86"/>
      <c r="AX28" s="5"/>
      <c r="AY28" s="5"/>
      <c r="AZ28" s="5"/>
      <c r="BA28" s="90"/>
      <c r="BB28" s="86"/>
      <c r="BC28" s="86"/>
      <c r="BD28" s="86"/>
      <c r="BF28" s="5"/>
      <c r="BG28" s="5"/>
      <c r="BH28" s="84"/>
    </row>
    <row r="29" spans="1:60" x14ac:dyDescent="0.25">
      <c r="A29" s="1">
        <v>1027</v>
      </c>
      <c r="B29" s="11" t="b">
        <v>1</v>
      </c>
      <c r="C29" s="11" t="b">
        <v>1</v>
      </c>
      <c r="D29" s="1" t="s">
        <v>371</v>
      </c>
      <c r="E29" s="5">
        <f t="shared" si="0"/>
        <v>1.0651315789473685</v>
      </c>
      <c r="F29" s="24">
        <v>1</v>
      </c>
      <c r="G29" s="21" t="s">
        <v>222</v>
      </c>
      <c r="H29" s="20" t="s">
        <v>108</v>
      </c>
      <c r="I29" s="24">
        <f t="shared" si="4"/>
        <v>0</v>
      </c>
      <c r="J29" s="21">
        <f t="shared" si="5"/>
        <v>10</v>
      </c>
      <c r="K29" s="21">
        <f t="shared" si="6"/>
        <v>10</v>
      </c>
      <c r="L29" s="22">
        <f>Z29+10</f>
        <v>21.499999999999986</v>
      </c>
      <c r="M29" s="17" t="s">
        <v>110</v>
      </c>
      <c r="N29" s="17">
        <v>0</v>
      </c>
      <c r="O29" s="17"/>
      <c r="P29" s="17">
        <v>-0.5</v>
      </c>
      <c r="Q29" s="23" t="s">
        <v>110</v>
      </c>
      <c r="R29" s="5">
        <v>3</v>
      </c>
      <c r="S29" s="5">
        <v>48.5</v>
      </c>
      <c r="T29" s="5">
        <v>0</v>
      </c>
      <c r="U29" s="17" t="s">
        <v>110</v>
      </c>
      <c r="V29" s="17">
        <v>5</v>
      </c>
      <c r="W29" s="17"/>
      <c r="X29" s="17">
        <v>0.2</v>
      </c>
      <c r="Y29" s="5" t="s">
        <v>110</v>
      </c>
      <c r="Z29" s="21">
        <f>V29+(AA29-48.5)/X29</f>
        <v>11.499999999999986</v>
      </c>
      <c r="AA29" s="5">
        <f>sel_lfsmu_start</f>
        <v>49.8</v>
      </c>
      <c r="AB29" s="5">
        <v>0</v>
      </c>
      <c r="AD29" s="17"/>
      <c r="AE29" s="17"/>
      <c r="AF29" s="17"/>
      <c r="AH29" s="5"/>
      <c r="AI29" s="5"/>
      <c r="AJ29" s="5"/>
      <c r="AL29" s="17"/>
      <c r="AM29" s="17"/>
      <c r="AN29" s="17"/>
      <c r="AP29" s="5"/>
      <c r="AQ29" s="5"/>
      <c r="AR29" s="5"/>
      <c r="AT29" s="17"/>
      <c r="AU29" s="17"/>
      <c r="AV29" s="17"/>
      <c r="AX29" s="5"/>
      <c r="AY29" s="5"/>
      <c r="AZ29" s="5"/>
      <c r="BB29" s="17"/>
      <c r="BC29" s="17"/>
      <c r="BD29" s="17"/>
      <c r="BF29" s="5"/>
      <c r="BG29" s="5"/>
      <c r="BH29" s="84"/>
    </row>
    <row r="30" spans="1:60" x14ac:dyDescent="0.25">
      <c r="A30" s="1">
        <v>1028</v>
      </c>
      <c r="B30" s="11" t="b">
        <v>1</v>
      </c>
      <c r="C30" s="11" t="b">
        <v>1</v>
      </c>
      <c r="D30" s="1" t="s">
        <v>372</v>
      </c>
      <c r="E30" s="5">
        <f t="shared" si="0"/>
        <v>1.0651315789473685</v>
      </c>
      <c r="F30" s="24">
        <v>1</v>
      </c>
      <c r="G30" s="21" t="s">
        <v>222</v>
      </c>
      <c r="H30" s="20" t="s">
        <v>108</v>
      </c>
      <c r="I30" s="24">
        <f t="shared" si="4"/>
        <v>0</v>
      </c>
      <c r="J30" s="21">
        <f t="shared" si="5"/>
        <v>10</v>
      </c>
      <c r="K30" s="21">
        <f t="shared" si="6"/>
        <v>10</v>
      </c>
      <c r="L30" s="22">
        <v>60</v>
      </c>
      <c r="M30" s="18" t="s">
        <v>110</v>
      </c>
      <c r="N30" s="17">
        <v>0</v>
      </c>
      <c r="O30" s="17">
        <v>48.9</v>
      </c>
      <c r="P30" s="17"/>
      <c r="Q30" s="1" t="s">
        <v>110</v>
      </c>
      <c r="R30" s="5">
        <v>10</v>
      </c>
      <c r="S30" s="5">
        <v>48.8</v>
      </c>
      <c r="T30" s="5"/>
      <c r="U30" s="18" t="s">
        <v>110</v>
      </c>
      <c r="V30" s="17">
        <v>20</v>
      </c>
      <c r="W30" s="17">
        <v>48.6</v>
      </c>
      <c r="X30" s="17"/>
      <c r="Y30" s="1" t="s">
        <v>110</v>
      </c>
      <c r="Z30" s="5">
        <v>30</v>
      </c>
      <c r="AA30" s="5">
        <v>48.4</v>
      </c>
      <c r="AB30" s="5"/>
      <c r="AC30" s="18" t="s">
        <v>110</v>
      </c>
      <c r="AD30" s="17">
        <v>40</v>
      </c>
      <c r="AE30" s="17">
        <v>48.2</v>
      </c>
      <c r="AF30" s="17"/>
      <c r="AG30" s="5" t="s">
        <v>110</v>
      </c>
      <c r="AH30" s="5">
        <v>50</v>
      </c>
      <c r="AI30" s="5">
        <v>50</v>
      </c>
      <c r="AJ30" s="5"/>
      <c r="AL30" s="17"/>
      <c r="AM30" s="17"/>
      <c r="AN30" s="17"/>
      <c r="AP30" s="5"/>
      <c r="AQ30" s="5"/>
      <c r="AR30" s="5"/>
      <c r="AT30" s="17"/>
      <c r="AU30" s="17"/>
      <c r="AV30" s="17"/>
      <c r="AX30" s="5"/>
      <c r="AY30" s="5"/>
      <c r="AZ30" s="5"/>
      <c r="BB30" s="17"/>
      <c r="BC30" s="17"/>
      <c r="BD30" s="17"/>
      <c r="BF30" s="5"/>
      <c r="BG30" s="5"/>
      <c r="BH30" s="84"/>
    </row>
    <row r="31" spans="1:60" x14ac:dyDescent="0.25">
      <c r="A31" s="1">
        <v>1029</v>
      </c>
      <c r="B31" s="11" t="b">
        <v>1</v>
      </c>
      <c r="C31" s="11" t="b">
        <v>1</v>
      </c>
      <c r="D31" s="1" t="s">
        <v>373</v>
      </c>
      <c r="E31" s="5">
        <f t="shared" si="0"/>
        <v>1.0651315789473685</v>
      </c>
      <c r="F31" s="24">
        <v>1</v>
      </c>
      <c r="G31" s="21" t="s">
        <v>222</v>
      </c>
      <c r="H31" s="20" t="s">
        <v>108</v>
      </c>
      <c r="I31" s="24">
        <f t="shared" si="4"/>
        <v>0</v>
      </c>
      <c r="J31" s="21">
        <f t="shared" si="5"/>
        <v>10</v>
      </c>
      <c r="K31" s="21">
        <f t="shared" si="6"/>
        <v>10</v>
      </c>
      <c r="L31" s="22">
        <v>60</v>
      </c>
      <c r="M31" s="18" t="s">
        <v>110</v>
      </c>
      <c r="N31" s="17">
        <v>0</v>
      </c>
      <c r="O31" s="17">
        <v>50.5</v>
      </c>
      <c r="P31" s="17"/>
      <c r="Q31" s="1" t="s">
        <v>110</v>
      </c>
      <c r="R31" s="5">
        <v>10</v>
      </c>
      <c r="S31" s="5">
        <v>51</v>
      </c>
      <c r="T31" s="5"/>
      <c r="U31" s="18" t="s">
        <v>110</v>
      </c>
      <c r="V31" s="17">
        <v>20</v>
      </c>
      <c r="W31" s="17">
        <v>51.5</v>
      </c>
      <c r="X31" s="17"/>
      <c r="Y31" s="1" t="s">
        <v>110</v>
      </c>
      <c r="Z31" s="5">
        <v>30</v>
      </c>
      <c r="AA31" s="5">
        <v>52</v>
      </c>
      <c r="AB31" s="5"/>
      <c r="AC31" s="18" t="s">
        <v>110</v>
      </c>
      <c r="AD31" s="17">
        <v>40</v>
      </c>
      <c r="AE31" s="17">
        <v>53</v>
      </c>
      <c r="AF31" s="17"/>
      <c r="AG31" s="1" t="s">
        <v>110</v>
      </c>
      <c r="AH31" s="5">
        <v>50</v>
      </c>
      <c r="AI31" s="5">
        <v>50</v>
      </c>
      <c r="AJ31" s="5"/>
      <c r="AL31" s="17"/>
      <c r="AM31" s="17"/>
      <c r="AN31" s="17"/>
      <c r="AP31" s="5"/>
      <c r="AQ31" s="5"/>
      <c r="AR31" s="5"/>
      <c r="AT31" s="17"/>
      <c r="AU31" s="17"/>
      <c r="AV31" s="17"/>
      <c r="AX31" s="5"/>
      <c r="AY31" s="5"/>
      <c r="AZ31" s="5"/>
      <c r="BB31" s="17"/>
      <c r="BC31" s="17"/>
      <c r="BD31" s="17"/>
      <c r="BF31" s="5"/>
      <c r="BG31" s="5"/>
      <c r="BH31" s="84"/>
    </row>
    <row r="32" spans="1:60" x14ac:dyDescent="0.25">
      <c r="A32" s="1">
        <v>1030</v>
      </c>
      <c r="B32" s="11" t="b">
        <v>1</v>
      </c>
      <c r="C32" s="11" t="b">
        <v>1</v>
      </c>
      <c r="D32" s="1" t="s">
        <v>374</v>
      </c>
      <c r="E32" s="5">
        <f t="shared" si="0"/>
        <v>1.0651315789473685</v>
      </c>
      <c r="F32" s="24">
        <v>1</v>
      </c>
      <c r="G32" s="21" t="s">
        <v>222</v>
      </c>
      <c r="H32" s="20" t="s">
        <v>108</v>
      </c>
      <c r="I32" s="24">
        <f t="shared" si="4"/>
        <v>0</v>
      </c>
      <c r="J32" s="21">
        <f t="shared" si="5"/>
        <v>10</v>
      </c>
      <c r="K32" s="21">
        <f t="shared" si="6"/>
        <v>10</v>
      </c>
      <c r="L32" s="22">
        <v>70</v>
      </c>
      <c r="M32" s="18" t="s">
        <v>110</v>
      </c>
      <c r="N32" s="17">
        <v>0</v>
      </c>
      <c r="O32" s="17">
        <v>49.5</v>
      </c>
      <c r="P32" s="17"/>
      <c r="Q32" s="1" t="s">
        <v>110</v>
      </c>
      <c r="R32" s="5">
        <v>10</v>
      </c>
      <c r="S32" s="5">
        <v>49</v>
      </c>
      <c r="T32" s="5"/>
      <c r="U32" s="18" t="s">
        <v>110</v>
      </c>
      <c r="V32" s="17">
        <v>20</v>
      </c>
      <c r="W32" s="17">
        <v>48</v>
      </c>
      <c r="X32" s="17"/>
      <c r="Y32" s="1" t="s">
        <v>110</v>
      </c>
      <c r="Z32" s="5">
        <v>30</v>
      </c>
      <c r="AA32" s="5">
        <v>47.5</v>
      </c>
      <c r="AB32" s="5"/>
      <c r="AC32" s="18" t="s">
        <v>110</v>
      </c>
      <c r="AD32" s="17">
        <v>40</v>
      </c>
      <c r="AE32" s="17">
        <v>47</v>
      </c>
      <c r="AF32" s="17"/>
      <c r="AG32" s="1" t="s">
        <v>110</v>
      </c>
      <c r="AH32" s="5">
        <v>50</v>
      </c>
      <c r="AI32" s="5">
        <v>46.5</v>
      </c>
      <c r="AJ32" s="5"/>
      <c r="AK32" s="18" t="s">
        <v>110</v>
      </c>
      <c r="AL32" s="17">
        <v>60</v>
      </c>
      <c r="AM32" s="17">
        <v>50</v>
      </c>
      <c r="AN32" s="17"/>
      <c r="AP32" s="5"/>
      <c r="AQ32" s="5"/>
      <c r="AR32" s="5"/>
      <c r="AT32" s="17"/>
      <c r="AU32" s="17"/>
      <c r="AV32" s="17"/>
      <c r="AX32" s="5"/>
      <c r="AY32" s="5"/>
      <c r="AZ32" s="5"/>
      <c r="BB32" s="17"/>
      <c r="BC32" s="17"/>
      <c r="BD32" s="17"/>
      <c r="BF32" s="5"/>
      <c r="BG32" s="5"/>
      <c r="BH32" s="84"/>
    </row>
    <row r="33" spans="1:60" x14ac:dyDescent="0.25">
      <c r="A33" s="1">
        <v>1031</v>
      </c>
      <c r="B33" s="11" t="b">
        <v>1</v>
      </c>
      <c r="C33" s="11" t="b">
        <v>1</v>
      </c>
      <c r="D33" s="1" t="s">
        <v>375</v>
      </c>
      <c r="E33" s="5">
        <f>inp_Uc/inp_Un</f>
        <v>1.0651315789473685</v>
      </c>
      <c r="F33" s="24">
        <v>1</v>
      </c>
      <c r="G33" s="21" t="s">
        <v>222</v>
      </c>
      <c r="H33" s="20" t="s">
        <v>108</v>
      </c>
      <c r="I33" s="24">
        <f t="shared" si="4"/>
        <v>0</v>
      </c>
      <c r="J33" s="21">
        <v>-1</v>
      </c>
      <c r="K33" s="21">
        <v>0</v>
      </c>
      <c r="L33" s="22">
        <v>50</v>
      </c>
      <c r="M33" s="17" t="s">
        <v>111</v>
      </c>
      <c r="N33" s="17">
        <v>0</v>
      </c>
      <c r="O33" s="17">
        <f>sel_uq_q0.33ue_umax</f>
        <v>1.1180000000000001</v>
      </c>
      <c r="P33" s="17"/>
      <c r="Q33" s="23"/>
      <c r="R33" s="5"/>
      <c r="S33" s="5"/>
      <c r="T33" s="5"/>
      <c r="U33" s="86"/>
      <c r="V33" s="86"/>
      <c r="W33" s="86"/>
      <c r="X33" s="86"/>
      <c r="Y33" s="5"/>
      <c r="Z33" s="5"/>
      <c r="AA33" s="5"/>
      <c r="AB33" s="5"/>
      <c r="AC33" s="86"/>
      <c r="AD33" s="86"/>
      <c r="AE33" s="86"/>
      <c r="AF33" s="86"/>
      <c r="AH33" s="5"/>
      <c r="AI33" s="5"/>
      <c r="AJ33" s="5"/>
      <c r="AL33" s="17"/>
      <c r="AM33" s="17"/>
      <c r="AN33" s="17"/>
      <c r="AP33" s="5"/>
      <c r="AQ33" s="5"/>
      <c r="AR33" s="5"/>
      <c r="AT33" s="17"/>
      <c r="AU33" s="17"/>
      <c r="AV33" s="17"/>
      <c r="AX33" s="5"/>
      <c r="AY33" s="5"/>
      <c r="AZ33" s="5"/>
      <c r="BB33" s="17"/>
      <c r="BC33" s="17"/>
      <c r="BD33" s="17"/>
      <c r="BF33" s="5"/>
      <c r="BG33" s="5"/>
      <c r="BH33" s="84"/>
    </row>
    <row r="34" spans="1:60" x14ac:dyDescent="0.25">
      <c r="A34" s="1">
        <v>1032</v>
      </c>
      <c r="B34" s="11" t="b">
        <v>1</v>
      </c>
      <c r="C34" s="11" t="b">
        <v>1</v>
      </c>
      <c r="D34" s="1" t="s">
        <v>376</v>
      </c>
      <c r="E34" s="5">
        <f>sel_uq_q0.33ue_umax</f>
        <v>1.1180000000000001</v>
      </c>
      <c r="F34" s="24">
        <v>1</v>
      </c>
      <c r="G34" s="21" t="s">
        <v>222</v>
      </c>
      <c r="H34" s="20" t="s">
        <v>108</v>
      </c>
      <c r="I34" s="24">
        <v>0</v>
      </c>
      <c r="J34" s="21">
        <v>-1</v>
      </c>
      <c r="K34" s="21">
        <v>0</v>
      </c>
      <c r="L34" s="22">
        <v>50</v>
      </c>
      <c r="M34" s="17" t="s">
        <v>111</v>
      </c>
      <c r="N34" s="17">
        <v>0</v>
      </c>
      <c r="O34" s="17">
        <f>sel_60min_umax</f>
        <v>1.1499999999999999</v>
      </c>
      <c r="P34" s="17"/>
      <c r="Q34" s="23"/>
      <c r="R34" s="5"/>
      <c r="S34" s="5"/>
      <c r="T34" s="5"/>
      <c r="U34" s="17"/>
      <c r="V34" s="17"/>
      <c r="W34" s="17"/>
      <c r="X34" s="17"/>
      <c r="Y34" s="5"/>
      <c r="Z34" s="21"/>
      <c r="AA34" s="5"/>
      <c r="AB34" s="5"/>
      <c r="AC34" s="17"/>
      <c r="AD34" s="17"/>
      <c r="AE34" s="17"/>
      <c r="AF34" s="17"/>
      <c r="AH34" s="5"/>
      <c r="AI34" s="5"/>
      <c r="AJ34" s="5"/>
      <c r="AL34" s="17"/>
      <c r="AM34" s="17"/>
      <c r="AN34" s="17"/>
      <c r="AP34" s="5"/>
      <c r="AQ34" s="5"/>
      <c r="AR34" s="5"/>
      <c r="AT34" s="17"/>
      <c r="AU34" s="17"/>
      <c r="AV34" s="17"/>
      <c r="AX34" s="5"/>
      <c r="AY34" s="5"/>
      <c r="AZ34" s="5"/>
      <c r="BB34" s="17"/>
      <c r="BC34" s="17"/>
      <c r="BD34" s="17"/>
      <c r="BF34" s="5"/>
      <c r="BG34" s="5"/>
      <c r="BH34" s="84"/>
    </row>
    <row r="35" spans="1:60" x14ac:dyDescent="0.25">
      <c r="A35" s="1">
        <v>1033</v>
      </c>
      <c r="B35" s="11" t="b">
        <v>1</v>
      </c>
      <c r="C35" s="11" t="b">
        <v>1</v>
      </c>
      <c r="D35" s="1" t="s">
        <v>377</v>
      </c>
      <c r="E35" s="5">
        <f>inp_Uc/inp_Un</f>
        <v>1.0651315789473685</v>
      </c>
      <c r="F35" s="24">
        <v>1</v>
      </c>
      <c r="G35" s="21" t="s">
        <v>222</v>
      </c>
      <c r="H35" s="20" t="s">
        <v>108</v>
      </c>
      <c r="I35" s="24">
        <v>0</v>
      </c>
      <c r="J35" s="21">
        <v>-1</v>
      </c>
      <c r="K35" s="21">
        <v>0</v>
      </c>
      <c r="L35" s="22">
        <v>50</v>
      </c>
      <c r="M35" s="17" t="s">
        <v>111</v>
      </c>
      <c r="N35" s="17">
        <v>0</v>
      </c>
      <c r="O35" s="17">
        <f>sel_uq_q0.33_umin</f>
        <v>0.96799999999999997</v>
      </c>
      <c r="P35" s="17"/>
      <c r="R35" s="5"/>
      <c r="S35" s="5"/>
      <c r="T35" s="5"/>
      <c r="V35" s="17"/>
      <c r="W35" s="17"/>
      <c r="X35" s="17"/>
      <c r="Z35" s="5"/>
      <c r="AA35" s="5"/>
      <c r="AB35" s="5"/>
      <c r="AD35" s="17"/>
      <c r="AE35" s="17"/>
      <c r="AF35" s="17"/>
      <c r="AH35" s="5"/>
      <c r="AI35" s="5"/>
      <c r="AJ35" s="5"/>
      <c r="AL35" s="17"/>
      <c r="AM35" s="17"/>
      <c r="AN35" s="17"/>
      <c r="AP35" s="5"/>
      <c r="AQ35" s="5"/>
      <c r="AR35" s="5"/>
      <c r="AT35" s="17"/>
      <c r="AU35" s="17"/>
      <c r="AV35" s="17"/>
      <c r="AX35" s="5"/>
      <c r="AY35" s="5"/>
      <c r="AZ35" s="5"/>
      <c r="BB35" s="17"/>
      <c r="BC35" s="17"/>
      <c r="BD35" s="17"/>
      <c r="BF35" s="5"/>
      <c r="BG35" s="5"/>
      <c r="BH35" s="84"/>
    </row>
    <row r="36" spans="1:60" x14ac:dyDescent="0.25">
      <c r="A36" s="1">
        <v>1034</v>
      </c>
      <c r="B36" s="11" t="b">
        <v>1</v>
      </c>
      <c r="C36" s="11" t="b">
        <v>1</v>
      </c>
      <c r="D36" s="1" t="s">
        <v>378</v>
      </c>
      <c r="E36" s="5">
        <f>sel_uq_q0.33_umin</f>
        <v>0.96799999999999997</v>
      </c>
      <c r="F36" s="24">
        <v>1</v>
      </c>
      <c r="G36" s="21" t="s">
        <v>222</v>
      </c>
      <c r="H36" s="20" t="s">
        <v>108</v>
      </c>
      <c r="I36" s="24">
        <v>0</v>
      </c>
      <c r="J36" s="21">
        <v>-1</v>
      </c>
      <c r="K36" s="21">
        <v>0</v>
      </c>
      <c r="L36" s="22">
        <v>50</v>
      </c>
      <c r="M36" s="17" t="s">
        <v>111</v>
      </c>
      <c r="N36" s="17">
        <v>0</v>
      </c>
      <c r="O36" s="17">
        <f>sel_contop_umin</f>
        <v>0.9</v>
      </c>
      <c r="P36" s="17"/>
      <c r="R36" s="5"/>
      <c r="S36" s="5"/>
      <c r="T36" s="5"/>
      <c r="V36" s="17"/>
      <c r="W36" s="17"/>
      <c r="X36" s="17"/>
      <c r="Z36" s="5"/>
      <c r="AA36" s="5"/>
      <c r="AB36" s="5"/>
      <c r="AD36" s="17"/>
      <c r="AE36" s="17"/>
      <c r="AF36" s="17"/>
      <c r="AH36" s="5"/>
      <c r="AI36" s="5"/>
      <c r="AJ36" s="5"/>
      <c r="AL36" s="17"/>
      <c r="AM36" s="17"/>
      <c r="AN36" s="17"/>
      <c r="AP36" s="5"/>
      <c r="AQ36" s="5"/>
      <c r="AR36" s="5"/>
      <c r="AT36" s="17"/>
      <c r="AU36" s="17"/>
      <c r="AV36" s="17"/>
      <c r="AX36" s="5"/>
      <c r="AY36" s="5"/>
      <c r="AZ36" s="5"/>
      <c r="BB36" s="17"/>
      <c r="BC36" s="17"/>
      <c r="BD36" s="17"/>
      <c r="BF36" s="5"/>
      <c r="BG36" s="5"/>
      <c r="BH36" s="84"/>
    </row>
    <row r="37" spans="1:60" x14ac:dyDescent="0.25">
      <c r="A37" s="1">
        <v>1035</v>
      </c>
      <c r="B37" s="11" t="b">
        <v>1</v>
      </c>
      <c r="C37" s="11" t="b">
        <v>1</v>
      </c>
      <c r="D37" s="1" t="s">
        <v>379</v>
      </c>
      <c r="E37" s="5">
        <f>sel_contop_umin</f>
        <v>0.9</v>
      </c>
      <c r="F37" s="24">
        <v>1</v>
      </c>
      <c r="G37" s="21" t="s">
        <v>222</v>
      </c>
      <c r="H37" s="20" t="s">
        <v>108</v>
      </c>
      <c r="I37" s="24">
        <v>0</v>
      </c>
      <c r="J37" s="21">
        <v>-1</v>
      </c>
      <c r="K37" s="21">
        <v>0</v>
      </c>
      <c r="L37" s="22">
        <v>50</v>
      </c>
      <c r="M37" s="17" t="s">
        <v>111</v>
      </c>
      <c r="N37" s="17">
        <v>0</v>
      </c>
      <c r="O37" s="17">
        <f>sel_60min_umin</f>
        <v>0.85</v>
      </c>
      <c r="P37" s="17"/>
      <c r="R37" s="5"/>
      <c r="S37" s="5"/>
      <c r="T37" s="5"/>
      <c r="V37" s="17"/>
      <c r="W37" s="17"/>
      <c r="X37" s="17"/>
      <c r="Z37" s="5"/>
      <c r="AA37" s="5"/>
      <c r="AB37" s="5"/>
      <c r="AD37" s="17"/>
      <c r="AE37" s="17"/>
      <c r="AF37" s="17"/>
      <c r="AH37" s="5"/>
      <c r="AI37" s="5"/>
      <c r="AJ37" s="5"/>
      <c r="AL37" s="17"/>
      <c r="AM37" s="17"/>
      <c r="AN37" s="17"/>
      <c r="AP37" s="5"/>
      <c r="AQ37" s="5"/>
      <c r="AR37" s="5"/>
      <c r="AT37" s="17"/>
      <c r="AU37" s="17"/>
      <c r="AV37" s="17"/>
      <c r="AX37" s="5"/>
      <c r="AY37" s="5"/>
      <c r="AZ37" s="5"/>
      <c r="BB37" s="17"/>
      <c r="BC37" s="17"/>
      <c r="BD37" s="17"/>
      <c r="BF37" s="5"/>
      <c r="BG37" s="5"/>
      <c r="BH37" s="84"/>
    </row>
    <row r="38" spans="1:60" x14ac:dyDescent="0.25">
      <c r="A38" s="1">
        <v>1036</v>
      </c>
      <c r="B38" s="11" t="b">
        <v>1</v>
      </c>
      <c r="C38" s="11" t="b">
        <v>1</v>
      </c>
      <c r="D38" s="1" t="s">
        <v>484</v>
      </c>
      <c r="E38" s="5">
        <v>1</v>
      </c>
      <c r="F38" s="24">
        <v>1</v>
      </c>
      <c r="G38" s="21" t="s">
        <v>222</v>
      </c>
      <c r="H38" s="20" t="s">
        <v>108</v>
      </c>
      <c r="I38" s="24">
        <v>0</v>
      </c>
      <c r="J38" s="21">
        <f>inp_scr_min</f>
        <v>10</v>
      </c>
      <c r="K38" s="21">
        <f>inp_xr_min</f>
        <v>10</v>
      </c>
      <c r="L38" s="6">
        <v>10</v>
      </c>
      <c r="M38" s="18" t="s">
        <v>111</v>
      </c>
      <c r="N38" s="17">
        <v>0</v>
      </c>
      <c r="O38" s="17">
        <v>1.3</v>
      </c>
      <c r="P38" s="17">
        <v>0</v>
      </c>
      <c r="Q38" s="1" t="s">
        <v>111</v>
      </c>
      <c r="R38" s="5">
        <v>0.05</v>
      </c>
      <c r="S38" s="5">
        <v>1</v>
      </c>
      <c r="T38" s="5"/>
      <c r="U38" s="18" t="s">
        <v>111</v>
      </c>
      <c r="V38" s="17">
        <v>1</v>
      </c>
      <c r="W38" s="17">
        <v>1.5</v>
      </c>
      <c r="X38" s="17"/>
      <c r="Y38" s="1" t="s">
        <v>111</v>
      </c>
      <c r="Z38" s="5">
        <v>1.05</v>
      </c>
      <c r="AA38" s="5">
        <v>1</v>
      </c>
      <c r="AB38" s="5"/>
      <c r="AC38" s="18" t="s">
        <v>111</v>
      </c>
      <c r="AD38" s="17">
        <v>2</v>
      </c>
      <c r="AE38" s="17">
        <v>1.7</v>
      </c>
      <c r="AF38" s="17"/>
      <c r="AG38" s="1" t="s">
        <v>111</v>
      </c>
      <c r="AH38" s="5">
        <v>2.0499999999999998</v>
      </c>
      <c r="AI38" s="5">
        <v>1</v>
      </c>
      <c r="AJ38" s="5"/>
      <c r="AK38" s="18" t="s">
        <v>111</v>
      </c>
      <c r="AL38" s="17">
        <v>3</v>
      </c>
      <c r="AM38" s="17">
        <v>1.9</v>
      </c>
      <c r="AN38" s="17"/>
      <c r="AO38" s="1" t="s">
        <v>111</v>
      </c>
      <c r="AP38" s="5">
        <v>3.05</v>
      </c>
      <c r="AQ38" s="5">
        <v>1</v>
      </c>
      <c r="AR38" s="5"/>
      <c r="AS38" s="18" t="s">
        <v>111</v>
      </c>
      <c r="AT38" s="17">
        <v>4</v>
      </c>
      <c r="AU38" s="17">
        <v>2.1</v>
      </c>
      <c r="AV38" s="17"/>
      <c r="AW38" s="1" t="s">
        <v>111</v>
      </c>
      <c r="AX38" s="5">
        <v>4.05</v>
      </c>
      <c r="AY38" s="5">
        <v>1</v>
      </c>
      <c r="AZ38" s="5"/>
      <c r="BA38" s="18" t="s">
        <v>111</v>
      </c>
      <c r="BB38" s="17">
        <v>5</v>
      </c>
      <c r="BC38" s="17">
        <v>2.2999999999999998</v>
      </c>
      <c r="BD38" s="17"/>
      <c r="BE38" s="1" t="s">
        <v>111</v>
      </c>
      <c r="BF38" s="5">
        <v>5.05</v>
      </c>
      <c r="BG38" s="5">
        <v>1</v>
      </c>
      <c r="BH38" s="85"/>
    </row>
    <row r="39" spans="1:60" x14ac:dyDescent="0.25">
      <c r="A39" s="1">
        <v>1037</v>
      </c>
      <c r="B39" s="11" t="b">
        <v>1</v>
      </c>
      <c r="C39" s="11" t="b">
        <v>1</v>
      </c>
      <c r="D39" s="1" t="s">
        <v>485</v>
      </c>
      <c r="E39" s="5">
        <v>1</v>
      </c>
      <c r="F39" s="24">
        <v>1</v>
      </c>
      <c r="G39" s="21" t="s">
        <v>222</v>
      </c>
      <c r="H39" s="20" t="s">
        <v>108</v>
      </c>
      <c r="I39" s="24">
        <v>0</v>
      </c>
      <c r="J39" s="21">
        <f>inp_scr_min</f>
        <v>10</v>
      </c>
      <c r="K39" s="21">
        <f>inp_xr_min</f>
        <v>10</v>
      </c>
      <c r="L39" s="6">
        <v>10</v>
      </c>
      <c r="M39" s="18" t="s">
        <v>111</v>
      </c>
      <c r="N39" s="17">
        <v>0</v>
      </c>
      <c r="O39" s="17">
        <v>0.9</v>
      </c>
      <c r="P39" s="17">
        <v>0</v>
      </c>
      <c r="Q39" s="1" t="s">
        <v>111</v>
      </c>
      <c r="R39" s="5">
        <v>0.05</v>
      </c>
      <c r="S39" s="5">
        <v>1</v>
      </c>
      <c r="T39" s="5"/>
      <c r="U39" s="18" t="s">
        <v>111</v>
      </c>
      <c r="V39" s="17">
        <v>1</v>
      </c>
      <c r="W39" s="17">
        <v>0.85</v>
      </c>
      <c r="X39" s="17"/>
      <c r="Y39" s="1" t="s">
        <v>111</v>
      </c>
      <c r="Z39" s="5">
        <v>1.05</v>
      </c>
      <c r="AA39" s="5">
        <v>1</v>
      </c>
      <c r="AB39" s="5"/>
      <c r="AC39" s="18" t="s">
        <v>111</v>
      </c>
      <c r="AD39" s="17">
        <v>2</v>
      </c>
      <c r="AE39" s="17">
        <v>0.8</v>
      </c>
      <c r="AF39" s="17"/>
      <c r="AG39" s="1" t="s">
        <v>111</v>
      </c>
      <c r="AH39" s="5">
        <v>2.0499999999999998</v>
      </c>
      <c r="AI39" s="5">
        <v>1</v>
      </c>
      <c r="AJ39" s="5"/>
      <c r="AK39" s="18" t="s">
        <v>111</v>
      </c>
      <c r="AL39" s="17">
        <v>3</v>
      </c>
      <c r="AM39" s="17">
        <v>0.75</v>
      </c>
      <c r="AN39" s="17"/>
      <c r="AO39" s="1" t="s">
        <v>111</v>
      </c>
      <c r="AP39" s="5">
        <v>3.05</v>
      </c>
      <c r="AQ39" s="5">
        <v>1</v>
      </c>
      <c r="AR39" s="5"/>
      <c r="AS39" s="18" t="s">
        <v>111</v>
      </c>
      <c r="AT39" s="17">
        <v>4</v>
      </c>
      <c r="AU39" s="17">
        <v>0.7</v>
      </c>
      <c r="AV39" s="17"/>
      <c r="AW39" s="1" t="s">
        <v>111</v>
      </c>
      <c r="AX39" s="5">
        <v>4.05</v>
      </c>
      <c r="AY39" s="5">
        <v>1</v>
      </c>
      <c r="AZ39" s="5"/>
      <c r="BA39" s="18" t="s">
        <v>111</v>
      </c>
      <c r="BB39" s="17">
        <v>5</v>
      </c>
      <c r="BC39" s="17">
        <v>0.65</v>
      </c>
      <c r="BD39" s="17"/>
      <c r="BE39" s="1" t="s">
        <v>111</v>
      </c>
      <c r="BF39" s="5">
        <v>5.05</v>
      </c>
      <c r="BG39" s="5">
        <v>1</v>
      </c>
      <c r="BH39" s="85"/>
    </row>
    <row r="40" spans="1:60" x14ac:dyDescent="0.25">
      <c r="A40" s="1">
        <v>1038</v>
      </c>
      <c r="B40" s="11" t="b">
        <v>1</v>
      </c>
      <c r="C40" s="11" t="b">
        <v>1</v>
      </c>
      <c r="D40" s="1" t="s">
        <v>486</v>
      </c>
      <c r="E40" s="5">
        <v>1</v>
      </c>
      <c r="F40" s="24">
        <v>1</v>
      </c>
      <c r="G40" s="21" t="s">
        <v>222</v>
      </c>
      <c r="H40" s="20" t="s">
        <v>108</v>
      </c>
      <c r="I40" s="24">
        <v>0</v>
      </c>
      <c r="J40" s="21">
        <f>inp_scr_min</f>
        <v>10</v>
      </c>
      <c r="K40" s="21">
        <f>inp_xr_min</f>
        <v>10</v>
      </c>
      <c r="L40" s="6">
        <v>10</v>
      </c>
      <c r="M40" s="18" t="s">
        <v>110</v>
      </c>
      <c r="N40" s="17">
        <v>0</v>
      </c>
      <c r="O40" s="17">
        <v>52</v>
      </c>
      <c r="P40" s="17">
        <v>0</v>
      </c>
      <c r="Q40" s="1" t="s">
        <v>110</v>
      </c>
      <c r="R40" s="5">
        <v>0.05</v>
      </c>
      <c r="S40" s="5">
        <v>50</v>
      </c>
      <c r="T40" s="5"/>
      <c r="U40" s="18" t="s">
        <v>110</v>
      </c>
      <c r="V40" s="17">
        <v>1</v>
      </c>
      <c r="W40" s="17">
        <v>52.5</v>
      </c>
      <c r="X40" s="17"/>
      <c r="Y40" s="1" t="s">
        <v>110</v>
      </c>
      <c r="Z40" s="5">
        <v>1.05</v>
      </c>
      <c r="AA40" s="5">
        <v>50</v>
      </c>
      <c r="AB40" s="5"/>
      <c r="AC40" s="18" t="s">
        <v>110</v>
      </c>
      <c r="AD40" s="17">
        <v>2</v>
      </c>
      <c r="AE40" s="17">
        <v>53</v>
      </c>
      <c r="AF40" s="17"/>
      <c r="AG40" s="1" t="s">
        <v>110</v>
      </c>
      <c r="AH40" s="5">
        <v>2.0499999999999998</v>
      </c>
      <c r="AI40" s="5">
        <v>50</v>
      </c>
      <c r="AJ40" s="5"/>
      <c r="AK40" s="18" t="s">
        <v>110</v>
      </c>
      <c r="AL40" s="17">
        <v>3</v>
      </c>
      <c r="AM40" s="17">
        <v>55</v>
      </c>
      <c r="AN40" s="17"/>
      <c r="AO40" s="1" t="s">
        <v>110</v>
      </c>
      <c r="AP40" s="5">
        <v>3.05</v>
      </c>
      <c r="AQ40" s="5">
        <v>50</v>
      </c>
      <c r="AR40" s="5"/>
      <c r="AS40" s="18" t="s">
        <v>110</v>
      </c>
      <c r="AT40" s="17">
        <v>4</v>
      </c>
      <c r="AU40" s="17">
        <v>60</v>
      </c>
      <c r="AV40" s="17"/>
      <c r="AW40" s="1" t="s">
        <v>110</v>
      </c>
      <c r="AX40" s="5">
        <v>4.05</v>
      </c>
      <c r="AY40" s="5">
        <v>50</v>
      </c>
      <c r="AZ40" s="5"/>
      <c r="BA40" s="18" t="s">
        <v>110</v>
      </c>
      <c r="BB40" s="17">
        <v>5</v>
      </c>
      <c r="BC40" s="17">
        <v>65</v>
      </c>
      <c r="BD40" s="17"/>
      <c r="BE40" s="1" t="s">
        <v>110</v>
      </c>
      <c r="BF40" s="5">
        <v>5.05</v>
      </c>
      <c r="BG40" s="5">
        <v>50</v>
      </c>
      <c r="BH40" s="85"/>
    </row>
    <row r="41" spans="1:60" x14ac:dyDescent="0.25">
      <c r="A41" s="1">
        <v>1039</v>
      </c>
      <c r="B41" s="11" t="b">
        <v>1</v>
      </c>
      <c r="C41" s="11" t="b">
        <v>1</v>
      </c>
      <c r="D41" s="1" t="s">
        <v>487</v>
      </c>
      <c r="E41" s="5">
        <v>1</v>
      </c>
      <c r="F41" s="24">
        <v>1</v>
      </c>
      <c r="G41" s="21" t="s">
        <v>222</v>
      </c>
      <c r="H41" s="20" t="s">
        <v>108</v>
      </c>
      <c r="I41" s="24">
        <v>0</v>
      </c>
      <c r="J41" s="21">
        <f>inp_scr_min</f>
        <v>10</v>
      </c>
      <c r="K41" s="21">
        <f>inp_xr_min</f>
        <v>10</v>
      </c>
      <c r="L41" s="6">
        <v>10</v>
      </c>
      <c r="M41" s="18" t="s">
        <v>110</v>
      </c>
      <c r="N41" s="17">
        <v>0</v>
      </c>
      <c r="O41" s="17">
        <v>47.5</v>
      </c>
      <c r="P41" s="17">
        <v>0</v>
      </c>
      <c r="Q41" s="1" t="s">
        <v>110</v>
      </c>
      <c r="R41" s="5">
        <v>0.05</v>
      </c>
      <c r="S41" s="5">
        <v>50</v>
      </c>
      <c r="T41" s="5"/>
      <c r="U41" s="18" t="s">
        <v>110</v>
      </c>
      <c r="V41" s="17">
        <v>1</v>
      </c>
      <c r="W41" s="17">
        <v>47</v>
      </c>
      <c r="X41" s="17"/>
      <c r="Y41" s="1" t="s">
        <v>110</v>
      </c>
      <c r="Z41" s="5">
        <v>1.05</v>
      </c>
      <c r="AA41" s="5">
        <v>50</v>
      </c>
      <c r="AB41" s="5"/>
      <c r="AC41" s="18" t="s">
        <v>110</v>
      </c>
      <c r="AD41" s="17">
        <v>2</v>
      </c>
      <c r="AE41" s="17">
        <v>46.5</v>
      </c>
      <c r="AF41" s="17"/>
      <c r="AG41" s="1" t="s">
        <v>110</v>
      </c>
      <c r="AH41" s="5">
        <v>2.0499999999999998</v>
      </c>
      <c r="AI41" s="5">
        <v>50</v>
      </c>
      <c r="AJ41" s="5"/>
      <c r="AK41" s="18" t="s">
        <v>110</v>
      </c>
      <c r="AL41" s="17">
        <v>3</v>
      </c>
      <c r="AM41" s="17">
        <v>46</v>
      </c>
      <c r="AN41" s="17"/>
      <c r="AO41" s="1" t="s">
        <v>110</v>
      </c>
      <c r="AP41" s="5">
        <v>3.05</v>
      </c>
      <c r="AQ41" s="5">
        <v>50</v>
      </c>
      <c r="AR41" s="5"/>
      <c r="AT41" s="17"/>
      <c r="AU41" s="17"/>
      <c r="AV41" s="17"/>
      <c r="AX41" s="5"/>
      <c r="AY41" s="5"/>
      <c r="AZ41" s="5"/>
      <c r="BB41" s="17"/>
      <c r="BC41" s="17"/>
      <c r="BD41" s="17"/>
      <c r="BF41" s="5"/>
      <c r="BG41" s="5"/>
      <c r="BH41" s="85"/>
    </row>
    <row r="42" spans="1:60" x14ac:dyDescent="0.25">
      <c r="L42" s="6"/>
      <c r="BH42" s="85"/>
    </row>
    <row r="43" spans="1:60" x14ac:dyDescent="0.25">
      <c r="L43" s="6"/>
      <c r="BH43" s="85"/>
    </row>
    <row r="44" spans="1:60" x14ac:dyDescent="0.25">
      <c r="L44" s="6"/>
      <c r="BH44" s="85"/>
    </row>
    <row r="45" spans="1:60" x14ac:dyDescent="0.25">
      <c r="L45" s="6"/>
      <c r="BH45" s="85"/>
    </row>
    <row r="46" spans="1:60" x14ac:dyDescent="0.25">
      <c r="L46" s="6"/>
      <c r="BH46" s="85"/>
    </row>
    <row r="47" spans="1:60" x14ac:dyDescent="0.25">
      <c r="L47" s="6"/>
      <c r="BH47" s="85"/>
    </row>
    <row r="48" spans="1:60" x14ac:dyDescent="0.25">
      <c r="L48" s="6"/>
      <c r="BH48" s="85"/>
    </row>
    <row r="49" spans="12:60" x14ac:dyDescent="0.25">
      <c r="L49" s="6"/>
      <c r="BH49" s="85"/>
    </row>
    <row r="50" spans="12:60" x14ac:dyDescent="0.25">
      <c r="L50" s="6"/>
      <c r="BH50" s="85"/>
    </row>
    <row r="51" spans="12:60" x14ac:dyDescent="0.25">
      <c r="L51" s="6"/>
      <c r="BH51" s="85"/>
    </row>
    <row r="52" spans="12:60" x14ac:dyDescent="0.25">
      <c r="L52" s="6"/>
      <c r="BH52" s="85"/>
    </row>
    <row r="53" spans="12:60" x14ac:dyDescent="0.25">
      <c r="L53" s="6"/>
      <c r="BH53" s="85"/>
    </row>
    <row r="54" spans="12:60" x14ac:dyDescent="0.25">
      <c r="L54" s="6"/>
      <c r="BH54" s="85"/>
    </row>
    <row r="55" spans="12:60" x14ac:dyDescent="0.25">
      <c r="L55" s="6"/>
      <c r="BH55" s="85"/>
    </row>
    <row r="56" spans="12:60" x14ac:dyDescent="0.25">
      <c r="L56" s="6"/>
      <c r="BH56" s="85"/>
    </row>
    <row r="57" spans="12:60" x14ac:dyDescent="0.25">
      <c r="L57" s="6"/>
      <c r="BH57" s="85"/>
    </row>
    <row r="58" spans="12:60" x14ac:dyDescent="0.25">
      <c r="L58" s="6"/>
      <c r="BH58" s="85"/>
    </row>
    <row r="59" spans="12:60" x14ac:dyDescent="0.25">
      <c r="L59" s="6"/>
      <c r="BH59" s="85"/>
    </row>
    <row r="60" spans="12:60" x14ac:dyDescent="0.25">
      <c r="L60" s="6"/>
      <c r="BH60" s="85"/>
    </row>
    <row r="61" spans="12:60" x14ac:dyDescent="0.25">
      <c r="L61" s="6"/>
      <c r="BH61" s="85"/>
    </row>
    <row r="62" spans="12:60" x14ac:dyDescent="0.25">
      <c r="L62" s="6"/>
      <c r="BH62" s="85"/>
    </row>
    <row r="63" spans="12:60" x14ac:dyDescent="0.25">
      <c r="L63" s="6"/>
      <c r="BH63" s="85"/>
    </row>
    <row r="64" spans="12:60" x14ac:dyDescent="0.25">
      <c r="L64" s="6"/>
      <c r="BH64" s="85"/>
    </row>
    <row r="65" spans="12:60" x14ac:dyDescent="0.25">
      <c r="L65" s="6"/>
      <c r="BH65" s="85"/>
    </row>
    <row r="66" spans="12:60" x14ac:dyDescent="0.25">
      <c r="L66" s="6"/>
      <c r="BH66" s="85"/>
    </row>
    <row r="67" spans="12:60" x14ac:dyDescent="0.25">
      <c r="L67" s="6"/>
      <c r="BH67" s="85"/>
    </row>
    <row r="68" spans="12:60" x14ac:dyDescent="0.25">
      <c r="L68" s="6"/>
      <c r="BH68" s="85"/>
    </row>
    <row r="69" spans="12:60" x14ac:dyDescent="0.25">
      <c r="BH69" s="85"/>
    </row>
    <row r="70" spans="12:60" x14ac:dyDescent="0.25">
      <c r="BH70" s="85"/>
    </row>
    <row r="71" spans="12:60" x14ac:dyDescent="0.25">
      <c r="BH71" s="85"/>
    </row>
    <row r="72" spans="12:60" x14ac:dyDescent="0.25">
      <c r="BH72" s="85"/>
    </row>
    <row r="73" spans="12:60" x14ac:dyDescent="0.25">
      <c r="BH73" s="85"/>
    </row>
    <row r="74" spans="12:60" x14ac:dyDescent="0.25">
      <c r="BH74" s="85"/>
    </row>
    <row r="75" spans="12:60" x14ac:dyDescent="0.25">
      <c r="BH75" s="85"/>
    </row>
    <row r="76" spans="12:60" x14ac:dyDescent="0.25">
      <c r="BH76" s="85"/>
    </row>
    <row r="77" spans="12:60" x14ac:dyDescent="0.25">
      <c r="BH77" s="85"/>
    </row>
    <row r="78" spans="12:60" x14ac:dyDescent="0.25">
      <c r="BH78" s="85"/>
    </row>
    <row r="79" spans="12:60" x14ac:dyDescent="0.25">
      <c r="BH79" s="85"/>
    </row>
    <row r="80" spans="12:60" x14ac:dyDescent="0.25">
      <c r="BH80" s="85"/>
    </row>
    <row r="81" spans="60:60" x14ac:dyDescent="0.25">
      <c r="BH81" s="85"/>
    </row>
    <row r="82" spans="60:60" x14ac:dyDescent="0.25">
      <c r="BH82" s="85"/>
    </row>
    <row r="83" spans="60:60" x14ac:dyDescent="0.25">
      <c r="BH83" s="85"/>
    </row>
    <row r="84" spans="60:60" x14ac:dyDescent="0.25">
      <c r="BH84" s="85"/>
    </row>
    <row r="85" spans="60:60" x14ac:dyDescent="0.25">
      <c r="BH85" s="85"/>
    </row>
    <row r="86" spans="60:60" x14ac:dyDescent="0.25">
      <c r="BH86" s="85"/>
    </row>
    <row r="87" spans="60:60" x14ac:dyDescent="0.25">
      <c r="BH87" s="85"/>
    </row>
    <row r="88" spans="60:60" x14ac:dyDescent="0.25">
      <c r="BH88" s="85"/>
    </row>
    <row r="89" spans="60:60" x14ac:dyDescent="0.25">
      <c r="BH89" s="85"/>
    </row>
    <row r="90" spans="60:60" x14ac:dyDescent="0.25">
      <c r="BH90" s="85"/>
    </row>
    <row r="91" spans="60:60" x14ac:dyDescent="0.25">
      <c r="BH91" s="85"/>
    </row>
    <row r="92" spans="60:60" x14ac:dyDescent="0.25">
      <c r="BH92" s="85"/>
    </row>
    <row r="93" spans="60:60" x14ac:dyDescent="0.25">
      <c r="BH93" s="85"/>
    </row>
    <row r="94" spans="60:60" x14ac:dyDescent="0.25">
      <c r="BH94" s="85"/>
    </row>
    <row r="95" spans="60:60" x14ac:dyDescent="0.25">
      <c r="BH95" s="85"/>
    </row>
    <row r="96" spans="60:60" x14ac:dyDescent="0.25">
      <c r="BH96" s="85"/>
    </row>
    <row r="97" spans="60:60" x14ac:dyDescent="0.25">
      <c r="BH97" s="85"/>
    </row>
    <row r="98" spans="60:60" x14ac:dyDescent="0.25">
      <c r="BH98" s="85"/>
    </row>
    <row r="99" spans="60:60" x14ac:dyDescent="0.25">
      <c r="BH99" s="85"/>
    </row>
    <row r="100" spans="60:60" x14ac:dyDescent="0.25">
      <c r="BH100" s="85"/>
    </row>
    <row r="101" spans="60:60" x14ac:dyDescent="0.25">
      <c r="BH101" s="85"/>
    </row>
    <row r="102" spans="60:60" x14ac:dyDescent="0.25">
      <c r="BH102" s="85"/>
    </row>
    <row r="103" spans="60:60" x14ac:dyDescent="0.25">
      <c r="BH103" s="85"/>
    </row>
    <row r="104" spans="60:60" x14ac:dyDescent="0.25">
      <c r="BH104" s="85"/>
    </row>
    <row r="105" spans="60:60" x14ac:dyDescent="0.25">
      <c r="BH105" s="85"/>
    </row>
    <row r="106" spans="60:60" x14ac:dyDescent="0.25">
      <c r="BH106" s="85"/>
    </row>
    <row r="107" spans="60:60" x14ac:dyDescent="0.25">
      <c r="BH107" s="85"/>
    </row>
    <row r="108" spans="60:60" x14ac:dyDescent="0.25">
      <c r="BH108" s="85"/>
    </row>
    <row r="109" spans="60:60" x14ac:dyDescent="0.25">
      <c r="BH109" s="85"/>
    </row>
    <row r="110" spans="60:60" x14ac:dyDescent="0.25">
      <c r="BH110" s="85"/>
    </row>
    <row r="111" spans="60:60" x14ac:dyDescent="0.25">
      <c r="BH111" s="85"/>
    </row>
    <row r="112" spans="60:60" x14ac:dyDescent="0.25">
      <c r="BH112" s="85"/>
    </row>
    <row r="113" spans="60:60" x14ac:dyDescent="0.25">
      <c r="BH113" s="85"/>
    </row>
    <row r="114" spans="60:60" x14ac:dyDescent="0.25">
      <c r="BH114" s="85"/>
    </row>
    <row r="115" spans="60:60" x14ac:dyDescent="0.25">
      <c r="BH115" s="85"/>
    </row>
    <row r="116" spans="60:60" x14ac:dyDescent="0.25">
      <c r="BH116" s="85"/>
    </row>
    <row r="117" spans="60:60" x14ac:dyDescent="0.25">
      <c r="BH117" s="85"/>
    </row>
    <row r="118" spans="60:60" x14ac:dyDescent="0.25">
      <c r="BH118" s="85"/>
    </row>
    <row r="119" spans="60:60" x14ac:dyDescent="0.25">
      <c r="BH119" s="85"/>
    </row>
    <row r="120" spans="60:60" x14ac:dyDescent="0.25">
      <c r="BH120" s="85"/>
    </row>
    <row r="121" spans="60:60" x14ac:dyDescent="0.25">
      <c r="BH121" s="85"/>
    </row>
    <row r="122" spans="60:60" x14ac:dyDescent="0.25">
      <c r="BH122" s="85"/>
    </row>
    <row r="123" spans="60:60" x14ac:dyDescent="0.25">
      <c r="BH123" s="85"/>
    </row>
    <row r="124" spans="60:60" x14ac:dyDescent="0.25">
      <c r="BH124" s="85"/>
    </row>
    <row r="125" spans="60:60" x14ac:dyDescent="0.25">
      <c r="BH125" s="85"/>
    </row>
    <row r="126" spans="60:60" x14ac:dyDescent="0.25">
      <c r="BH126" s="85"/>
    </row>
    <row r="127" spans="60:60" x14ac:dyDescent="0.25">
      <c r="BH127" s="85"/>
    </row>
    <row r="128" spans="60:60" x14ac:dyDescent="0.25">
      <c r="BH128" s="85"/>
    </row>
    <row r="129" spans="60:60" x14ac:dyDescent="0.25">
      <c r="BH129" s="85"/>
    </row>
    <row r="130" spans="60:60" x14ac:dyDescent="0.25">
      <c r="BH130" s="85"/>
    </row>
    <row r="131" spans="60:60" x14ac:dyDescent="0.25">
      <c r="BH131" s="85"/>
    </row>
    <row r="132" spans="60:60" x14ac:dyDescent="0.25">
      <c r="BH132" s="85"/>
    </row>
    <row r="133" spans="60:60" x14ac:dyDescent="0.25">
      <c r="BH133" s="85"/>
    </row>
    <row r="134" spans="60:60" x14ac:dyDescent="0.25">
      <c r="BH134" s="85"/>
    </row>
    <row r="135" spans="60:60" x14ac:dyDescent="0.25">
      <c r="BH135" s="85"/>
    </row>
    <row r="136" spans="60:60" x14ac:dyDescent="0.25">
      <c r="BH136" s="85"/>
    </row>
    <row r="137" spans="60:60" x14ac:dyDescent="0.25">
      <c r="BH137" s="85"/>
    </row>
    <row r="138" spans="60:60" x14ac:dyDescent="0.25">
      <c r="BH138" s="85"/>
    </row>
    <row r="139" spans="60:60" x14ac:dyDescent="0.25">
      <c r="BH139" s="85"/>
    </row>
    <row r="140" spans="60:60" x14ac:dyDescent="0.25">
      <c r="BH140" s="85"/>
    </row>
    <row r="141" spans="60:60" x14ac:dyDescent="0.25">
      <c r="BH141" s="85"/>
    </row>
    <row r="142" spans="60:60" x14ac:dyDescent="0.25">
      <c r="BH142" s="85"/>
    </row>
    <row r="143" spans="60:60" x14ac:dyDescent="0.25">
      <c r="BH143" s="85"/>
    </row>
    <row r="144" spans="60:60" x14ac:dyDescent="0.25">
      <c r="BH144" s="85"/>
    </row>
    <row r="145" spans="60:60" x14ac:dyDescent="0.25">
      <c r="BH145" s="85"/>
    </row>
    <row r="146" spans="60:60" x14ac:dyDescent="0.25">
      <c r="BH146" s="85"/>
    </row>
    <row r="147" spans="60:60" x14ac:dyDescent="0.25">
      <c r="BH147" s="85"/>
    </row>
    <row r="148" spans="60:60" x14ac:dyDescent="0.25">
      <c r="BH148" s="85"/>
    </row>
    <row r="149" spans="60:60" x14ac:dyDescent="0.25">
      <c r="BH149" s="85"/>
    </row>
    <row r="150" spans="60:60" x14ac:dyDescent="0.25">
      <c r="BH150" s="85"/>
    </row>
    <row r="151" spans="60:60" x14ac:dyDescent="0.25">
      <c r="BH151" s="85"/>
    </row>
    <row r="152" spans="60:60" x14ac:dyDescent="0.25">
      <c r="BH152" s="85"/>
    </row>
    <row r="153" spans="60:60" x14ac:dyDescent="0.25">
      <c r="BH153" s="85"/>
    </row>
    <row r="154" spans="60:60" x14ac:dyDescent="0.25">
      <c r="BH154" s="85"/>
    </row>
    <row r="155" spans="60:60" x14ac:dyDescent="0.25">
      <c r="BH155" s="85"/>
    </row>
    <row r="156" spans="60:60" x14ac:dyDescent="0.25">
      <c r="BH156" s="85"/>
    </row>
    <row r="157" spans="60:60" x14ac:dyDescent="0.25">
      <c r="BH157" s="85"/>
    </row>
    <row r="158" spans="60:60" x14ac:dyDescent="0.25">
      <c r="BH158" s="85"/>
    </row>
    <row r="159" spans="60:60" x14ac:dyDescent="0.25">
      <c r="BH159" s="85"/>
    </row>
    <row r="160" spans="60:60" x14ac:dyDescent="0.25">
      <c r="BH160" s="85"/>
    </row>
    <row r="161" spans="60:60" x14ac:dyDescent="0.25">
      <c r="BH161" s="85"/>
    </row>
    <row r="162" spans="60:60" x14ac:dyDescent="0.25">
      <c r="BH162" s="85"/>
    </row>
    <row r="163" spans="60:60" x14ac:dyDescent="0.25">
      <c r="BH163" s="85"/>
    </row>
    <row r="164" spans="60:60" x14ac:dyDescent="0.25">
      <c r="BH164" s="85"/>
    </row>
    <row r="165" spans="60:60" x14ac:dyDescent="0.25">
      <c r="BH165" s="85"/>
    </row>
    <row r="166" spans="60:60" x14ac:dyDescent="0.25">
      <c r="BH166" s="85"/>
    </row>
    <row r="167" spans="60:60" x14ac:dyDescent="0.25">
      <c r="BH167" s="85"/>
    </row>
    <row r="168" spans="60:60" x14ac:dyDescent="0.25">
      <c r="BH168" s="85"/>
    </row>
    <row r="169" spans="60:60" x14ac:dyDescent="0.25">
      <c r="BH169" s="85"/>
    </row>
    <row r="170" spans="60:60" x14ac:dyDescent="0.25">
      <c r="BH170" s="85"/>
    </row>
    <row r="171" spans="60:60" x14ac:dyDescent="0.25">
      <c r="BH171" s="85"/>
    </row>
  </sheetData>
  <autoFilter ref="A2:BH2"/>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ignoredErrors>
    <ignoredError sqref="E34" formula="1"/>
  </ignoredErrors>
  <extLst>
    <ext xmlns:x14="http://schemas.microsoft.com/office/spreadsheetml/2009/9/main" uri="{CCE6A557-97BC-4b89-ADB6-D9C93CAAB3DF}">
      <x14:dataValidations xmlns:xm="http://schemas.microsoft.com/office/excel/2006/main" count="5">
        <x14:dataValidation type="list" allowBlank="1" showInputMessage="1" showErrorMessage="1">
          <x14:formula1>
            <xm:f>'Event types'!$A$2:$A$939</xm:f>
          </x14:formula1>
          <xm:sqref>M42:M1048576 AG22 AC22 Y22 U22 M22 Q22 Q42:Q66</xm:sqref>
        </x14:dataValidation>
        <x14:dataValidation type="list" allowBlank="1" showInputMessage="1" showErrorMessage="1">
          <x14:formula1>
            <xm:f>'Event types'!$A$2:$A$272</xm:f>
          </x14:formula1>
          <xm:sqref>AG23:AG37 AC23:AC37 Y23:Y37 U23:U37 Q23:Q37 M23:M37 BE3:BE37 AG3:AG21 AC3:AC21 Y3:Y21 U3:U21 AK3:AK37 AO3:AO37 AS3:AS37 AW3:AW37 BA3:BA37 M3:M21 Q3:Q21</xm:sqref>
        </x14:dataValidation>
        <x14:dataValidation type="list" allowBlank="1" showInputMessage="1" showErrorMessage="1">
          <x14:formula1>
            <xm:f>datavalidation!$C$1:$C$8</xm:f>
          </x14:formula1>
          <xm:sqref>G42:G1048576 G3:G37</xm:sqref>
        </x14:dataValidation>
        <x14:dataValidation type="list" allowBlank="1" showInputMessage="1" showErrorMessage="1">
          <x14:formula1>
            <xm:f>datavalidation!$B$1:$B$8</xm:f>
          </x14:formula1>
          <xm:sqref>H42:H1048576 H3:H37</xm:sqref>
        </x14:dataValidation>
        <x14:dataValidation type="list" allowBlank="1" showInputMessage="1" showErrorMessage="1">
          <x14:formula1>
            <xm:f>datavalidation!$E$1:$E$2</xm:f>
          </x14:formula1>
          <xm:sqref>B3:C37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H62"/>
  <sheetViews>
    <sheetView zoomScaleNormal="100" workbookViewId="0">
      <pane ySplit="2" topLeftCell="A3" activePane="bottomLeft" state="frozen"/>
      <selection pane="bottomLeft" activeCell="E55" sqref="E55"/>
    </sheetView>
  </sheetViews>
  <sheetFormatPr defaultColWidth="9.140625" defaultRowHeight="15" x14ac:dyDescent="0.25"/>
  <cols>
    <col min="1" max="1" width="12.85546875" style="1" bestFit="1" customWidth="1"/>
    <col min="2" max="2" width="12.42578125" style="1" bestFit="1" customWidth="1"/>
    <col min="3" max="3" width="12" style="1" bestFit="1" customWidth="1"/>
    <col min="4" max="4" width="41" style="1" bestFit="1" customWidth="1"/>
    <col min="5" max="6" width="10.5703125" style="1" bestFit="1" customWidth="1"/>
    <col min="7" max="7" width="14.5703125" style="1" bestFit="1" customWidth="1"/>
    <col min="8" max="8" width="14.85546875" style="1" bestFit="1" customWidth="1"/>
    <col min="9" max="9" width="13.140625" style="1" customWidth="1"/>
    <col min="10" max="10" width="9.85546875" style="1" bestFit="1" customWidth="1"/>
    <col min="11" max="11" width="9.85546875" style="1" customWidth="1"/>
    <col min="12" max="12" width="21.5703125" style="1" bestFit="1" customWidth="1"/>
    <col min="13" max="13" width="22.85546875" style="18" bestFit="1" customWidth="1"/>
    <col min="14" max="14" width="9.7109375" style="18" bestFit="1" customWidth="1"/>
    <col min="15" max="15" width="35" style="18" bestFit="1" customWidth="1"/>
    <col min="16" max="16" width="16.5703125" style="18" bestFit="1" customWidth="1"/>
    <col min="17" max="17" width="17.5703125" style="1" bestFit="1" customWidth="1"/>
    <col min="18" max="18" width="9.7109375" style="1" bestFit="1" customWidth="1"/>
    <col min="19" max="19" width="25" style="1" bestFit="1" customWidth="1"/>
    <col min="20" max="20" width="16.5703125" style="1" bestFit="1" customWidth="1"/>
    <col min="21" max="21" width="12" style="18" bestFit="1" customWidth="1"/>
    <col min="22" max="22" width="9.7109375" style="18" bestFit="1" customWidth="1"/>
    <col min="23" max="23" width="12.42578125" style="18" bestFit="1" customWidth="1"/>
    <col min="24" max="24" width="16.5703125" style="18"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8" bestFit="1" customWidth="1"/>
    <col min="30" max="30" width="9.7109375" style="18" bestFit="1" customWidth="1"/>
    <col min="31" max="31" width="12.42578125" style="18" bestFit="1" customWidth="1"/>
    <col min="32" max="32" width="16.5703125" style="18"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8" bestFit="1" customWidth="1"/>
    <col min="38" max="38" width="9.7109375" style="18" bestFit="1" customWidth="1"/>
    <col min="39" max="39" width="12.42578125" style="18" bestFit="1" customWidth="1"/>
    <col min="40" max="40" width="16.5703125" style="18"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8" customWidth="1"/>
    <col min="46" max="46" width="9.7109375" style="18" bestFit="1" customWidth="1"/>
    <col min="47" max="47" width="12.42578125" style="18" bestFit="1" customWidth="1"/>
    <col min="48" max="48" width="16.5703125" style="18"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8" customWidth="1"/>
    <col min="54" max="54" width="9.7109375" style="18" bestFit="1" customWidth="1"/>
    <col min="55" max="55" width="12.42578125" style="18" bestFit="1" customWidth="1"/>
    <col min="56" max="56" width="16.5703125" style="18"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60" x14ac:dyDescent="0.25">
      <c r="D1" s="96"/>
      <c r="M1" s="258" t="s">
        <v>80</v>
      </c>
      <c r="N1" s="258"/>
      <c r="O1" s="258"/>
      <c r="P1" s="258"/>
      <c r="Q1" s="251" t="s">
        <v>81</v>
      </c>
      <c r="R1" s="251"/>
      <c r="S1" s="251"/>
      <c r="T1" s="251"/>
      <c r="U1" s="258" t="s">
        <v>82</v>
      </c>
      <c r="V1" s="258"/>
      <c r="W1" s="258"/>
      <c r="X1" s="258"/>
      <c r="Y1" s="251" t="s">
        <v>83</v>
      </c>
      <c r="Z1" s="251"/>
      <c r="AA1" s="251"/>
      <c r="AB1" s="251"/>
      <c r="AC1" s="258" t="s">
        <v>84</v>
      </c>
      <c r="AD1" s="258"/>
      <c r="AE1" s="258"/>
      <c r="AF1" s="258"/>
      <c r="AG1" s="251" t="s">
        <v>85</v>
      </c>
      <c r="AH1" s="251"/>
      <c r="AI1" s="251"/>
      <c r="AJ1" s="251"/>
      <c r="AK1" s="258" t="s">
        <v>86</v>
      </c>
      <c r="AL1" s="258"/>
      <c r="AM1" s="258"/>
      <c r="AN1" s="258"/>
      <c r="AO1" s="251" t="s">
        <v>87</v>
      </c>
      <c r="AP1" s="251"/>
      <c r="AQ1" s="251"/>
      <c r="AR1" s="251"/>
      <c r="AS1" s="258" t="s">
        <v>88</v>
      </c>
      <c r="AT1" s="258"/>
      <c r="AU1" s="258"/>
      <c r="AV1" s="258"/>
      <c r="AW1" s="251" t="s">
        <v>89</v>
      </c>
      <c r="AX1" s="251"/>
      <c r="AY1" s="251"/>
      <c r="AZ1" s="251"/>
      <c r="BA1" s="258" t="s">
        <v>90</v>
      </c>
      <c r="BB1" s="258"/>
      <c r="BC1" s="258"/>
      <c r="BD1" s="258"/>
      <c r="BE1" s="251" t="s">
        <v>91</v>
      </c>
      <c r="BF1" s="251"/>
      <c r="BG1" s="251"/>
      <c r="BH1" s="251"/>
    </row>
    <row r="2" spans="1:60"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12" t="s">
        <v>104</v>
      </c>
      <c r="BF2" s="12" t="s">
        <v>105</v>
      </c>
      <c r="BG2" s="12" t="s">
        <v>106</v>
      </c>
      <c r="BH2" s="11" t="s">
        <v>107</v>
      </c>
    </row>
    <row r="3" spans="1:60" x14ac:dyDescent="0.25">
      <c r="A3" s="1">
        <v>2001</v>
      </c>
      <c r="B3" s="11" t="b">
        <v>1</v>
      </c>
      <c r="C3" s="11" t="b">
        <v>1</v>
      </c>
      <c r="D3" s="1" t="s">
        <v>380</v>
      </c>
      <c r="E3" s="5">
        <f t="shared" ref="E3:E44" si="0">inp_Uc/inp_Un</f>
        <v>1.0651315789473685</v>
      </c>
      <c r="F3" s="21">
        <v>0</v>
      </c>
      <c r="G3" s="21" t="s">
        <v>222</v>
      </c>
      <c r="H3" s="20" t="s">
        <v>108</v>
      </c>
      <c r="I3" s="21">
        <v>0</v>
      </c>
      <c r="J3" s="21">
        <f t="shared" ref="J3:J9" si="1">inp_scr_min</f>
        <v>10</v>
      </c>
      <c r="K3" s="21">
        <f t="shared" ref="K3:K9" si="2">inp_xr_min</f>
        <v>10</v>
      </c>
      <c r="L3" s="22">
        <v>60</v>
      </c>
      <c r="M3" s="17" t="s">
        <v>123</v>
      </c>
      <c r="N3" s="17"/>
      <c r="O3" s="17"/>
      <c r="P3" s="17"/>
      <c r="R3" s="5"/>
      <c r="S3" s="5"/>
      <c r="T3" s="5"/>
      <c r="V3" s="17"/>
      <c r="W3" s="17"/>
      <c r="X3" s="17"/>
      <c r="Z3" s="5"/>
      <c r="AA3" s="5"/>
      <c r="AB3" s="5"/>
      <c r="AD3" s="17"/>
      <c r="AE3" s="17"/>
      <c r="AF3" s="17"/>
      <c r="AH3" s="5"/>
      <c r="AI3" s="5"/>
      <c r="AJ3" s="5"/>
      <c r="AL3" s="17"/>
      <c r="AM3" s="17"/>
      <c r="AN3" s="17"/>
      <c r="AP3" s="5"/>
      <c r="AQ3" s="5"/>
      <c r="AR3" s="5"/>
      <c r="AT3" s="17"/>
      <c r="AU3" s="17"/>
      <c r="AV3" s="17"/>
      <c r="AX3" s="5"/>
      <c r="AY3" s="5"/>
      <c r="AZ3" s="5"/>
      <c r="BB3" s="17"/>
      <c r="BC3" s="17"/>
      <c r="BD3" s="17"/>
      <c r="BF3" s="5"/>
      <c r="BG3" s="5"/>
      <c r="BH3" s="5"/>
    </row>
    <row r="4" spans="1:60" x14ac:dyDescent="0.25">
      <c r="A4" s="1">
        <v>2002</v>
      </c>
      <c r="B4" s="11" t="b">
        <v>1</v>
      </c>
      <c r="C4" s="11" t="b">
        <v>1</v>
      </c>
      <c r="D4" s="1" t="s">
        <v>381</v>
      </c>
      <c r="E4" s="5">
        <f t="shared" si="0"/>
        <v>1.0651315789473685</v>
      </c>
      <c r="F4" s="21">
        <v>0.5</v>
      </c>
      <c r="G4" s="21" t="s">
        <v>222</v>
      </c>
      <c r="H4" s="20" t="s">
        <v>108</v>
      </c>
      <c r="I4" s="21">
        <v>0.2</v>
      </c>
      <c r="J4" s="21">
        <f t="shared" si="1"/>
        <v>10</v>
      </c>
      <c r="K4" s="21">
        <f t="shared" si="2"/>
        <v>10</v>
      </c>
      <c r="L4" s="22">
        <v>60</v>
      </c>
      <c r="M4" s="17" t="s">
        <v>123</v>
      </c>
      <c r="N4" s="17"/>
      <c r="O4" s="17"/>
      <c r="P4" s="17"/>
      <c r="R4" s="5"/>
      <c r="S4" s="5"/>
      <c r="T4" s="5"/>
      <c r="V4" s="17"/>
      <c r="W4" s="17"/>
      <c r="X4" s="17"/>
      <c r="Z4" s="5"/>
      <c r="AA4" s="5"/>
      <c r="AB4" s="5"/>
      <c r="AD4" s="17"/>
      <c r="AE4" s="17"/>
      <c r="AF4" s="17"/>
      <c r="AH4" s="5"/>
      <c r="AI4" s="5"/>
      <c r="AJ4" s="5"/>
      <c r="AL4" s="17"/>
      <c r="AM4" s="17"/>
      <c r="AN4" s="17"/>
      <c r="AP4" s="5"/>
      <c r="AQ4" s="5"/>
      <c r="AR4" s="5"/>
      <c r="AT4" s="17"/>
      <c r="AU4" s="17"/>
      <c r="AV4" s="17"/>
      <c r="AX4" s="5"/>
      <c r="AY4" s="5"/>
      <c r="AZ4" s="5"/>
      <c r="BB4" s="17"/>
      <c r="BC4" s="17"/>
      <c r="BD4" s="17"/>
      <c r="BF4" s="5"/>
      <c r="BG4" s="5"/>
      <c r="BH4" s="5"/>
    </row>
    <row r="5" spans="1:60" x14ac:dyDescent="0.25">
      <c r="A5" s="1">
        <v>2003</v>
      </c>
      <c r="B5" s="11" t="b">
        <v>1</v>
      </c>
      <c r="C5" s="11" t="b">
        <v>1</v>
      </c>
      <c r="D5" s="1" t="s">
        <v>382</v>
      </c>
      <c r="E5" s="5">
        <f t="shared" si="0"/>
        <v>1.0651315789473685</v>
      </c>
      <c r="F5" s="21">
        <v>0.5</v>
      </c>
      <c r="G5" s="21" t="s">
        <v>222</v>
      </c>
      <c r="H5" s="20" t="s">
        <v>108</v>
      </c>
      <c r="I5" s="21">
        <v>-0.2</v>
      </c>
      <c r="J5" s="21">
        <f t="shared" si="1"/>
        <v>10</v>
      </c>
      <c r="K5" s="21">
        <f t="shared" si="2"/>
        <v>10</v>
      </c>
      <c r="L5" s="22">
        <v>60</v>
      </c>
      <c r="M5" s="17" t="s">
        <v>123</v>
      </c>
      <c r="N5" s="17"/>
      <c r="O5" s="17"/>
      <c r="P5" s="17"/>
      <c r="R5" s="5"/>
      <c r="S5" s="5"/>
      <c r="T5" s="5"/>
      <c r="V5" s="17"/>
      <c r="W5" s="17"/>
      <c r="X5" s="17"/>
      <c r="Z5" s="5"/>
      <c r="AA5" s="5"/>
      <c r="AB5" s="5"/>
      <c r="AD5" s="17"/>
      <c r="AE5" s="17"/>
      <c r="AF5" s="17"/>
      <c r="AH5" s="5"/>
      <c r="AI5" s="5"/>
      <c r="AJ5" s="5"/>
      <c r="AL5" s="17"/>
      <c r="AM5" s="17"/>
      <c r="AN5" s="17"/>
      <c r="AP5" s="5"/>
      <c r="AQ5" s="5"/>
      <c r="AR5" s="5"/>
      <c r="AT5" s="17"/>
      <c r="AU5" s="17"/>
      <c r="AV5" s="17"/>
      <c r="AX5" s="5"/>
      <c r="AY5" s="5"/>
      <c r="AZ5" s="5"/>
      <c r="BB5" s="17"/>
      <c r="BC5" s="17"/>
      <c r="BD5" s="17"/>
      <c r="BF5" s="5"/>
      <c r="BG5" s="5"/>
      <c r="BH5" s="5"/>
    </row>
    <row r="6" spans="1:60" x14ac:dyDescent="0.25">
      <c r="A6" s="1">
        <v>2004</v>
      </c>
      <c r="B6" s="11" t="b">
        <v>1</v>
      </c>
      <c r="C6" s="11" t="b">
        <v>1</v>
      </c>
      <c r="D6" s="1" t="s">
        <v>383</v>
      </c>
      <c r="E6" s="5">
        <f t="shared" si="0"/>
        <v>1.0651315789473685</v>
      </c>
      <c r="F6" s="21">
        <v>1</v>
      </c>
      <c r="G6" s="21" t="s">
        <v>222</v>
      </c>
      <c r="H6" s="20" t="s">
        <v>108</v>
      </c>
      <c r="I6" s="21">
        <v>0.33</v>
      </c>
      <c r="J6" s="21">
        <f t="shared" si="1"/>
        <v>10</v>
      </c>
      <c r="K6" s="21">
        <f t="shared" si="2"/>
        <v>10</v>
      </c>
      <c r="L6" s="22">
        <v>60</v>
      </c>
      <c r="M6" s="17" t="s">
        <v>123</v>
      </c>
      <c r="N6" s="17"/>
      <c r="O6" s="17"/>
      <c r="P6" s="17"/>
      <c r="R6" s="5"/>
      <c r="S6" s="5"/>
      <c r="T6" s="5"/>
      <c r="V6" s="17"/>
      <c r="W6" s="17"/>
      <c r="X6" s="17"/>
      <c r="Z6" s="5"/>
      <c r="AA6" s="5"/>
      <c r="AB6" s="5"/>
      <c r="AD6" s="17"/>
      <c r="AE6" s="17"/>
      <c r="AF6" s="17"/>
      <c r="AH6" s="5"/>
      <c r="AI6" s="5"/>
      <c r="AJ6" s="5"/>
      <c r="AL6" s="17"/>
      <c r="AM6" s="17"/>
      <c r="AN6" s="17"/>
      <c r="AP6" s="5"/>
      <c r="AQ6" s="5"/>
      <c r="AR6" s="5"/>
      <c r="AT6" s="17"/>
      <c r="AU6" s="17"/>
      <c r="AV6" s="17"/>
      <c r="AX6" s="5"/>
      <c r="AY6" s="5"/>
      <c r="AZ6" s="5"/>
      <c r="BB6" s="17"/>
      <c r="BC6" s="17"/>
      <c r="BD6" s="17"/>
      <c r="BF6" s="5"/>
      <c r="BG6" s="5"/>
      <c r="BH6" s="5"/>
    </row>
    <row r="7" spans="1:60" x14ac:dyDescent="0.25">
      <c r="A7" s="1">
        <v>2005</v>
      </c>
      <c r="B7" s="11" t="b">
        <v>1</v>
      </c>
      <c r="C7" s="11" t="b">
        <v>1</v>
      </c>
      <c r="D7" s="1" t="s">
        <v>384</v>
      </c>
      <c r="E7" s="5">
        <f t="shared" si="0"/>
        <v>1.0651315789473685</v>
      </c>
      <c r="F7" s="21">
        <v>1</v>
      </c>
      <c r="G7" s="21" t="s">
        <v>222</v>
      </c>
      <c r="H7" s="20" t="s">
        <v>108</v>
      </c>
      <c r="I7" s="21">
        <v>-0.33</v>
      </c>
      <c r="J7" s="21">
        <f t="shared" si="1"/>
        <v>10</v>
      </c>
      <c r="K7" s="21">
        <f t="shared" si="2"/>
        <v>10</v>
      </c>
      <c r="L7" s="22">
        <v>60</v>
      </c>
      <c r="M7" s="17" t="s">
        <v>123</v>
      </c>
      <c r="N7" s="17"/>
      <c r="O7" s="17"/>
      <c r="P7" s="17"/>
      <c r="R7" s="5"/>
      <c r="S7" s="5"/>
      <c r="T7" s="5"/>
      <c r="V7" s="17"/>
      <c r="W7" s="17"/>
      <c r="X7" s="17"/>
      <c r="Z7" s="5"/>
      <c r="AA7" s="5"/>
      <c r="AB7" s="5"/>
      <c r="AD7" s="17"/>
      <c r="AE7" s="17"/>
      <c r="AF7" s="17"/>
      <c r="AH7" s="5"/>
      <c r="AI7" s="5"/>
      <c r="AJ7" s="5"/>
      <c r="AL7" s="17"/>
      <c r="AM7" s="17"/>
      <c r="AN7" s="17"/>
      <c r="AP7" s="5"/>
      <c r="AQ7" s="5"/>
      <c r="AR7" s="5"/>
      <c r="AT7" s="17"/>
      <c r="AU7" s="17"/>
      <c r="AV7" s="17"/>
      <c r="AX7" s="5"/>
      <c r="AY7" s="5"/>
      <c r="AZ7" s="5"/>
      <c r="BB7" s="17"/>
      <c r="BC7" s="17"/>
      <c r="BD7" s="17"/>
      <c r="BF7" s="5"/>
      <c r="BG7" s="5"/>
      <c r="BH7" s="5"/>
    </row>
    <row r="8" spans="1:60" x14ac:dyDescent="0.25">
      <c r="A8" s="1">
        <v>2006</v>
      </c>
      <c r="B8" s="11" t="b">
        <v>1</v>
      </c>
      <c r="C8" s="11" t="b">
        <v>1</v>
      </c>
      <c r="D8" s="1" t="s">
        <v>385</v>
      </c>
      <c r="E8" s="5">
        <f t="shared" si="0"/>
        <v>1.0651315789473685</v>
      </c>
      <c r="F8" s="21">
        <v>1</v>
      </c>
      <c r="G8" s="21" t="s">
        <v>222</v>
      </c>
      <c r="H8" s="20" t="s">
        <v>108</v>
      </c>
      <c r="I8" s="21">
        <v>0</v>
      </c>
      <c r="J8" s="21">
        <f t="shared" si="1"/>
        <v>10</v>
      </c>
      <c r="K8" s="21">
        <f t="shared" si="2"/>
        <v>10</v>
      </c>
      <c r="L8" s="22">
        <v>60</v>
      </c>
      <c r="M8" s="17" t="s">
        <v>123</v>
      </c>
      <c r="N8" s="17"/>
      <c r="O8" s="17"/>
      <c r="P8" s="17"/>
      <c r="R8" s="5"/>
      <c r="S8" s="5"/>
      <c r="T8" s="5"/>
      <c r="V8" s="17"/>
      <c r="W8" s="17"/>
      <c r="X8" s="17"/>
      <c r="Z8" s="5"/>
      <c r="AA8" s="5"/>
      <c r="AB8" s="5"/>
      <c r="AD8" s="17"/>
      <c r="AE8" s="17"/>
      <c r="AF8" s="17"/>
      <c r="AH8" s="5"/>
      <c r="AI8" s="5"/>
      <c r="AJ8" s="5"/>
      <c r="AL8" s="17"/>
      <c r="AM8" s="17"/>
      <c r="AN8" s="17"/>
      <c r="AP8" s="5"/>
      <c r="AQ8" s="5"/>
      <c r="AR8" s="5"/>
      <c r="AT8" s="17"/>
      <c r="AU8" s="17"/>
      <c r="AV8" s="17"/>
      <c r="AX8" s="5"/>
      <c r="AY8" s="5"/>
      <c r="AZ8" s="5"/>
      <c r="BB8" s="17"/>
      <c r="BC8" s="17"/>
      <c r="BD8" s="17"/>
      <c r="BF8" s="5"/>
      <c r="BG8" s="5"/>
      <c r="BH8" s="5"/>
    </row>
    <row r="9" spans="1:60" x14ac:dyDescent="0.25">
      <c r="A9" s="1">
        <v>2007</v>
      </c>
      <c r="B9" s="11" t="b">
        <v>1</v>
      </c>
      <c r="C9" s="11" t="b">
        <v>1</v>
      </c>
      <c r="D9" s="1" t="s">
        <v>386</v>
      </c>
      <c r="E9" s="5">
        <f t="shared" si="0"/>
        <v>1.0651315789473685</v>
      </c>
      <c r="F9" s="24">
        <v>0.5</v>
      </c>
      <c r="G9" s="21" t="s">
        <v>222</v>
      </c>
      <c r="H9" s="20" t="s">
        <v>108</v>
      </c>
      <c r="I9" s="24">
        <v>0</v>
      </c>
      <c r="J9" s="21">
        <f t="shared" si="1"/>
        <v>10</v>
      </c>
      <c r="K9" s="21">
        <f t="shared" si="2"/>
        <v>10</v>
      </c>
      <c r="L9" s="22">
        <v>20</v>
      </c>
      <c r="M9" s="17" t="s">
        <v>109</v>
      </c>
      <c r="N9" s="17">
        <v>0</v>
      </c>
      <c r="O9" s="17">
        <v>0.7</v>
      </c>
      <c r="P9" s="17">
        <v>0</v>
      </c>
      <c r="Q9" s="1" t="s">
        <v>109</v>
      </c>
      <c r="R9" s="5">
        <v>10</v>
      </c>
      <c r="S9" s="5">
        <v>0.5</v>
      </c>
      <c r="T9" s="5"/>
      <c r="V9" s="17"/>
      <c r="W9" s="17"/>
      <c r="X9" s="17"/>
      <c r="Z9" s="5"/>
      <c r="AA9" s="5"/>
      <c r="AB9" s="5"/>
      <c r="AD9" s="17"/>
      <c r="AE9" s="17"/>
      <c r="AF9" s="17"/>
      <c r="AH9" s="5"/>
      <c r="AI9" s="5"/>
      <c r="AJ9" s="5"/>
      <c r="AL9" s="17"/>
      <c r="AM9" s="17"/>
      <c r="AN9" s="17"/>
      <c r="AP9" s="5"/>
      <c r="AQ9" s="5"/>
      <c r="AR9" s="5"/>
      <c r="AT9" s="17"/>
      <c r="AU9" s="17"/>
      <c r="AV9" s="17"/>
      <c r="AX9" s="5"/>
      <c r="AY9" s="5"/>
      <c r="AZ9" s="5"/>
      <c r="BB9" s="17"/>
      <c r="BC9" s="17"/>
      <c r="BD9" s="17"/>
      <c r="BF9" s="5"/>
      <c r="BG9" s="5"/>
      <c r="BH9" s="5"/>
    </row>
    <row r="10" spans="1:60" x14ac:dyDescent="0.25">
      <c r="A10" s="1">
        <v>2008</v>
      </c>
      <c r="B10" s="11" t="b">
        <v>1</v>
      </c>
      <c r="C10" s="11" t="b">
        <v>1</v>
      </c>
      <c r="D10" s="1" t="s">
        <v>387</v>
      </c>
      <c r="E10" s="5">
        <f t="shared" si="0"/>
        <v>1.0651315789473685</v>
      </c>
      <c r="F10" s="24">
        <v>1</v>
      </c>
      <c r="G10" s="21" t="s">
        <v>222</v>
      </c>
      <c r="H10" s="20" t="s">
        <v>108</v>
      </c>
      <c r="I10" s="24">
        <v>0</v>
      </c>
      <c r="J10" s="21">
        <f>inp_scr_min</f>
        <v>10</v>
      </c>
      <c r="K10" s="21">
        <f>inp_xr_min</f>
        <v>10</v>
      </c>
      <c r="L10" s="22">
        <v>20</v>
      </c>
      <c r="M10" s="17" t="s">
        <v>114</v>
      </c>
      <c r="N10" s="17">
        <v>0</v>
      </c>
      <c r="O10" s="17">
        <v>0.1</v>
      </c>
      <c r="P10" s="17"/>
      <c r="Q10" s="5" t="s">
        <v>114</v>
      </c>
      <c r="R10" s="5">
        <v>5</v>
      </c>
      <c r="S10" s="5">
        <v>0.2</v>
      </c>
      <c r="T10" s="94"/>
      <c r="U10" s="17" t="s">
        <v>114</v>
      </c>
      <c r="V10" s="17">
        <v>10</v>
      </c>
      <c r="W10" s="17">
        <v>-0.1</v>
      </c>
      <c r="X10" s="17"/>
      <c r="Y10" s="5" t="s">
        <v>114</v>
      </c>
      <c r="Z10" s="21">
        <v>15</v>
      </c>
      <c r="AA10" s="5">
        <v>0</v>
      </c>
      <c r="AB10" s="5"/>
      <c r="AD10" s="17"/>
      <c r="AE10" s="17"/>
      <c r="AF10" s="17"/>
      <c r="AH10" s="5"/>
      <c r="AI10" s="5"/>
      <c r="AJ10" s="5"/>
      <c r="AL10" s="17"/>
      <c r="AM10" s="17"/>
      <c r="AN10" s="17"/>
      <c r="AP10" s="5"/>
      <c r="AQ10" s="5"/>
      <c r="AR10" s="5"/>
      <c r="AT10" s="17"/>
      <c r="AU10" s="17"/>
      <c r="AV10" s="17"/>
      <c r="AX10" s="5"/>
      <c r="AY10" s="5"/>
      <c r="AZ10" s="5"/>
      <c r="BB10" s="17"/>
      <c r="BC10" s="17"/>
      <c r="BD10" s="17"/>
      <c r="BF10" s="5"/>
      <c r="BG10" s="5"/>
      <c r="BH10" s="5"/>
    </row>
    <row r="11" spans="1:60" x14ac:dyDescent="0.25">
      <c r="A11" s="1">
        <v>2009</v>
      </c>
      <c r="B11" s="11" t="b">
        <v>1</v>
      </c>
      <c r="C11" s="11" t="b">
        <v>1</v>
      </c>
      <c r="D11" s="1" t="s">
        <v>388</v>
      </c>
      <c r="E11" s="5">
        <f t="shared" si="0"/>
        <v>1.0651315789473685</v>
      </c>
      <c r="F11" s="24">
        <v>1</v>
      </c>
      <c r="G11" s="21" t="s">
        <v>222</v>
      </c>
      <c r="H11" s="20" t="s">
        <v>108</v>
      </c>
      <c r="I11" s="24">
        <v>0</v>
      </c>
      <c r="J11" s="21">
        <v>-1</v>
      </c>
      <c r="K11" s="21">
        <v>0</v>
      </c>
      <c r="L11" s="22">
        <v>20</v>
      </c>
      <c r="M11" s="17" t="s">
        <v>111</v>
      </c>
      <c r="N11" s="17">
        <v>0</v>
      </c>
      <c r="O11" s="17">
        <f>sel_uq_q0_umax</f>
        <v>1.1180000000000001</v>
      </c>
      <c r="P11" s="17"/>
      <c r="Q11" s="5" t="s">
        <v>111</v>
      </c>
      <c r="R11" s="5">
        <v>5</v>
      </c>
      <c r="S11" s="5">
        <f>inp_Uc/inp_Un</f>
        <v>1.0651315789473685</v>
      </c>
      <c r="T11" s="5"/>
      <c r="U11" s="17" t="s">
        <v>111</v>
      </c>
      <c r="V11" s="17">
        <v>10</v>
      </c>
      <c r="W11" s="17">
        <f>sel_uq_q0_umin</f>
        <v>0.96799999999999997</v>
      </c>
      <c r="X11" s="17"/>
      <c r="Y11" s="5" t="s">
        <v>111</v>
      </c>
      <c r="Z11" s="5">
        <v>15</v>
      </c>
      <c r="AA11" s="5">
        <f>inp_Uc/inp_Un</f>
        <v>1.0651315789473685</v>
      </c>
      <c r="AB11" s="5"/>
      <c r="AD11" s="17"/>
      <c r="AE11" s="17"/>
      <c r="AF11" s="17"/>
      <c r="AH11" s="5"/>
      <c r="AI11" s="5"/>
      <c r="AJ11" s="5"/>
      <c r="AL11" s="17"/>
      <c r="AM11" s="17"/>
      <c r="AN11" s="17"/>
      <c r="AP11" s="5"/>
      <c r="AQ11" s="5"/>
      <c r="AR11" s="5"/>
      <c r="AT11" s="17"/>
      <c r="AU11" s="17"/>
      <c r="AV11" s="17"/>
      <c r="AX11" s="5"/>
      <c r="AY11" s="5"/>
      <c r="AZ11" s="5"/>
      <c r="BB11" s="17"/>
      <c r="BC11" s="17"/>
      <c r="BD11" s="17"/>
      <c r="BF11" s="5"/>
      <c r="BG11" s="5"/>
      <c r="BH11" s="5"/>
    </row>
    <row r="12" spans="1:60" x14ac:dyDescent="0.25">
      <c r="A12" s="1">
        <v>2010</v>
      </c>
      <c r="B12" s="11" t="b">
        <v>1</v>
      </c>
      <c r="C12" s="11" t="b">
        <v>1</v>
      </c>
      <c r="D12" s="1" t="s">
        <v>389</v>
      </c>
      <c r="E12" s="5">
        <f t="shared" si="0"/>
        <v>1.0651315789473685</v>
      </c>
      <c r="F12" s="24">
        <v>0.7</v>
      </c>
      <c r="G12" s="21" t="s">
        <v>222</v>
      </c>
      <c r="H12" s="20" t="s">
        <v>108</v>
      </c>
      <c r="I12" s="24">
        <v>0</v>
      </c>
      <c r="J12" s="21">
        <f>inp_scr_min</f>
        <v>10</v>
      </c>
      <c r="K12" s="21">
        <f>inp_xr_min</f>
        <v>10</v>
      </c>
      <c r="L12" s="22">
        <v>100</v>
      </c>
      <c r="M12" s="17" t="s">
        <v>110</v>
      </c>
      <c r="N12" s="17">
        <v>0</v>
      </c>
      <c r="O12" s="17">
        <v>51.5</v>
      </c>
      <c r="P12" s="17"/>
      <c r="Q12" s="5" t="s">
        <v>110</v>
      </c>
      <c r="R12" s="5">
        <v>20</v>
      </c>
      <c r="S12" s="5">
        <v>50</v>
      </c>
      <c r="T12" s="5"/>
      <c r="U12" s="17" t="s">
        <v>110</v>
      </c>
      <c r="V12" s="17">
        <v>40</v>
      </c>
      <c r="W12" s="17">
        <v>48.5</v>
      </c>
      <c r="X12" s="17"/>
      <c r="Y12" s="5" t="s">
        <v>110</v>
      </c>
      <c r="Z12" s="21">
        <v>60</v>
      </c>
      <c r="AA12" s="5">
        <v>47.5</v>
      </c>
      <c r="AB12" s="5"/>
      <c r="AC12" s="17" t="s">
        <v>110</v>
      </c>
      <c r="AD12" s="17">
        <v>80</v>
      </c>
      <c r="AE12" s="17">
        <v>50</v>
      </c>
      <c r="AF12" s="17"/>
      <c r="AH12" s="5"/>
      <c r="AI12" s="5"/>
      <c r="AJ12" s="5"/>
      <c r="AL12" s="17"/>
      <c r="AM12" s="17"/>
      <c r="AN12" s="17"/>
      <c r="AP12" s="5"/>
      <c r="AQ12" s="5"/>
      <c r="AR12" s="5"/>
      <c r="AT12" s="17"/>
      <c r="AU12" s="17"/>
      <c r="AV12" s="17"/>
      <c r="AX12" s="5"/>
      <c r="AY12" s="5"/>
      <c r="AZ12" s="5"/>
      <c r="BB12" s="17"/>
      <c r="BC12" s="17"/>
      <c r="BD12" s="17"/>
      <c r="BF12" s="5"/>
      <c r="BG12" s="5"/>
      <c r="BH12" s="5"/>
    </row>
    <row r="13" spans="1:60" x14ac:dyDescent="0.25">
      <c r="A13" s="1">
        <v>2011</v>
      </c>
      <c r="B13" s="11" t="b">
        <v>1</v>
      </c>
      <c r="C13" s="11" t="b">
        <v>1</v>
      </c>
      <c r="D13" s="1" t="s">
        <v>390</v>
      </c>
      <c r="E13" s="5">
        <f t="shared" si="0"/>
        <v>1.0651315789473685</v>
      </c>
      <c r="F13" s="24">
        <v>1</v>
      </c>
      <c r="G13" s="21" t="s">
        <v>222</v>
      </c>
      <c r="H13" s="20" t="s">
        <v>108</v>
      </c>
      <c r="I13" s="24">
        <v>0</v>
      </c>
      <c r="J13" s="21">
        <v>-1</v>
      </c>
      <c r="K13" s="21">
        <v>0</v>
      </c>
      <c r="L13" s="22">
        <v>20</v>
      </c>
      <c r="M13" s="17" t="s">
        <v>111</v>
      </c>
      <c r="N13" s="17">
        <v>0</v>
      </c>
      <c r="O13" s="17">
        <f>sel_ures</f>
        <v>0</v>
      </c>
      <c r="P13" s="17">
        <v>0</v>
      </c>
      <c r="Q13" s="5" t="s">
        <v>111</v>
      </c>
      <c r="R13" s="5">
        <f>sel_tclear-0.0002</f>
        <v>0.14979999999999999</v>
      </c>
      <c r="S13" s="5">
        <f>sel_uclear</f>
        <v>0</v>
      </c>
      <c r="T13" s="5">
        <f>IF(sel_trec1&gt;sel_tclear,(sel_urec1-sel_uclear)/(sel_trec1-sel_tclear),0)</f>
        <v>0</v>
      </c>
      <c r="U13" s="17" t="s">
        <v>111</v>
      </c>
      <c r="V13" s="17">
        <f>sel_trec1-0.0001</f>
        <v>0.14990000000000001</v>
      </c>
      <c r="W13" s="17">
        <f>sel_urec1</f>
        <v>0</v>
      </c>
      <c r="X13" s="17">
        <v>0</v>
      </c>
      <c r="Y13" s="5" t="s">
        <v>111</v>
      </c>
      <c r="Z13" s="5">
        <f>sel_trec2</f>
        <v>0.15</v>
      </c>
      <c r="AA13" s="5">
        <f>sel_urec1</f>
        <v>0</v>
      </c>
      <c r="AB13" s="5">
        <f>IF(sel_trec3&gt;sel_trec2,(sel_urec2-sel_urec1)/(sel_trec3-sel_trec2),0)</f>
        <v>0.62962962962962954</v>
      </c>
      <c r="AC13" s="17" t="s">
        <v>111</v>
      </c>
      <c r="AD13" s="17">
        <f>sel_trec3</f>
        <v>1.5</v>
      </c>
      <c r="AE13" s="17">
        <f>sel_urec2</f>
        <v>0.85</v>
      </c>
      <c r="AF13" s="17">
        <v>0</v>
      </c>
      <c r="AG13" s="5"/>
      <c r="AH13" s="5"/>
      <c r="AI13" s="5"/>
      <c r="AJ13" s="5"/>
      <c r="AK13" s="17"/>
      <c r="AL13" s="17"/>
      <c r="AM13" s="17"/>
      <c r="AN13" s="17"/>
      <c r="AO13" s="5"/>
      <c r="AP13" s="5"/>
      <c r="AQ13" s="5"/>
      <c r="AR13" s="5"/>
      <c r="AS13" s="17"/>
      <c r="AT13" s="17"/>
      <c r="AU13" s="17"/>
      <c r="AV13" s="17"/>
      <c r="AW13" s="5"/>
      <c r="AX13" s="5"/>
      <c r="AY13" s="5"/>
      <c r="AZ13" s="5"/>
      <c r="BA13" s="17"/>
      <c r="BB13" s="17"/>
      <c r="BC13" s="17"/>
      <c r="BD13" s="17"/>
      <c r="BE13" s="5"/>
      <c r="BF13" s="5"/>
      <c r="BG13" s="5"/>
      <c r="BH13" s="5"/>
    </row>
    <row r="14" spans="1:60" x14ac:dyDescent="0.25">
      <c r="A14" s="1">
        <v>2012</v>
      </c>
      <c r="B14" s="11" t="b">
        <v>1</v>
      </c>
      <c r="C14" s="11" t="b">
        <v>1</v>
      </c>
      <c r="D14" s="1" t="s">
        <v>391</v>
      </c>
      <c r="E14" s="5">
        <f t="shared" si="0"/>
        <v>1.0651315789473685</v>
      </c>
      <c r="F14" s="24">
        <v>1</v>
      </c>
      <c r="G14" s="21" t="s">
        <v>222</v>
      </c>
      <c r="H14" s="20" t="s">
        <v>108</v>
      </c>
      <c r="I14" s="24">
        <v>0</v>
      </c>
      <c r="J14" s="21">
        <v>-1</v>
      </c>
      <c r="K14" s="21">
        <v>0</v>
      </c>
      <c r="L14" s="22">
        <v>50</v>
      </c>
      <c r="M14" s="17" t="s">
        <v>111</v>
      </c>
      <c r="N14" s="17">
        <v>0</v>
      </c>
      <c r="O14" s="17">
        <f>sel_u1</f>
        <v>1.3</v>
      </c>
      <c r="P14" s="17"/>
      <c r="Q14" s="5" t="s">
        <v>111</v>
      </c>
      <c r="R14" s="5">
        <f>sel_t1</f>
        <v>0.1</v>
      </c>
      <c r="S14" s="5">
        <f>sel_u2</f>
        <v>1.2</v>
      </c>
      <c r="T14" s="5"/>
      <c r="U14" s="17" t="s">
        <v>111</v>
      </c>
      <c r="V14" s="17">
        <f>sel_t2</f>
        <v>30</v>
      </c>
      <c r="W14" s="17">
        <f>sel_60min_umax</f>
        <v>1.1499999999999999</v>
      </c>
      <c r="X14" s="17"/>
      <c r="Y14" s="5"/>
      <c r="Z14" s="21"/>
      <c r="AA14" s="5"/>
      <c r="AB14" s="5"/>
      <c r="AC14" s="17"/>
      <c r="AD14" s="17"/>
      <c r="AE14" s="17"/>
      <c r="AF14" s="17"/>
      <c r="AG14" s="5"/>
      <c r="AH14" s="5"/>
      <c r="AI14" s="5"/>
      <c r="AJ14" s="5"/>
      <c r="AK14" s="17"/>
      <c r="AL14" s="17"/>
      <c r="AM14" s="17"/>
      <c r="AN14" s="17"/>
      <c r="AO14" s="5"/>
      <c r="AP14" s="5"/>
      <c r="AQ14" s="5"/>
      <c r="AR14" s="5"/>
      <c r="AS14" s="17"/>
      <c r="AT14" s="17"/>
      <c r="AU14" s="17"/>
      <c r="AV14" s="17"/>
      <c r="AW14" s="5"/>
      <c r="AX14" s="5"/>
      <c r="AY14" s="5"/>
      <c r="AZ14" s="5"/>
      <c r="BA14" s="17"/>
      <c r="BB14" s="17"/>
      <c r="BC14" s="17"/>
      <c r="BD14" s="17"/>
      <c r="BE14" s="5"/>
      <c r="BF14" s="5"/>
      <c r="BG14" s="5"/>
      <c r="BH14" s="5"/>
    </row>
    <row r="15" spans="1:60" x14ac:dyDescent="0.25">
      <c r="A15" s="1">
        <v>2013</v>
      </c>
      <c r="B15" s="11" t="b">
        <v>1</v>
      </c>
      <c r="C15" s="11" t="b">
        <v>1</v>
      </c>
      <c r="D15" s="1" t="s">
        <v>392</v>
      </c>
      <c r="E15" s="5">
        <f t="shared" si="0"/>
        <v>1.0651315789473685</v>
      </c>
      <c r="F15" s="24">
        <v>1</v>
      </c>
      <c r="G15" s="21" t="s">
        <v>222</v>
      </c>
      <c r="H15" s="20" t="s">
        <v>108</v>
      </c>
      <c r="I15" s="24">
        <v>0</v>
      </c>
      <c r="J15" s="21">
        <f t="shared" ref="J15:J30" si="3">inp_scr_min</f>
        <v>10</v>
      </c>
      <c r="K15" s="21">
        <f t="shared" ref="K15:K30" si="4">inp_xr_min</f>
        <v>10</v>
      </c>
      <c r="L15" s="22">
        <v>12</v>
      </c>
      <c r="M15" s="17" t="s">
        <v>118</v>
      </c>
      <c r="N15" s="17">
        <v>0</v>
      </c>
      <c r="O15" s="87">
        <f>sel_ures</f>
        <v>0</v>
      </c>
      <c r="P15" s="17">
        <f>IF(O15&lt;sel_ures,0,
IF(AND(sel_uclear&gt;=O15, O15&gt;=sel_ures),sel_tclear,
IF(AND(sel_urec1&gt;=O15,O15&gt;sel_uclear),IF(sel_urec1&gt;sel_uclear,sel_tclear+(O15-sel_uclear)*(sel_trec1-sel_tclear)/(sel_urec1-sel_uclear),sel_tclear),
IF(AND(sel_urec2&gt;=O15,O15&gt;sel_urec1),IF(sel_urec2&gt;sel_urec1,sel_trec2+(O15-sel_urec1)*(sel_trec3-sel_trec2)/(sel_urec2-sel_urec1),-99999),5
))))</f>
        <v>0.15</v>
      </c>
      <c r="Q15" s="5"/>
      <c r="R15" s="5"/>
      <c r="S15" s="5"/>
      <c r="T15" s="5"/>
      <c r="U15" s="17"/>
      <c r="V15" s="17"/>
      <c r="W15" s="17"/>
      <c r="X15" s="17"/>
      <c r="Y15" s="5"/>
      <c r="Z15" s="21"/>
      <c r="AA15" s="5"/>
      <c r="AB15" s="5"/>
      <c r="AC15" s="17"/>
      <c r="AD15" s="17"/>
      <c r="AE15" s="17"/>
      <c r="AF15" s="17"/>
      <c r="AG15" s="5"/>
      <c r="AH15" s="5"/>
      <c r="AI15" s="5"/>
      <c r="AJ15" s="5"/>
      <c r="AK15" s="17"/>
      <c r="AL15" s="17"/>
      <c r="AM15" s="17"/>
      <c r="AN15" s="17"/>
      <c r="AO15" s="5"/>
      <c r="AP15" s="5"/>
      <c r="AQ15" s="5"/>
      <c r="AR15" s="5"/>
      <c r="AS15" s="17"/>
      <c r="AT15" s="17"/>
      <c r="AU15" s="17"/>
      <c r="AV15" s="17"/>
      <c r="AW15" s="5"/>
      <c r="AX15" s="5"/>
      <c r="AY15" s="5"/>
      <c r="AZ15" s="5"/>
      <c r="BA15" s="17"/>
      <c r="BB15" s="17"/>
      <c r="BC15" s="17"/>
      <c r="BD15" s="17"/>
      <c r="BE15" s="5"/>
      <c r="BF15" s="5"/>
      <c r="BG15" s="5"/>
      <c r="BH15" s="5"/>
    </row>
    <row r="16" spans="1:60" x14ac:dyDescent="0.25">
      <c r="A16" s="1">
        <v>2014</v>
      </c>
      <c r="B16" s="11" t="b">
        <v>1</v>
      </c>
      <c r="C16" s="11" t="b">
        <v>1</v>
      </c>
      <c r="D16" s="1" t="s">
        <v>393</v>
      </c>
      <c r="E16" s="5">
        <f t="shared" si="0"/>
        <v>1.0651315789473685</v>
      </c>
      <c r="F16" s="24">
        <v>1</v>
      </c>
      <c r="G16" s="21" t="s">
        <v>222</v>
      </c>
      <c r="H16" s="20" t="s">
        <v>108</v>
      </c>
      <c r="I16" s="24">
        <v>0</v>
      </c>
      <c r="J16" s="21">
        <f t="shared" si="3"/>
        <v>10</v>
      </c>
      <c r="K16" s="21">
        <f t="shared" si="4"/>
        <v>10</v>
      </c>
      <c r="L16" s="22">
        <v>12</v>
      </c>
      <c r="M16" s="17" t="s">
        <v>118</v>
      </c>
      <c r="N16" s="17">
        <v>0</v>
      </c>
      <c r="O16" s="87">
        <v>0.2</v>
      </c>
      <c r="P16" s="17">
        <v>0.45</v>
      </c>
      <c r="Q16" s="5"/>
      <c r="R16" s="5"/>
      <c r="S16" s="5"/>
      <c r="T16" s="5"/>
      <c r="U16" s="17"/>
      <c r="V16" s="17"/>
      <c r="W16" s="17"/>
      <c r="X16" s="17"/>
      <c r="Y16" s="5"/>
      <c r="Z16" s="21"/>
      <c r="AA16" s="5"/>
      <c r="AB16" s="5"/>
      <c r="AC16" s="17"/>
      <c r="AD16" s="17"/>
      <c r="AE16" s="17"/>
      <c r="AF16" s="17"/>
      <c r="AG16" s="5"/>
      <c r="AH16" s="5"/>
      <c r="AI16" s="5"/>
      <c r="AJ16" s="5"/>
      <c r="AK16" s="17"/>
      <c r="AL16" s="17"/>
      <c r="AM16" s="17"/>
      <c r="AN16" s="17"/>
      <c r="AO16" s="5"/>
      <c r="AP16" s="5"/>
      <c r="AQ16" s="5"/>
      <c r="AR16" s="5"/>
      <c r="AS16" s="17"/>
      <c r="AT16" s="17"/>
      <c r="AU16" s="17"/>
      <c r="AV16" s="17"/>
      <c r="AW16" s="5"/>
      <c r="AX16" s="5"/>
      <c r="AY16" s="5"/>
      <c r="AZ16" s="5"/>
      <c r="BA16" s="17"/>
      <c r="BB16" s="17"/>
      <c r="BC16" s="17"/>
      <c r="BD16" s="17"/>
      <c r="BE16" s="5"/>
      <c r="BF16" s="5"/>
      <c r="BG16" s="5"/>
      <c r="BH16" s="5"/>
    </row>
    <row r="17" spans="1:60" x14ac:dyDescent="0.25">
      <c r="A17" s="1">
        <v>2015</v>
      </c>
      <c r="B17" s="11" t="b">
        <v>1</v>
      </c>
      <c r="C17" s="11" t="b">
        <v>1</v>
      </c>
      <c r="D17" s="1" t="s">
        <v>394</v>
      </c>
      <c r="E17" s="5">
        <f t="shared" si="0"/>
        <v>1.0651315789473685</v>
      </c>
      <c r="F17" s="24">
        <v>1</v>
      </c>
      <c r="G17" s="21" t="s">
        <v>222</v>
      </c>
      <c r="H17" s="20" t="s">
        <v>108</v>
      </c>
      <c r="I17" s="24">
        <v>0</v>
      </c>
      <c r="J17" s="21">
        <f t="shared" si="3"/>
        <v>10</v>
      </c>
      <c r="K17" s="21">
        <f t="shared" si="4"/>
        <v>10</v>
      </c>
      <c r="L17" s="22">
        <v>12</v>
      </c>
      <c r="M17" s="17" t="s">
        <v>118</v>
      </c>
      <c r="N17" s="17">
        <v>0</v>
      </c>
      <c r="O17" s="87">
        <v>0.4</v>
      </c>
      <c r="P17" s="17">
        <v>0.75</v>
      </c>
      <c r="Q17" s="5"/>
      <c r="R17" s="25"/>
      <c r="S17" s="25"/>
      <c r="T17" s="25"/>
      <c r="U17" s="17"/>
      <c r="V17" s="17"/>
      <c r="W17" s="17"/>
      <c r="X17" s="17"/>
      <c r="Y17" s="5"/>
      <c r="Z17" s="21"/>
      <c r="AA17" s="5"/>
      <c r="AB17" s="5"/>
      <c r="AC17" s="17"/>
      <c r="AD17" s="17"/>
      <c r="AE17" s="17"/>
      <c r="AF17" s="17"/>
      <c r="AG17" s="5"/>
      <c r="AH17" s="5"/>
      <c r="AI17" s="5"/>
      <c r="AJ17" s="5"/>
      <c r="AK17" s="17"/>
      <c r="AL17" s="17"/>
      <c r="AM17" s="17"/>
      <c r="AN17" s="17"/>
      <c r="AO17" s="5"/>
      <c r="AP17" s="5"/>
      <c r="AQ17" s="5"/>
      <c r="AR17" s="5"/>
      <c r="AS17" s="17"/>
      <c r="AT17" s="17"/>
      <c r="AU17" s="17"/>
      <c r="AV17" s="17"/>
      <c r="AW17" s="5"/>
      <c r="AX17" s="5"/>
      <c r="AY17" s="5"/>
      <c r="AZ17" s="5"/>
      <c r="BA17" s="17"/>
      <c r="BB17" s="17"/>
      <c r="BC17" s="17"/>
      <c r="BD17" s="17"/>
      <c r="BE17" s="5"/>
      <c r="BF17" s="5"/>
      <c r="BG17" s="5"/>
      <c r="BH17" s="5"/>
    </row>
    <row r="18" spans="1:60" x14ac:dyDescent="0.25">
      <c r="A18" s="1">
        <v>2016</v>
      </c>
      <c r="B18" s="11" t="b">
        <v>1</v>
      </c>
      <c r="C18" s="11" t="b">
        <v>1</v>
      </c>
      <c r="D18" s="1" t="s">
        <v>395</v>
      </c>
      <c r="E18" s="5">
        <f t="shared" si="0"/>
        <v>1.0651315789473685</v>
      </c>
      <c r="F18" s="24">
        <v>1</v>
      </c>
      <c r="G18" s="21" t="s">
        <v>222</v>
      </c>
      <c r="H18" s="20" t="s">
        <v>108</v>
      </c>
      <c r="I18" s="24">
        <v>0</v>
      </c>
      <c r="J18" s="21">
        <f t="shared" si="3"/>
        <v>10</v>
      </c>
      <c r="K18" s="21">
        <f t="shared" si="4"/>
        <v>10</v>
      </c>
      <c r="L18" s="22">
        <v>12</v>
      </c>
      <c r="M18" s="17" t="s">
        <v>118</v>
      </c>
      <c r="N18" s="17">
        <v>0</v>
      </c>
      <c r="O18" s="87">
        <v>0.8</v>
      </c>
      <c r="P18" s="17">
        <v>1.35</v>
      </c>
      <c r="Q18" s="5"/>
      <c r="R18" s="25"/>
      <c r="S18" s="25"/>
      <c r="T18" s="25"/>
      <c r="U18" s="17"/>
      <c r="V18" s="17"/>
      <c r="W18" s="17"/>
      <c r="X18" s="17"/>
      <c r="Y18" s="5"/>
      <c r="Z18" s="21"/>
      <c r="AA18" s="5"/>
      <c r="AB18" s="5"/>
      <c r="AC18" s="17"/>
      <c r="AD18" s="17"/>
      <c r="AE18" s="17"/>
      <c r="AF18" s="17"/>
      <c r="AG18" s="5"/>
      <c r="AH18" s="5"/>
      <c r="AI18" s="5"/>
      <c r="AJ18" s="5"/>
      <c r="AK18" s="17"/>
      <c r="AL18" s="17"/>
      <c r="AM18" s="17"/>
      <c r="AN18" s="17"/>
      <c r="AO18" s="5"/>
      <c r="AP18" s="5"/>
      <c r="AQ18" s="5"/>
      <c r="AR18" s="5"/>
      <c r="AS18" s="17"/>
      <c r="AT18" s="17"/>
      <c r="AU18" s="17"/>
      <c r="AV18" s="17"/>
      <c r="AW18" s="5"/>
      <c r="AX18" s="5"/>
      <c r="AY18" s="5"/>
      <c r="AZ18" s="5"/>
      <c r="BA18" s="17"/>
      <c r="BB18" s="17"/>
      <c r="BC18" s="17"/>
      <c r="BD18" s="17"/>
      <c r="BE18" s="5"/>
      <c r="BF18" s="5"/>
      <c r="BG18" s="5"/>
      <c r="BH18" s="5"/>
    </row>
    <row r="19" spans="1:60" x14ac:dyDescent="0.25">
      <c r="A19" s="1">
        <v>2017</v>
      </c>
      <c r="B19" s="11" t="b">
        <v>1</v>
      </c>
      <c r="C19" s="11" t="b">
        <v>1</v>
      </c>
      <c r="D19" s="1" t="s">
        <v>396</v>
      </c>
      <c r="E19" s="5">
        <f t="shared" si="0"/>
        <v>1.0651315789473685</v>
      </c>
      <c r="F19" s="24">
        <v>1</v>
      </c>
      <c r="G19" s="21" t="s">
        <v>222</v>
      </c>
      <c r="H19" s="20" t="s">
        <v>108</v>
      </c>
      <c r="I19" s="24">
        <v>0</v>
      </c>
      <c r="J19" s="21">
        <f t="shared" si="3"/>
        <v>10</v>
      </c>
      <c r="K19" s="21">
        <f t="shared" si="4"/>
        <v>10</v>
      </c>
      <c r="L19" s="22">
        <v>12</v>
      </c>
      <c r="M19" s="17" t="s">
        <v>119</v>
      </c>
      <c r="N19" s="17">
        <v>0</v>
      </c>
      <c r="O19" s="87">
        <f>sel_ures</f>
        <v>0</v>
      </c>
      <c r="P19" s="17">
        <f>IF(O19&lt;sel_ures,0,
IF(AND(sel_uclear&gt;=O19, O19&gt;=sel_ures),sel_tclear,
IF(AND(sel_urec1&gt;=O19,O19&gt;sel_uclear),IF(sel_urec1&gt;sel_uclear,sel_tclear+(O19-sel_uclear)*(sel_trec1-sel_tclear)/(sel_urec1-sel_uclear),sel_tclear),
IF(AND(sel_urec2&gt;=O19,O19&gt;sel_urec1),IF(sel_urec2&gt;sel_urec1,sel_trec2+(O19-sel_urec1)*(sel_trec3-sel_trec2)/(sel_urec2-sel_urec1),-99999),5
))))</f>
        <v>0.15</v>
      </c>
      <c r="Q19" s="5"/>
      <c r="R19" s="5"/>
      <c r="S19" s="5"/>
      <c r="T19" s="5"/>
      <c r="U19" s="17"/>
      <c r="V19" s="17"/>
      <c r="W19" s="17"/>
      <c r="X19" s="17"/>
      <c r="Y19" s="5"/>
      <c r="Z19" s="21"/>
      <c r="AA19" s="5"/>
      <c r="AB19" s="5"/>
      <c r="AC19" s="17"/>
      <c r="AD19" s="17"/>
      <c r="AE19" s="17"/>
      <c r="AF19" s="17"/>
      <c r="AG19" s="5"/>
      <c r="AH19" s="5"/>
      <c r="AI19" s="5"/>
      <c r="AJ19" s="5"/>
      <c r="AK19" s="17"/>
      <c r="AL19" s="17"/>
      <c r="AM19" s="17"/>
      <c r="AN19" s="17"/>
      <c r="AO19" s="5"/>
      <c r="AP19" s="5"/>
      <c r="AQ19" s="5"/>
      <c r="AR19" s="5"/>
      <c r="AS19" s="17"/>
      <c r="AT19" s="17"/>
      <c r="AU19" s="17"/>
      <c r="AV19" s="17"/>
      <c r="AW19" s="5"/>
      <c r="AX19" s="5"/>
      <c r="AY19" s="5"/>
      <c r="AZ19" s="5"/>
      <c r="BA19" s="17"/>
      <c r="BB19" s="17"/>
      <c r="BC19" s="17"/>
      <c r="BD19" s="17"/>
      <c r="BE19" s="5"/>
      <c r="BF19" s="5"/>
      <c r="BG19" s="5"/>
      <c r="BH19" s="5"/>
    </row>
    <row r="20" spans="1:60" x14ac:dyDescent="0.25">
      <c r="A20" s="1">
        <v>2018</v>
      </c>
      <c r="B20" s="11" t="b">
        <v>1</v>
      </c>
      <c r="C20" s="11" t="b">
        <v>1</v>
      </c>
      <c r="D20" s="1" t="s">
        <v>397</v>
      </c>
      <c r="E20" s="5">
        <f t="shared" si="0"/>
        <v>1.0651315789473685</v>
      </c>
      <c r="F20" s="24">
        <v>1</v>
      </c>
      <c r="G20" s="21" t="s">
        <v>222</v>
      </c>
      <c r="H20" s="20" t="s">
        <v>108</v>
      </c>
      <c r="I20" s="24">
        <v>0</v>
      </c>
      <c r="J20" s="21">
        <f t="shared" si="3"/>
        <v>10</v>
      </c>
      <c r="K20" s="21">
        <f t="shared" si="4"/>
        <v>10</v>
      </c>
      <c r="L20" s="22">
        <v>12</v>
      </c>
      <c r="M20" s="17" t="s">
        <v>119</v>
      </c>
      <c r="N20" s="17">
        <v>0</v>
      </c>
      <c r="O20" s="87">
        <v>0.2</v>
      </c>
      <c r="P20" s="17">
        <v>0.45</v>
      </c>
      <c r="Q20" s="5"/>
      <c r="R20" s="5"/>
      <c r="S20" s="5"/>
      <c r="T20" s="5"/>
      <c r="U20" s="17"/>
      <c r="V20" s="19"/>
      <c r="W20" s="19"/>
      <c r="X20" s="19"/>
      <c r="Y20" s="5"/>
      <c r="Z20" s="89"/>
      <c r="AA20" s="25"/>
      <c r="AB20" s="25"/>
      <c r="AC20" s="17"/>
      <c r="AD20" s="19"/>
      <c r="AE20" s="19"/>
      <c r="AF20" s="19"/>
      <c r="AG20" s="5"/>
      <c r="AH20" s="5"/>
      <c r="AI20" s="5"/>
      <c r="AJ20" s="5"/>
      <c r="AK20" s="17"/>
      <c r="AL20" s="17"/>
      <c r="AM20" s="17"/>
      <c r="AN20" s="17"/>
      <c r="AO20" s="5"/>
      <c r="AP20" s="5"/>
      <c r="AQ20" s="5"/>
      <c r="AR20" s="5"/>
      <c r="AS20" s="17"/>
      <c r="AT20" s="17"/>
      <c r="AU20" s="17"/>
      <c r="AV20" s="17"/>
      <c r="AW20" s="5"/>
      <c r="AX20" s="5"/>
      <c r="AY20" s="5"/>
      <c r="AZ20" s="5"/>
      <c r="BA20" s="17"/>
      <c r="BB20" s="17"/>
      <c r="BC20" s="17"/>
      <c r="BD20" s="17"/>
      <c r="BE20" s="5"/>
      <c r="BF20" s="5"/>
      <c r="BG20" s="5"/>
      <c r="BH20" s="5"/>
    </row>
    <row r="21" spans="1:60" x14ac:dyDescent="0.25">
      <c r="A21" s="1">
        <v>2019</v>
      </c>
      <c r="B21" s="11" t="b">
        <v>1</v>
      </c>
      <c r="C21" s="11" t="b">
        <v>1</v>
      </c>
      <c r="D21" s="1" t="s">
        <v>398</v>
      </c>
      <c r="E21" s="5">
        <f t="shared" si="0"/>
        <v>1.0651315789473685</v>
      </c>
      <c r="F21" s="24">
        <v>1</v>
      </c>
      <c r="G21" s="21" t="s">
        <v>222</v>
      </c>
      <c r="H21" s="20" t="s">
        <v>108</v>
      </c>
      <c r="I21" s="24">
        <v>0</v>
      </c>
      <c r="J21" s="21">
        <f t="shared" si="3"/>
        <v>10</v>
      </c>
      <c r="K21" s="21">
        <f t="shared" si="4"/>
        <v>10</v>
      </c>
      <c r="L21" s="22">
        <v>12</v>
      </c>
      <c r="M21" s="17" t="s">
        <v>119</v>
      </c>
      <c r="N21" s="17">
        <v>0</v>
      </c>
      <c r="O21" s="87">
        <v>0.4</v>
      </c>
      <c r="P21" s="17">
        <v>0.75</v>
      </c>
      <c r="Q21" s="5"/>
      <c r="R21" s="5"/>
      <c r="S21" s="5"/>
      <c r="T21" s="5"/>
      <c r="U21" s="17"/>
      <c r="V21" s="19"/>
      <c r="W21" s="19"/>
      <c r="X21" s="19"/>
      <c r="Y21" s="5"/>
      <c r="Z21" s="89"/>
      <c r="AA21" s="25"/>
      <c r="AB21" s="25"/>
      <c r="AC21" s="17"/>
      <c r="AD21" s="19"/>
      <c r="AE21" s="19"/>
      <c r="AF21" s="19"/>
      <c r="AG21" s="5"/>
      <c r="AH21" s="5"/>
      <c r="AI21" s="5"/>
      <c r="AJ21" s="5"/>
      <c r="AK21" s="17"/>
      <c r="AL21" s="17"/>
      <c r="AM21" s="17"/>
      <c r="AN21" s="17"/>
      <c r="AO21" s="5"/>
      <c r="AP21" s="5"/>
      <c r="AQ21" s="5"/>
      <c r="AR21" s="5"/>
      <c r="AS21" s="17"/>
      <c r="AT21" s="17"/>
      <c r="AU21" s="17"/>
      <c r="AV21" s="17"/>
      <c r="AW21" s="5"/>
      <c r="AX21" s="5"/>
      <c r="AY21" s="5"/>
      <c r="AZ21" s="5"/>
      <c r="BA21" s="17"/>
      <c r="BB21" s="17"/>
      <c r="BC21" s="17"/>
      <c r="BD21" s="17"/>
      <c r="BE21" s="5"/>
      <c r="BF21" s="5"/>
      <c r="BG21" s="5"/>
      <c r="BH21" s="5"/>
    </row>
    <row r="22" spans="1:60" x14ac:dyDescent="0.25">
      <c r="A22" s="1">
        <v>2020</v>
      </c>
      <c r="B22" s="11" t="b">
        <v>1</v>
      </c>
      <c r="C22" s="11" t="b">
        <v>1</v>
      </c>
      <c r="D22" s="1" t="s">
        <v>399</v>
      </c>
      <c r="E22" s="5">
        <f t="shared" si="0"/>
        <v>1.0651315789473685</v>
      </c>
      <c r="F22" s="24">
        <v>1</v>
      </c>
      <c r="G22" s="21" t="s">
        <v>222</v>
      </c>
      <c r="H22" s="20" t="s">
        <v>108</v>
      </c>
      <c r="I22" s="24">
        <v>0</v>
      </c>
      <c r="J22" s="21">
        <f t="shared" si="3"/>
        <v>10</v>
      </c>
      <c r="K22" s="21">
        <f t="shared" si="4"/>
        <v>10</v>
      </c>
      <c r="L22" s="22">
        <v>12</v>
      </c>
      <c r="M22" s="17" t="s">
        <v>119</v>
      </c>
      <c r="N22" s="17">
        <v>0</v>
      </c>
      <c r="O22" s="87">
        <v>0.8</v>
      </c>
      <c r="P22" s="17">
        <v>1.35</v>
      </c>
      <c r="Q22" s="5"/>
      <c r="R22" s="5"/>
      <c r="S22" s="5"/>
      <c r="T22" s="5"/>
      <c r="U22" s="17"/>
      <c r="V22" s="19"/>
      <c r="W22" s="19"/>
      <c r="X22" s="19"/>
      <c r="Y22" s="5"/>
      <c r="Z22" s="89"/>
      <c r="AA22" s="25"/>
      <c r="AB22" s="25"/>
      <c r="AC22" s="17"/>
      <c r="AD22" s="19"/>
      <c r="AE22" s="19"/>
      <c r="AF22" s="19"/>
      <c r="AG22" s="5"/>
      <c r="AH22" s="5"/>
      <c r="AI22" s="5"/>
      <c r="AJ22" s="5"/>
      <c r="AK22" s="17"/>
      <c r="AL22" s="17"/>
      <c r="AM22" s="17"/>
      <c r="AN22" s="17"/>
      <c r="AO22" s="5"/>
      <c r="AP22" s="5"/>
      <c r="AQ22" s="5"/>
      <c r="AR22" s="5"/>
      <c r="AS22" s="17"/>
      <c r="AT22" s="17"/>
      <c r="AU22" s="17"/>
      <c r="AV22" s="17"/>
      <c r="AW22" s="5"/>
      <c r="AX22" s="5"/>
      <c r="AY22" s="5"/>
      <c r="AZ22" s="5"/>
      <c r="BA22" s="17"/>
      <c r="BB22" s="17"/>
      <c r="BC22" s="17"/>
      <c r="BD22" s="17"/>
      <c r="BE22" s="5"/>
      <c r="BF22" s="5"/>
      <c r="BG22" s="5"/>
      <c r="BH22" s="5"/>
    </row>
    <row r="23" spans="1:60" x14ac:dyDescent="0.25">
      <c r="A23" s="1">
        <v>2021</v>
      </c>
      <c r="B23" s="11" t="b">
        <v>1</v>
      </c>
      <c r="C23" s="11" t="b">
        <v>1</v>
      </c>
      <c r="D23" s="1" t="s">
        <v>400</v>
      </c>
      <c r="E23" s="5">
        <f t="shared" si="0"/>
        <v>1.0651315789473685</v>
      </c>
      <c r="F23" s="24">
        <v>1</v>
      </c>
      <c r="G23" s="21" t="s">
        <v>222</v>
      </c>
      <c r="H23" s="20" t="s">
        <v>108</v>
      </c>
      <c r="I23" s="24">
        <v>0</v>
      </c>
      <c r="J23" s="21">
        <f t="shared" si="3"/>
        <v>10</v>
      </c>
      <c r="K23" s="21">
        <f t="shared" si="4"/>
        <v>10</v>
      </c>
      <c r="L23" s="22">
        <v>12</v>
      </c>
      <c r="M23" s="17" t="s">
        <v>120</v>
      </c>
      <c r="N23" s="17">
        <v>0</v>
      </c>
      <c r="O23" s="87">
        <f>sel_ures</f>
        <v>0</v>
      </c>
      <c r="P23" s="17">
        <f>IF(O23&lt;sel_ures,0,
IF(AND(sel_uclear&gt;=O23, O23&gt;=sel_ures),sel_tclear,
IF(AND(sel_urec1&gt;=O23,O23&gt;sel_uclear),IF(sel_urec1&gt;sel_uclear,sel_tclear+(O23-sel_uclear)*(sel_trec1-sel_tclear)/(sel_urec1-sel_uclear),sel_tclear),
IF(AND(sel_urec2&gt;=O23,O23&gt;sel_urec1),IF(sel_urec2&gt;sel_urec1,sel_trec2+(O23-sel_urec1)*(sel_trec3-sel_trec2)/(sel_urec2-sel_urec1),-99999),5
))))</f>
        <v>0.15</v>
      </c>
      <c r="Q23" s="5"/>
      <c r="R23" s="5"/>
      <c r="S23" s="5"/>
      <c r="T23" s="5"/>
      <c r="U23" s="17"/>
      <c r="V23" s="17"/>
      <c r="W23" s="17"/>
      <c r="X23" s="17"/>
      <c r="Y23" s="5"/>
      <c r="Z23" s="5"/>
      <c r="AA23" s="5"/>
      <c r="AB23" s="5"/>
      <c r="AC23" s="17"/>
      <c r="AD23" s="17"/>
      <c r="AE23" s="17"/>
      <c r="AF23" s="17"/>
      <c r="AG23" s="5"/>
      <c r="AH23" s="5"/>
      <c r="AI23" s="5"/>
      <c r="AJ23" s="5"/>
      <c r="AK23" s="17"/>
      <c r="AL23" s="19"/>
      <c r="AM23" s="19"/>
      <c r="AN23" s="19"/>
      <c r="AO23" s="5"/>
      <c r="AP23" s="5"/>
      <c r="AQ23" s="5"/>
      <c r="AR23" s="5"/>
      <c r="AS23" s="17"/>
      <c r="AT23" s="19"/>
      <c r="AU23" s="19"/>
      <c r="AV23" s="19"/>
      <c r="AW23" s="5"/>
      <c r="AX23" s="5"/>
      <c r="AY23" s="5"/>
      <c r="AZ23" s="5"/>
      <c r="BA23" s="17"/>
      <c r="BB23" s="19"/>
      <c r="BC23" s="19"/>
      <c r="BD23" s="19"/>
      <c r="BE23" s="5"/>
      <c r="BF23" s="5"/>
      <c r="BG23" s="5"/>
      <c r="BH23" s="5"/>
    </row>
    <row r="24" spans="1:60" x14ac:dyDescent="0.25">
      <c r="A24" s="1">
        <v>2022</v>
      </c>
      <c r="B24" s="11" t="b">
        <v>1</v>
      </c>
      <c r="C24" s="11" t="b">
        <v>1</v>
      </c>
      <c r="D24" s="1" t="s">
        <v>401</v>
      </c>
      <c r="E24" s="5">
        <f t="shared" si="0"/>
        <v>1.0651315789473685</v>
      </c>
      <c r="F24" s="24">
        <v>1</v>
      </c>
      <c r="G24" s="21" t="s">
        <v>222</v>
      </c>
      <c r="H24" s="20" t="s">
        <v>108</v>
      </c>
      <c r="I24" s="24">
        <v>0</v>
      </c>
      <c r="J24" s="21">
        <f t="shared" si="3"/>
        <v>10</v>
      </c>
      <c r="K24" s="21">
        <f t="shared" si="4"/>
        <v>10</v>
      </c>
      <c r="L24" s="22">
        <v>12</v>
      </c>
      <c r="M24" s="17" t="s">
        <v>120</v>
      </c>
      <c r="N24" s="17">
        <v>0</v>
      </c>
      <c r="O24" s="87">
        <v>0.2</v>
      </c>
      <c r="P24" s="17">
        <v>0.45</v>
      </c>
      <c r="Q24" s="5"/>
      <c r="R24" s="5"/>
      <c r="S24" s="5"/>
      <c r="T24" s="5"/>
      <c r="U24" s="17"/>
      <c r="V24" s="17"/>
      <c r="W24" s="17"/>
      <c r="X24" s="17"/>
      <c r="Y24" s="5"/>
      <c r="Z24" s="5"/>
      <c r="AA24" s="5"/>
      <c r="AB24" s="5"/>
      <c r="AC24" s="17"/>
      <c r="AD24" s="17"/>
      <c r="AE24" s="17"/>
      <c r="AF24" s="17"/>
      <c r="AG24" s="5"/>
      <c r="AH24" s="5"/>
      <c r="AI24" s="5"/>
      <c r="AJ24" s="5"/>
      <c r="AK24" s="17"/>
      <c r="AL24" s="19"/>
      <c r="AM24" s="19"/>
      <c r="AN24" s="19"/>
      <c r="AO24" s="5"/>
      <c r="AP24" s="5"/>
      <c r="AQ24" s="5"/>
      <c r="AR24" s="5"/>
      <c r="AS24" s="17"/>
      <c r="AT24" s="19"/>
      <c r="AU24" s="19"/>
      <c r="AV24" s="19"/>
      <c r="AW24" s="5"/>
      <c r="AX24" s="5"/>
      <c r="AY24" s="5"/>
      <c r="AZ24" s="5"/>
      <c r="BA24" s="17"/>
      <c r="BB24" s="19"/>
      <c r="BC24" s="19"/>
      <c r="BD24" s="19"/>
      <c r="BE24" s="5"/>
      <c r="BF24" s="5"/>
      <c r="BG24" s="5"/>
      <c r="BH24" s="5"/>
    </row>
    <row r="25" spans="1:60" x14ac:dyDescent="0.25">
      <c r="A25" s="1">
        <v>2023</v>
      </c>
      <c r="B25" s="11" t="b">
        <v>1</v>
      </c>
      <c r="C25" s="11" t="b">
        <v>1</v>
      </c>
      <c r="D25" s="1" t="s">
        <v>402</v>
      </c>
      <c r="E25" s="5">
        <f t="shared" si="0"/>
        <v>1.0651315789473685</v>
      </c>
      <c r="F25" s="24">
        <v>1</v>
      </c>
      <c r="G25" s="21" t="s">
        <v>222</v>
      </c>
      <c r="H25" s="20" t="s">
        <v>108</v>
      </c>
      <c r="I25" s="24">
        <v>0</v>
      </c>
      <c r="J25" s="21">
        <f t="shared" si="3"/>
        <v>10</v>
      </c>
      <c r="K25" s="21">
        <f t="shared" si="4"/>
        <v>10</v>
      </c>
      <c r="L25" s="22">
        <v>12</v>
      </c>
      <c r="M25" s="17" t="s">
        <v>120</v>
      </c>
      <c r="N25" s="17">
        <v>0</v>
      </c>
      <c r="O25" s="87">
        <v>0.4</v>
      </c>
      <c r="P25" s="17">
        <v>0.75</v>
      </c>
      <c r="Q25" s="5"/>
      <c r="R25" s="5"/>
      <c r="S25" s="5"/>
      <c r="T25" s="5"/>
      <c r="U25" s="17"/>
      <c r="V25" s="17"/>
      <c r="W25" s="17"/>
      <c r="X25" s="17"/>
      <c r="Y25" s="5"/>
      <c r="Z25" s="5"/>
      <c r="AA25" s="5"/>
      <c r="AB25" s="5"/>
      <c r="AC25" s="17"/>
      <c r="AD25" s="17"/>
      <c r="AE25" s="17"/>
      <c r="AF25" s="17"/>
      <c r="AG25" s="5"/>
      <c r="AH25" s="5"/>
      <c r="AI25" s="5"/>
      <c r="AJ25" s="5"/>
      <c r="AK25" s="17"/>
      <c r="AL25" s="17"/>
      <c r="AM25" s="17"/>
      <c r="AN25" s="17"/>
      <c r="AO25" s="5"/>
      <c r="AP25" s="5"/>
      <c r="AQ25" s="5"/>
      <c r="AR25" s="5"/>
      <c r="AS25" s="17"/>
      <c r="AT25" s="17"/>
      <c r="AU25" s="17"/>
      <c r="AV25" s="17"/>
      <c r="AW25" s="5"/>
      <c r="AX25" s="5"/>
      <c r="AY25" s="5"/>
      <c r="AZ25" s="5"/>
      <c r="BA25" s="17"/>
      <c r="BB25" s="17"/>
      <c r="BC25" s="17"/>
      <c r="BD25" s="17"/>
      <c r="BE25" s="5"/>
      <c r="BF25" s="5"/>
      <c r="BG25" s="5"/>
      <c r="BH25" s="5"/>
    </row>
    <row r="26" spans="1:60" x14ac:dyDescent="0.25">
      <c r="A26" s="1">
        <v>2024</v>
      </c>
      <c r="B26" s="11" t="b">
        <v>1</v>
      </c>
      <c r="C26" s="11" t="b">
        <v>1</v>
      </c>
      <c r="D26" s="1" t="s">
        <v>403</v>
      </c>
      <c r="E26" s="5">
        <f t="shared" si="0"/>
        <v>1.0651315789473685</v>
      </c>
      <c r="F26" s="24">
        <v>1</v>
      </c>
      <c r="G26" s="21" t="s">
        <v>222</v>
      </c>
      <c r="H26" s="20" t="s">
        <v>108</v>
      </c>
      <c r="I26" s="24">
        <v>0</v>
      </c>
      <c r="J26" s="21">
        <f t="shared" si="3"/>
        <v>10</v>
      </c>
      <c r="K26" s="21">
        <f t="shared" si="4"/>
        <v>10</v>
      </c>
      <c r="L26" s="22">
        <v>12</v>
      </c>
      <c r="M26" s="17" t="s">
        <v>120</v>
      </c>
      <c r="N26" s="17">
        <v>0</v>
      </c>
      <c r="O26" s="87">
        <v>0.8</v>
      </c>
      <c r="P26" s="17">
        <v>1.35</v>
      </c>
      <c r="Q26" s="5"/>
      <c r="R26" s="5"/>
      <c r="S26" s="5"/>
      <c r="T26" s="5"/>
      <c r="U26" s="17"/>
      <c r="V26" s="17"/>
      <c r="W26" s="17"/>
      <c r="X26" s="17"/>
      <c r="Y26" s="5"/>
      <c r="Z26" s="5"/>
      <c r="AA26" s="5"/>
      <c r="AB26" s="5"/>
      <c r="AC26" s="17"/>
      <c r="AD26" s="17"/>
      <c r="AE26" s="17"/>
      <c r="AF26" s="17"/>
      <c r="AG26" s="5"/>
      <c r="AH26" s="5"/>
      <c r="AI26" s="5"/>
      <c r="AJ26" s="5"/>
      <c r="AK26" s="17"/>
      <c r="AL26" s="17"/>
      <c r="AM26" s="17"/>
      <c r="AN26" s="17"/>
      <c r="AO26" s="5"/>
      <c r="AP26" s="5"/>
      <c r="AQ26" s="5"/>
      <c r="AR26" s="5"/>
      <c r="AS26" s="17"/>
      <c r="AT26" s="17"/>
      <c r="AU26" s="17"/>
      <c r="AV26" s="17"/>
      <c r="AW26" s="5"/>
      <c r="AX26" s="5"/>
      <c r="AY26" s="5"/>
      <c r="AZ26" s="5"/>
      <c r="BA26" s="17"/>
      <c r="BB26" s="17"/>
      <c r="BC26" s="17"/>
      <c r="BD26" s="17"/>
      <c r="BE26" s="5"/>
      <c r="BF26" s="5"/>
      <c r="BG26" s="5"/>
      <c r="BH26" s="5"/>
    </row>
    <row r="27" spans="1:60" x14ac:dyDescent="0.25">
      <c r="A27" s="1">
        <v>2025</v>
      </c>
      <c r="B27" s="11" t="b">
        <v>1</v>
      </c>
      <c r="C27" s="11" t="b">
        <v>1</v>
      </c>
      <c r="D27" s="1" t="s">
        <v>404</v>
      </c>
      <c r="E27" s="5">
        <f t="shared" si="0"/>
        <v>1.0651315789473685</v>
      </c>
      <c r="F27" s="24">
        <v>1</v>
      </c>
      <c r="G27" s="21" t="s">
        <v>222</v>
      </c>
      <c r="H27" s="20" t="s">
        <v>108</v>
      </c>
      <c r="I27" s="24">
        <v>0</v>
      </c>
      <c r="J27" s="21">
        <v>-1</v>
      </c>
      <c r="K27" s="21">
        <v>0</v>
      </c>
      <c r="L27" s="22">
        <v>5</v>
      </c>
      <c r="M27" s="17" t="s">
        <v>111</v>
      </c>
      <c r="N27" s="17">
        <v>0</v>
      </c>
      <c r="O27" s="87">
        <v>0.7</v>
      </c>
      <c r="P27" s="17"/>
      <c r="Q27" s="5" t="s">
        <v>111</v>
      </c>
      <c r="R27" s="5">
        <v>0.2</v>
      </c>
      <c r="S27" s="5">
        <v>0.5</v>
      </c>
      <c r="T27" s="5"/>
      <c r="U27" s="17" t="s">
        <v>111</v>
      </c>
      <c r="V27" s="17">
        <v>0.4</v>
      </c>
      <c r="W27" s="17">
        <v>0.3</v>
      </c>
      <c r="X27" s="17"/>
      <c r="Y27" s="5" t="s">
        <v>111</v>
      </c>
      <c r="Z27" s="5">
        <v>0.6</v>
      </c>
      <c r="AA27" s="5">
        <v>1</v>
      </c>
      <c r="AB27" s="5"/>
      <c r="AC27" s="17"/>
      <c r="AD27" s="17"/>
      <c r="AE27" s="17"/>
      <c r="AF27" s="17"/>
      <c r="AG27" s="5"/>
      <c r="AH27" s="5"/>
      <c r="AI27" s="5"/>
      <c r="AJ27" s="5"/>
      <c r="AK27" s="17"/>
      <c r="AL27" s="17"/>
      <c r="AM27" s="17"/>
      <c r="AN27" s="17"/>
      <c r="AO27" s="5"/>
      <c r="AP27" s="5"/>
      <c r="AQ27" s="5"/>
      <c r="AR27" s="5"/>
      <c r="AS27" s="17"/>
      <c r="AT27" s="17"/>
      <c r="AU27" s="17"/>
      <c r="AV27" s="17"/>
      <c r="AW27" s="5"/>
      <c r="AX27" s="5"/>
      <c r="AY27" s="5"/>
      <c r="AZ27" s="5"/>
      <c r="BA27" s="17"/>
      <c r="BB27" s="17"/>
      <c r="BC27" s="17"/>
      <c r="BD27" s="17"/>
      <c r="BE27" s="5"/>
      <c r="BF27" s="5"/>
      <c r="BG27" s="5"/>
      <c r="BH27" s="5"/>
    </row>
    <row r="28" spans="1:60" x14ac:dyDescent="0.25">
      <c r="A28" s="1">
        <v>2026</v>
      </c>
      <c r="B28" s="11" t="b">
        <v>1</v>
      </c>
      <c r="C28" s="11" t="b">
        <v>1</v>
      </c>
      <c r="D28" s="1" t="s">
        <v>405</v>
      </c>
      <c r="E28" s="5">
        <f t="shared" si="0"/>
        <v>1.0651315789473685</v>
      </c>
      <c r="F28" s="24">
        <v>1</v>
      </c>
      <c r="G28" s="21" t="s">
        <v>222</v>
      </c>
      <c r="H28" s="20" t="s">
        <v>108</v>
      </c>
      <c r="I28" s="24">
        <v>0</v>
      </c>
      <c r="J28" s="21">
        <f t="shared" si="3"/>
        <v>10</v>
      </c>
      <c r="K28" s="21">
        <f t="shared" si="4"/>
        <v>10</v>
      </c>
      <c r="L28" s="22">
        <v>15</v>
      </c>
      <c r="M28" s="17" t="s">
        <v>120</v>
      </c>
      <c r="N28" s="17">
        <v>0</v>
      </c>
      <c r="O28" s="87">
        <v>0.05</v>
      </c>
      <c r="P28" s="17">
        <v>0.15</v>
      </c>
      <c r="Q28" s="5" t="s">
        <v>120</v>
      </c>
      <c r="R28" s="5">
        <f>N28+P28+1.2</f>
        <v>1.3499999999999999</v>
      </c>
      <c r="S28" s="95">
        <v>0.05</v>
      </c>
      <c r="T28" s="5">
        <v>0.15</v>
      </c>
      <c r="U28" s="17" t="s">
        <v>120</v>
      </c>
      <c r="V28" s="17">
        <v>3</v>
      </c>
      <c r="W28" s="88">
        <v>0.2</v>
      </c>
      <c r="X28" s="17">
        <v>0.15</v>
      </c>
      <c r="Y28" s="5" t="s">
        <v>120</v>
      </c>
      <c r="Z28" s="5">
        <f>V28+X28+0.3</f>
        <v>3.4499999999999997</v>
      </c>
      <c r="AA28" s="95">
        <v>0.2</v>
      </c>
      <c r="AB28" s="5">
        <v>0.15</v>
      </c>
      <c r="AC28" s="17"/>
      <c r="AD28" s="17"/>
      <c r="AE28" s="17"/>
      <c r="AF28" s="17"/>
      <c r="AG28" s="5"/>
      <c r="AH28" s="5"/>
      <c r="AI28" s="5"/>
      <c r="AJ28" s="5"/>
      <c r="AK28" s="17"/>
      <c r="AL28" s="17"/>
      <c r="AM28" s="17"/>
      <c r="AN28" s="17"/>
      <c r="AO28" s="5"/>
      <c r="AP28" s="5"/>
      <c r="AQ28" s="5"/>
      <c r="AR28" s="5"/>
      <c r="AS28" s="17"/>
      <c r="AT28" s="17"/>
      <c r="AU28" s="17"/>
      <c r="AV28" s="17"/>
      <c r="AW28" s="5"/>
      <c r="AX28" s="5"/>
      <c r="AY28" s="5"/>
      <c r="AZ28" s="5"/>
      <c r="BA28" s="17"/>
      <c r="BB28" s="17"/>
      <c r="BC28" s="17"/>
      <c r="BD28" s="17"/>
      <c r="BE28" s="5"/>
      <c r="BF28" s="5"/>
      <c r="BG28" s="5"/>
      <c r="BH28" s="5"/>
    </row>
    <row r="29" spans="1:60" x14ac:dyDescent="0.25">
      <c r="A29" s="1">
        <v>2027</v>
      </c>
      <c r="B29" s="11" t="b">
        <v>1</v>
      </c>
      <c r="C29" s="11" t="b">
        <v>1</v>
      </c>
      <c r="D29" s="1" t="s">
        <v>406</v>
      </c>
      <c r="E29" s="5">
        <f t="shared" si="0"/>
        <v>1.0651315789473685</v>
      </c>
      <c r="F29" s="24">
        <v>1</v>
      </c>
      <c r="G29" s="21" t="s">
        <v>222</v>
      </c>
      <c r="H29" s="20" t="s">
        <v>108</v>
      </c>
      <c r="I29" s="24">
        <v>0</v>
      </c>
      <c r="J29" s="21">
        <f t="shared" si="3"/>
        <v>10</v>
      </c>
      <c r="K29" s="21">
        <f t="shared" si="4"/>
        <v>10</v>
      </c>
      <c r="L29" s="22">
        <v>15</v>
      </c>
      <c r="M29" s="17" t="s">
        <v>118</v>
      </c>
      <c r="N29" s="17">
        <v>0</v>
      </c>
      <c r="O29" s="87">
        <v>0.1</v>
      </c>
      <c r="P29" s="17">
        <v>0.15</v>
      </c>
      <c r="Q29" s="5" t="s">
        <v>118</v>
      </c>
      <c r="R29" s="5">
        <f>N29+P29+1.5</f>
        <v>1.65</v>
      </c>
      <c r="S29" s="95">
        <v>0.2</v>
      </c>
      <c r="T29" s="5">
        <v>0.15</v>
      </c>
      <c r="U29" s="17"/>
      <c r="V29" s="17"/>
      <c r="W29" s="17"/>
      <c r="X29" s="17"/>
      <c r="Y29" s="5"/>
      <c r="Z29" s="5"/>
      <c r="AA29" s="5"/>
      <c r="AB29" s="5"/>
      <c r="AC29" s="17"/>
      <c r="AD29" s="17"/>
      <c r="AE29" s="17"/>
      <c r="AF29" s="17"/>
      <c r="AG29" s="5"/>
      <c r="AH29" s="5"/>
      <c r="AI29" s="5"/>
      <c r="AJ29" s="5"/>
      <c r="AK29" s="17"/>
      <c r="AL29" s="17"/>
      <c r="AM29" s="17"/>
      <c r="AN29" s="17"/>
      <c r="AO29" s="5"/>
      <c r="AP29" s="5"/>
      <c r="AQ29" s="5"/>
      <c r="AR29" s="5"/>
      <c r="AS29" s="17"/>
      <c r="AT29" s="17"/>
      <c r="AU29" s="17"/>
      <c r="AV29" s="17"/>
      <c r="AW29" s="5"/>
      <c r="AX29" s="5"/>
      <c r="AY29" s="5"/>
      <c r="AZ29" s="5"/>
      <c r="BA29" s="17"/>
      <c r="BB29" s="17"/>
      <c r="BC29" s="17"/>
      <c r="BD29" s="17"/>
      <c r="BE29" s="5"/>
      <c r="BF29" s="5"/>
      <c r="BG29" s="5"/>
      <c r="BH29" s="5"/>
    </row>
    <row r="30" spans="1:60" x14ac:dyDescent="0.25">
      <c r="A30" s="1">
        <v>2028</v>
      </c>
      <c r="B30" s="11" t="b">
        <v>1</v>
      </c>
      <c r="C30" s="11" t="b">
        <v>1</v>
      </c>
      <c r="D30" s="1" t="s">
        <v>407</v>
      </c>
      <c r="E30" s="5">
        <f t="shared" si="0"/>
        <v>1.0651315789473685</v>
      </c>
      <c r="F30" s="24">
        <v>1</v>
      </c>
      <c r="G30" s="21" t="s">
        <v>222</v>
      </c>
      <c r="H30" s="20" t="s">
        <v>108</v>
      </c>
      <c r="I30" s="24">
        <v>0</v>
      </c>
      <c r="J30" s="21">
        <f t="shared" si="3"/>
        <v>10</v>
      </c>
      <c r="K30" s="21">
        <f t="shared" si="4"/>
        <v>10</v>
      </c>
      <c r="L30" s="22">
        <v>15</v>
      </c>
      <c r="M30" s="17" t="s">
        <v>121</v>
      </c>
      <c r="N30" s="17">
        <v>0</v>
      </c>
      <c r="O30" s="87">
        <v>0.1</v>
      </c>
      <c r="P30" s="17">
        <v>0.15</v>
      </c>
      <c r="Q30" s="5" t="s">
        <v>119</v>
      </c>
      <c r="R30" s="5">
        <f>N30+P30+1.5</f>
        <v>1.65</v>
      </c>
      <c r="S30" s="95">
        <v>0.2</v>
      </c>
      <c r="T30" s="5">
        <v>0.15</v>
      </c>
      <c r="U30" s="17"/>
      <c r="V30" s="17"/>
      <c r="W30" s="17"/>
      <c r="X30" s="17"/>
      <c r="Y30" s="5"/>
      <c r="Z30" s="5"/>
      <c r="AA30" s="5"/>
      <c r="AB30" s="5"/>
      <c r="AC30" s="17"/>
      <c r="AD30" s="17"/>
      <c r="AE30" s="17"/>
      <c r="AF30" s="17"/>
      <c r="AG30" s="5"/>
      <c r="AH30" s="5"/>
      <c r="AI30" s="5"/>
      <c r="AJ30" s="5"/>
      <c r="AK30" s="17"/>
      <c r="AL30" s="17"/>
      <c r="AM30" s="17"/>
      <c r="AN30" s="17"/>
      <c r="AO30" s="5"/>
      <c r="AP30" s="5"/>
      <c r="AQ30" s="5"/>
      <c r="AR30" s="5"/>
      <c r="AS30" s="17"/>
      <c r="AT30" s="17"/>
      <c r="AU30" s="17"/>
      <c r="AV30" s="17"/>
      <c r="AW30" s="5"/>
      <c r="AX30" s="5"/>
      <c r="AY30" s="5"/>
      <c r="AZ30" s="5"/>
      <c r="BA30" s="17"/>
      <c r="BB30" s="17"/>
      <c r="BC30" s="17"/>
      <c r="BD30" s="17"/>
      <c r="BE30" s="5"/>
      <c r="BF30" s="5"/>
      <c r="BG30" s="5"/>
      <c r="BH30" s="5"/>
    </row>
    <row r="31" spans="1:60" x14ac:dyDescent="0.25">
      <c r="A31" s="1">
        <v>2029</v>
      </c>
      <c r="B31" s="11" t="b">
        <v>1</v>
      </c>
      <c r="C31" s="11" t="b">
        <v>1</v>
      </c>
      <c r="D31" s="1" t="s">
        <v>408</v>
      </c>
      <c r="E31" s="5">
        <f t="shared" si="0"/>
        <v>1.0651315789473685</v>
      </c>
      <c r="F31" s="24">
        <v>1</v>
      </c>
      <c r="G31" s="21" t="s">
        <v>222</v>
      </c>
      <c r="H31" s="20" t="s">
        <v>108</v>
      </c>
      <c r="I31" s="24">
        <v>0</v>
      </c>
      <c r="J31" s="21">
        <f>inp_scr_min</f>
        <v>10</v>
      </c>
      <c r="K31" s="21">
        <f>inp_xr_min</f>
        <v>10</v>
      </c>
      <c r="L31" s="22">
        <v>2</v>
      </c>
      <c r="M31" s="17" t="s">
        <v>118</v>
      </c>
      <c r="N31" s="17">
        <v>0</v>
      </c>
      <c r="O31" s="87">
        <v>0.2</v>
      </c>
      <c r="P31" s="17">
        <v>0.25</v>
      </c>
      <c r="Q31" s="5" t="s">
        <v>122</v>
      </c>
      <c r="R31" s="5">
        <f>N31+P31-0.001</f>
        <v>0.249</v>
      </c>
      <c r="S31" s="5">
        <f>inp_scr_min</f>
        <v>10</v>
      </c>
      <c r="T31" s="5">
        <f>inp_xr_min</f>
        <v>10</v>
      </c>
      <c r="U31" s="17"/>
      <c r="V31" s="17"/>
      <c r="W31" s="17"/>
      <c r="X31" s="17"/>
      <c r="Y31" s="5"/>
      <c r="Z31" s="5"/>
      <c r="AA31" s="5"/>
      <c r="AB31" s="5"/>
      <c r="AC31" s="17"/>
      <c r="AD31" s="17"/>
      <c r="AE31" s="17"/>
      <c r="AF31" s="17"/>
      <c r="AG31" s="5"/>
      <c r="AH31" s="5"/>
      <c r="AI31" s="5"/>
      <c r="AJ31" s="5"/>
      <c r="AK31" s="17"/>
      <c r="AL31" s="17"/>
      <c r="AM31" s="17"/>
      <c r="AN31" s="17"/>
      <c r="AO31" s="5"/>
      <c r="AP31" s="5"/>
      <c r="AQ31" s="5"/>
      <c r="AR31" s="5"/>
      <c r="AS31" s="17"/>
      <c r="AT31" s="17"/>
      <c r="AU31" s="17"/>
      <c r="AV31" s="17"/>
      <c r="AW31" s="5"/>
      <c r="AX31" s="5"/>
      <c r="AY31" s="5"/>
      <c r="AZ31" s="5"/>
      <c r="BA31" s="17"/>
      <c r="BB31" s="17"/>
      <c r="BC31" s="17"/>
      <c r="BD31" s="17"/>
      <c r="BE31" s="5"/>
      <c r="BF31" s="5"/>
      <c r="BG31" s="5"/>
      <c r="BH31" s="5"/>
    </row>
    <row r="32" spans="1:60" x14ac:dyDescent="0.25">
      <c r="A32" s="1">
        <v>2030</v>
      </c>
      <c r="B32" s="11" t="b">
        <v>1</v>
      </c>
      <c r="C32" s="11" t="b">
        <v>1</v>
      </c>
      <c r="D32" s="1" t="s">
        <v>409</v>
      </c>
      <c r="E32" s="5">
        <f t="shared" si="0"/>
        <v>1.0651315789473685</v>
      </c>
      <c r="F32" s="24">
        <v>1</v>
      </c>
      <c r="G32" s="21" t="s">
        <v>222</v>
      </c>
      <c r="H32" s="20" t="s">
        <v>108</v>
      </c>
      <c r="I32" s="24">
        <v>0</v>
      </c>
      <c r="J32" s="21">
        <f>inp_scr_min</f>
        <v>10</v>
      </c>
      <c r="K32" s="21">
        <f>inp_xr_min</f>
        <v>10</v>
      </c>
      <c r="L32" s="22">
        <v>2</v>
      </c>
      <c r="M32" s="17" t="s">
        <v>119</v>
      </c>
      <c r="N32" s="17">
        <v>0</v>
      </c>
      <c r="O32" s="87">
        <v>0.2</v>
      </c>
      <c r="P32" s="17">
        <v>0.25</v>
      </c>
      <c r="Q32" s="5"/>
      <c r="R32" s="5"/>
      <c r="S32" s="5"/>
      <c r="T32" s="5"/>
      <c r="U32" s="17"/>
      <c r="V32" s="17"/>
      <c r="W32" s="17"/>
      <c r="X32" s="17"/>
      <c r="Y32" s="5"/>
      <c r="Z32" s="5"/>
      <c r="AA32" s="5"/>
      <c r="AB32" s="5"/>
      <c r="AC32" s="17"/>
      <c r="AD32" s="17"/>
      <c r="AE32" s="17"/>
      <c r="AF32" s="17"/>
      <c r="AG32" s="5"/>
      <c r="AH32" s="5"/>
      <c r="AI32" s="5"/>
      <c r="AJ32" s="5"/>
      <c r="AK32" s="17"/>
      <c r="AL32" s="17"/>
      <c r="AM32" s="17"/>
      <c r="AN32" s="17"/>
      <c r="AO32" s="5"/>
      <c r="AP32" s="5"/>
      <c r="AQ32" s="5"/>
      <c r="AR32" s="5"/>
      <c r="AS32" s="17"/>
      <c r="AT32" s="17"/>
      <c r="AU32" s="17"/>
      <c r="AV32" s="17"/>
      <c r="AW32" s="5"/>
      <c r="AX32" s="5"/>
      <c r="AY32" s="5"/>
      <c r="AZ32" s="5"/>
      <c r="BA32" s="17"/>
      <c r="BB32" s="17"/>
      <c r="BC32" s="17"/>
      <c r="BD32" s="17"/>
      <c r="BE32" s="5"/>
      <c r="BF32" s="5"/>
      <c r="BG32" s="5"/>
      <c r="BH32" s="5"/>
    </row>
    <row r="33" spans="1:60" x14ac:dyDescent="0.25">
      <c r="A33" s="1">
        <v>2031</v>
      </c>
      <c r="B33" s="11" t="b">
        <v>1</v>
      </c>
      <c r="C33" s="11" t="b">
        <v>1</v>
      </c>
      <c r="D33" s="1" t="s">
        <v>410</v>
      </c>
      <c r="E33" s="5">
        <f t="shared" si="0"/>
        <v>1.0651315789473685</v>
      </c>
      <c r="F33" s="24">
        <v>1</v>
      </c>
      <c r="G33" s="21" t="s">
        <v>222</v>
      </c>
      <c r="H33" s="20" t="s">
        <v>108</v>
      </c>
      <c r="I33" s="24">
        <v>0</v>
      </c>
      <c r="J33" s="21">
        <v>2</v>
      </c>
      <c r="K33" s="21">
        <v>3</v>
      </c>
      <c r="L33" s="22">
        <v>12</v>
      </c>
      <c r="M33" s="17" t="s">
        <v>118</v>
      </c>
      <c r="N33" s="17">
        <v>0</v>
      </c>
      <c r="O33" s="87">
        <v>0.2</v>
      </c>
      <c r="P33" s="17">
        <v>0.2</v>
      </c>
      <c r="Q33" s="5"/>
      <c r="R33" s="5"/>
      <c r="S33" s="5"/>
      <c r="T33" s="5"/>
      <c r="U33" s="17"/>
      <c r="V33" s="17"/>
      <c r="W33" s="17"/>
      <c r="X33" s="17"/>
      <c r="Y33" s="5"/>
      <c r="Z33" s="5"/>
      <c r="AA33" s="5"/>
      <c r="AB33" s="5"/>
      <c r="AC33" s="17"/>
      <c r="AD33" s="17"/>
      <c r="AE33" s="17"/>
      <c r="AF33" s="17"/>
      <c r="AG33" s="5"/>
      <c r="AH33" s="5"/>
      <c r="AI33" s="5"/>
      <c r="AJ33" s="5"/>
      <c r="AK33" s="17"/>
      <c r="AL33" s="17"/>
      <c r="AM33" s="17"/>
      <c r="AN33" s="17"/>
      <c r="AO33" s="5"/>
      <c r="AP33" s="5"/>
      <c r="AQ33" s="5"/>
      <c r="AR33" s="5"/>
      <c r="AS33" s="17"/>
      <c r="AT33" s="17"/>
      <c r="AU33" s="17"/>
      <c r="AV33" s="17"/>
      <c r="AW33" s="5"/>
      <c r="AX33" s="5"/>
      <c r="AY33" s="5"/>
      <c r="AZ33" s="5"/>
      <c r="BA33" s="17"/>
      <c r="BB33" s="17"/>
      <c r="BC33" s="17"/>
      <c r="BD33" s="17"/>
      <c r="BE33" s="5"/>
      <c r="BF33" s="5"/>
      <c r="BG33" s="5"/>
      <c r="BH33" s="5"/>
    </row>
    <row r="34" spans="1:60" x14ac:dyDescent="0.25">
      <c r="A34" s="1">
        <v>2032</v>
      </c>
      <c r="B34" s="11" t="b">
        <v>1</v>
      </c>
      <c r="C34" s="11" t="b">
        <v>1</v>
      </c>
      <c r="D34" s="1" t="s">
        <v>411</v>
      </c>
      <c r="E34" s="5">
        <f t="shared" si="0"/>
        <v>1.0651315789473685</v>
      </c>
      <c r="F34" s="24">
        <v>1</v>
      </c>
      <c r="G34" s="21" t="s">
        <v>222</v>
      </c>
      <c r="H34" s="20" t="s">
        <v>108</v>
      </c>
      <c r="I34" s="24">
        <v>0</v>
      </c>
      <c r="J34" s="21">
        <v>2</v>
      </c>
      <c r="K34" s="21">
        <v>3</v>
      </c>
      <c r="L34" s="22">
        <v>12</v>
      </c>
      <c r="M34" s="17" t="s">
        <v>119</v>
      </c>
      <c r="N34" s="17">
        <v>0</v>
      </c>
      <c r="O34" s="87">
        <v>0.2</v>
      </c>
      <c r="P34" s="17">
        <v>0.2</v>
      </c>
      <c r="Q34" s="5"/>
      <c r="R34" s="5"/>
      <c r="S34" s="5"/>
      <c r="T34" s="5"/>
      <c r="U34" s="17"/>
      <c r="V34" s="17"/>
      <c r="W34" s="17"/>
      <c r="X34" s="17"/>
      <c r="Y34" s="5"/>
      <c r="Z34" s="5"/>
      <c r="AA34" s="5"/>
      <c r="AB34" s="5"/>
      <c r="AC34" s="17"/>
      <c r="AD34" s="17"/>
      <c r="AE34" s="17"/>
      <c r="AF34" s="17"/>
      <c r="AG34" s="5"/>
      <c r="AH34" s="5"/>
      <c r="AI34" s="5"/>
      <c r="AJ34" s="5"/>
      <c r="AK34" s="17"/>
      <c r="AL34" s="17"/>
      <c r="AM34" s="17"/>
      <c r="AN34" s="17"/>
      <c r="AO34" s="5"/>
      <c r="AP34" s="5"/>
      <c r="AQ34" s="5"/>
      <c r="AR34" s="5"/>
      <c r="AS34" s="17"/>
      <c r="AT34" s="17"/>
      <c r="AU34" s="17"/>
      <c r="AV34" s="17"/>
      <c r="AW34" s="5"/>
      <c r="AX34" s="5"/>
      <c r="AY34" s="5"/>
      <c r="AZ34" s="5"/>
      <c r="BA34" s="17"/>
      <c r="BB34" s="17"/>
      <c r="BC34" s="17"/>
      <c r="BD34" s="17"/>
      <c r="BE34" s="5"/>
      <c r="BF34" s="5"/>
      <c r="BG34" s="5"/>
      <c r="BH34" s="5"/>
    </row>
    <row r="35" spans="1:60" x14ac:dyDescent="0.25">
      <c r="A35" s="1">
        <v>2033</v>
      </c>
      <c r="B35" s="11" t="b">
        <v>1</v>
      </c>
      <c r="C35" s="11" t="b">
        <v>1</v>
      </c>
      <c r="D35" s="1" t="s">
        <v>412</v>
      </c>
      <c r="E35" s="5">
        <f t="shared" si="0"/>
        <v>1.0651315789473685</v>
      </c>
      <c r="F35" s="24">
        <v>1</v>
      </c>
      <c r="G35" s="21" t="s">
        <v>222</v>
      </c>
      <c r="H35" s="20" t="s">
        <v>108</v>
      </c>
      <c r="I35" s="24">
        <v>0</v>
      </c>
      <c r="J35" s="21">
        <f>inp_scr_tun</f>
        <v>20</v>
      </c>
      <c r="K35" s="21">
        <f>inp_xr_tun</f>
        <v>15</v>
      </c>
      <c r="L35" s="22">
        <v>12</v>
      </c>
      <c r="M35" s="17" t="s">
        <v>118</v>
      </c>
      <c r="N35" s="17">
        <v>0</v>
      </c>
      <c r="O35" s="88">
        <v>0.05</v>
      </c>
      <c r="P35" s="17">
        <v>0.15</v>
      </c>
      <c r="Q35" s="5" t="s">
        <v>122</v>
      </c>
      <c r="R35" s="5">
        <f>N35+P35-0.001</f>
        <v>0.14899999999999999</v>
      </c>
      <c r="S35" s="5">
        <f>inp_scr_min</f>
        <v>10</v>
      </c>
      <c r="T35" s="5">
        <f>inp_xr_min</f>
        <v>10</v>
      </c>
      <c r="U35" s="17"/>
      <c r="V35" s="17"/>
      <c r="W35" s="17"/>
      <c r="X35" s="17"/>
      <c r="Y35" s="5"/>
      <c r="Z35" s="5"/>
      <c r="AA35" s="5"/>
      <c r="AB35" s="5"/>
      <c r="AC35" s="17"/>
      <c r="AD35" s="17"/>
      <c r="AE35" s="17"/>
      <c r="AF35" s="17"/>
      <c r="AG35" s="5"/>
      <c r="AH35" s="5"/>
      <c r="AI35" s="5"/>
      <c r="AJ35" s="5"/>
      <c r="AK35" s="17"/>
      <c r="AL35" s="17"/>
      <c r="AM35" s="17"/>
      <c r="AN35" s="17"/>
      <c r="AO35" s="5"/>
      <c r="AP35" s="5"/>
      <c r="AQ35" s="5"/>
      <c r="AR35" s="5"/>
      <c r="AS35" s="17"/>
      <c r="AT35" s="17"/>
      <c r="AU35" s="17"/>
      <c r="AV35" s="17"/>
      <c r="AW35" s="5"/>
      <c r="AX35" s="5"/>
      <c r="AY35" s="5"/>
      <c r="AZ35" s="5"/>
      <c r="BA35" s="17"/>
      <c r="BB35" s="17"/>
      <c r="BC35" s="17"/>
      <c r="BD35" s="17"/>
      <c r="BE35" s="5"/>
      <c r="BF35" s="5"/>
      <c r="BG35" s="5"/>
      <c r="BH35" s="5"/>
    </row>
    <row r="36" spans="1:60" x14ac:dyDescent="0.25">
      <c r="A36" s="1">
        <v>2034</v>
      </c>
      <c r="B36" s="11" t="b">
        <v>1</v>
      </c>
      <c r="C36" s="11" t="b">
        <v>1</v>
      </c>
      <c r="D36" s="1" t="s">
        <v>413</v>
      </c>
      <c r="E36" s="5">
        <f t="shared" si="0"/>
        <v>1.0651315789473685</v>
      </c>
      <c r="F36" s="24">
        <v>1</v>
      </c>
      <c r="G36" s="21" t="s">
        <v>222</v>
      </c>
      <c r="H36" s="20" t="s">
        <v>108</v>
      </c>
      <c r="I36" s="24">
        <v>0</v>
      </c>
      <c r="J36" s="21">
        <f>inp_scr_tun</f>
        <v>20</v>
      </c>
      <c r="K36" s="21">
        <f>inp_xr_tun</f>
        <v>15</v>
      </c>
      <c r="L36" s="22">
        <v>12</v>
      </c>
      <c r="M36" s="17" t="s">
        <v>121</v>
      </c>
      <c r="N36" s="17">
        <v>0</v>
      </c>
      <c r="O36" s="88">
        <v>0.1</v>
      </c>
      <c r="P36" s="17">
        <v>0.15</v>
      </c>
      <c r="Q36" s="5" t="s">
        <v>122</v>
      </c>
      <c r="R36" s="5">
        <f>N36+P36-0.001</f>
        <v>0.14899999999999999</v>
      </c>
      <c r="S36" s="5">
        <f>inp_scr_min</f>
        <v>10</v>
      </c>
      <c r="T36" s="5">
        <f>inp_xr_min</f>
        <v>10</v>
      </c>
      <c r="U36" s="17"/>
      <c r="V36" s="17"/>
      <c r="W36" s="17"/>
      <c r="X36" s="17"/>
      <c r="Y36" s="5"/>
      <c r="Z36" s="5"/>
      <c r="AA36" s="5"/>
      <c r="AB36" s="5"/>
      <c r="AC36" s="17"/>
      <c r="AD36" s="17"/>
      <c r="AE36" s="17"/>
      <c r="AF36" s="17"/>
      <c r="AG36" s="5"/>
      <c r="AH36" s="5"/>
      <c r="AI36" s="5"/>
      <c r="AJ36" s="5"/>
      <c r="AK36" s="17"/>
      <c r="AL36" s="17"/>
      <c r="AM36" s="17"/>
      <c r="AN36" s="17"/>
      <c r="AO36" s="5"/>
      <c r="AP36" s="5"/>
      <c r="AQ36" s="5"/>
      <c r="AR36" s="5"/>
      <c r="AS36" s="17"/>
      <c r="AT36" s="17"/>
      <c r="AU36" s="17"/>
      <c r="AV36" s="17"/>
      <c r="AW36" s="5"/>
      <c r="AX36" s="5"/>
      <c r="AY36" s="5"/>
      <c r="AZ36" s="5"/>
      <c r="BA36" s="17"/>
      <c r="BB36" s="17"/>
      <c r="BC36" s="17"/>
      <c r="BD36" s="17"/>
      <c r="BE36" s="5"/>
      <c r="BF36" s="5"/>
      <c r="BG36" s="5"/>
      <c r="BH36" s="5"/>
    </row>
    <row r="37" spans="1:60" x14ac:dyDescent="0.25">
      <c r="A37" s="1">
        <v>2035</v>
      </c>
      <c r="B37" s="11" t="b">
        <v>1</v>
      </c>
      <c r="C37" s="11" t="b">
        <v>1</v>
      </c>
      <c r="D37" s="1" t="s">
        <v>414</v>
      </c>
      <c r="E37" s="5">
        <f t="shared" si="0"/>
        <v>1.0651315789473685</v>
      </c>
      <c r="F37" s="24">
        <v>1</v>
      </c>
      <c r="G37" s="21" t="s">
        <v>222</v>
      </c>
      <c r="H37" s="20" t="s">
        <v>108</v>
      </c>
      <c r="I37" s="24">
        <v>0</v>
      </c>
      <c r="J37" s="21">
        <f>inp_scr_tun</f>
        <v>20</v>
      </c>
      <c r="K37" s="21">
        <f>inp_xr_tun</f>
        <v>15</v>
      </c>
      <c r="L37" s="22">
        <v>12</v>
      </c>
      <c r="M37" s="17" t="s">
        <v>118</v>
      </c>
      <c r="N37" s="17">
        <v>0</v>
      </c>
      <c r="O37" s="87">
        <v>0.4</v>
      </c>
      <c r="P37" s="17">
        <v>0.2</v>
      </c>
      <c r="Q37" s="5" t="s">
        <v>122</v>
      </c>
      <c r="R37" s="5">
        <f>N37+P37-0.001</f>
        <v>0.19900000000000001</v>
      </c>
      <c r="S37" s="5">
        <f>inp_scr_min</f>
        <v>10</v>
      </c>
      <c r="T37" s="5">
        <f>inp_xr_min</f>
        <v>10</v>
      </c>
      <c r="U37" s="18" t="s">
        <v>110</v>
      </c>
      <c r="V37" s="17">
        <f>N37+P37+0.005</f>
        <v>0.20500000000000002</v>
      </c>
      <c r="W37" s="17">
        <v>51</v>
      </c>
      <c r="X37" s="17"/>
      <c r="Y37" s="1" t="s">
        <v>110</v>
      </c>
      <c r="Z37" s="5">
        <v>5.5</v>
      </c>
      <c r="AA37" s="5">
        <v>50</v>
      </c>
      <c r="AB37" s="5"/>
      <c r="AC37" s="17"/>
      <c r="AD37" s="17"/>
      <c r="AE37" s="17"/>
      <c r="AF37" s="17"/>
      <c r="AG37" s="5"/>
      <c r="AH37" s="5"/>
      <c r="AI37" s="5"/>
      <c r="AJ37" s="5"/>
      <c r="AK37" s="17"/>
      <c r="AL37" s="17"/>
      <c r="AM37" s="17"/>
      <c r="AN37" s="17"/>
      <c r="AO37" s="5"/>
      <c r="AP37" s="5"/>
      <c r="AQ37" s="5"/>
      <c r="AR37" s="5"/>
      <c r="AS37" s="17"/>
      <c r="AT37" s="17"/>
      <c r="AU37" s="17"/>
      <c r="AV37" s="17"/>
      <c r="AW37" s="5"/>
      <c r="AX37" s="5"/>
      <c r="AY37" s="5"/>
      <c r="AZ37" s="5"/>
      <c r="BA37" s="17"/>
      <c r="BB37" s="17"/>
      <c r="BC37" s="17"/>
      <c r="BD37" s="17"/>
      <c r="BE37" s="5"/>
      <c r="BF37" s="5"/>
      <c r="BG37" s="5"/>
      <c r="BH37" s="5"/>
    </row>
    <row r="38" spans="1:60" x14ac:dyDescent="0.25">
      <c r="A38" s="1">
        <v>2036</v>
      </c>
      <c r="B38" s="11" t="b">
        <v>1</v>
      </c>
      <c r="C38" s="11" t="b">
        <v>1</v>
      </c>
      <c r="D38" s="1" t="s">
        <v>490</v>
      </c>
      <c r="E38" s="24">
        <f t="shared" si="0"/>
        <v>1.0651315789473685</v>
      </c>
      <c r="F38" s="24">
        <v>1</v>
      </c>
      <c r="G38" s="140" t="s">
        <v>222</v>
      </c>
      <c r="H38" s="141" t="s">
        <v>108</v>
      </c>
      <c r="I38" s="24">
        <f>IF(inp_default="Q(U)",E38,IF(inp_default="PF",1,0))</f>
        <v>0</v>
      </c>
      <c r="J38" s="140">
        <f>inp_scr_max</f>
        <v>30</v>
      </c>
      <c r="K38" s="140">
        <f>inp_xr_max</f>
        <v>20</v>
      </c>
      <c r="L38" s="142">
        <v>10</v>
      </c>
      <c r="M38" s="143" t="s">
        <v>122</v>
      </c>
      <c r="N38" s="143">
        <v>0</v>
      </c>
      <c r="O38" s="143">
        <f>inp_scr_min</f>
        <v>10</v>
      </c>
      <c r="P38" s="143">
        <f>inp_xr_min</f>
        <v>10</v>
      </c>
      <c r="Q38" s="24" t="s">
        <v>122</v>
      </c>
      <c r="R38" s="24">
        <v>5</v>
      </c>
      <c r="S38" s="24">
        <f>inp_scr_max</f>
        <v>30</v>
      </c>
      <c r="T38" s="24">
        <f>inp_xr_max</f>
        <v>20</v>
      </c>
      <c r="V38" s="17"/>
      <c r="W38" s="17"/>
      <c r="X38" s="17"/>
      <c r="Z38" s="5"/>
      <c r="AA38" s="5"/>
      <c r="AB38" s="5"/>
      <c r="AC38" s="17"/>
      <c r="AD38" s="17"/>
      <c r="AE38" s="17"/>
      <c r="AF38" s="17"/>
      <c r="AG38" s="5"/>
      <c r="AH38" s="5"/>
      <c r="AI38" s="5"/>
      <c r="AJ38" s="5"/>
      <c r="AK38" s="17"/>
      <c r="AL38" s="17"/>
      <c r="AM38" s="17"/>
      <c r="AN38" s="17"/>
      <c r="AO38" s="5"/>
      <c r="AP38" s="5"/>
      <c r="AQ38" s="5"/>
      <c r="AR38" s="5"/>
      <c r="AS38" s="17"/>
      <c r="AT38" s="17"/>
      <c r="AU38" s="17"/>
      <c r="AV38" s="17"/>
      <c r="AW38" s="5"/>
      <c r="AX38" s="5"/>
      <c r="AY38" s="5"/>
      <c r="AZ38" s="5"/>
      <c r="BA38" s="17"/>
      <c r="BB38" s="17"/>
      <c r="BC38" s="17"/>
      <c r="BD38" s="17"/>
      <c r="BE38" s="5"/>
      <c r="BF38" s="5"/>
      <c r="BG38" s="5"/>
      <c r="BH38" s="5"/>
    </row>
    <row r="39" spans="1:60" x14ac:dyDescent="0.25">
      <c r="A39" s="1">
        <v>2037</v>
      </c>
      <c r="B39" s="11" t="b">
        <v>1</v>
      </c>
      <c r="C39" s="11" t="b">
        <v>1</v>
      </c>
      <c r="D39" s="1" t="s">
        <v>415</v>
      </c>
      <c r="E39" s="5">
        <f t="shared" si="0"/>
        <v>1.0651315789473685</v>
      </c>
      <c r="F39" s="24">
        <v>1</v>
      </c>
      <c r="G39" s="21" t="s">
        <v>222</v>
      </c>
      <c r="H39" s="20" t="s">
        <v>108</v>
      </c>
      <c r="I39" s="24">
        <v>0</v>
      </c>
      <c r="J39" s="21">
        <f t="shared" ref="J39:J62" si="5">inp_scr_min</f>
        <v>10</v>
      </c>
      <c r="K39" s="21">
        <f t="shared" ref="K39:K62" si="6">inp_xr_min</f>
        <v>10</v>
      </c>
      <c r="L39" s="22">
        <v>10</v>
      </c>
      <c r="M39" s="17" t="s">
        <v>117</v>
      </c>
      <c r="N39" s="17">
        <v>0</v>
      </c>
      <c r="O39" s="17">
        <v>20</v>
      </c>
      <c r="P39" s="17"/>
      <c r="Q39" s="5" t="s">
        <v>117</v>
      </c>
      <c r="R39" s="5">
        <v>2.5</v>
      </c>
      <c r="S39" s="5">
        <v>0</v>
      </c>
      <c r="T39" s="5"/>
      <c r="U39" s="17" t="s">
        <v>117</v>
      </c>
      <c r="V39" s="17">
        <v>5</v>
      </c>
      <c r="W39" s="17">
        <v>-20</v>
      </c>
      <c r="X39" s="17"/>
      <c r="Y39" s="5" t="s">
        <v>117</v>
      </c>
      <c r="Z39" s="5">
        <v>7.5</v>
      </c>
      <c r="AA39" s="5">
        <v>0</v>
      </c>
      <c r="AB39" s="5"/>
      <c r="AC39" s="17"/>
      <c r="AD39" s="17"/>
      <c r="AE39" s="17"/>
      <c r="AF39" s="17"/>
      <c r="AG39" s="5"/>
      <c r="AH39" s="5"/>
      <c r="AI39" s="5"/>
      <c r="AJ39" s="5"/>
      <c r="AK39" s="17"/>
      <c r="AL39" s="17"/>
      <c r="AM39" s="17"/>
      <c r="AN39" s="17"/>
      <c r="AO39" s="5"/>
      <c r="AP39" s="5"/>
      <c r="AQ39" s="5"/>
      <c r="AR39" s="5"/>
      <c r="AS39" s="17"/>
      <c r="AT39" s="17"/>
      <c r="AU39" s="17"/>
      <c r="AV39" s="17"/>
      <c r="AW39" s="5"/>
      <c r="AX39" s="5"/>
      <c r="AY39" s="5"/>
      <c r="AZ39" s="5"/>
      <c r="BA39" s="17"/>
      <c r="BB39" s="17"/>
      <c r="BC39" s="17"/>
      <c r="BD39" s="17"/>
      <c r="BE39" s="5"/>
      <c r="BF39" s="5"/>
      <c r="BG39" s="5"/>
      <c r="BH39" s="5"/>
    </row>
    <row r="40" spans="1:60" x14ac:dyDescent="0.25">
      <c r="A40" s="1">
        <v>2038</v>
      </c>
      <c r="B40" s="11" t="b">
        <v>1</v>
      </c>
      <c r="C40" s="11" t="b">
        <v>1</v>
      </c>
      <c r="D40" s="1" t="s">
        <v>416</v>
      </c>
      <c r="E40" s="5">
        <f t="shared" si="0"/>
        <v>1.0651315789473685</v>
      </c>
      <c r="F40" s="24">
        <v>1</v>
      </c>
      <c r="G40" s="21" t="s">
        <v>222</v>
      </c>
      <c r="H40" s="20" t="s">
        <v>108</v>
      </c>
      <c r="I40" s="24">
        <v>0</v>
      </c>
      <c r="J40" s="21">
        <f t="shared" si="5"/>
        <v>10</v>
      </c>
      <c r="K40" s="21">
        <f t="shared" si="6"/>
        <v>10</v>
      </c>
      <c r="L40" s="22">
        <v>5</v>
      </c>
      <c r="M40" s="107" t="s">
        <v>117</v>
      </c>
      <c r="N40" s="107">
        <v>0</v>
      </c>
      <c r="O40" s="107">
        <v>6.5</v>
      </c>
      <c r="P40" s="107"/>
      <c r="Q40" s="5" t="s">
        <v>117</v>
      </c>
      <c r="R40" s="5">
        <v>0.02</v>
      </c>
      <c r="S40" s="5">
        <f>O40+6.75</f>
        <v>13.25</v>
      </c>
      <c r="T40" s="5"/>
      <c r="U40" s="107" t="s">
        <v>117</v>
      </c>
      <c r="V40" s="107">
        <v>0.04</v>
      </c>
      <c r="W40" s="107">
        <f>S40+6.75</f>
        <v>20</v>
      </c>
      <c r="X40" s="107"/>
      <c r="Y40" s="5" t="s">
        <v>117</v>
      </c>
      <c r="Z40" s="5">
        <v>2.5</v>
      </c>
      <c r="AA40" s="5">
        <f>W40-6.5</f>
        <v>13.5</v>
      </c>
      <c r="AB40" s="5"/>
      <c r="AC40" s="107" t="s">
        <v>117</v>
      </c>
      <c r="AD40" s="107">
        <v>2.52</v>
      </c>
      <c r="AE40" s="107">
        <f>AA40-6.75</f>
        <v>6.75</v>
      </c>
      <c r="AF40" s="107"/>
      <c r="AG40" s="5" t="s">
        <v>117</v>
      </c>
      <c r="AH40" s="5">
        <v>2.54</v>
      </c>
      <c r="AI40" s="5">
        <f>AE40-6.75</f>
        <v>0</v>
      </c>
      <c r="AJ40" s="5"/>
      <c r="AK40" s="17"/>
      <c r="AL40" s="17"/>
      <c r="AM40" s="17"/>
      <c r="AN40" s="17"/>
      <c r="AO40" s="5"/>
      <c r="AP40" s="5"/>
      <c r="AQ40" s="5"/>
      <c r="AR40" s="5"/>
      <c r="AS40" s="17"/>
      <c r="AT40" s="17"/>
      <c r="AU40" s="17"/>
      <c r="AV40" s="17"/>
      <c r="AW40" s="5"/>
      <c r="AX40" s="5"/>
      <c r="AY40" s="5"/>
      <c r="AZ40" s="5"/>
      <c r="BA40" s="17"/>
      <c r="BB40" s="17"/>
      <c r="BC40" s="17"/>
      <c r="BD40" s="17"/>
      <c r="BE40" s="5"/>
      <c r="BF40" s="5"/>
      <c r="BG40" s="5"/>
      <c r="BH40" s="5"/>
    </row>
    <row r="41" spans="1:60" x14ac:dyDescent="0.25">
      <c r="A41" s="1">
        <v>2039</v>
      </c>
      <c r="B41" s="11" t="b">
        <v>1</v>
      </c>
      <c r="C41" s="11" t="b">
        <v>1</v>
      </c>
      <c r="D41" s="1" t="s">
        <v>417</v>
      </c>
      <c r="E41" s="5">
        <f t="shared" si="0"/>
        <v>1.0651315789473685</v>
      </c>
      <c r="F41" s="24">
        <v>0.7</v>
      </c>
      <c r="G41" s="21" t="s">
        <v>222</v>
      </c>
      <c r="H41" s="20" t="s">
        <v>108</v>
      </c>
      <c r="I41" s="24">
        <v>0</v>
      </c>
      <c r="J41" s="21">
        <f t="shared" si="5"/>
        <v>10</v>
      </c>
      <c r="K41" s="21">
        <f t="shared" si="6"/>
        <v>10</v>
      </c>
      <c r="L41" s="22">
        <v>10</v>
      </c>
      <c r="M41" s="17" t="s">
        <v>110</v>
      </c>
      <c r="N41" s="17">
        <v>0</v>
      </c>
      <c r="O41" s="17"/>
      <c r="P41" s="17">
        <v>4</v>
      </c>
      <c r="Q41" s="5" t="s">
        <v>110</v>
      </c>
      <c r="R41" s="5">
        <v>0.05</v>
      </c>
      <c r="S41" s="5"/>
      <c r="T41" s="5">
        <v>2</v>
      </c>
      <c r="U41" s="17" t="s">
        <v>110</v>
      </c>
      <c r="V41" s="17">
        <v>0.15</v>
      </c>
      <c r="W41" s="17"/>
      <c r="X41" s="17">
        <v>1</v>
      </c>
      <c r="Y41" s="5" t="s">
        <v>110</v>
      </c>
      <c r="Z41" s="5">
        <v>0.9</v>
      </c>
      <c r="AA41" s="5"/>
      <c r="AB41" s="5">
        <v>0.35</v>
      </c>
      <c r="AC41" s="17" t="s">
        <v>110</v>
      </c>
      <c r="AD41" s="17">
        <v>1.9</v>
      </c>
      <c r="AE41" s="17"/>
      <c r="AF41" s="17">
        <v>0</v>
      </c>
      <c r="AG41" s="5" t="s">
        <v>110</v>
      </c>
      <c r="AH41" s="5">
        <v>3.9</v>
      </c>
      <c r="AI41" s="5"/>
      <c r="AJ41" s="5">
        <v>-1</v>
      </c>
      <c r="AK41" s="17" t="s">
        <v>110</v>
      </c>
      <c r="AL41" s="17">
        <v>4.9000000000000004</v>
      </c>
      <c r="AM41" s="17"/>
      <c r="AN41" s="17">
        <v>0</v>
      </c>
      <c r="AO41" s="5"/>
      <c r="AP41" s="5"/>
      <c r="AQ41" s="5"/>
      <c r="AR41" s="5"/>
      <c r="AS41" s="17"/>
      <c r="AT41" s="17"/>
      <c r="AU41" s="17"/>
      <c r="AV41" s="17"/>
      <c r="AW41" s="5"/>
      <c r="AX41" s="5"/>
      <c r="AY41" s="5"/>
      <c r="AZ41" s="5"/>
      <c r="BA41" s="17"/>
      <c r="BB41" s="17"/>
      <c r="BC41" s="17"/>
      <c r="BD41" s="17"/>
      <c r="BE41" s="5"/>
      <c r="BF41" s="5"/>
      <c r="BG41" s="5"/>
      <c r="BH41" s="5"/>
    </row>
    <row r="42" spans="1:60" x14ac:dyDescent="0.25">
      <c r="A42" s="1">
        <v>2040</v>
      </c>
      <c r="B42" s="11" t="b">
        <v>1</v>
      </c>
      <c r="C42" s="11" t="b">
        <v>1</v>
      </c>
      <c r="D42" s="1" t="s">
        <v>418</v>
      </c>
      <c r="E42" s="5">
        <f t="shared" si="0"/>
        <v>1.0651315789473685</v>
      </c>
      <c r="F42" s="24">
        <v>0.7</v>
      </c>
      <c r="G42" s="21" t="s">
        <v>222</v>
      </c>
      <c r="H42" s="20" t="s">
        <v>108</v>
      </c>
      <c r="I42" s="24">
        <v>0</v>
      </c>
      <c r="J42" s="21">
        <f t="shared" si="5"/>
        <v>10</v>
      </c>
      <c r="K42" s="21">
        <f t="shared" si="6"/>
        <v>10</v>
      </c>
      <c r="L42" s="22">
        <v>10</v>
      </c>
      <c r="M42" s="17" t="s">
        <v>110</v>
      </c>
      <c r="N42" s="17">
        <v>0</v>
      </c>
      <c r="O42" s="17"/>
      <c r="P42" s="17">
        <v>-4</v>
      </c>
      <c r="Q42" s="5" t="s">
        <v>110</v>
      </c>
      <c r="R42" s="5">
        <v>0.05</v>
      </c>
      <c r="S42" s="5"/>
      <c r="T42" s="5">
        <v>-2</v>
      </c>
      <c r="U42" s="17" t="s">
        <v>110</v>
      </c>
      <c r="V42" s="17">
        <v>0.15</v>
      </c>
      <c r="W42" s="17"/>
      <c r="X42" s="17">
        <v>-1</v>
      </c>
      <c r="Y42" s="5" t="s">
        <v>110</v>
      </c>
      <c r="Z42" s="5">
        <v>0.9</v>
      </c>
      <c r="AA42" s="5"/>
      <c r="AB42" s="5">
        <v>-0.35</v>
      </c>
      <c r="AC42" s="17" t="s">
        <v>110</v>
      </c>
      <c r="AD42" s="17">
        <v>1.9</v>
      </c>
      <c r="AE42" s="17"/>
      <c r="AF42" s="17">
        <v>0</v>
      </c>
      <c r="AG42" s="5" t="s">
        <v>110</v>
      </c>
      <c r="AH42" s="5">
        <v>3.9</v>
      </c>
      <c r="AI42" s="5"/>
      <c r="AJ42" s="5">
        <v>1</v>
      </c>
      <c r="AK42" s="17" t="s">
        <v>110</v>
      </c>
      <c r="AL42" s="17">
        <v>4.9000000000000004</v>
      </c>
      <c r="AM42" s="17"/>
      <c r="AN42" s="17">
        <v>0</v>
      </c>
      <c r="AO42" s="5"/>
      <c r="AP42" s="5"/>
      <c r="AQ42" s="5"/>
      <c r="AR42" s="5"/>
      <c r="AS42" s="17"/>
      <c r="AT42" s="17"/>
      <c r="AU42" s="17"/>
      <c r="AV42" s="17"/>
      <c r="AW42" s="5"/>
      <c r="AX42" s="5"/>
      <c r="AY42" s="5"/>
      <c r="AZ42" s="5"/>
      <c r="BA42" s="17"/>
      <c r="BB42" s="17"/>
      <c r="BC42" s="17"/>
      <c r="BD42" s="17"/>
      <c r="BE42" s="5"/>
      <c r="BF42" s="5"/>
      <c r="BG42" s="5"/>
      <c r="BH42" s="5"/>
    </row>
    <row r="43" spans="1:60" x14ac:dyDescent="0.25">
      <c r="A43" s="1">
        <v>2041</v>
      </c>
      <c r="B43" s="11" t="b">
        <v>1</v>
      </c>
      <c r="C43" s="11" t="b">
        <v>1</v>
      </c>
      <c r="D43" s="1" t="s">
        <v>463</v>
      </c>
      <c r="E43" s="5">
        <f t="shared" si="0"/>
        <v>1.0651315789473685</v>
      </c>
      <c r="F43" s="24">
        <v>1</v>
      </c>
      <c r="G43" s="21" t="s">
        <v>222</v>
      </c>
      <c r="H43" s="20" t="s">
        <v>108</v>
      </c>
      <c r="I43" s="24">
        <v>0</v>
      </c>
      <c r="J43" s="21">
        <f t="shared" si="5"/>
        <v>10</v>
      </c>
      <c r="K43" s="21">
        <f t="shared" si="6"/>
        <v>10</v>
      </c>
      <c r="L43" s="22">
        <v>30</v>
      </c>
      <c r="M43" s="17" t="s">
        <v>117</v>
      </c>
      <c r="N43" s="17">
        <v>0</v>
      </c>
      <c r="O43" s="17">
        <v>30</v>
      </c>
      <c r="P43" s="17"/>
      <c r="Q43" s="23" t="s">
        <v>117</v>
      </c>
      <c r="R43" s="5">
        <v>2.5</v>
      </c>
      <c r="S43" s="5">
        <v>0</v>
      </c>
      <c r="T43" s="5"/>
      <c r="U43" s="86" t="s">
        <v>117</v>
      </c>
      <c r="V43" s="86">
        <v>5</v>
      </c>
      <c r="W43" s="86">
        <v>40</v>
      </c>
      <c r="X43" s="86"/>
      <c r="Y43" s="5" t="s">
        <v>117</v>
      </c>
      <c r="Z43" s="5">
        <v>7.5</v>
      </c>
      <c r="AA43" s="5">
        <v>0</v>
      </c>
      <c r="AB43" s="5"/>
      <c r="AC43" s="90" t="s">
        <v>117</v>
      </c>
      <c r="AD43" s="86">
        <v>10</v>
      </c>
      <c r="AE43" s="86">
        <v>50</v>
      </c>
      <c r="AF43" s="86"/>
      <c r="AG43" s="1" t="s">
        <v>117</v>
      </c>
      <c r="AH43" s="5">
        <v>12.5</v>
      </c>
      <c r="AI43" s="5">
        <v>0</v>
      </c>
      <c r="AJ43" s="5"/>
      <c r="AK43" s="18" t="s">
        <v>117</v>
      </c>
      <c r="AL43" s="17">
        <v>15</v>
      </c>
      <c r="AM43" s="17">
        <v>60</v>
      </c>
      <c r="AN43" s="17"/>
      <c r="AO43" s="1" t="s">
        <v>117</v>
      </c>
      <c r="AP43" s="5">
        <v>17.5</v>
      </c>
      <c r="AQ43" s="5">
        <v>0</v>
      </c>
      <c r="AR43" s="5"/>
      <c r="AS43" s="18" t="s">
        <v>117</v>
      </c>
      <c r="AT43" s="17">
        <v>20</v>
      </c>
      <c r="AU43" s="17">
        <v>70</v>
      </c>
      <c r="AV43" s="17"/>
      <c r="AW43" s="1" t="s">
        <v>117</v>
      </c>
      <c r="AX43" s="5">
        <v>22.5</v>
      </c>
      <c r="AY43" s="5">
        <v>0</v>
      </c>
      <c r="AZ43" s="5"/>
      <c r="BB43" s="17"/>
      <c r="BC43" s="17"/>
      <c r="BD43" s="17"/>
      <c r="BF43" s="5"/>
      <c r="BG43" s="5"/>
      <c r="BH43" s="5"/>
    </row>
    <row r="44" spans="1:60" x14ac:dyDescent="0.25">
      <c r="A44" s="1">
        <v>2042</v>
      </c>
      <c r="B44" s="11" t="b">
        <v>1</v>
      </c>
      <c r="C44" s="11" t="b">
        <v>1</v>
      </c>
      <c r="D44" s="1" t="s">
        <v>464</v>
      </c>
      <c r="E44" s="5">
        <f t="shared" si="0"/>
        <v>1.0651315789473685</v>
      </c>
      <c r="F44" s="24">
        <v>1</v>
      </c>
      <c r="G44" s="21" t="s">
        <v>222</v>
      </c>
      <c r="H44" s="20" t="s">
        <v>108</v>
      </c>
      <c r="I44" s="24">
        <v>0</v>
      </c>
      <c r="J44" s="21">
        <f>inp_scr_max</f>
        <v>30</v>
      </c>
      <c r="K44" s="21">
        <f>inp_xr_max</f>
        <v>20</v>
      </c>
      <c r="L44" s="22">
        <v>30</v>
      </c>
      <c r="M44" s="17" t="s">
        <v>117</v>
      </c>
      <c r="N44" s="17">
        <v>0</v>
      </c>
      <c r="O44" s="17">
        <v>30</v>
      </c>
      <c r="P44" s="17"/>
      <c r="Q44" s="23" t="s">
        <v>117</v>
      </c>
      <c r="R44" s="5">
        <v>2.5</v>
      </c>
      <c r="S44" s="5">
        <v>0</v>
      </c>
      <c r="T44" s="5"/>
      <c r="U44" s="86" t="s">
        <v>117</v>
      </c>
      <c r="V44" s="86">
        <v>5</v>
      </c>
      <c r="W44" s="86">
        <v>40</v>
      </c>
      <c r="X44" s="86"/>
      <c r="Y44" s="5" t="s">
        <v>117</v>
      </c>
      <c r="Z44" s="5">
        <v>7.5</v>
      </c>
      <c r="AA44" s="5">
        <v>0</v>
      </c>
      <c r="AB44" s="5"/>
      <c r="AC44" s="90" t="s">
        <v>117</v>
      </c>
      <c r="AD44" s="86">
        <v>10</v>
      </c>
      <c r="AE44" s="86">
        <v>50</v>
      </c>
      <c r="AF44" s="86"/>
      <c r="AG44" s="1" t="s">
        <v>117</v>
      </c>
      <c r="AH44" s="5">
        <v>12.5</v>
      </c>
      <c r="AI44" s="5">
        <v>0</v>
      </c>
      <c r="AJ44" s="5"/>
      <c r="AK44" s="18" t="s">
        <v>117</v>
      </c>
      <c r="AL44" s="17">
        <v>15</v>
      </c>
      <c r="AM44" s="17">
        <v>60</v>
      </c>
      <c r="AN44" s="17"/>
      <c r="AO44" s="1" t="s">
        <v>117</v>
      </c>
      <c r="AP44" s="5">
        <v>17.5</v>
      </c>
      <c r="AQ44" s="5">
        <v>0</v>
      </c>
      <c r="AR44" s="5"/>
      <c r="AS44" s="18" t="s">
        <v>117</v>
      </c>
      <c r="AT44" s="17">
        <v>20</v>
      </c>
      <c r="AU44" s="17">
        <v>70</v>
      </c>
      <c r="AV44" s="17"/>
      <c r="AW44" s="1" t="s">
        <v>117</v>
      </c>
      <c r="AX44" s="5">
        <v>22.5</v>
      </c>
      <c r="AY44" s="5">
        <v>0</v>
      </c>
      <c r="AZ44" s="5"/>
      <c r="BB44" s="17"/>
      <c r="BC44" s="17"/>
      <c r="BD44" s="17"/>
      <c r="BF44" s="5"/>
      <c r="BG44" s="5"/>
      <c r="BH44" s="5"/>
    </row>
    <row r="45" spans="1:60" x14ac:dyDescent="0.25">
      <c r="A45" s="1">
        <v>2043</v>
      </c>
      <c r="B45" s="11" t="b">
        <v>1</v>
      </c>
      <c r="C45" s="11" t="b">
        <v>1</v>
      </c>
      <c r="D45" s="1" t="s">
        <v>419</v>
      </c>
      <c r="E45" s="5">
        <v>1</v>
      </c>
      <c r="F45" s="24">
        <v>1</v>
      </c>
      <c r="G45" s="21" t="s">
        <v>222</v>
      </c>
      <c r="H45" s="20" t="s">
        <v>108</v>
      </c>
      <c r="I45" s="24">
        <v>0</v>
      </c>
      <c r="J45" s="21">
        <f t="shared" si="5"/>
        <v>10</v>
      </c>
      <c r="K45" s="21">
        <f t="shared" si="6"/>
        <v>10</v>
      </c>
      <c r="L45" s="6">
        <v>60</v>
      </c>
      <c r="M45" s="18" t="s">
        <v>112</v>
      </c>
      <c r="N45" s="17">
        <v>0</v>
      </c>
      <c r="O45" s="17">
        <v>0.2</v>
      </c>
      <c r="P45" s="17">
        <v>0</v>
      </c>
      <c r="R45" s="5"/>
      <c r="S45" s="5"/>
      <c r="T45" s="5"/>
      <c r="V45" s="17"/>
      <c r="W45" s="17"/>
      <c r="X45" s="17"/>
      <c r="Z45" s="5"/>
      <c r="AA45" s="5"/>
      <c r="AB45" s="5"/>
      <c r="AD45" s="17"/>
      <c r="AE45" s="17"/>
      <c r="AF45" s="17"/>
      <c r="AH45" s="5"/>
      <c r="AI45" s="5"/>
      <c r="AJ45" s="5"/>
      <c r="AL45" s="17"/>
      <c r="AM45" s="17"/>
      <c r="AN45" s="17"/>
      <c r="AP45" s="5"/>
      <c r="AQ45" s="5"/>
      <c r="AR45" s="5"/>
      <c r="AT45" s="17"/>
      <c r="AU45" s="17"/>
      <c r="AV45" s="17"/>
      <c r="AX45" s="5"/>
      <c r="AY45" s="5"/>
      <c r="AZ45" s="5"/>
      <c r="BB45" s="17"/>
      <c r="BC45" s="17"/>
      <c r="BD45" s="17"/>
      <c r="BF45" s="5"/>
      <c r="BG45" s="5"/>
      <c r="BH45" s="5"/>
    </row>
    <row r="46" spans="1:60" x14ac:dyDescent="0.25">
      <c r="A46" s="1">
        <v>2044</v>
      </c>
      <c r="B46" s="11" t="b">
        <v>1</v>
      </c>
      <c r="C46" s="11" t="b">
        <v>1</v>
      </c>
      <c r="D46" s="1" t="s">
        <v>420</v>
      </c>
      <c r="E46" s="5">
        <v>1</v>
      </c>
      <c r="F46" s="24">
        <v>1</v>
      </c>
      <c r="G46" s="21" t="s">
        <v>222</v>
      </c>
      <c r="H46" s="20" t="s">
        <v>108</v>
      </c>
      <c r="I46" s="24">
        <v>0</v>
      </c>
      <c r="J46" s="21">
        <f t="shared" si="5"/>
        <v>10</v>
      </c>
      <c r="K46" s="21">
        <f t="shared" si="6"/>
        <v>10</v>
      </c>
      <c r="L46" s="6">
        <v>60</v>
      </c>
      <c r="M46" s="18" t="s">
        <v>112</v>
      </c>
      <c r="N46" s="17">
        <v>0</v>
      </c>
      <c r="O46" s="17">
        <v>0.3</v>
      </c>
      <c r="P46" s="17">
        <v>0</v>
      </c>
      <c r="Q46" s="5"/>
      <c r="R46" s="5"/>
      <c r="S46" s="5"/>
      <c r="T46" s="5"/>
      <c r="U46" s="17"/>
      <c r="V46" s="17"/>
      <c r="W46" s="17"/>
      <c r="X46" s="17"/>
      <c r="Y46" s="5"/>
      <c r="Z46" s="5"/>
      <c r="AA46" s="5"/>
      <c r="AB46" s="5"/>
      <c r="AC46" s="17"/>
      <c r="AD46" s="17"/>
      <c r="AE46" s="17"/>
      <c r="AF46" s="17"/>
      <c r="AG46" s="5"/>
      <c r="AH46" s="5"/>
      <c r="AI46" s="5"/>
      <c r="AJ46" s="5"/>
      <c r="AK46" s="17"/>
      <c r="AL46" s="17"/>
      <c r="AM46" s="17"/>
      <c r="AN46" s="17"/>
      <c r="AP46" s="5"/>
      <c r="AQ46" s="5"/>
      <c r="AR46" s="5"/>
      <c r="AT46" s="17"/>
      <c r="AU46" s="17"/>
      <c r="AV46" s="17"/>
      <c r="AX46" s="5"/>
      <c r="AY46" s="5"/>
      <c r="AZ46" s="5"/>
      <c r="BB46" s="17"/>
      <c r="BC46" s="17"/>
      <c r="BD46" s="17"/>
      <c r="BF46" s="5"/>
      <c r="BG46" s="5"/>
      <c r="BH46" s="5"/>
    </row>
    <row r="47" spans="1:60" x14ac:dyDescent="0.25">
      <c r="A47" s="1">
        <v>2045</v>
      </c>
      <c r="B47" s="11" t="b">
        <v>1</v>
      </c>
      <c r="C47" s="11" t="b">
        <v>1</v>
      </c>
      <c r="D47" s="1" t="s">
        <v>421</v>
      </c>
      <c r="E47" s="5">
        <v>1</v>
      </c>
      <c r="F47" s="24">
        <v>1</v>
      </c>
      <c r="G47" s="21" t="s">
        <v>222</v>
      </c>
      <c r="H47" s="20" t="s">
        <v>108</v>
      </c>
      <c r="I47" s="24">
        <v>0</v>
      </c>
      <c r="J47" s="21">
        <f t="shared" si="5"/>
        <v>10</v>
      </c>
      <c r="K47" s="21">
        <f t="shared" si="6"/>
        <v>10</v>
      </c>
      <c r="L47" s="6">
        <v>60</v>
      </c>
      <c r="M47" s="18" t="s">
        <v>112</v>
      </c>
      <c r="N47" s="17">
        <v>0</v>
      </c>
      <c r="O47" s="17">
        <v>0.4</v>
      </c>
      <c r="P47" s="17">
        <v>0</v>
      </c>
      <c r="R47" s="5"/>
      <c r="S47" s="5"/>
      <c r="T47" s="5"/>
      <c r="V47" s="17"/>
      <c r="W47" s="17"/>
      <c r="X47" s="17"/>
      <c r="Z47" s="5"/>
      <c r="AA47" s="5"/>
      <c r="AB47" s="5"/>
      <c r="AD47" s="17"/>
      <c r="AE47" s="17"/>
      <c r="AF47" s="17"/>
      <c r="AH47" s="5"/>
      <c r="AI47" s="5"/>
      <c r="AJ47" s="5"/>
      <c r="AL47" s="17"/>
      <c r="AM47" s="17"/>
      <c r="AN47" s="17"/>
      <c r="AP47" s="5"/>
      <c r="AQ47" s="5"/>
      <c r="AR47" s="5"/>
      <c r="AT47" s="17"/>
      <c r="AU47" s="17"/>
      <c r="AV47" s="17"/>
      <c r="AX47" s="5"/>
      <c r="AY47" s="5"/>
      <c r="AZ47" s="5"/>
      <c r="BB47" s="17"/>
      <c r="BC47" s="17"/>
      <c r="BD47" s="17"/>
      <c r="BF47" s="5"/>
      <c r="BG47" s="5"/>
      <c r="BH47" s="5"/>
    </row>
    <row r="48" spans="1:60" x14ac:dyDescent="0.25">
      <c r="A48" s="1">
        <v>2046</v>
      </c>
      <c r="B48" s="11" t="b">
        <v>1</v>
      </c>
      <c r="C48" s="11" t="b">
        <v>1</v>
      </c>
      <c r="D48" s="1" t="s">
        <v>422</v>
      </c>
      <c r="E48" s="5">
        <v>1</v>
      </c>
      <c r="F48" s="24">
        <v>1</v>
      </c>
      <c r="G48" s="21" t="s">
        <v>222</v>
      </c>
      <c r="H48" s="20" t="s">
        <v>108</v>
      </c>
      <c r="I48" s="24">
        <v>0</v>
      </c>
      <c r="J48" s="21">
        <f t="shared" si="5"/>
        <v>10</v>
      </c>
      <c r="K48" s="21">
        <f t="shared" si="6"/>
        <v>10</v>
      </c>
      <c r="L48" s="6">
        <v>60</v>
      </c>
      <c r="M48" s="18" t="s">
        <v>112</v>
      </c>
      <c r="N48" s="17">
        <v>0</v>
      </c>
      <c r="O48" s="17">
        <v>0.5</v>
      </c>
      <c r="P48" s="17">
        <v>0</v>
      </c>
      <c r="R48" s="5"/>
      <c r="S48" s="5"/>
      <c r="T48" s="5"/>
      <c r="V48" s="17"/>
      <c r="W48" s="17"/>
      <c r="X48" s="17"/>
      <c r="Z48" s="5"/>
      <c r="AA48" s="5"/>
      <c r="AB48" s="5"/>
      <c r="AD48" s="17"/>
      <c r="AE48" s="17"/>
      <c r="AF48" s="17"/>
      <c r="AH48" s="5"/>
      <c r="AI48" s="5"/>
      <c r="AJ48" s="5"/>
      <c r="AL48" s="17"/>
      <c r="AM48" s="17"/>
      <c r="AN48" s="17"/>
      <c r="AP48" s="5"/>
      <c r="AQ48" s="5"/>
      <c r="AR48" s="5"/>
      <c r="AT48" s="17"/>
      <c r="AU48" s="17"/>
      <c r="AV48" s="17"/>
      <c r="AX48" s="5"/>
      <c r="AY48" s="5"/>
      <c r="AZ48" s="5"/>
      <c r="BB48" s="17"/>
      <c r="BC48" s="17"/>
      <c r="BD48" s="17"/>
      <c r="BF48" s="5"/>
      <c r="BG48" s="5"/>
      <c r="BH48" s="5"/>
    </row>
    <row r="49" spans="1:60" x14ac:dyDescent="0.25">
      <c r="A49" s="1">
        <v>2047</v>
      </c>
      <c r="B49" s="11" t="b">
        <v>1</v>
      </c>
      <c r="C49" s="11" t="b">
        <v>1</v>
      </c>
      <c r="D49" s="1" t="s">
        <v>454</v>
      </c>
      <c r="E49" s="5">
        <v>1</v>
      </c>
      <c r="F49" s="24">
        <v>1</v>
      </c>
      <c r="G49" s="21" t="s">
        <v>222</v>
      </c>
      <c r="H49" s="20" t="s">
        <v>108</v>
      </c>
      <c r="I49" s="24">
        <v>0</v>
      </c>
      <c r="J49" s="21">
        <f t="shared" si="5"/>
        <v>10</v>
      </c>
      <c r="K49" s="21">
        <f t="shared" si="6"/>
        <v>10</v>
      </c>
      <c r="L49" s="6">
        <v>10</v>
      </c>
      <c r="M49" s="18" t="s">
        <v>111</v>
      </c>
      <c r="N49" s="17">
        <v>0</v>
      </c>
      <c r="O49" s="17">
        <v>1.3</v>
      </c>
      <c r="P49" s="17">
        <v>0</v>
      </c>
      <c r="Q49" s="1" t="s">
        <v>111</v>
      </c>
      <c r="R49" s="5">
        <v>0.1</v>
      </c>
      <c r="S49" s="5">
        <v>1</v>
      </c>
      <c r="T49" s="5"/>
      <c r="U49" s="18" t="s">
        <v>111</v>
      </c>
      <c r="V49" s="17">
        <v>1</v>
      </c>
      <c r="W49" s="17">
        <v>1.5</v>
      </c>
      <c r="X49" s="17"/>
      <c r="Y49" s="1" t="s">
        <v>111</v>
      </c>
      <c r="Z49" s="5">
        <v>1.1000000000000001</v>
      </c>
      <c r="AA49" s="5">
        <v>1</v>
      </c>
      <c r="AB49" s="5"/>
      <c r="AC49" s="18" t="s">
        <v>111</v>
      </c>
      <c r="AD49" s="17">
        <v>2</v>
      </c>
      <c r="AE49" s="17">
        <v>1.7</v>
      </c>
      <c r="AF49" s="17"/>
      <c r="AG49" s="1" t="s">
        <v>111</v>
      </c>
      <c r="AH49" s="5">
        <v>2.1</v>
      </c>
      <c r="AI49" s="5">
        <v>1</v>
      </c>
      <c r="AJ49" s="5"/>
      <c r="AK49" s="18" t="s">
        <v>111</v>
      </c>
      <c r="AL49" s="17">
        <v>3</v>
      </c>
      <c r="AM49" s="17">
        <v>1.9</v>
      </c>
      <c r="AN49" s="17"/>
      <c r="AO49" s="1" t="s">
        <v>111</v>
      </c>
      <c r="AP49" s="5">
        <v>3.1</v>
      </c>
      <c r="AQ49" s="5">
        <v>1</v>
      </c>
      <c r="AR49" s="5"/>
      <c r="AS49" s="18" t="s">
        <v>111</v>
      </c>
      <c r="AT49" s="17">
        <v>4</v>
      </c>
      <c r="AU49" s="17">
        <v>2.1</v>
      </c>
      <c r="AV49" s="17"/>
      <c r="AW49" s="1" t="s">
        <v>111</v>
      </c>
      <c r="AX49" s="5">
        <v>4.0999999999999996</v>
      </c>
      <c r="AY49" s="5">
        <v>1</v>
      </c>
      <c r="AZ49" s="5"/>
      <c r="BA49" s="18" t="s">
        <v>111</v>
      </c>
      <c r="BB49" s="17">
        <v>5</v>
      </c>
      <c r="BC49" s="17">
        <v>2.2999999999999998</v>
      </c>
      <c r="BD49" s="17"/>
      <c r="BE49" s="1" t="s">
        <v>111</v>
      </c>
      <c r="BF49" s="5">
        <v>5.0999999999999996</v>
      </c>
      <c r="BG49" s="5">
        <v>1</v>
      </c>
      <c r="BH49" s="5"/>
    </row>
    <row r="50" spans="1:60" x14ac:dyDescent="0.25">
      <c r="A50" s="1">
        <v>2048</v>
      </c>
      <c r="B50" s="11" t="b">
        <v>1</v>
      </c>
      <c r="C50" s="11" t="b">
        <v>1</v>
      </c>
      <c r="D50" s="1" t="s">
        <v>455</v>
      </c>
      <c r="E50" s="5">
        <v>1</v>
      </c>
      <c r="F50" s="24">
        <v>1</v>
      </c>
      <c r="G50" s="21" t="s">
        <v>222</v>
      </c>
      <c r="H50" s="20" t="s">
        <v>108</v>
      </c>
      <c r="I50" s="24">
        <v>0</v>
      </c>
      <c r="J50" s="21">
        <f>inp_scr_max</f>
        <v>30</v>
      </c>
      <c r="K50" s="21">
        <f>inp_xr_max</f>
        <v>20</v>
      </c>
      <c r="L50" s="6">
        <v>10</v>
      </c>
      <c r="M50" s="18" t="s">
        <v>111</v>
      </c>
      <c r="N50" s="17">
        <v>0</v>
      </c>
      <c r="O50" s="17">
        <v>1.3</v>
      </c>
      <c r="P50" s="17">
        <v>0</v>
      </c>
      <c r="Q50" s="1" t="s">
        <v>111</v>
      </c>
      <c r="R50" s="5">
        <v>0.1</v>
      </c>
      <c r="S50" s="5">
        <v>1</v>
      </c>
      <c r="T50" s="5"/>
      <c r="U50" s="18" t="s">
        <v>111</v>
      </c>
      <c r="V50" s="17">
        <v>1</v>
      </c>
      <c r="W50" s="17">
        <v>1.5</v>
      </c>
      <c r="X50" s="17"/>
      <c r="Y50" s="1" t="s">
        <v>111</v>
      </c>
      <c r="Z50" s="5">
        <v>1.1000000000000001</v>
      </c>
      <c r="AA50" s="5">
        <v>1</v>
      </c>
      <c r="AB50" s="5"/>
      <c r="AC50" s="18" t="s">
        <v>111</v>
      </c>
      <c r="AD50" s="17">
        <v>2</v>
      </c>
      <c r="AE50" s="17">
        <v>1.7</v>
      </c>
      <c r="AF50" s="17"/>
      <c r="AG50" s="1" t="s">
        <v>111</v>
      </c>
      <c r="AH50" s="5">
        <v>2.1</v>
      </c>
      <c r="AI50" s="5">
        <v>1</v>
      </c>
      <c r="AJ50" s="5"/>
      <c r="AK50" s="18" t="s">
        <v>111</v>
      </c>
      <c r="AL50" s="17">
        <v>3</v>
      </c>
      <c r="AM50" s="17">
        <v>1.9</v>
      </c>
      <c r="AN50" s="17"/>
      <c r="AO50" s="1" t="s">
        <v>111</v>
      </c>
      <c r="AP50" s="5">
        <v>3.1</v>
      </c>
      <c r="AQ50" s="5">
        <v>1</v>
      </c>
      <c r="AR50" s="5"/>
      <c r="AS50" s="18" t="s">
        <v>111</v>
      </c>
      <c r="AT50" s="17">
        <v>4</v>
      </c>
      <c r="AU50" s="17">
        <v>2.1</v>
      </c>
      <c r="AV50" s="17"/>
      <c r="AW50" s="1" t="s">
        <v>111</v>
      </c>
      <c r="AX50" s="5">
        <v>4.0999999999999996</v>
      </c>
      <c r="AY50" s="5">
        <v>1</v>
      </c>
      <c r="AZ50" s="5"/>
      <c r="BA50" s="18" t="s">
        <v>111</v>
      </c>
      <c r="BB50" s="17">
        <v>5</v>
      </c>
      <c r="BC50" s="17">
        <v>2.2999999999999998</v>
      </c>
      <c r="BD50" s="17"/>
      <c r="BE50" s="1" t="s">
        <v>111</v>
      </c>
      <c r="BF50" s="5">
        <v>5.0999999999999996</v>
      </c>
      <c r="BG50" s="5">
        <v>1</v>
      </c>
      <c r="BH50" s="5"/>
    </row>
    <row r="51" spans="1:60" x14ac:dyDescent="0.25">
      <c r="A51" s="1">
        <v>2049</v>
      </c>
      <c r="B51" s="11" t="b">
        <v>1</v>
      </c>
      <c r="C51" s="11" t="b">
        <v>1</v>
      </c>
      <c r="D51" s="1" t="s">
        <v>488</v>
      </c>
      <c r="E51" s="5">
        <v>1</v>
      </c>
      <c r="F51" s="24">
        <v>1</v>
      </c>
      <c r="G51" s="21" t="s">
        <v>222</v>
      </c>
      <c r="H51" s="20" t="s">
        <v>108</v>
      </c>
      <c r="I51" s="24">
        <v>0</v>
      </c>
      <c r="J51" s="21">
        <f>inp_scr_min</f>
        <v>10</v>
      </c>
      <c r="K51" s="21">
        <f>inp_xr_min</f>
        <v>10</v>
      </c>
      <c r="L51" s="6">
        <v>10</v>
      </c>
      <c r="M51" s="18" t="s">
        <v>110</v>
      </c>
      <c r="N51" s="17">
        <v>0</v>
      </c>
      <c r="O51" s="17">
        <v>52</v>
      </c>
      <c r="P51" s="17">
        <v>0</v>
      </c>
      <c r="Q51" s="1" t="s">
        <v>110</v>
      </c>
      <c r="R51" s="5">
        <v>0.05</v>
      </c>
      <c r="S51" s="5">
        <v>50</v>
      </c>
      <c r="T51" s="5"/>
      <c r="U51" s="18" t="s">
        <v>110</v>
      </c>
      <c r="V51" s="17">
        <v>1</v>
      </c>
      <c r="W51" s="17">
        <v>52.5</v>
      </c>
      <c r="X51" s="17"/>
      <c r="Y51" s="1" t="s">
        <v>110</v>
      </c>
      <c r="Z51" s="5">
        <v>1.05</v>
      </c>
      <c r="AA51" s="5">
        <v>50</v>
      </c>
      <c r="AB51" s="5"/>
      <c r="AC51" s="18" t="s">
        <v>110</v>
      </c>
      <c r="AD51" s="17">
        <v>2</v>
      </c>
      <c r="AE51" s="17">
        <v>53</v>
      </c>
      <c r="AF51" s="17"/>
      <c r="AG51" s="1" t="s">
        <v>110</v>
      </c>
      <c r="AH51" s="5">
        <v>2.0499999999999998</v>
      </c>
      <c r="AI51" s="5">
        <v>50</v>
      </c>
      <c r="AJ51" s="5"/>
      <c r="AK51" s="18" t="s">
        <v>110</v>
      </c>
      <c r="AL51" s="17">
        <v>3</v>
      </c>
      <c r="AM51" s="17">
        <v>55</v>
      </c>
      <c r="AN51" s="17"/>
      <c r="AO51" s="1" t="s">
        <v>110</v>
      </c>
      <c r="AP51" s="5">
        <v>3.05</v>
      </c>
      <c r="AQ51" s="5">
        <v>50</v>
      </c>
      <c r="AR51" s="5"/>
      <c r="AS51" s="18" t="s">
        <v>110</v>
      </c>
      <c r="AT51" s="17">
        <v>4</v>
      </c>
      <c r="AU51" s="17">
        <v>60</v>
      </c>
      <c r="AV51" s="17"/>
      <c r="AW51" s="1" t="s">
        <v>110</v>
      </c>
      <c r="AX51" s="5">
        <v>4.05</v>
      </c>
      <c r="AY51" s="5">
        <v>50</v>
      </c>
      <c r="AZ51" s="5"/>
      <c r="BA51" s="18" t="s">
        <v>110</v>
      </c>
      <c r="BB51" s="17">
        <v>5</v>
      </c>
      <c r="BC51" s="17">
        <v>65</v>
      </c>
      <c r="BD51" s="17"/>
      <c r="BE51" s="1" t="s">
        <v>110</v>
      </c>
      <c r="BF51" s="5">
        <v>5.05</v>
      </c>
      <c r="BG51" s="5">
        <v>50</v>
      </c>
      <c r="BH51" s="85"/>
    </row>
    <row r="52" spans="1:60" x14ac:dyDescent="0.25">
      <c r="A52" s="1">
        <v>2050</v>
      </c>
      <c r="B52" s="11" t="b">
        <v>1</v>
      </c>
      <c r="C52" s="11" t="b">
        <v>1</v>
      </c>
      <c r="D52" s="1" t="s">
        <v>489</v>
      </c>
      <c r="E52" s="5">
        <v>1</v>
      </c>
      <c r="F52" s="24">
        <v>1</v>
      </c>
      <c r="G52" s="21" t="s">
        <v>222</v>
      </c>
      <c r="H52" s="20" t="s">
        <v>108</v>
      </c>
      <c r="I52" s="24">
        <v>0</v>
      </c>
      <c r="J52" s="21">
        <f>inp_scr_min</f>
        <v>10</v>
      </c>
      <c r="K52" s="21">
        <f>inp_xr_min</f>
        <v>10</v>
      </c>
      <c r="L52" s="6">
        <v>10</v>
      </c>
      <c r="M52" s="18" t="s">
        <v>110</v>
      </c>
      <c r="N52" s="17">
        <v>0</v>
      </c>
      <c r="O52" s="17">
        <v>47.5</v>
      </c>
      <c r="P52" s="17">
        <v>0</v>
      </c>
      <c r="Q52" s="1" t="s">
        <v>110</v>
      </c>
      <c r="R52" s="5">
        <v>0.05</v>
      </c>
      <c r="S52" s="5">
        <v>50</v>
      </c>
      <c r="T52" s="5"/>
      <c r="U52" s="18" t="s">
        <v>110</v>
      </c>
      <c r="V52" s="17">
        <v>1</v>
      </c>
      <c r="W52" s="17">
        <v>47</v>
      </c>
      <c r="X52" s="17"/>
      <c r="Y52" s="1" t="s">
        <v>110</v>
      </c>
      <c r="Z52" s="5">
        <v>1.05</v>
      </c>
      <c r="AA52" s="5">
        <v>50</v>
      </c>
      <c r="AB52" s="5"/>
      <c r="AC52" s="18" t="s">
        <v>110</v>
      </c>
      <c r="AD52" s="17">
        <v>2</v>
      </c>
      <c r="AE52" s="17">
        <v>46.5</v>
      </c>
      <c r="AF52" s="17"/>
      <c r="AG52" s="1" t="s">
        <v>110</v>
      </c>
      <c r="AH52" s="5">
        <v>2.0499999999999998</v>
      </c>
      <c r="AI52" s="5">
        <v>50</v>
      </c>
      <c r="AJ52" s="5"/>
      <c r="AK52" s="18" t="s">
        <v>110</v>
      </c>
      <c r="AL52" s="17">
        <v>3</v>
      </c>
      <c r="AM52" s="17">
        <v>46</v>
      </c>
      <c r="AN52" s="17"/>
      <c r="AO52" s="1" t="s">
        <v>110</v>
      </c>
      <c r="AP52" s="5">
        <v>3.05</v>
      </c>
      <c r="AQ52" s="5">
        <v>50</v>
      </c>
      <c r="AR52" s="5"/>
      <c r="AT52" s="17"/>
      <c r="AU52" s="17"/>
      <c r="AV52" s="17"/>
      <c r="AX52" s="5"/>
      <c r="AY52" s="5"/>
      <c r="AZ52" s="5"/>
      <c r="BB52" s="17"/>
      <c r="BC52" s="17"/>
      <c r="BD52" s="17"/>
      <c r="BF52" s="5"/>
      <c r="BG52" s="5"/>
      <c r="BH52" s="85"/>
    </row>
    <row r="53" spans="1:60" x14ac:dyDescent="0.25">
      <c r="A53" s="1">
        <v>2051</v>
      </c>
      <c r="B53" s="11" t="b">
        <v>1</v>
      </c>
      <c r="C53" s="11" t="b">
        <v>1</v>
      </c>
      <c r="D53" s="1" t="s">
        <v>462</v>
      </c>
      <c r="E53" s="5">
        <v>1</v>
      </c>
      <c r="F53" s="24">
        <v>1</v>
      </c>
      <c r="G53" s="21" t="s">
        <v>222</v>
      </c>
      <c r="H53" s="20" t="s">
        <v>108</v>
      </c>
      <c r="I53" s="24">
        <v>0</v>
      </c>
      <c r="J53" s="21">
        <f t="shared" si="5"/>
        <v>10</v>
      </c>
      <c r="K53" s="21">
        <f t="shared" si="6"/>
        <v>10</v>
      </c>
      <c r="L53" s="6">
        <v>60</v>
      </c>
      <c r="M53" s="18" t="s">
        <v>118</v>
      </c>
      <c r="N53" s="17">
        <v>0</v>
      </c>
      <c r="O53" s="88">
        <v>0.8</v>
      </c>
      <c r="P53" s="17">
        <v>60</v>
      </c>
      <c r="R53" s="5"/>
      <c r="S53" s="5"/>
      <c r="T53" s="5"/>
      <c r="V53" s="17"/>
      <c r="W53" s="17"/>
      <c r="X53" s="17"/>
      <c r="Z53" s="5"/>
      <c r="AA53" s="5"/>
      <c r="AB53" s="5"/>
      <c r="AD53" s="17"/>
      <c r="AE53" s="17"/>
      <c r="AF53" s="17"/>
      <c r="AH53" s="5"/>
      <c r="AI53" s="5"/>
      <c r="AJ53" s="5"/>
      <c r="AL53" s="17"/>
      <c r="AM53" s="17"/>
      <c r="AN53" s="17"/>
      <c r="AP53" s="5"/>
      <c r="AQ53" s="5"/>
      <c r="AR53" s="5"/>
      <c r="AT53" s="17"/>
      <c r="AU53" s="17"/>
      <c r="AV53" s="17"/>
      <c r="AX53" s="5"/>
      <c r="AY53" s="5"/>
      <c r="AZ53" s="5"/>
      <c r="BB53" s="17"/>
      <c r="BC53" s="17"/>
      <c r="BD53" s="17"/>
      <c r="BF53" s="5"/>
      <c r="BG53" s="5"/>
      <c r="BH53" s="5"/>
    </row>
    <row r="54" spans="1:60" x14ac:dyDescent="0.25">
      <c r="A54" s="1">
        <v>2052</v>
      </c>
      <c r="B54" s="11" t="b">
        <v>1</v>
      </c>
      <c r="C54" s="11" t="b">
        <v>1</v>
      </c>
      <c r="D54" s="1" t="s">
        <v>458</v>
      </c>
      <c r="E54" s="5">
        <v>1</v>
      </c>
      <c r="F54" s="24">
        <v>1</v>
      </c>
      <c r="G54" s="21" t="s">
        <v>222</v>
      </c>
      <c r="H54" s="20" t="s">
        <v>108</v>
      </c>
      <c r="I54" s="24">
        <v>0</v>
      </c>
      <c r="J54" s="21">
        <f t="shared" si="5"/>
        <v>10</v>
      </c>
      <c r="K54" s="21">
        <f t="shared" si="6"/>
        <v>10</v>
      </c>
      <c r="L54" s="6">
        <v>60</v>
      </c>
      <c r="M54" s="18" t="s">
        <v>118</v>
      </c>
      <c r="N54" s="17">
        <v>0</v>
      </c>
      <c r="O54" s="88">
        <v>0.6</v>
      </c>
      <c r="P54" s="17">
        <v>60</v>
      </c>
      <c r="R54" s="5"/>
      <c r="S54" s="5"/>
      <c r="T54" s="5"/>
      <c r="V54" s="17"/>
      <c r="W54" s="17"/>
      <c r="X54" s="17"/>
      <c r="Z54" s="5"/>
      <c r="AA54" s="5"/>
      <c r="AB54" s="5"/>
      <c r="AD54" s="17"/>
      <c r="AE54" s="17"/>
      <c r="AF54" s="17"/>
      <c r="AH54" s="5"/>
      <c r="AI54" s="5"/>
      <c r="AJ54" s="5"/>
      <c r="AL54" s="17"/>
      <c r="AM54" s="17"/>
      <c r="AN54" s="17"/>
      <c r="AP54" s="5"/>
      <c r="AQ54" s="5"/>
      <c r="AR54" s="5"/>
      <c r="AT54" s="17"/>
      <c r="AU54" s="17"/>
      <c r="AV54" s="17"/>
      <c r="AX54" s="5"/>
      <c r="AY54" s="5"/>
      <c r="AZ54" s="5"/>
      <c r="BB54" s="17"/>
      <c r="BC54" s="17"/>
      <c r="BD54" s="17"/>
      <c r="BF54" s="5"/>
      <c r="BG54" s="5"/>
      <c r="BH54" s="5"/>
    </row>
    <row r="55" spans="1:60" x14ac:dyDescent="0.25">
      <c r="A55" s="1">
        <v>2053</v>
      </c>
      <c r="B55" s="11" t="b">
        <v>1</v>
      </c>
      <c r="C55" s="11" t="b">
        <v>1</v>
      </c>
      <c r="D55" s="1" t="s">
        <v>459</v>
      </c>
      <c r="E55" s="5">
        <v>1</v>
      </c>
      <c r="F55" s="24">
        <v>1</v>
      </c>
      <c r="G55" s="21" t="s">
        <v>222</v>
      </c>
      <c r="H55" s="20" t="s">
        <v>108</v>
      </c>
      <c r="I55" s="24">
        <v>0</v>
      </c>
      <c r="J55" s="21">
        <f t="shared" si="5"/>
        <v>10</v>
      </c>
      <c r="K55" s="21">
        <f t="shared" si="6"/>
        <v>10</v>
      </c>
      <c r="L55" s="6">
        <v>60</v>
      </c>
      <c r="M55" s="18" t="s">
        <v>118</v>
      </c>
      <c r="N55" s="17">
        <v>0</v>
      </c>
      <c r="O55" s="88">
        <v>0.4</v>
      </c>
      <c r="P55" s="17">
        <v>60</v>
      </c>
      <c r="R55" s="5"/>
      <c r="S55" s="5"/>
      <c r="T55" s="5"/>
      <c r="V55" s="17"/>
      <c r="W55" s="17"/>
      <c r="X55" s="17"/>
      <c r="Z55" s="5"/>
      <c r="AA55" s="5"/>
      <c r="AB55" s="5"/>
      <c r="AD55" s="17"/>
      <c r="AE55" s="17"/>
      <c r="AF55" s="17"/>
      <c r="AH55" s="5"/>
      <c r="AI55" s="5"/>
      <c r="AJ55" s="5"/>
      <c r="AL55" s="17"/>
      <c r="AM55" s="17"/>
      <c r="AN55" s="17"/>
      <c r="AP55" s="5"/>
      <c r="AQ55" s="5"/>
      <c r="AR55" s="5"/>
      <c r="AT55" s="17"/>
      <c r="AU55" s="17"/>
      <c r="AV55" s="17"/>
      <c r="AX55" s="5"/>
      <c r="AY55" s="5"/>
      <c r="AZ55" s="5"/>
      <c r="BB55" s="17"/>
      <c r="BC55" s="17"/>
      <c r="BD55" s="17"/>
      <c r="BF55" s="5"/>
      <c r="BG55" s="5"/>
      <c r="BH55" s="5"/>
    </row>
    <row r="56" spans="1:60" x14ac:dyDescent="0.25">
      <c r="A56" s="1">
        <v>2054</v>
      </c>
      <c r="B56" s="11" t="b">
        <v>1</v>
      </c>
      <c r="C56" s="11" t="b">
        <v>1</v>
      </c>
      <c r="D56" s="1" t="s">
        <v>461</v>
      </c>
      <c r="E56" s="5">
        <v>1</v>
      </c>
      <c r="F56" s="24">
        <v>1</v>
      </c>
      <c r="G56" s="21" t="s">
        <v>222</v>
      </c>
      <c r="H56" s="20" t="s">
        <v>108</v>
      </c>
      <c r="I56" s="24">
        <v>0</v>
      </c>
      <c r="J56" s="21">
        <f t="shared" si="5"/>
        <v>10</v>
      </c>
      <c r="K56" s="21">
        <f t="shared" si="6"/>
        <v>10</v>
      </c>
      <c r="L56" s="6">
        <v>60</v>
      </c>
      <c r="M56" s="18" t="s">
        <v>118</v>
      </c>
      <c r="N56" s="17">
        <v>0</v>
      </c>
      <c r="O56" s="88">
        <v>0.2</v>
      </c>
      <c r="P56" s="17">
        <v>60</v>
      </c>
      <c r="R56" s="5"/>
      <c r="S56" s="5"/>
      <c r="T56" s="5"/>
      <c r="V56" s="17"/>
      <c r="W56" s="17"/>
      <c r="X56" s="17"/>
      <c r="Z56" s="5"/>
      <c r="AA56" s="5"/>
      <c r="AB56" s="5"/>
      <c r="AD56" s="17"/>
      <c r="AE56" s="17"/>
      <c r="AF56" s="17"/>
      <c r="AH56" s="5"/>
      <c r="AI56" s="5"/>
      <c r="AJ56" s="5"/>
      <c r="AL56" s="17"/>
      <c r="AM56" s="17"/>
      <c r="AN56" s="17"/>
      <c r="AP56" s="5"/>
      <c r="AQ56" s="5"/>
      <c r="AR56" s="5"/>
      <c r="AT56" s="17"/>
      <c r="AU56" s="17"/>
      <c r="AV56" s="17"/>
      <c r="AX56" s="5"/>
      <c r="AY56" s="5"/>
      <c r="AZ56" s="5"/>
      <c r="BB56" s="17"/>
      <c r="BC56" s="17"/>
      <c r="BD56" s="17"/>
      <c r="BF56" s="5"/>
      <c r="BG56" s="5"/>
      <c r="BH56" s="5"/>
    </row>
    <row r="57" spans="1:60" x14ac:dyDescent="0.25">
      <c r="A57" s="1">
        <v>2055</v>
      </c>
      <c r="B57" s="11" t="b">
        <v>1</v>
      </c>
      <c r="C57" s="11" t="b">
        <v>1</v>
      </c>
      <c r="D57" s="1" t="s">
        <v>460</v>
      </c>
      <c r="E57" s="5">
        <v>1</v>
      </c>
      <c r="F57" s="24">
        <v>1</v>
      </c>
      <c r="G57" s="21" t="s">
        <v>222</v>
      </c>
      <c r="H57" s="20" t="s">
        <v>108</v>
      </c>
      <c r="I57" s="24">
        <v>0</v>
      </c>
      <c r="J57" s="21">
        <f t="shared" si="5"/>
        <v>10</v>
      </c>
      <c r="K57" s="21">
        <f t="shared" si="6"/>
        <v>10</v>
      </c>
      <c r="L57" s="6">
        <v>60</v>
      </c>
      <c r="M57" s="18" t="s">
        <v>120</v>
      </c>
      <c r="N57" s="17">
        <v>0</v>
      </c>
      <c r="O57" s="88">
        <v>0.05</v>
      </c>
      <c r="P57" s="17">
        <v>60</v>
      </c>
      <c r="R57" s="5"/>
      <c r="S57" s="5"/>
      <c r="T57" s="5"/>
      <c r="V57" s="17"/>
      <c r="W57" s="17"/>
      <c r="X57" s="17"/>
      <c r="Z57" s="5"/>
      <c r="AA57" s="5"/>
      <c r="AB57" s="5"/>
      <c r="AD57" s="17"/>
      <c r="AE57" s="17"/>
      <c r="AF57" s="17"/>
      <c r="AH57" s="5"/>
      <c r="AI57" s="5"/>
      <c r="AJ57" s="5"/>
      <c r="AL57" s="17"/>
      <c r="AM57" s="17"/>
      <c r="AN57" s="17"/>
      <c r="AP57" s="5"/>
      <c r="AQ57" s="5"/>
      <c r="AR57" s="5"/>
      <c r="AT57" s="17"/>
      <c r="AU57" s="17"/>
      <c r="AV57" s="17"/>
      <c r="AX57" s="5"/>
      <c r="AY57" s="5"/>
      <c r="AZ57" s="5"/>
      <c r="BB57" s="17"/>
      <c r="BC57" s="17"/>
      <c r="BD57" s="17"/>
      <c r="BF57" s="5"/>
      <c r="BG57" s="5"/>
      <c r="BH57" s="5"/>
    </row>
    <row r="58" spans="1:60" x14ac:dyDescent="0.25">
      <c r="A58" s="1">
        <v>2056</v>
      </c>
      <c r="B58" s="11" t="b">
        <v>1</v>
      </c>
      <c r="C58" s="11" t="b">
        <v>1</v>
      </c>
      <c r="D58" s="1" t="s">
        <v>423</v>
      </c>
      <c r="E58" s="5">
        <v>1</v>
      </c>
      <c r="F58" s="24">
        <v>0.7</v>
      </c>
      <c r="G58" s="21" t="s">
        <v>222</v>
      </c>
      <c r="H58" s="20" t="s">
        <v>108</v>
      </c>
      <c r="I58" s="24">
        <v>0</v>
      </c>
      <c r="J58" s="21">
        <f t="shared" si="5"/>
        <v>10</v>
      </c>
      <c r="K58" s="21">
        <f t="shared" si="6"/>
        <v>10</v>
      </c>
      <c r="L58" s="6">
        <v>60</v>
      </c>
      <c r="M58" s="18" t="s">
        <v>110</v>
      </c>
      <c r="N58" s="17">
        <v>0</v>
      </c>
      <c r="O58" s="17">
        <v>53</v>
      </c>
      <c r="P58" s="17"/>
      <c r="Q58" s="5"/>
      <c r="R58" s="5"/>
      <c r="S58" s="5"/>
      <c r="T58" s="5"/>
      <c r="V58" s="17"/>
      <c r="W58" s="17"/>
      <c r="X58" s="17"/>
      <c r="Z58" s="5"/>
      <c r="AA58" s="5"/>
      <c r="AB58" s="5"/>
      <c r="AD58" s="17"/>
      <c r="AE58" s="17"/>
      <c r="AF58" s="17"/>
      <c r="AH58" s="5"/>
      <c r="AI58" s="5"/>
      <c r="AJ58" s="5"/>
      <c r="AL58" s="17"/>
      <c r="AM58" s="17"/>
      <c r="AN58" s="17"/>
      <c r="AP58" s="5"/>
      <c r="AQ58" s="5"/>
      <c r="AR58" s="5"/>
      <c r="AT58" s="17"/>
      <c r="AU58" s="17"/>
      <c r="AV58" s="17"/>
      <c r="AX58" s="5"/>
      <c r="AY58" s="5"/>
      <c r="AZ58" s="5"/>
      <c r="BB58" s="17"/>
      <c r="BC58" s="17"/>
      <c r="BD58" s="17"/>
      <c r="BF58" s="5"/>
      <c r="BG58" s="5"/>
      <c r="BH58" s="5"/>
    </row>
    <row r="59" spans="1:60" x14ac:dyDescent="0.25">
      <c r="A59" s="1">
        <v>2057</v>
      </c>
      <c r="B59" s="11" t="b">
        <v>1</v>
      </c>
      <c r="C59" s="11" t="b">
        <v>1</v>
      </c>
      <c r="D59" s="1" t="s">
        <v>424</v>
      </c>
      <c r="E59" s="5">
        <v>1</v>
      </c>
      <c r="F59" s="24">
        <v>0.7</v>
      </c>
      <c r="G59" s="21" t="s">
        <v>222</v>
      </c>
      <c r="H59" s="20" t="s">
        <v>108</v>
      </c>
      <c r="I59" s="24">
        <v>0</v>
      </c>
      <c r="J59" s="21">
        <f t="shared" si="5"/>
        <v>10</v>
      </c>
      <c r="K59" s="21">
        <f t="shared" si="6"/>
        <v>10</v>
      </c>
      <c r="L59" s="6">
        <v>60</v>
      </c>
      <c r="M59" s="18" t="s">
        <v>110</v>
      </c>
      <c r="N59" s="17">
        <v>0</v>
      </c>
      <c r="O59" s="17">
        <v>46</v>
      </c>
      <c r="P59" s="17"/>
      <c r="R59" s="5"/>
      <c r="S59" s="5"/>
      <c r="T59" s="5"/>
      <c r="V59" s="17"/>
      <c r="W59" s="17"/>
      <c r="X59" s="17"/>
      <c r="Z59" s="5"/>
      <c r="AA59" s="5"/>
      <c r="AB59" s="5"/>
      <c r="AD59" s="17"/>
      <c r="AE59" s="17"/>
      <c r="AF59" s="17"/>
      <c r="AH59" s="5"/>
      <c r="AI59" s="5"/>
      <c r="AJ59" s="5"/>
      <c r="AL59" s="17"/>
      <c r="AM59" s="17"/>
      <c r="AN59" s="17"/>
      <c r="AP59" s="5"/>
      <c r="AQ59" s="5"/>
      <c r="AR59" s="5"/>
      <c r="AT59" s="17"/>
      <c r="AU59" s="17"/>
      <c r="AV59" s="17"/>
      <c r="AX59" s="5"/>
      <c r="AY59" s="5"/>
      <c r="AZ59" s="5"/>
      <c r="BB59" s="17"/>
      <c r="BC59" s="17"/>
      <c r="BD59" s="17"/>
      <c r="BF59" s="5"/>
      <c r="BG59" s="5"/>
      <c r="BH59" s="5"/>
    </row>
    <row r="60" spans="1:60" x14ac:dyDescent="0.25">
      <c r="A60" s="1">
        <v>2058</v>
      </c>
      <c r="B60" s="11" t="b">
        <v>1</v>
      </c>
      <c r="C60" s="11" t="b">
        <v>1</v>
      </c>
      <c r="D60" s="1" t="s">
        <v>425</v>
      </c>
      <c r="E60" s="5">
        <v>1</v>
      </c>
      <c r="F60" s="24">
        <v>0.7</v>
      </c>
      <c r="G60" s="21" t="s">
        <v>222</v>
      </c>
      <c r="H60" s="20" t="s">
        <v>108</v>
      </c>
      <c r="I60" s="24">
        <v>0</v>
      </c>
      <c r="J60" s="21">
        <f t="shared" si="5"/>
        <v>10</v>
      </c>
      <c r="K60" s="21">
        <f t="shared" si="6"/>
        <v>10</v>
      </c>
      <c r="L60" s="6">
        <v>30</v>
      </c>
      <c r="M60" s="18" t="s">
        <v>110</v>
      </c>
      <c r="N60" s="17">
        <v>0</v>
      </c>
      <c r="O60" s="17">
        <v>52</v>
      </c>
      <c r="P60" s="17"/>
      <c r="Q60" s="1" t="s">
        <v>110</v>
      </c>
      <c r="R60" s="5">
        <v>5</v>
      </c>
      <c r="S60" s="5">
        <v>53</v>
      </c>
      <c r="T60" s="5"/>
      <c r="U60" s="18" t="s">
        <v>110</v>
      </c>
      <c r="V60" s="17">
        <v>10</v>
      </c>
      <c r="W60" s="17">
        <v>54</v>
      </c>
      <c r="X60" s="17"/>
      <c r="Y60" s="1" t="s">
        <v>110</v>
      </c>
      <c r="Z60" s="5">
        <v>15</v>
      </c>
      <c r="AA60" s="5">
        <v>55</v>
      </c>
      <c r="AB60" s="5"/>
      <c r="AC60" s="18" t="s">
        <v>110</v>
      </c>
      <c r="AD60" s="17">
        <v>20</v>
      </c>
      <c r="AE60" s="17">
        <v>56</v>
      </c>
      <c r="AF60" s="17"/>
      <c r="AG60" s="1" t="s">
        <v>110</v>
      </c>
      <c r="AH60" s="5">
        <v>25</v>
      </c>
      <c r="AI60" s="5">
        <v>50</v>
      </c>
      <c r="AJ60" s="5"/>
      <c r="AL60" s="17"/>
      <c r="AM60" s="17"/>
      <c r="AN60" s="17"/>
      <c r="AP60" s="5"/>
      <c r="AQ60" s="5"/>
      <c r="AR60" s="5"/>
      <c r="AT60" s="17"/>
      <c r="AU60" s="17"/>
      <c r="AV60" s="17"/>
      <c r="AX60" s="5"/>
      <c r="AY60" s="5"/>
      <c r="AZ60" s="5"/>
      <c r="BB60" s="17"/>
      <c r="BC60" s="17"/>
      <c r="BD60" s="17"/>
      <c r="BF60" s="5"/>
      <c r="BG60" s="5"/>
      <c r="BH60" s="5"/>
    </row>
    <row r="61" spans="1:60" x14ac:dyDescent="0.25">
      <c r="A61" s="1">
        <v>2059</v>
      </c>
      <c r="B61" s="11" t="b">
        <v>1</v>
      </c>
      <c r="C61" s="11" t="b">
        <v>1</v>
      </c>
      <c r="D61" s="1" t="s">
        <v>426</v>
      </c>
      <c r="E61" s="5">
        <v>1</v>
      </c>
      <c r="F61" s="24">
        <v>0.7</v>
      </c>
      <c r="G61" s="21" t="s">
        <v>222</v>
      </c>
      <c r="H61" s="20" t="s">
        <v>108</v>
      </c>
      <c r="I61" s="24">
        <v>0</v>
      </c>
      <c r="J61" s="21">
        <f t="shared" si="5"/>
        <v>10</v>
      </c>
      <c r="K61" s="21">
        <f t="shared" si="6"/>
        <v>10</v>
      </c>
      <c r="L61" s="6">
        <v>30</v>
      </c>
      <c r="M61" s="18" t="s">
        <v>110</v>
      </c>
      <c r="N61" s="17">
        <v>0</v>
      </c>
      <c r="O61" s="17">
        <v>47</v>
      </c>
      <c r="P61" s="17"/>
      <c r="Q61" s="1" t="s">
        <v>110</v>
      </c>
      <c r="R61" s="5">
        <v>5</v>
      </c>
      <c r="S61" s="5">
        <v>46</v>
      </c>
      <c r="T61" s="5"/>
      <c r="U61" s="18" t="s">
        <v>110</v>
      </c>
      <c r="V61" s="17">
        <v>10</v>
      </c>
      <c r="W61" s="17">
        <v>45</v>
      </c>
      <c r="X61" s="17"/>
      <c r="Y61" s="1" t="s">
        <v>110</v>
      </c>
      <c r="Z61" s="5">
        <v>15</v>
      </c>
      <c r="AA61" s="5">
        <v>44</v>
      </c>
      <c r="AB61" s="5"/>
      <c r="AC61" s="18" t="s">
        <v>110</v>
      </c>
      <c r="AD61" s="17">
        <v>20</v>
      </c>
      <c r="AE61" s="17">
        <v>43</v>
      </c>
      <c r="AF61" s="17"/>
      <c r="AG61" s="1" t="s">
        <v>110</v>
      </c>
      <c r="AH61" s="5">
        <v>25</v>
      </c>
      <c r="AI61" s="5">
        <v>50</v>
      </c>
      <c r="AJ61" s="5"/>
      <c r="AL61" s="17"/>
      <c r="AM61" s="17"/>
      <c r="AN61" s="17"/>
      <c r="AP61" s="5"/>
      <c r="AQ61" s="5"/>
      <c r="AR61" s="5"/>
      <c r="AT61" s="17"/>
      <c r="AU61" s="17"/>
      <c r="AV61" s="17"/>
      <c r="AX61" s="5"/>
      <c r="AY61" s="5"/>
      <c r="AZ61" s="5"/>
      <c r="BB61" s="17"/>
      <c r="BC61" s="17"/>
      <c r="BD61" s="17"/>
      <c r="BF61" s="5"/>
      <c r="BG61" s="5"/>
      <c r="BH61" s="5"/>
    </row>
    <row r="62" spans="1:60" x14ac:dyDescent="0.25">
      <c r="A62" s="1">
        <v>2060</v>
      </c>
      <c r="B62" s="138" t="b">
        <v>0</v>
      </c>
      <c r="C62" s="138" t="b">
        <v>1</v>
      </c>
      <c r="D62" s="139" t="s">
        <v>457</v>
      </c>
      <c r="E62" s="24">
        <f>inp_Uc/inp_Un</f>
        <v>1.0651315789473685</v>
      </c>
      <c r="F62" s="24">
        <v>1</v>
      </c>
      <c r="G62" s="140" t="s">
        <v>222</v>
      </c>
      <c r="H62" s="141" t="s">
        <v>108</v>
      </c>
      <c r="I62" s="24">
        <f>IF(inp_default="Q(U)",E62,IF(inp_default="PF",1,0))</f>
        <v>0</v>
      </c>
      <c r="J62" s="140">
        <f t="shared" si="5"/>
        <v>10</v>
      </c>
      <c r="K62" s="140">
        <f t="shared" si="6"/>
        <v>10</v>
      </c>
      <c r="L62" s="142">
        <v>20</v>
      </c>
      <c r="M62" s="143" t="s">
        <v>126</v>
      </c>
      <c r="N62" s="143">
        <v>1</v>
      </c>
      <c r="O62" s="143">
        <v>0.75</v>
      </c>
      <c r="P62" s="143"/>
      <c r="Q62" s="24" t="s">
        <v>126</v>
      </c>
      <c r="R62" s="24">
        <v>5</v>
      </c>
      <c r="S62" s="24">
        <v>0.25</v>
      </c>
      <c r="T62" s="24"/>
      <c r="U62" s="143" t="s">
        <v>126</v>
      </c>
      <c r="V62" s="143">
        <v>10</v>
      </c>
      <c r="W62" s="143">
        <v>1</v>
      </c>
      <c r="X62" s="143"/>
    </row>
  </sheetData>
  <autoFilter ref="A2:BH2"/>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ignoredErrors>
    <ignoredError sqref="J50:K50" formula="1"/>
  </ignoredErrors>
  <extLst>
    <ext xmlns:x14="http://schemas.microsoft.com/office/spreadsheetml/2009/9/main" uri="{CCE6A557-97BC-4b89-ADB6-D9C93CAAB3DF}">
      <x14:dataValidations xmlns:xm="http://schemas.microsoft.com/office/excel/2006/main" disablePrompts="1" count="5">
        <x14:dataValidation type="list" allowBlank="1" showInputMessage="1" showErrorMessage="1">
          <x14:formula1>
            <xm:f>'Event types'!$A$2:$A$272</xm:f>
          </x14:formula1>
          <xm:sqref>AG3:AG39 AC53:AC61 Y53:Y61 U53:U62 Q53:Q62 BE53:BE61 AK53:AK61 AO53:AO61 AS53:AS61 AW53:AW61 BA53:BA61 M53:M62 AG53:AG61 U3:U39 Y3:Y39 AC3:AC39 M41:M50 BA3:BA50 AW3:AW50 AS3:AS50 AO3:AO50 AK3:AK50 BE3:BE50 Q41:Q50 U41:U50 Y41:Y50 AC41:AC50 AG41:AG50 Q3:Q39 M3:M39</xm:sqref>
        </x14:dataValidation>
        <x14:dataValidation type="list" allowBlank="1" showInputMessage="1" showErrorMessage="1">
          <x14:formula1>
            <xm:f>'Event types'!$A$2:$A$939</xm:f>
          </x14:formula1>
          <xm:sqref>AG40 AC40 Y40 U40 M40 Q40 M63:M1048576</xm:sqref>
        </x14:dataValidation>
        <x14:dataValidation type="list" allowBlank="1" showInputMessage="1" showErrorMessage="1">
          <x14:formula1>
            <xm:f>datavalidation!$E$1:$E$2</xm:f>
          </x14:formula1>
          <xm:sqref>B53:C62 B3:C50</xm:sqref>
        </x14:dataValidation>
        <x14:dataValidation type="list" allowBlank="1" showInputMessage="1" showErrorMessage="1">
          <x14:formula1>
            <xm:f>datavalidation!$C$1:$C$8</xm:f>
          </x14:formula1>
          <xm:sqref>G53:G1048576 G3:G50</xm:sqref>
        </x14:dataValidation>
        <x14:dataValidation type="list" allowBlank="1" showInputMessage="1" showErrorMessage="1">
          <x14:formula1>
            <xm:f>datavalidation!$B$1:$B$8</xm:f>
          </x14:formula1>
          <xm:sqref>H53:H1048576 H3:H50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H3"/>
  <sheetViews>
    <sheetView zoomScale="130" zoomScaleNormal="130" workbookViewId="0">
      <pane ySplit="2" topLeftCell="A3" activePane="bottomLeft" state="frozen"/>
      <selection pane="bottomLeft" activeCell="G3" sqref="G3"/>
    </sheetView>
  </sheetViews>
  <sheetFormatPr defaultColWidth="9.140625" defaultRowHeight="15" x14ac:dyDescent="0.25"/>
  <cols>
    <col min="1" max="1" width="12.85546875" style="1" bestFit="1" customWidth="1"/>
    <col min="2" max="2" width="12.42578125" style="1" bestFit="1" customWidth="1"/>
    <col min="3" max="3" width="12" style="1" bestFit="1" customWidth="1"/>
    <col min="4" max="4" width="47.85546875" style="1" customWidth="1"/>
    <col min="5" max="6" width="10.5703125" style="1" bestFit="1" customWidth="1"/>
    <col min="7" max="7" width="12.140625" style="1" bestFit="1" customWidth="1"/>
    <col min="8" max="8" width="14.85546875" style="1" bestFit="1" customWidth="1"/>
    <col min="9" max="9" width="13.140625" style="1" customWidth="1"/>
    <col min="10" max="10" width="9.85546875" style="1" bestFit="1" customWidth="1"/>
    <col min="11" max="11" width="9.85546875" style="1" customWidth="1"/>
    <col min="12" max="12" width="21.5703125" style="1" bestFit="1" customWidth="1"/>
    <col min="13" max="13" width="22.85546875" style="18" bestFit="1" customWidth="1"/>
    <col min="14" max="14" width="9.7109375" style="18" bestFit="1" customWidth="1"/>
    <col min="15" max="15" width="35" style="18" bestFit="1" customWidth="1"/>
    <col min="16" max="16" width="16.5703125" style="18" bestFit="1" customWidth="1"/>
    <col min="17" max="17" width="17.5703125" style="1" bestFit="1" customWidth="1"/>
    <col min="18" max="18" width="9.7109375" style="1" bestFit="1" customWidth="1"/>
    <col min="19" max="19" width="25" style="1" bestFit="1" customWidth="1"/>
    <col min="20" max="20" width="16.5703125" style="1" bestFit="1" customWidth="1"/>
    <col min="21" max="21" width="12" style="18" bestFit="1" customWidth="1"/>
    <col min="22" max="22" width="9.7109375" style="18" bestFit="1" customWidth="1"/>
    <col min="23" max="23" width="12.42578125" style="18" bestFit="1" customWidth="1"/>
    <col min="24" max="24" width="16.5703125" style="18"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8" bestFit="1" customWidth="1"/>
    <col min="30" max="30" width="9.7109375" style="18" bestFit="1" customWidth="1"/>
    <col min="31" max="31" width="12.42578125" style="18" bestFit="1" customWidth="1"/>
    <col min="32" max="32" width="16.5703125" style="18"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8" bestFit="1" customWidth="1"/>
    <col min="38" max="38" width="9.7109375" style="18" bestFit="1" customWidth="1"/>
    <col min="39" max="39" width="12.42578125" style="18" bestFit="1" customWidth="1"/>
    <col min="40" max="40" width="16.5703125" style="18"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8" customWidth="1"/>
    <col min="46" max="46" width="9.7109375" style="18" bestFit="1" customWidth="1"/>
    <col min="47" max="47" width="12.42578125" style="18" bestFit="1" customWidth="1"/>
    <col min="48" max="48" width="16.5703125" style="18"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8" customWidth="1"/>
    <col min="54" max="54" width="9.7109375" style="18" bestFit="1" customWidth="1"/>
    <col min="55" max="55" width="12.42578125" style="18" bestFit="1" customWidth="1"/>
    <col min="56" max="56" width="16.5703125" style="18"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60" x14ac:dyDescent="0.25">
      <c r="D1" s="96"/>
      <c r="M1" s="258" t="s">
        <v>80</v>
      </c>
      <c r="N1" s="258"/>
      <c r="O1" s="258"/>
      <c r="P1" s="258"/>
      <c r="Q1" s="251" t="s">
        <v>81</v>
      </c>
      <c r="R1" s="251"/>
      <c r="S1" s="251"/>
      <c r="T1" s="251"/>
      <c r="U1" s="258" t="s">
        <v>82</v>
      </c>
      <c r="V1" s="258"/>
      <c r="W1" s="258"/>
      <c r="X1" s="258"/>
      <c r="Y1" s="251" t="s">
        <v>83</v>
      </c>
      <c r="Z1" s="251"/>
      <c r="AA1" s="251"/>
      <c r="AB1" s="251"/>
      <c r="AC1" s="258" t="s">
        <v>84</v>
      </c>
      <c r="AD1" s="258"/>
      <c r="AE1" s="258"/>
      <c r="AF1" s="258"/>
      <c r="AG1" s="251" t="s">
        <v>85</v>
      </c>
      <c r="AH1" s="251"/>
      <c r="AI1" s="251"/>
      <c r="AJ1" s="251"/>
      <c r="AK1" s="258" t="s">
        <v>86</v>
      </c>
      <c r="AL1" s="258"/>
      <c r="AM1" s="258"/>
      <c r="AN1" s="258"/>
      <c r="AO1" s="251" t="s">
        <v>87</v>
      </c>
      <c r="AP1" s="251"/>
      <c r="AQ1" s="251"/>
      <c r="AR1" s="251"/>
      <c r="AS1" s="258" t="s">
        <v>88</v>
      </c>
      <c r="AT1" s="258"/>
      <c r="AU1" s="258"/>
      <c r="AV1" s="258"/>
      <c r="AW1" s="251" t="s">
        <v>89</v>
      </c>
      <c r="AX1" s="251"/>
      <c r="AY1" s="251"/>
      <c r="AZ1" s="251"/>
      <c r="BA1" s="258" t="s">
        <v>90</v>
      </c>
      <c r="BB1" s="258"/>
      <c r="BC1" s="258"/>
      <c r="BD1" s="258"/>
      <c r="BE1" s="251" t="s">
        <v>91</v>
      </c>
      <c r="BF1" s="251"/>
      <c r="BG1" s="251"/>
      <c r="BH1" s="251"/>
    </row>
    <row r="2" spans="1:60"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12" t="s">
        <v>104</v>
      </c>
      <c r="BF2" s="12" t="s">
        <v>105</v>
      </c>
      <c r="BG2" s="12" t="s">
        <v>106</v>
      </c>
      <c r="BH2" s="11" t="s">
        <v>107</v>
      </c>
    </row>
    <row r="3" spans="1:60" x14ac:dyDescent="0.25">
      <c r="A3" s="1">
        <v>3001</v>
      </c>
      <c r="B3" s="1" t="b">
        <f>TRUE</f>
        <v>1</v>
      </c>
      <c r="C3" s="1" t="b">
        <f>FALSE</f>
        <v>0</v>
      </c>
      <c r="D3" s="1" t="s">
        <v>427</v>
      </c>
      <c r="E3" s="5">
        <f>inp_Uc/inp_Un</f>
        <v>1.0651315789473685</v>
      </c>
      <c r="F3" s="1">
        <v>1</v>
      </c>
      <c r="G3" s="1" t="s">
        <v>222</v>
      </c>
      <c r="H3" s="1" t="s">
        <v>432</v>
      </c>
      <c r="I3" s="1">
        <v>0</v>
      </c>
      <c r="J3" s="1">
        <f>inp_scr_max</f>
        <v>30</v>
      </c>
      <c r="K3" s="1">
        <f>inp_xr_max</f>
        <v>20</v>
      </c>
      <c r="L3" s="1">
        <v>5</v>
      </c>
      <c r="M3" s="18" t="s">
        <v>118</v>
      </c>
      <c r="N3" s="18">
        <v>0.1</v>
      </c>
      <c r="O3" s="87">
        <v>0.05</v>
      </c>
      <c r="P3" s="18">
        <v>0.1</v>
      </c>
      <c r="Q3" s="1" t="s">
        <v>114</v>
      </c>
      <c r="R3" s="1">
        <v>1</v>
      </c>
      <c r="S3" s="1">
        <f>0.1</f>
        <v>0.1</v>
      </c>
    </row>
  </sheetData>
  <autoFilter ref="A2:BH2"/>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'Event types'!$A$2:$A$939</xm:f>
          </x14:formula1>
          <xm:sqref>M3:M1048576</xm:sqref>
        </x14:dataValidation>
        <x14:dataValidation type="list" allowBlank="1" showInputMessage="1" showErrorMessage="1">
          <x14:formula1>
            <xm:f>datavalidation!$C$1:$C$8</xm:f>
          </x14:formula1>
          <xm:sqref>G3:G1048576</xm:sqref>
        </x14:dataValidation>
        <x14:dataValidation type="list" allowBlank="1" showInputMessage="1" showErrorMessage="1">
          <x14:formula1>
            <xm:f>datavalidation!$B$1:$B$8</xm:f>
          </x14:formula1>
          <xm:sqref>H3:H1048576</xm:sqref>
        </x14:dataValidation>
        <x14:dataValidation type="list" allowBlank="1" showInputMessage="1" showErrorMessage="1">
          <x14:formula1>
            <xm:f>'Event types'!$A$2:$A$46</xm:f>
          </x14:formula1>
          <xm:sqref>Q3:Q1048576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zoomScale="115" zoomScaleNormal="115" workbookViewId="0">
      <pane ySplit="1" topLeftCell="A2" activePane="bottomLeft" state="frozen"/>
      <selection pane="bottomLeft" activeCell="B4" sqref="B4"/>
    </sheetView>
  </sheetViews>
  <sheetFormatPr defaultRowHeight="15" x14ac:dyDescent="0.25"/>
  <cols>
    <col min="1" max="1" width="21.42578125" bestFit="1" customWidth="1"/>
    <col min="2" max="2" width="61.42578125" bestFit="1" customWidth="1"/>
    <col min="3" max="3" width="45.140625" bestFit="1" customWidth="1"/>
    <col min="4" max="4" width="12.5703125" customWidth="1"/>
    <col min="5" max="5" width="14.28515625" bestFit="1" customWidth="1"/>
  </cols>
  <sheetData>
    <row r="1" spans="1:6" x14ac:dyDescent="0.25">
      <c r="A1" s="132" t="s">
        <v>95</v>
      </c>
      <c r="B1" s="132" t="s">
        <v>135</v>
      </c>
      <c r="C1" s="132" t="s">
        <v>136</v>
      </c>
      <c r="D1" s="132" t="s">
        <v>137</v>
      </c>
      <c r="E1" s="132" t="s">
        <v>138</v>
      </c>
      <c r="F1" s="132" t="s">
        <v>139</v>
      </c>
    </row>
    <row r="2" spans="1:6" x14ac:dyDescent="0.25">
      <c r="A2" s="125" t="s">
        <v>109</v>
      </c>
      <c r="B2" s="125" t="s">
        <v>140</v>
      </c>
      <c r="C2" s="125" t="s">
        <v>141</v>
      </c>
      <c r="D2" s="125" t="s">
        <v>142</v>
      </c>
      <c r="E2" s="125" t="s">
        <v>143</v>
      </c>
      <c r="F2" s="125" t="s">
        <v>29</v>
      </c>
    </row>
    <row r="3" spans="1:6" x14ac:dyDescent="0.25">
      <c r="A3" s="125" t="s">
        <v>114</v>
      </c>
      <c r="B3" s="125" t="s">
        <v>144</v>
      </c>
      <c r="C3" s="125" t="s">
        <v>141</v>
      </c>
      <c r="D3" s="125" t="s">
        <v>142</v>
      </c>
      <c r="E3" s="125" t="s">
        <v>143</v>
      </c>
      <c r="F3" s="125" t="s">
        <v>29</v>
      </c>
    </row>
    <row r="4" spans="1:6" x14ac:dyDescent="0.25">
      <c r="A4" s="125" t="s">
        <v>111</v>
      </c>
      <c r="B4" s="125" t="s">
        <v>145</v>
      </c>
      <c r="C4" s="125" t="s">
        <v>146</v>
      </c>
      <c r="D4" s="125" t="s">
        <v>142</v>
      </c>
      <c r="E4" s="125" t="s">
        <v>143</v>
      </c>
      <c r="F4" s="125" t="s">
        <v>29</v>
      </c>
    </row>
    <row r="5" spans="1:6" x14ac:dyDescent="0.25">
      <c r="A5" s="125" t="s">
        <v>112</v>
      </c>
      <c r="B5" s="125" t="s">
        <v>147</v>
      </c>
      <c r="C5" s="125" t="s">
        <v>146</v>
      </c>
      <c r="D5" s="125" t="s">
        <v>142</v>
      </c>
      <c r="E5" s="125" t="s">
        <v>143</v>
      </c>
      <c r="F5" s="125" t="s">
        <v>29</v>
      </c>
    </row>
    <row r="6" spans="1:6" x14ac:dyDescent="0.25">
      <c r="A6" s="125" t="s">
        <v>117</v>
      </c>
      <c r="B6" s="125" t="s">
        <v>148</v>
      </c>
      <c r="C6" s="125" t="s">
        <v>149</v>
      </c>
      <c r="D6" s="125" t="s">
        <v>150</v>
      </c>
      <c r="E6" s="125" t="s">
        <v>143</v>
      </c>
      <c r="F6" s="125" t="s">
        <v>151</v>
      </c>
    </row>
    <row r="7" spans="1:6" x14ac:dyDescent="0.25">
      <c r="A7" s="125" t="s">
        <v>110</v>
      </c>
      <c r="B7" s="125" t="s">
        <v>152</v>
      </c>
      <c r="C7" s="125" t="s">
        <v>149</v>
      </c>
      <c r="D7" s="125" t="s">
        <v>153</v>
      </c>
      <c r="E7" s="125" t="s">
        <v>143</v>
      </c>
      <c r="F7" s="125" t="s">
        <v>154</v>
      </c>
    </row>
    <row r="8" spans="1:6" x14ac:dyDescent="0.25">
      <c r="A8" s="125" t="s">
        <v>122</v>
      </c>
      <c r="B8" s="125" t="s">
        <v>155</v>
      </c>
      <c r="C8" s="125" t="s">
        <v>122</v>
      </c>
      <c r="D8" s="126" t="s">
        <v>11</v>
      </c>
      <c r="E8" s="125" t="s">
        <v>156</v>
      </c>
      <c r="F8" s="126" t="s">
        <v>11</v>
      </c>
    </row>
    <row r="9" spans="1:6" x14ac:dyDescent="0.25">
      <c r="A9" s="125" t="s">
        <v>118</v>
      </c>
      <c r="B9" s="125" t="s">
        <v>157</v>
      </c>
      <c r="C9" s="125" t="s">
        <v>158</v>
      </c>
      <c r="D9" s="125" t="s">
        <v>142</v>
      </c>
      <c r="E9" s="125" t="s">
        <v>159</v>
      </c>
      <c r="F9" s="125" t="s">
        <v>28</v>
      </c>
    </row>
    <row r="10" spans="1:6" x14ac:dyDescent="0.25">
      <c r="A10" s="125" t="s">
        <v>119</v>
      </c>
      <c r="B10" s="125" t="s">
        <v>160</v>
      </c>
      <c r="C10" s="125" t="s">
        <v>158</v>
      </c>
      <c r="D10" s="125" t="s">
        <v>142</v>
      </c>
      <c r="E10" s="125" t="s">
        <v>159</v>
      </c>
      <c r="F10" s="125" t="s">
        <v>28</v>
      </c>
    </row>
    <row r="11" spans="1:6" x14ac:dyDescent="0.25">
      <c r="A11" s="125" t="s">
        <v>121</v>
      </c>
      <c r="B11" s="125" t="s">
        <v>161</v>
      </c>
      <c r="C11" s="125" t="s">
        <v>158</v>
      </c>
      <c r="D11" s="125" t="s">
        <v>142</v>
      </c>
      <c r="E11" s="125" t="s">
        <v>159</v>
      </c>
      <c r="F11" s="125" t="s">
        <v>28</v>
      </c>
    </row>
    <row r="12" spans="1:6" x14ac:dyDescent="0.25">
      <c r="A12" s="125" t="s">
        <v>120</v>
      </c>
      <c r="B12" s="125" t="s">
        <v>162</v>
      </c>
      <c r="C12" s="125" t="s">
        <v>158</v>
      </c>
      <c r="D12" s="125" t="s">
        <v>142</v>
      </c>
      <c r="E12" s="125" t="s">
        <v>159</v>
      </c>
      <c r="F12" s="125" t="s">
        <v>28</v>
      </c>
    </row>
    <row r="13" spans="1:6" x14ac:dyDescent="0.25">
      <c r="A13" s="125" t="s">
        <v>163</v>
      </c>
      <c r="B13" s="125" t="s">
        <v>157</v>
      </c>
      <c r="C13" s="125" t="s">
        <v>164</v>
      </c>
      <c r="D13" s="125" t="s">
        <v>20</v>
      </c>
      <c r="E13" s="125" t="s">
        <v>165</v>
      </c>
      <c r="F13" s="125" t="s">
        <v>20</v>
      </c>
    </row>
    <row r="14" spans="1:6" x14ac:dyDescent="0.25">
      <c r="A14" s="125" t="s">
        <v>166</v>
      </c>
      <c r="B14" s="125" t="s">
        <v>160</v>
      </c>
      <c r="C14" s="125" t="s">
        <v>164</v>
      </c>
      <c r="D14" s="125" t="s">
        <v>20</v>
      </c>
      <c r="E14" s="125" t="s">
        <v>165</v>
      </c>
      <c r="F14" s="125" t="s">
        <v>20</v>
      </c>
    </row>
    <row r="15" spans="1:6" x14ac:dyDescent="0.25">
      <c r="A15" s="125" t="s">
        <v>167</v>
      </c>
      <c r="B15" s="125" t="s">
        <v>161</v>
      </c>
      <c r="C15" s="125" t="s">
        <v>164</v>
      </c>
      <c r="D15" s="125" t="s">
        <v>20</v>
      </c>
      <c r="E15" s="125" t="s">
        <v>165</v>
      </c>
      <c r="F15" s="125" t="s">
        <v>20</v>
      </c>
    </row>
    <row r="16" spans="1:6" x14ac:dyDescent="0.25">
      <c r="A16" s="125" t="s">
        <v>133</v>
      </c>
      <c r="B16" s="125" t="s">
        <v>162</v>
      </c>
      <c r="C16" s="125" t="s">
        <v>164</v>
      </c>
      <c r="D16" s="125" t="s">
        <v>20</v>
      </c>
      <c r="E16" s="125" t="s">
        <v>165</v>
      </c>
      <c r="F16" s="125" t="s">
        <v>20</v>
      </c>
    </row>
    <row r="17" spans="1:6" x14ac:dyDescent="0.25">
      <c r="A17" s="125" t="s">
        <v>134</v>
      </c>
      <c r="B17" s="125" t="s">
        <v>168</v>
      </c>
      <c r="C17" s="125" t="s">
        <v>169</v>
      </c>
      <c r="D17" s="125" t="s">
        <v>169</v>
      </c>
      <c r="E17" s="125" t="s">
        <v>169</v>
      </c>
      <c r="F17" s="125" t="s">
        <v>169</v>
      </c>
    </row>
    <row r="18" spans="1:6" ht="30" x14ac:dyDescent="0.25">
      <c r="A18" s="127" t="s">
        <v>170</v>
      </c>
      <c r="B18" s="128" t="s">
        <v>171</v>
      </c>
      <c r="C18" s="127" t="s">
        <v>172</v>
      </c>
      <c r="D18" s="127" t="s">
        <v>169</v>
      </c>
      <c r="E18" s="127" t="s">
        <v>173</v>
      </c>
      <c r="F18" s="129" t="s">
        <v>11</v>
      </c>
    </row>
    <row r="19" spans="1:6" ht="30" x14ac:dyDescent="0.25">
      <c r="A19" s="127" t="s">
        <v>131</v>
      </c>
      <c r="B19" s="128" t="s">
        <v>174</v>
      </c>
      <c r="C19" s="127" t="s">
        <v>172</v>
      </c>
      <c r="D19" s="127" t="s">
        <v>169</v>
      </c>
      <c r="E19" s="127" t="s">
        <v>173</v>
      </c>
      <c r="F19" s="129" t="s">
        <v>11</v>
      </c>
    </row>
    <row r="20" spans="1:6" ht="30" x14ac:dyDescent="0.25">
      <c r="A20" s="127" t="s">
        <v>127</v>
      </c>
      <c r="B20" s="128" t="s">
        <v>175</v>
      </c>
      <c r="C20" s="127" t="s">
        <v>172</v>
      </c>
      <c r="D20" s="127" t="s">
        <v>169</v>
      </c>
      <c r="E20" s="127" t="s">
        <v>173</v>
      </c>
      <c r="F20" s="129" t="s">
        <v>11</v>
      </c>
    </row>
    <row r="21" spans="1:6" ht="30" x14ac:dyDescent="0.25">
      <c r="A21" s="127" t="s">
        <v>130</v>
      </c>
      <c r="B21" s="128" t="s">
        <v>176</v>
      </c>
      <c r="C21" s="127" t="s">
        <v>172</v>
      </c>
      <c r="D21" s="127" t="s">
        <v>169</v>
      </c>
      <c r="E21" s="127" t="s">
        <v>173</v>
      </c>
      <c r="F21" s="129" t="s">
        <v>11</v>
      </c>
    </row>
    <row r="22" spans="1:6" ht="30" x14ac:dyDescent="0.25">
      <c r="A22" s="127" t="s">
        <v>177</v>
      </c>
      <c r="B22" s="128" t="s">
        <v>178</v>
      </c>
      <c r="C22" s="127" t="s">
        <v>172</v>
      </c>
      <c r="D22" s="127" t="s">
        <v>169</v>
      </c>
      <c r="E22" s="127" t="s">
        <v>173</v>
      </c>
      <c r="F22" s="129" t="s">
        <v>11</v>
      </c>
    </row>
    <row r="23" spans="1:6" ht="44.25" customHeight="1" x14ac:dyDescent="0.25">
      <c r="A23" s="127" t="s">
        <v>124</v>
      </c>
      <c r="B23" s="128" t="s">
        <v>179</v>
      </c>
      <c r="C23" s="127" t="s">
        <v>172</v>
      </c>
      <c r="D23" s="127" t="s">
        <v>169</v>
      </c>
      <c r="E23" s="127" t="s">
        <v>173</v>
      </c>
      <c r="F23" s="129" t="s">
        <v>11</v>
      </c>
    </row>
    <row r="24" spans="1:6" x14ac:dyDescent="0.25">
      <c r="A24" s="127" t="s">
        <v>116</v>
      </c>
      <c r="B24" s="128" t="s">
        <v>231</v>
      </c>
      <c r="C24" s="127" t="s">
        <v>180</v>
      </c>
      <c r="D24" s="129" t="s">
        <v>181</v>
      </c>
      <c r="E24" s="127" t="s">
        <v>143</v>
      </c>
      <c r="F24" s="129" t="s">
        <v>182</v>
      </c>
    </row>
    <row r="25" spans="1:6" x14ac:dyDescent="0.25">
      <c r="A25" s="127" t="s">
        <v>126</v>
      </c>
      <c r="B25" s="128" t="s">
        <v>232</v>
      </c>
      <c r="C25" s="127" t="s">
        <v>180</v>
      </c>
      <c r="D25" s="129" t="s">
        <v>181</v>
      </c>
      <c r="E25" s="127" t="s">
        <v>143</v>
      </c>
      <c r="F25" s="129" t="s">
        <v>182</v>
      </c>
    </row>
    <row r="26" spans="1:6" x14ac:dyDescent="0.25">
      <c r="A26" s="127" t="s">
        <v>183</v>
      </c>
      <c r="B26" s="128" t="s">
        <v>233</v>
      </c>
      <c r="C26" s="127" t="s">
        <v>180</v>
      </c>
      <c r="D26" s="129" t="s">
        <v>181</v>
      </c>
      <c r="E26" s="127" t="s">
        <v>143</v>
      </c>
      <c r="F26" s="129" t="s">
        <v>182</v>
      </c>
    </row>
    <row r="27" spans="1:6" x14ac:dyDescent="0.25">
      <c r="A27" s="127" t="s">
        <v>184</v>
      </c>
      <c r="B27" s="128" t="s">
        <v>234</v>
      </c>
      <c r="C27" s="127" t="s">
        <v>180</v>
      </c>
      <c r="D27" s="129" t="s">
        <v>181</v>
      </c>
      <c r="E27" s="127" t="s">
        <v>143</v>
      </c>
      <c r="F27" s="129" t="s">
        <v>182</v>
      </c>
    </row>
    <row r="28" spans="1:6" x14ac:dyDescent="0.25">
      <c r="A28" s="127" t="s">
        <v>132</v>
      </c>
      <c r="B28" s="128" t="s">
        <v>235</v>
      </c>
      <c r="C28" s="127" t="s">
        <v>180</v>
      </c>
      <c r="D28" s="129" t="s">
        <v>181</v>
      </c>
      <c r="E28" s="127" t="s">
        <v>143</v>
      </c>
      <c r="F28" s="129" t="s">
        <v>182</v>
      </c>
    </row>
    <row r="29" spans="1:6" x14ac:dyDescent="0.25">
      <c r="A29" s="127" t="s">
        <v>185</v>
      </c>
      <c r="B29" s="128" t="s">
        <v>236</v>
      </c>
      <c r="C29" s="127" t="s">
        <v>180</v>
      </c>
      <c r="D29" s="129" t="s">
        <v>181</v>
      </c>
      <c r="E29" s="127" t="s">
        <v>143</v>
      </c>
      <c r="F29" s="129" t="s">
        <v>182</v>
      </c>
    </row>
    <row r="30" spans="1:6" x14ac:dyDescent="0.25">
      <c r="A30" s="127" t="s">
        <v>186</v>
      </c>
      <c r="B30" s="128" t="s">
        <v>237</v>
      </c>
      <c r="C30" s="127" t="s">
        <v>180</v>
      </c>
      <c r="D30" s="129" t="s">
        <v>181</v>
      </c>
      <c r="E30" s="127" t="s">
        <v>143</v>
      </c>
      <c r="F30" s="129" t="s">
        <v>182</v>
      </c>
    </row>
    <row r="31" spans="1:6" x14ac:dyDescent="0.25">
      <c r="A31" s="127" t="s">
        <v>187</v>
      </c>
      <c r="B31" s="128" t="s">
        <v>238</v>
      </c>
      <c r="C31" s="127" t="s">
        <v>180</v>
      </c>
      <c r="D31" s="129" t="s">
        <v>181</v>
      </c>
      <c r="E31" s="127" t="s">
        <v>143</v>
      </c>
      <c r="F31" s="129" t="s">
        <v>182</v>
      </c>
    </row>
    <row r="32" spans="1:6" x14ac:dyDescent="0.25">
      <c r="A32" s="127" t="s">
        <v>188</v>
      </c>
      <c r="B32" s="128" t="s">
        <v>239</v>
      </c>
      <c r="C32" s="127" t="s">
        <v>180</v>
      </c>
      <c r="D32" s="129" t="s">
        <v>181</v>
      </c>
      <c r="E32" s="127" t="s">
        <v>143</v>
      </c>
      <c r="F32" s="129" t="s">
        <v>182</v>
      </c>
    </row>
    <row r="33" spans="1:6" x14ac:dyDescent="0.25">
      <c r="A33" s="127" t="s">
        <v>189</v>
      </c>
      <c r="B33" s="128" t="s">
        <v>240</v>
      </c>
      <c r="C33" s="127" t="s">
        <v>180</v>
      </c>
      <c r="D33" s="129" t="s">
        <v>181</v>
      </c>
      <c r="E33" s="127" t="s">
        <v>143</v>
      </c>
      <c r="F33" s="129" t="s">
        <v>182</v>
      </c>
    </row>
    <row r="34" spans="1:6" ht="30" x14ac:dyDescent="0.25">
      <c r="A34" s="127" t="s">
        <v>190</v>
      </c>
      <c r="B34" s="128" t="s">
        <v>191</v>
      </c>
      <c r="C34" s="127" t="s">
        <v>172</v>
      </c>
      <c r="D34" s="127" t="s">
        <v>169</v>
      </c>
      <c r="E34" s="127" t="s">
        <v>173</v>
      </c>
      <c r="F34" s="129" t="s">
        <v>11</v>
      </c>
    </row>
    <row r="35" spans="1:6" ht="30" x14ac:dyDescent="0.25">
      <c r="A35" s="127" t="s">
        <v>192</v>
      </c>
      <c r="B35" s="128" t="s">
        <v>193</v>
      </c>
      <c r="C35" s="127" t="s">
        <v>172</v>
      </c>
      <c r="D35" s="127" t="s">
        <v>169</v>
      </c>
      <c r="E35" s="127" t="s">
        <v>173</v>
      </c>
      <c r="F35" s="129" t="s">
        <v>11</v>
      </c>
    </row>
    <row r="36" spans="1:6" ht="30" x14ac:dyDescent="0.25">
      <c r="A36" s="127" t="s">
        <v>194</v>
      </c>
      <c r="B36" s="128" t="s">
        <v>195</v>
      </c>
      <c r="C36" s="127" t="s">
        <v>172</v>
      </c>
      <c r="D36" s="127" t="s">
        <v>169</v>
      </c>
      <c r="E36" s="127" t="s">
        <v>173</v>
      </c>
      <c r="F36" s="129" t="s">
        <v>11</v>
      </c>
    </row>
    <row r="37" spans="1:6" ht="30" x14ac:dyDescent="0.25">
      <c r="A37" s="127" t="s">
        <v>196</v>
      </c>
      <c r="B37" s="128" t="s">
        <v>197</v>
      </c>
      <c r="C37" s="127" t="s">
        <v>172</v>
      </c>
      <c r="D37" s="127" t="s">
        <v>169</v>
      </c>
      <c r="E37" s="127" t="s">
        <v>173</v>
      </c>
      <c r="F37" s="129" t="s">
        <v>11</v>
      </c>
    </row>
    <row r="38" spans="1:6" ht="30" x14ac:dyDescent="0.25">
      <c r="A38" s="127" t="s">
        <v>198</v>
      </c>
      <c r="B38" s="128" t="s">
        <v>199</v>
      </c>
      <c r="C38" s="127" t="s">
        <v>172</v>
      </c>
      <c r="D38" s="127" t="s">
        <v>169</v>
      </c>
      <c r="E38" s="127" t="s">
        <v>173</v>
      </c>
      <c r="F38" s="129" t="s">
        <v>11</v>
      </c>
    </row>
    <row r="39" spans="1:6" ht="30" x14ac:dyDescent="0.25">
      <c r="A39" s="127" t="s">
        <v>200</v>
      </c>
      <c r="B39" s="128" t="s">
        <v>201</v>
      </c>
      <c r="C39" s="127" t="s">
        <v>172</v>
      </c>
      <c r="D39" s="127" t="s">
        <v>169</v>
      </c>
      <c r="E39" s="127" t="s">
        <v>173</v>
      </c>
      <c r="F39" s="129" t="s">
        <v>11</v>
      </c>
    </row>
    <row r="40" spans="1:6" ht="30" x14ac:dyDescent="0.25">
      <c r="A40" s="127" t="s">
        <v>202</v>
      </c>
      <c r="B40" s="128" t="s">
        <v>203</v>
      </c>
      <c r="C40" s="127" t="s">
        <v>172</v>
      </c>
      <c r="D40" s="127" t="s">
        <v>169</v>
      </c>
      <c r="E40" s="127" t="s">
        <v>173</v>
      </c>
      <c r="F40" s="129" t="s">
        <v>11</v>
      </c>
    </row>
    <row r="41" spans="1:6" ht="30" x14ac:dyDescent="0.25">
      <c r="A41" s="127" t="s">
        <v>204</v>
      </c>
      <c r="B41" s="128" t="s">
        <v>205</v>
      </c>
      <c r="C41" s="127" t="s">
        <v>172</v>
      </c>
      <c r="D41" s="127" t="s">
        <v>169</v>
      </c>
      <c r="E41" s="127" t="s">
        <v>173</v>
      </c>
      <c r="F41" s="129" t="s">
        <v>11</v>
      </c>
    </row>
    <row r="42" spans="1:6" ht="30" x14ac:dyDescent="0.25">
      <c r="A42" s="127" t="s">
        <v>206</v>
      </c>
      <c r="B42" s="128" t="s">
        <v>207</v>
      </c>
      <c r="C42" s="127" t="s">
        <v>172</v>
      </c>
      <c r="D42" s="127" t="s">
        <v>169</v>
      </c>
      <c r="E42" s="127" t="s">
        <v>173</v>
      </c>
      <c r="F42" s="129" t="s">
        <v>11</v>
      </c>
    </row>
    <row r="43" spans="1:6" ht="30" x14ac:dyDescent="0.25">
      <c r="A43" s="127" t="s">
        <v>208</v>
      </c>
      <c r="B43" s="128" t="s">
        <v>209</v>
      </c>
      <c r="C43" s="127" t="s">
        <v>172</v>
      </c>
      <c r="D43" s="127" t="s">
        <v>169</v>
      </c>
      <c r="E43" s="127" t="s">
        <v>173</v>
      </c>
      <c r="F43" s="129" t="s">
        <v>11</v>
      </c>
    </row>
    <row r="44" spans="1:6" ht="30" x14ac:dyDescent="0.25">
      <c r="A44" s="130" t="s">
        <v>123</v>
      </c>
      <c r="B44" s="131" t="s">
        <v>210</v>
      </c>
      <c r="C44" s="130" t="s">
        <v>169</v>
      </c>
      <c r="D44" s="130" t="s">
        <v>169</v>
      </c>
      <c r="E44" s="130" t="s">
        <v>169</v>
      </c>
      <c r="F44" s="130" t="s">
        <v>169</v>
      </c>
    </row>
    <row r="45" spans="1:6" x14ac:dyDescent="0.25">
      <c r="A45" s="130" t="s">
        <v>211</v>
      </c>
      <c r="B45" s="131" t="s">
        <v>212</v>
      </c>
      <c r="C45" s="130" t="s">
        <v>169</v>
      </c>
      <c r="D45" s="130" t="s">
        <v>169</v>
      </c>
      <c r="E45" s="130" t="s">
        <v>169</v>
      </c>
      <c r="F45" s="130" t="s">
        <v>169</v>
      </c>
    </row>
  </sheetData>
  <sheetProtection sheet="1" objects="1" scenarios="1"/>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1"/>
  <sheetViews>
    <sheetView topLeftCell="C1" zoomScale="115" zoomScaleNormal="115" workbookViewId="0">
      <pane ySplit="1" topLeftCell="A2" activePane="bottomLeft" state="frozen"/>
      <selection pane="bottomLeft" activeCell="D9" sqref="D9"/>
    </sheetView>
  </sheetViews>
  <sheetFormatPr defaultRowHeight="15" x14ac:dyDescent="0.25"/>
  <cols>
    <col min="2" max="2" width="39.7109375" customWidth="1"/>
    <col min="3" max="3" width="36.85546875" customWidth="1"/>
    <col min="4" max="4" width="127.140625" customWidth="1"/>
  </cols>
  <sheetData>
    <row r="1" spans="1:4" ht="15.75" thickBot="1" x14ac:dyDescent="0.3">
      <c r="A1" s="9" t="s">
        <v>92</v>
      </c>
      <c r="B1" s="164"/>
      <c r="C1" t="s">
        <v>517</v>
      </c>
      <c r="D1" t="s">
        <v>1</v>
      </c>
    </row>
    <row r="2" spans="1:4" x14ac:dyDescent="0.25">
      <c r="A2" s="166">
        <v>1</v>
      </c>
      <c r="B2" s="167" t="s">
        <v>496</v>
      </c>
      <c r="C2" s="261" t="s">
        <v>518</v>
      </c>
      <c r="D2" s="168" t="s">
        <v>519</v>
      </c>
    </row>
    <row r="3" spans="1:4" x14ac:dyDescent="0.25">
      <c r="A3" s="169">
        <v>2</v>
      </c>
      <c r="B3" s="170" t="s">
        <v>497</v>
      </c>
      <c r="C3" s="259"/>
      <c r="D3" s="171" t="s">
        <v>520</v>
      </c>
    </row>
    <row r="4" spans="1:4" x14ac:dyDescent="0.25">
      <c r="A4" s="169">
        <v>3</v>
      </c>
      <c r="B4" s="170" t="s">
        <v>498</v>
      </c>
      <c r="C4" s="259"/>
      <c r="D4" s="171" t="s">
        <v>11</v>
      </c>
    </row>
    <row r="5" spans="1:4" x14ac:dyDescent="0.25">
      <c r="A5" s="169">
        <v>4</v>
      </c>
      <c r="B5" s="170" t="s">
        <v>499</v>
      </c>
      <c r="C5" s="259"/>
      <c r="D5" s="171" t="s">
        <v>11</v>
      </c>
    </row>
    <row r="6" spans="1:4" x14ac:dyDescent="0.25">
      <c r="A6" s="169">
        <v>5</v>
      </c>
      <c r="B6" s="170" t="s">
        <v>500</v>
      </c>
      <c r="C6" s="259"/>
      <c r="D6" s="171" t="s">
        <v>11</v>
      </c>
    </row>
    <row r="7" spans="1:4" x14ac:dyDescent="0.25">
      <c r="A7" s="169">
        <v>6</v>
      </c>
      <c r="B7" s="170" t="s">
        <v>501</v>
      </c>
      <c r="C7" s="259"/>
      <c r="D7" s="171" t="s">
        <v>11</v>
      </c>
    </row>
    <row r="8" spans="1:4" x14ac:dyDescent="0.25">
      <c r="A8" s="169">
        <v>7</v>
      </c>
      <c r="B8" s="170" t="s">
        <v>502</v>
      </c>
      <c r="C8" s="259"/>
      <c r="D8" s="171" t="s">
        <v>11</v>
      </c>
    </row>
    <row r="9" spans="1:4" x14ac:dyDescent="0.25">
      <c r="A9" s="169">
        <v>8</v>
      </c>
      <c r="B9" s="170" t="s">
        <v>503</v>
      </c>
      <c r="C9" s="259"/>
      <c r="D9" s="171" t="s">
        <v>11</v>
      </c>
    </row>
    <row r="10" spans="1:4" x14ac:dyDescent="0.25">
      <c r="A10" s="169">
        <v>9</v>
      </c>
      <c r="B10" s="170" t="s">
        <v>504</v>
      </c>
      <c r="C10" s="259"/>
      <c r="D10" s="171" t="s">
        <v>11</v>
      </c>
    </row>
    <row r="11" spans="1:4" ht="15.75" thickBot="1" x14ac:dyDescent="0.3">
      <c r="A11" s="172">
        <v>10</v>
      </c>
      <c r="B11" s="173" t="s">
        <v>514</v>
      </c>
      <c r="C11" s="260"/>
      <c r="D11" s="174" t="s">
        <v>11</v>
      </c>
    </row>
    <row r="12" spans="1:4" x14ac:dyDescent="0.25">
      <c r="A12" s="175">
        <v>11</v>
      </c>
      <c r="B12" s="175" t="s">
        <v>242</v>
      </c>
      <c r="C12" s="261" t="s">
        <v>521</v>
      </c>
      <c r="D12" s="168" t="s">
        <v>522</v>
      </c>
    </row>
    <row r="13" spans="1:4" x14ac:dyDescent="0.25">
      <c r="A13" s="176">
        <v>12</v>
      </c>
      <c r="B13" s="176" t="s">
        <v>243</v>
      </c>
      <c r="C13" s="259"/>
      <c r="D13" s="171" t="s">
        <v>523</v>
      </c>
    </row>
    <row r="14" spans="1:4" x14ac:dyDescent="0.25">
      <c r="A14" s="176">
        <v>13</v>
      </c>
      <c r="B14" s="176" t="s">
        <v>244</v>
      </c>
      <c r="C14" s="259"/>
      <c r="D14" s="171" t="s">
        <v>11</v>
      </c>
    </row>
    <row r="15" spans="1:4" x14ac:dyDescent="0.25">
      <c r="A15" s="176">
        <v>14</v>
      </c>
      <c r="B15" s="176" t="s">
        <v>245</v>
      </c>
      <c r="C15" s="259"/>
      <c r="D15" s="171" t="s">
        <v>11</v>
      </c>
    </row>
    <row r="16" spans="1:4" x14ac:dyDescent="0.25">
      <c r="A16" s="176">
        <v>15</v>
      </c>
      <c r="B16" s="176" t="s">
        <v>246</v>
      </c>
      <c r="C16" s="259"/>
      <c r="D16" s="171" t="s">
        <v>11</v>
      </c>
    </row>
    <row r="17" spans="1:4" ht="15.75" thickBot="1" x14ac:dyDescent="0.3">
      <c r="A17" s="177">
        <v>16</v>
      </c>
      <c r="B17" s="177" t="s">
        <v>247</v>
      </c>
      <c r="C17" s="260"/>
      <c r="D17" s="174" t="s">
        <v>11</v>
      </c>
    </row>
    <row r="18" spans="1:4" x14ac:dyDescent="0.25">
      <c r="A18" s="178">
        <v>17</v>
      </c>
      <c r="B18" s="178" t="s">
        <v>248</v>
      </c>
      <c r="C18" s="261" t="s">
        <v>110</v>
      </c>
      <c r="D18" s="168" t="s">
        <v>524</v>
      </c>
    </row>
    <row r="19" spans="1:4" x14ac:dyDescent="0.25">
      <c r="A19" s="179">
        <v>18</v>
      </c>
      <c r="B19" s="180" t="s">
        <v>249</v>
      </c>
      <c r="C19" s="259"/>
      <c r="D19" s="171" t="s">
        <v>525</v>
      </c>
    </row>
    <row r="20" spans="1:4" x14ac:dyDescent="0.25">
      <c r="A20" s="179">
        <v>19</v>
      </c>
      <c r="B20" s="179" t="s">
        <v>250</v>
      </c>
      <c r="C20" s="259"/>
      <c r="D20" s="171" t="s">
        <v>526</v>
      </c>
    </row>
    <row r="21" spans="1:4" x14ac:dyDescent="0.25">
      <c r="A21" s="179">
        <v>20</v>
      </c>
      <c r="B21" s="179" t="s">
        <v>251</v>
      </c>
      <c r="C21" s="259"/>
      <c r="D21" s="171" t="s">
        <v>527</v>
      </c>
    </row>
    <row r="22" spans="1:4" x14ac:dyDescent="0.25">
      <c r="A22" s="179">
        <v>21</v>
      </c>
      <c r="B22" s="179" t="s">
        <v>252</v>
      </c>
      <c r="C22" s="259"/>
      <c r="D22" s="171" t="s">
        <v>528</v>
      </c>
    </row>
    <row r="23" spans="1:4" x14ac:dyDescent="0.25">
      <c r="A23" s="179">
        <v>22</v>
      </c>
      <c r="B23" s="179" t="s">
        <v>253</v>
      </c>
      <c r="C23" s="259"/>
      <c r="D23" s="171" t="s">
        <v>529</v>
      </c>
    </row>
    <row r="24" spans="1:4" x14ac:dyDescent="0.25">
      <c r="A24" s="179">
        <v>23</v>
      </c>
      <c r="B24" s="179" t="s">
        <v>494</v>
      </c>
      <c r="C24" s="259"/>
      <c r="D24" s="171" t="s">
        <v>11</v>
      </c>
    </row>
    <row r="25" spans="1:4" x14ac:dyDescent="0.25">
      <c r="A25" s="179">
        <v>24</v>
      </c>
      <c r="B25" s="179" t="s">
        <v>495</v>
      </c>
      <c r="C25" s="259"/>
      <c r="D25" s="171" t="s">
        <v>530</v>
      </c>
    </row>
    <row r="26" spans="1:4" x14ac:dyDescent="0.25">
      <c r="A26" s="179">
        <v>25</v>
      </c>
      <c r="B26" s="179" t="s">
        <v>254</v>
      </c>
      <c r="C26" s="259"/>
      <c r="D26" s="171" t="s">
        <v>11</v>
      </c>
    </row>
    <row r="27" spans="1:4" ht="15" customHeight="1" x14ac:dyDescent="0.25">
      <c r="A27" s="179">
        <v>26</v>
      </c>
      <c r="B27" s="180" t="s">
        <v>505</v>
      </c>
      <c r="C27" s="259"/>
      <c r="D27" s="171" t="s">
        <v>531</v>
      </c>
    </row>
    <row r="28" spans="1:4" ht="15.75" thickBot="1" x14ac:dyDescent="0.3">
      <c r="A28" s="179">
        <v>27</v>
      </c>
      <c r="B28" s="180" t="s">
        <v>506</v>
      </c>
      <c r="C28" s="259"/>
      <c r="D28" s="171" t="s">
        <v>532</v>
      </c>
    </row>
    <row r="29" spans="1:4" ht="30" customHeight="1" x14ac:dyDescent="0.25">
      <c r="A29" s="181">
        <v>28</v>
      </c>
      <c r="B29" s="182" t="s">
        <v>255</v>
      </c>
      <c r="C29" s="261" t="s">
        <v>533</v>
      </c>
      <c r="D29" s="168" t="s">
        <v>534</v>
      </c>
    </row>
    <row r="30" spans="1:4" x14ac:dyDescent="0.25">
      <c r="A30" s="183">
        <v>29</v>
      </c>
      <c r="B30" s="184" t="s">
        <v>256</v>
      </c>
      <c r="C30" s="262"/>
      <c r="D30" s="171" t="s">
        <v>535</v>
      </c>
    </row>
    <row r="31" spans="1:4" x14ac:dyDescent="0.25">
      <c r="A31" s="183">
        <v>30</v>
      </c>
      <c r="B31" s="185" t="s">
        <v>257</v>
      </c>
      <c r="C31" s="262"/>
      <c r="D31" s="171" t="s">
        <v>536</v>
      </c>
    </row>
    <row r="32" spans="1:4" x14ac:dyDescent="0.25">
      <c r="A32" s="183">
        <v>31</v>
      </c>
      <c r="B32" s="185" t="s">
        <v>258</v>
      </c>
      <c r="C32" s="262"/>
      <c r="D32" s="171" t="s">
        <v>537</v>
      </c>
    </row>
    <row r="33" spans="1:8" ht="45" x14ac:dyDescent="0.25">
      <c r="A33" s="183">
        <v>32</v>
      </c>
      <c r="B33" s="185" t="s">
        <v>259</v>
      </c>
      <c r="C33" s="262"/>
      <c r="D33" s="186" t="s">
        <v>538</v>
      </c>
    </row>
    <row r="34" spans="1:8" x14ac:dyDescent="0.25">
      <c r="A34" s="183">
        <v>33</v>
      </c>
      <c r="B34" s="184" t="s">
        <v>260</v>
      </c>
      <c r="C34" s="262"/>
      <c r="D34" s="171" t="s">
        <v>539</v>
      </c>
    </row>
    <row r="35" spans="1:8" x14ac:dyDescent="0.25">
      <c r="A35" s="183">
        <v>34</v>
      </c>
      <c r="B35" s="185" t="s">
        <v>261</v>
      </c>
      <c r="C35" s="262"/>
      <c r="D35" s="171" t="s">
        <v>540</v>
      </c>
    </row>
    <row r="36" spans="1:8" x14ac:dyDescent="0.25">
      <c r="A36" s="183">
        <v>35</v>
      </c>
      <c r="B36" s="184" t="s">
        <v>262</v>
      </c>
      <c r="C36" s="262"/>
      <c r="D36" s="171" t="s">
        <v>540</v>
      </c>
    </row>
    <row r="37" spans="1:8" x14ac:dyDescent="0.25">
      <c r="A37" s="183">
        <v>36</v>
      </c>
      <c r="B37" s="185" t="s">
        <v>263</v>
      </c>
      <c r="C37" s="262"/>
      <c r="D37" s="171" t="s">
        <v>541</v>
      </c>
    </row>
    <row r="38" spans="1:8" x14ac:dyDescent="0.25">
      <c r="A38" s="183">
        <v>37</v>
      </c>
      <c r="B38" s="184" t="s">
        <v>264</v>
      </c>
      <c r="C38" s="262"/>
      <c r="D38" s="171" t="s">
        <v>541</v>
      </c>
    </row>
    <row r="39" spans="1:8" x14ac:dyDescent="0.25">
      <c r="A39" s="183">
        <v>38</v>
      </c>
      <c r="B39" s="185" t="s">
        <v>265</v>
      </c>
      <c r="C39" s="262"/>
      <c r="D39" s="171" t="s">
        <v>542</v>
      </c>
    </row>
    <row r="40" spans="1:8" ht="15" customHeight="1" x14ac:dyDescent="0.25">
      <c r="A40" s="183">
        <v>39</v>
      </c>
      <c r="B40" s="184" t="s">
        <v>266</v>
      </c>
      <c r="C40" s="262"/>
      <c r="D40" s="171" t="s">
        <v>543</v>
      </c>
    </row>
    <row r="41" spans="1:8" x14ac:dyDescent="0.25">
      <c r="A41" s="183">
        <v>40</v>
      </c>
      <c r="B41" s="185" t="s">
        <v>267</v>
      </c>
      <c r="C41" s="262"/>
      <c r="D41" s="171" t="s">
        <v>544</v>
      </c>
    </row>
    <row r="42" spans="1:8" ht="75" x14ac:dyDescent="0.25">
      <c r="A42" s="183">
        <v>41</v>
      </c>
      <c r="B42" s="184" t="s">
        <v>507</v>
      </c>
      <c r="C42" s="187"/>
      <c r="D42" s="186" t="s">
        <v>545</v>
      </c>
    </row>
    <row r="43" spans="1:8" ht="30.75" thickBot="1" x14ac:dyDescent="0.3">
      <c r="A43" s="188">
        <v>42</v>
      </c>
      <c r="B43" s="189" t="s">
        <v>508</v>
      </c>
      <c r="C43" s="190"/>
      <c r="D43" s="191" t="s">
        <v>546</v>
      </c>
      <c r="H43" s="192"/>
    </row>
    <row r="44" spans="1:8" ht="30" customHeight="1" x14ac:dyDescent="0.25">
      <c r="A44" s="193">
        <v>43</v>
      </c>
      <c r="B44" s="194" t="s">
        <v>268</v>
      </c>
      <c r="C44" s="261" t="s">
        <v>547</v>
      </c>
      <c r="D44" s="195" t="s">
        <v>548</v>
      </c>
    </row>
    <row r="45" spans="1:8" x14ac:dyDescent="0.25">
      <c r="A45" s="196">
        <v>44</v>
      </c>
      <c r="B45" s="197" t="s">
        <v>269</v>
      </c>
      <c r="C45" s="262"/>
      <c r="D45" s="171" t="s">
        <v>11</v>
      </c>
    </row>
    <row r="46" spans="1:8" x14ac:dyDescent="0.25">
      <c r="A46" s="196">
        <v>45</v>
      </c>
      <c r="B46" s="197" t="s">
        <v>270</v>
      </c>
      <c r="C46" s="262"/>
      <c r="D46" s="171" t="s">
        <v>548</v>
      </c>
    </row>
    <row r="47" spans="1:8" ht="30" x14ac:dyDescent="0.25">
      <c r="A47" s="196">
        <v>46</v>
      </c>
      <c r="B47" s="197" t="s">
        <v>271</v>
      </c>
      <c r="C47" s="262"/>
      <c r="D47" s="186" t="s">
        <v>549</v>
      </c>
    </row>
    <row r="48" spans="1:8" x14ac:dyDescent="0.25">
      <c r="A48" s="196">
        <v>47</v>
      </c>
      <c r="B48" s="197" t="s">
        <v>272</v>
      </c>
      <c r="C48" s="262"/>
      <c r="D48" s="171" t="s">
        <v>11</v>
      </c>
    </row>
    <row r="49" spans="1:4" x14ac:dyDescent="0.25">
      <c r="A49" s="196">
        <v>48</v>
      </c>
      <c r="B49" s="197" t="s">
        <v>273</v>
      </c>
      <c r="C49" s="262"/>
      <c r="D49" s="171" t="s">
        <v>550</v>
      </c>
    </row>
    <row r="50" spans="1:4" x14ac:dyDescent="0.25">
      <c r="A50" s="196">
        <v>49</v>
      </c>
      <c r="B50" s="197" t="s">
        <v>274</v>
      </c>
      <c r="C50" s="262"/>
      <c r="D50" s="171" t="s">
        <v>11</v>
      </c>
    </row>
    <row r="51" spans="1:4" x14ac:dyDescent="0.25">
      <c r="A51" s="196">
        <v>50</v>
      </c>
      <c r="B51" s="197" t="s">
        <v>275</v>
      </c>
      <c r="C51" s="262"/>
      <c r="D51" s="171" t="s">
        <v>550</v>
      </c>
    </row>
    <row r="52" spans="1:4" ht="30" x14ac:dyDescent="0.25">
      <c r="A52" s="196">
        <v>51</v>
      </c>
      <c r="B52" s="197" t="s">
        <v>276</v>
      </c>
      <c r="C52" s="262"/>
      <c r="D52" s="186" t="s">
        <v>549</v>
      </c>
    </row>
    <row r="53" spans="1:4" ht="15.75" thickBot="1" x14ac:dyDescent="0.3">
      <c r="A53" s="198">
        <v>52</v>
      </c>
      <c r="B53" s="199" t="s">
        <v>277</v>
      </c>
      <c r="C53" s="260"/>
      <c r="D53" s="174" t="s">
        <v>11</v>
      </c>
    </row>
    <row r="54" spans="1:4" ht="45" x14ac:dyDescent="0.25">
      <c r="A54" s="200">
        <v>53</v>
      </c>
      <c r="B54" s="200" t="s">
        <v>278</v>
      </c>
      <c r="C54" s="262" t="s">
        <v>551</v>
      </c>
      <c r="D54" s="186" t="s">
        <v>552</v>
      </c>
    </row>
    <row r="55" spans="1:4" x14ac:dyDescent="0.25">
      <c r="A55" s="201">
        <v>54</v>
      </c>
      <c r="B55" s="201" t="s">
        <v>279</v>
      </c>
      <c r="C55" s="259"/>
      <c r="D55" s="171" t="s">
        <v>553</v>
      </c>
    </row>
    <row r="56" spans="1:4" x14ac:dyDescent="0.25">
      <c r="A56" s="201">
        <v>55</v>
      </c>
      <c r="B56" s="201" t="s">
        <v>280</v>
      </c>
      <c r="C56" s="259"/>
      <c r="D56" s="171" t="s">
        <v>554</v>
      </c>
    </row>
    <row r="57" spans="1:4" ht="15.75" thickBot="1" x14ac:dyDescent="0.3">
      <c r="A57" s="202">
        <v>56</v>
      </c>
      <c r="B57" s="202" t="s">
        <v>281</v>
      </c>
      <c r="C57" s="260"/>
      <c r="D57" s="174" t="s">
        <v>555</v>
      </c>
    </row>
    <row r="58" spans="1:4" ht="15.75" thickBot="1" x14ac:dyDescent="0.3">
      <c r="A58" s="203">
        <v>57</v>
      </c>
      <c r="B58" s="204" t="s">
        <v>282</v>
      </c>
      <c r="C58" s="190" t="s">
        <v>556</v>
      </c>
      <c r="D58" s="174" t="s">
        <v>557</v>
      </c>
    </row>
    <row r="59" spans="1:4" x14ac:dyDescent="0.25">
      <c r="A59" s="205">
        <v>58</v>
      </c>
      <c r="B59" s="205" t="s">
        <v>283</v>
      </c>
      <c r="C59" s="259" t="s">
        <v>558</v>
      </c>
      <c r="D59" s="171" t="s">
        <v>559</v>
      </c>
    </row>
    <row r="60" spans="1:4" x14ac:dyDescent="0.25">
      <c r="A60" s="205">
        <v>59</v>
      </c>
      <c r="B60" s="205" t="s">
        <v>284</v>
      </c>
      <c r="C60" s="259"/>
      <c r="D60" s="171" t="s">
        <v>560</v>
      </c>
    </row>
    <row r="61" spans="1:4" x14ac:dyDescent="0.25">
      <c r="A61" s="205">
        <v>60</v>
      </c>
      <c r="B61" s="205" t="s">
        <v>285</v>
      </c>
      <c r="C61" s="259"/>
      <c r="D61" s="171" t="s">
        <v>561</v>
      </c>
    </row>
    <row r="62" spans="1:4" x14ac:dyDescent="0.25">
      <c r="A62" s="205">
        <v>61</v>
      </c>
      <c r="B62" s="205" t="s">
        <v>286</v>
      </c>
      <c r="C62" s="259"/>
      <c r="D62" s="171" t="s">
        <v>562</v>
      </c>
    </row>
    <row r="63" spans="1:4" x14ac:dyDescent="0.25">
      <c r="A63" s="205">
        <v>62</v>
      </c>
      <c r="B63" s="205" t="s">
        <v>287</v>
      </c>
      <c r="C63" s="259"/>
      <c r="D63" s="171" t="s">
        <v>563</v>
      </c>
    </row>
    <row r="64" spans="1:4" x14ac:dyDescent="0.25">
      <c r="A64" s="205">
        <v>63</v>
      </c>
      <c r="B64" s="205" t="s">
        <v>288</v>
      </c>
      <c r="C64" s="259"/>
      <c r="D64" s="171" t="s">
        <v>564</v>
      </c>
    </row>
    <row r="65" spans="1:4" x14ac:dyDescent="0.25">
      <c r="A65" s="205">
        <v>64</v>
      </c>
      <c r="B65" s="205" t="s">
        <v>289</v>
      </c>
      <c r="C65" s="259"/>
      <c r="D65" s="171" t="s">
        <v>565</v>
      </c>
    </row>
    <row r="66" spans="1:4" ht="15.75" thickBot="1" x14ac:dyDescent="0.3">
      <c r="A66" s="206">
        <v>65</v>
      </c>
      <c r="B66" s="207" t="s">
        <v>290</v>
      </c>
      <c r="C66" s="260"/>
      <c r="D66" s="174" t="s">
        <v>566</v>
      </c>
    </row>
    <row r="67" spans="1:4" x14ac:dyDescent="0.25">
      <c r="A67" s="208">
        <v>66</v>
      </c>
      <c r="B67" s="209" t="s">
        <v>291</v>
      </c>
      <c r="C67" s="261" t="s">
        <v>567</v>
      </c>
      <c r="D67" s="168" t="s">
        <v>568</v>
      </c>
    </row>
    <row r="68" spans="1:4" x14ac:dyDescent="0.25">
      <c r="A68" s="210">
        <v>67</v>
      </c>
      <c r="B68" s="211" t="s">
        <v>292</v>
      </c>
      <c r="C68" s="262"/>
      <c r="D68" s="171" t="s">
        <v>11</v>
      </c>
    </row>
    <row r="69" spans="1:4" x14ac:dyDescent="0.25">
      <c r="A69" s="210">
        <v>68</v>
      </c>
      <c r="B69" s="211" t="s">
        <v>293</v>
      </c>
      <c r="C69" s="262"/>
      <c r="D69" s="171" t="s">
        <v>11</v>
      </c>
    </row>
    <row r="70" spans="1:4" x14ac:dyDescent="0.25">
      <c r="A70" s="210">
        <v>69</v>
      </c>
      <c r="B70" s="211" t="s">
        <v>294</v>
      </c>
      <c r="C70" s="262"/>
      <c r="D70" s="171" t="s">
        <v>11</v>
      </c>
    </row>
    <row r="71" spans="1:4" x14ac:dyDescent="0.25">
      <c r="A71" s="210">
        <v>70</v>
      </c>
      <c r="B71" s="211" t="s">
        <v>295</v>
      </c>
      <c r="C71" s="262"/>
      <c r="D71" s="171" t="s">
        <v>569</v>
      </c>
    </row>
    <row r="72" spans="1:4" x14ac:dyDescent="0.25">
      <c r="A72" s="210">
        <v>71</v>
      </c>
      <c r="B72" s="211" t="s">
        <v>296</v>
      </c>
      <c r="C72" s="262"/>
      <c r="D72" s="171" t="s">
        <v>11</v>
      </c>
    </row>
    <row r="73" spans="1:4" x14ac:dyDescent="0.25">
      <c r="A73" s="210">
        <v>72</v>
      </c>
      <c r="B73" s="211" t="s">
        <v>297</v>
      </c>
      <c r="C73" s="262"/>
      <c r="D73" s="171" t="s">
        <v>11</v>
      </c>
    </row>
    <row r="74" spans="1:4" x14ac:dyDescent="0.25">
      <c r="A74" s="210">
        <v>73</v>
      </c>
      <c r="B74" s="211" t="s">
        <v>298</v>
      </c>
      <c r="C74" s="262"/>
      <c r="D74" s="171" t="s">
        <v>11</v>
      </c>
    </row>
    <row r="75" spans="1:4" x14ac:dyDescent="0.25">
      <c r="A75" s="210">
        <v>74</v>
      </c>
      <c r="B75" s="211" t="s">
        <v>299</v>
      </c>
      <c r="C75" s="262"/>
      <c r="D75" s="171" t="s">
        <v>11</v>
      </c>
    </row>
    <row r="76" spans="1:4" x14ac:dyDescent="0.25">
      <c r="A76" s="210">
        <v>75</v>
      </c>
      <c r="B76" s="211" t="s">
        <v>300</v>
      </c>
      <c r="C76" s="262"/>
      <c r="D76" s="171" t="s">
        <v>569</v>
      </c>
    </row>
    <row r="77" spans="1:4" x14ac:dyDescent="0.25">
      <c r="A77" s="210">
        <v>76</v>
      </c>
      <c r="B77" s="211" t="s">
        <v>301</v>
      </c>
      <c r="C77" s="262"/>
      <c r="D77" s="171" t="s">
        <v>11</v>
      </c>
    </row>
    <row r="78" spans="1:4" x14ac:dyDescent="0.25">
      <c r="A78" s="210">
        <v>77</v>
      </c>
      <c r="B78" s="211" t="s">
        <v>302</v>
      </c>
      <c r="C78" s="262"/>
      <c r="D78" s="171" t="s">
        <v>11</v>
      </c>
    </row>
    <row r="79" spans="1:4" x14ac:dyDescent="0.25">
      <c r="A79" s="210">
        <v>78</v>
      </c>
      <c r="B79" s="212" t="s">
        <v>303</v>
      </c>
      <c r="C79" s="262"/>
      <c r="D79" s="171" t="s">
        <v>11</v>
      </c>
    </row>
    <row r="80" spans="1:4" x14ac:dyDescent="0.25">
      <c r="A80" s="210">
        <v>79</v>
      </c>
      <c r="B80" s="212" t="s">
        <v>304</v>
      </c>
      <c r="C80" s="262"/>
      <c r="D80" s="171" t="s">
        <v>11</v>
      </c>
    </row>
    <row r="81" spans="1:12" x14ac:dyDescent="0.25">
      <c r="A81" s="210">
        <v>80</v>
      </c>
      <c r="B81" s="212" t="s">
        <v>305</v>
      </c>
      <c r="C81" s="262"/>
      <c r="D81" s="171" t="s">
        <v>569</v>
      </c>
    </row>
    <row r="82" spans="1:12" x14ac:dyDescent="0.25">
      <c r="A82" s="210">
        <v>81</v>
      </c>
      <c r="B82" s="212" t="s">
        <v>306</v>
      </c>
      <c r="C82" s="262"/>
      <c r="D82" s="171" t="s">
        <v>570</v>
      </c>
      <c r="L82" s="213"/>
    </row>
    <row r="83" spans="1:12" x14ac:dyDescent="0.25">
      <c r="A83" s="210">
        <v>82</v>
      </c>
      <c r="B83" s="214" t="s">
        <v>307</v>
      </c>
      <c r="C83" s="262"/>
      <c r="D83" s="171" t="s">
        <v>571</v>
      </c>
    </row>
    <row r="84" spans="1:12" x14ac:dyDescent="0.25">
      <c r="A84" s="210">
        <v>83</v>
      </c>
      <c r="B84" s="214" t="s">
        <v>308</v>
      </c>
      <c r="C84" s="262"/>
      <c r="D84" s="171" t="s">
        <v>572</v>
      </c>
    </row>
    <row r="85" spans="1:12" x14ac:dyDescent="0.25">
      <c r="A85" s="210">
        <v>84</v>
      </c>
      <c r="B85" s="214" t="s">
        <v>309</v>
      </c>
      <c r="C85" s="262"/>
      <c r="D85" s="171" t="s">
        <v>573</v>
      </c>
    </row>
    <row r="86" spans="1:12" x14ac:dyDescent="0.25">
      <c r="A86" s="210">
        <v>85</v>
      </c>
      <c r="B86" s="214" t="s">
        <v>310</v>
      </c>
      <c r="C86" s="262"/>
      <c r="D86" s="171" t="s">
        <v>574</v>
      </c>
    </row>
    <row r="87" spans="1:12" ht="15.75" thickBot="1" x14ac:dyDescent="0.3">
      <c r="A87" s="215">
        <v>86</v>
      </c>
      <c r="B87" s="216" t="s">
        <v>311</v>
      </c>
      <c r="C87" s="260"/>
      <c r="D87" s="174" t="s">
        <v>575</v>
      </c>
    </row>
    <row r="88" spans="1:12" x14ac:dyDescent="0.25">
      <c r="A88" s="217">
        <v>87</v>
      </c>
      <c r="B88" s="218" t="s">
        <v>312</v>
      </c>
      <c r="C88" s="259" t="s">
        <v>576</v>
      </c>
      <c r="D88" s="171" t="s">
        <v>577</v>
      </c>
    </row>
    <row r="89" spans="1:12" ht="15" customHeight="1" x14ac:dyDescent="0.25">
      <c r="A89" s="217">
        <v>88</v>
      </c>
      <c r="B89" s="218" t="s">
        <v>440</v>
      </c>
      <c r="C89" s="259"/>
      <c r="D89" s="219" t="s">
        <v>578</v>
      </c>
    </row>
    <row r="90" spans="1:12" ht="45" x14ac:dyDescent="0.25">
      <c r="A90" s="217">
        <v>89</v>
      </c>
      <c r="B90" s="218" t="s">
        <v>313</v>
      </c>
      <c r="C90" s="259"/>
      <c r="D90" s="220" t="s">
        <v>579</v>
      </c>
    </row>
    <row r="91" spans="1:12" ht="30.75" thickBot="1" x14ac:dyDescent="0.3">
      <c r="A91" s="221">
        <v>90</v>
      </c>
      <c r="B91" s="222" t="s">
        <v>314</v>
      </c>
      <c r="C91" s="260"/>
      <c r="D91" s="191" t="s">
        <v>580</v>
      </c>
    </row>
    <row r="92" spans="1:12" ht="30" x14ac:dyDescent="0.25">
      <c r="A92" s="193">
        <v>91</v>
      </c>
      <c r="B92" s="194" t="s">
        <v>315</v>
      </c>
      <c r="C92" s="261" t="s">
        <v>581</v>
      </c>
      <c r="D92" s="195" t="s">
        <v>582</v>
      </c>
    </row>
    <row r="93" spans="1:12" ht="30" x14ac:dyDescent="0.25">
      <c r="A93" s="196">
        <v>92</v>
      </c>
      <c r="B93" s="197" t="s">
        <v>321</v>
      </c>
      <c r="C93" s="262"/>
      <c r="D93" s="186" t="s">
        <v>583</v>
      </c>
    </row>
    <row r="94" spans="1:12" x14ac:dyDescent="0.25">
      <c r="A94" s="196">
        <v>93</v>
      </c>
      <c r="B94" s="197" t="s">
        <v>491</v>
      </c>
      <c r="C94" s="262"/>
      <c r="D94" s="171" t="s">
        <v>584</v>
      </c>
    </row>
    <row r="95" spans="1:12" x14ac:dyDescent="0.25">
      <c r="A95" s="196">
        <v>94</v>
      </c>
      <c r="B95" s="197" t="s">
        <v>492</v>
      </c>
      <c r="C95" s="262"/>
      <c r="D95" s="171" t="s">
        <v>585</v>
      </c>
    </row>
    <row r="96" spans="1:12" ht="15.75" thickBot="1" x14ac:dyDescent="0.3">
      <c r="A96" s="198">
        <v>95</v>
      </c>
      <c r="B96" s="199" t="s">
        <v>493</v>
      </c>
      <c r="C96" s="260"/>
      <c r="D96" s="174" t="s">
        <v>586</v>
      </c>
    </row>
    <row r="97" spans="1:4" x14ac:dyDescent="0.25">
      <c r="A97" s="223">
        <v>96</v>
      </c>
      <c r="B97" s="224" t="s">
        <v>456</v>
      </c>
      <c r="C97" s="261" t="s">
        <v>587</v>
      </c>
      <c r="D97" s="168" t="s">
        <v>588</v>
      </c>
    </row>
    <row r="98" spans="1:4" x14ac:dyDescent="0.25">
      <c r="A98" s="225">
        <v>97</v>
      </c>
      <c r="B98" s="226" t="s">
        <v>316</v>
      </c>
      <c r="C98" s="262"/>
      <c r="D98" s="171" t="s">
        <v>589</v>
      </c>
    </row>
    <row r="99" spans="1:4" x14ac:dyDescent="0.25">
      <c r="A99" s="225">
        <v>98</v>
      </c>
      <c r="B99" s="226" t="s">
        <v>317</v>
      </c>
      <c r="C99" s="262"/>
      <c r="D99" s="171" t="s">
        <v>590</v>
      </c>
    </row>
    <row r="100" spans="1:4" x14ac:dyDescent="0.25">
      <c r="A100" s="225">
        <v>99</v>
      </c>
      <c r="B100" s="226" t="s">
        <v>318</v>
      </c>
      <c r="C100" s="262"/>
      <c r="D100" s="171" t="s">
        <v>590</v>
      </c>
    </row>
    <row r="101" spans="1:4" x14ac:dyDescent="0.25">
      <c r="A101" s="225">
        <v>100</v>
      </c>
      <c r="B101" s="226" t="s">
        <v>319</v>
      </c>
      <c r="C101" s="262"/>
      <c r="D101" s="171" t="s">
        <v>591</v>
      </c>
    </row>
    <row r="102" spans="1:4" ht="15.75" thickBot="1" x14ac:dyDescent="0.3">
      <c r="A102" s="227">
        <v>101</v>
      </c>
      <c r="B102" s="228" t="s">
        <v>320</v>
      </c>
      <c r="C102" s="260"/>
      <c r="D102" s="174" t="s">
        <v>591</v>
      </c>
    </row>
    <row r="103" spans="1:4" ht="30" x14ac:dyDescent="0.25">
      <c r="A103" s="229">
        <v>102</v>
      </c>
      <c r="B103" s="230" t="s">
        <v>441</v>
      </c>
      <c r="C103" s="261" t="s">
        <v>592</v>
      </c>
      <c r="D103" s="195" t="s">
        <v>593</v>
      </c>
    </row>
    <row r="104" spans="1:4" x14ac:dyDescent="0.25">
      <c r="A104" s="231">
        <v>103</v>
      </c>
      <c r="B104" s="232" t="s">
        <v>442</v>
      </c>
      <c r="C104" s="259"/>
      <c r="D104" s="171" t="s">
        <v>11</v>
      </c>
    </row>
    <row r="105" spans="1:4" x14ac:dyDescent="0.25">
      <c r="A105" s="231">
        <v>104</v>
      </c>
      <c r="B105" s="232" t="s">
        <v>443</v>
      </c>
      <c r="C105" s="259"/>
      <c r="D105" s="171" t="s">
        <v>11</v>
      </c>
    </row>
    <row r="106" spans="1:4" x14ac:dyDescent="0.25">
      <c r="A106" s="231">
        <v>105</v>
      </c>
      <c r="B106" s="232" t="s">
        <v>444</v>
      </c>
      <c r="C106" s="259"/>
      <c r="D106" s="171" t="s">
        <v>11</v>
      </c>
    </row>
    <row r="107" spans="1:4" x14ac:dyDescent="0.25">
      <c r="A107" s="231">
        <v>106</v>
      </c>
      <c r="B107" s="232" t="s">
        <v>445</v>
      </c>
      <c r="C107" s="259"/>
      <c r="D107" s="171" t="s">
        <v>569</v>
      </c>
    </row>
    <row r="108" spans="1:4" x14ac:dyDescent="0.25">
      <c r="A108" s="231">
        <v>107</v>
      </c>
      <c r="B108" s="232" t="s">
        <v>446</v>
      </c>
      <c r="C108" s="259"/>
      <c r="D108" s="171" t="s">
        <v>11</v>
      </c>
    </row>
    <row r="109" spans="1:4" x14ac:dyDescent="0.25">
      <c r="A109" s="231">
        <v>108</v>
      </c>
      <c r="B109" s="232" t="s">
        <v>447</v>
      </c>
      <c r="C109" s="259"/>
      <c r="D109" s="171" t="s">
        <v>11</v>
      </c>
    </row>
    <row r="110" spans="1:4" x14ac:dyDescent="0.25">
      <c r="A110" s="231">
        <v>109</v>
      </c>
      <c r="B110" s="232" t="s">
        <v>509</v>
      </c>
      <c r="C110" s="259"/>
      <c r="D110" s="171" t="s">
        <v>11</v>
      </c>
    </row>
    <row r="111" spans="1:4" x14ac:dyDescent="0.25">
      <c r="A111" s="231">
        <v>110</v>
      </c>
      <c r="B111" s="232" t="s">
        <v>510</v>
      </c>
      <c r="C111" s="259"/>
      <c r="D111" s="171" t="s">
        <v>11</v>
      </c>
    </row>
    <row r="112" spans="1:4" x14ac:dyDescent="0.25">
      <c r="A112" s="231">
        <v>111</v>
      </c>
      <c r="B112" s="232" t="s">
        <v>511</v>
      </c>
      <c r="C112" s="259"/>
      <c r="D112" s="171" t="s">
        <v>11</v>
      </c>
    </row>
    <row r="113" spans="1:4" x14ac:dyDescent="0.25">
      <c r="A113" s="231">
        <v>112</v>
      </c>
      <c r="B113" s="232" t="s">
        <v>512</v>
      </c>
      <c r="C113" s="259"/>
      <c r="D113" s="171" t="s">
        <v>11</v>
      </c>
    </row>
    <row r="114" spans="1:4" x14ac:dyDescent="0.25">
      <c r="A114" s="231">
        <v>113</v>
      </c>
      <c r="B114" s="232" t="s">
        <v>448</v>
      </c>
      <c r="C114" s="259"/>
      <c r="D114" s="171" t="s">
        <v>594</v>
      </c>
    </row>
    <row r="115" spans="1:4" x14ac:dyDescent="0.25">
      <c r="A115" s="231">
        <v>114</v>
      </c>
      <c r="B115" s="232" t="s">
        <v>449</v>
      </c>
      <c r="C115" s="259"/>
      <c r="D115" s="171" t="s">
        <v>595</v>
      </c>
    </row>
    <row r="116" spans="1:4" x14ac:dyDescent="0.25">
      <c r="A116" s="231">
        <v>115</v>
      </c>
      <c r="B116" s="232" t="s">
        <v>480</v>
      </c>
      <c r="C116" s="259"/>
      <c r="D116" s="171" t="s">
        <v>596</v>
      </c>
    </row>
    <row r="117" spans="1:4" x14ac:dyDescent="0.25">
      <c r="A117" s="231">
        <v>116</v>
      </c>
      <c r="B117" s="232" t="s">
        <v>481</v>
      </c>
      <c r="C117" s="259"/>
      <c r="D117" s="171" t="s">
        <v>597</v>
      </c>
    </row>
    <row r="118" spans="1:4" x14ac:dyDescent="0.25">
      <c r="A118" s="231">
        <v>117</v>
      </c>
      <c r="B118" s="232" t="s">
        <v>513</v>
      </c>
      <c r="C118" s="259"/>
      <c r="D118" s="171" t="s">
        <v>598</v>
      </c>
    </row>
    <row r="119" spans="1:4" x14ac:dyDescent="0.25">
      <c r="A119" s="231">
        <v>118</v>
      </c>
      <c r="B119" s="232" t="s">
        <v>516</v>
      </c>
      <c r="C119" s="259"/>
      <c r="D119" s="171" t="s">
        <v>599</v>
      </c>
    </row>
    <row r="120" spans="1:4" ht="30" x14ac:dyDescent="0.25">
      <c r="A120" s="231">
        <v>119</v>
      </c>
      <c r="B120" s="232" t="s">
        <v>515</v>
      </c>
      <c r="C120" s="259"/>
      <c r="D120" s="186" t="s">
        <v>600</v>
      </c>
    </row>
    <row r="121" spans="1:4" x14ac:dyDescent="0.25">
      <c r="A121" s="231">
        <v>120</v>
      </c>
      <c r="B121" s="232" t="s">
        <v>322</v>
      </c>
      <c r="C121" s="259"/>
      <c r="D121" s="171" t="s">
        <v>601</v>
      </c>
    </row>
    <row r="122" spans="1:4" x14ac:dyDescent="0.25">
      <c r="A122" s="231">
        <v>121</v>
      </c>
      <c r="B122" s="232" t="s">
        <v>323</v>
      </c>
      <c r="C122" s="259"/>
      <c r="D122" s="171" t="s">
        <v>601</v>
      </c>
    </row>
    <row r="123" spans="1:4" x14ac:dyDescent="0.25">
      <c r="A123" s="231">
        <v>122</v>
      </c>
      <c r="B123" s="232" t="s">
        <v>324</v>
      </c>
      <c r="C123" s="259"/>
      <c r="D123" s="171" t="s">
        <v>602</v>
      </c>
    </row>
    <row r="124" spans="1:4" x14ac:dyDescent="0.25">
      <c r="A124" s="231">
        <v>123</v>
      </c>
      <c r="B124" s="232" t="s">
        <v>325</v>
      </c>
      <c r="C124" s="259"/>
      <c r="D124" s="171" t="s">
        <v>602</v>
      </c>
    </row>
    <row r="125" spans="1:4" ht="30" x14ac:dyDescent="0.25">
      <c r="A125" s="231">
        <v>124</v>
      </c>
      <c r="B125" s="232" t="s">
        <v>450</v>
      </c>
      <c r="C125" s="259"/>
      <c r="D125" s="186" t="s">
        <v>603</v>
      </c>
    </row>
    <row r="126" spans="1:4" ht="30" x14ac:dyDescent="0.25">
      <c r="A126" s="231">
        <v>125</v>
      </c>
      <c r="B126" s="232" t="s">
        <v>451</v>
      </c>
      <c r="C126" s="259"/>
      <c r="D126" s="186" t="s">
        <v>604</v>
      </c>
    </row>
    <row r="127" spans="1:4" ht="30" x14ac:dyDescent="0.25">
      <c r="A127" s="231">
        <v>126</v>
      </c>
      <c r="B127" s="232" t="s">
        <v>326</v>
      </c>
      <c r="C127" s="259"/>
      <c r="D127" s="186" t="s">
        <v>605</v>
      </c>
    </row>
    <row r="128" spans="1:4" ht="30" x14ac:dyDescent="0.25">
      <c r="A128" s="231">
        <v>127</v>
      </c>
      <c r="B128" s="232" t="s">
        <v>483</v>
      </c>
      <c r="C128" s="259"/>
      <c r="D128" s="186" t="s">
        <v>606</v>
      </c>
    </row>
    <row r="129" spans="1:4" x14ac:dyDescent="0.25">
      <c r="A129" s="231">
        <v>128</v>
      </c>
      <c r="B129" s="232" t="s">
        <v>327</v>
      </c>
      <c r="C129" s="259"/>
      <c r="D129" s="171" t="s">
        <v>607</v>
      </c>
    </row>
    <row r="130" spans="1:4" x14ac:dyDescent="0.25">
      <c r="A130" s="231">
        <v>129</v>
      </c>
      <c r="B130" s="232" t="s">
        <v>328</v>
      </c>
      <c r="C130" s="259"/>
      <c r="D130" s="171" t="s">
        <v>608</v>
      </c>
    </row>
    <row r="131" spans="1:4" ht="15" customHeight="1" x14ac:dyDescent="0.25">
      <c r="A131" s="231">
        <v>130</v>
      </c>
      <c r="B131" s="232" t="s">
        <v>329</v>
      </c>
      <c r="C131" s="259"/>
      <c r="D131" s="233" t="s">
        <v>609</v>
      </c>
    </row>
    <row r="132" spans="1:4" x14ac:dyDescent="0.25">
      <c r="A132" s="231">
        <v>131</v>
      </c>
      <c r="B132" s="232" t="s">
        <v>330</v>
      </c>
      <c r="C132" s="259"/>
      <c r="D132" s="233" t="s">
        <v>609</v>
      </c>
    </row>
    <row r="133" spans="1:4" x14ac:dyDescent="0.25">
      <c r="A133" s="231">
        <v>132</v>
      </c>
      <c r="B133" s="232" t="s">
        <v>331</v>
      </c>
      <c r="C133" s="259"/>
      <c r="D133" s="171" t="s">
        <v>610</v>
      </c>
    </row>
    <row r="134" spans="1:4" x14ac:dyDescent="0.25">
      <c r="A134" s="231">
        <v>133</v>
      </c>
      <c r="B134" s="232" t="s">
        <v>332</v>
      </c>
      <c r="C134" s="259"/>
      <c r="D134" s="171" t="s">
        <v>611</v>
      </c>
    </row>
    <row r="135" spans="1:4" x14ac:dyDescent="0.25">
      <c r="A135" s="231">
        <v>134</v>
      </c>
      <c r="B135" s="232" t="s">
        <v>465</v>
      </c>
      <c r="C135" s="259"/>
      <c r="D135" s="171" t="s">
        <v>612</v>
      </c>
    </row>
    <row r="136" spans="1:4" ht="15.75" thickBot="1" x14ac:dyDescent="0.3">
      <c r="A136" s="234">
        <v>135</v>
      </c>
      <c r="B136" s="235" t="s">
        <v>466</v>
      </c>
      <c r="C136" s="260"/>
      <c r="D136" s="174" t="s">
        <v>613</v>
      </c>
    </row>
    <row r="137" spans="1:4" ht="30" customHeight="1" x14ac:dyDescent="0.25">
      <c r="A137" s="236">
        <v>136</v>
      </c>
      <c r="B137" s="237" t="s">
        <v>333</v>
      </c>
      <c r="C137" s="259" t="s">
        <v>614</v>
      </c>
      <c r="D137" s="171" t="s">
        <v>615</v>
      </c>
    </row>
    <row r="138" spans="1:4" ht="30" x14ac:dyDescent="0.25">
      <c r="A138" s="236">
        <v>137</v>
      </c>
      <c r="B138" s="237" t="s">
        <v>334</v>
      </c>
      <c r="C138" s="259"/>
      <c r="D138" s="186" t="s">
        <v>616</v>
      </c>
    </row>
    <row r="139" spans="1:4" x14ac:dyDescent="0.25">
      <c r="A139" s="236">
        <v>138</v>
      </c>
      <c r="B139" s="237" t="s">
        <v>335</v>
      </c>
      <c r="C139" s="259"/>
      <c r="D139" s="171" t="s">
        <v>11</v>
      </c>
    </row>
    <row r="140" spans="1:4" x14ac:dyDescent="0.25">
      <c r="A140" s="236">
        <v>139</v>
      </c>
      <c r="B140" s="237" t="s">
        <v>336</v>
      </c>
      <c r="C140" s="259"/>
      <c r="D140" s="171" t="s">
        <v>11</v>
      </c>
    </row>
    <row r="141" spans="1:4" ht="30" x14ac:dyDescent="0.25">
      <c r="A141" s="236">
        <v>140</v>
      </c>
      <c r="B141" s="237" t="s">
        <v>452</v>
      </c>
      <c r="C141" s="259"/>
      <c r="D141" s="186" t="s">
        <v>617</v>
      </c>
    </row>
    <row r="142" spans="1:4" ht="30" x14ac:dyDescent="0.25">
      <c r="A142" s="236">
        <v>141</v>
      </c>
      <c r="B142" s="237" t="s">
        <v>453</v>
      </c>
      <c r="C142" s="259"/>
      <c r="D142" s="186" t="s">
        <v>618</v>
      </c>
    </row>
    <row r="143" spans="1:4" x14ac:dyDescent="0.25">
      <c r="A143" s="236">
        <v>142</v>
      </c>
      <c r="B143" s="237" t="s">
        <v>337</v>
      </c>
      <c r="C143" s="259"/>
      <c r="D143" s="171" t="s">
        <v>619</v>
      </c>
    </row>
    <row r="144" spans="1:4" x14ac:dyDescent="0.25">
      <c r="A144" s="236">
        <v>143</v>
      </c>
      <c r="B144" s="237" t="s">
        <v>338</v>
      </c>
      <c r="C144" s="259"/>
      <c r="D144" s="171" t="s">
        <v>11</v>
      </c>
    </row>
    <row r="145" spans="1:4" x14ac:dyDescent="0.25">
      <c r="A145" s="236">
        <v>144</v>
      </c>
      <c r="B145" s="237" t="s">
        <v>339</v>
      </c>
      <c r="C145" s="259"/>
      <c r="D145" s="171" t="s">
        <v>11</v>
      </c>
    </row>
    <row r="146" spans="1:4" x14ac:dyDescent="0.25">
      <c r="A146" s="238">
        <v>145</v>
      </c>
      <c r="B146" s="237" t="s">
        <v>340</v>
      </c>
      <c r="C146" s="259"/>
      <c r="D146" s="171" t="s">
        <v>11</v>
      </c>
    </row>
    <row r="147" spans="1:4" x14ac:dyDescent="0.25">
      <c r="A147" s="238">
        <v>146</v>
      </c>
      <c r="B147" s="237" t="s">
        <v>341</v>
      </c>
      <c r="C147" s="259"/>
      <c r="D147" s="171" t="s">
        <v>620</v>
      </c>
    </row>
    <row r="148" spans="1:4" x14ac:dyDescent="0.25">
      <c r="A148" s="238">
        <v>147</v>
      </c>
      <c r="B148" s="237" t="s">
        <v>342</v>
      </c>
      <c r="C148" s="259"/>
      <c r="D148" s="171" t="s">
        <v>621</v>
      </c>
    </row>
    <row r="149" spans="1:4" x14ac:dyDescent="0.25">
      <c r="A149" s="238">
        <v>148</v>
      </c>
      <c r="B149" s="237" t="s">
        <v>343</v>
      </c>
      <c r="C149" s="259"/>
      <c r="D149" s="171" t="s">
        <v>622</v>
      </c>
    </row>
    <row r="150" spans="1:4" ht="15.75" thickBot="1" x14ac:dyDescent="0.3">
      <c r="A150" s="239">
        <v>149</v>
      </c>
      <c r="B150" s="240" t="s">
        <v>344</v>
      </c>
      <c r="C150" s="260"/>
      <c r="D150" s="174" t="s">
        <v>623</v>
      </c>
    </row>
    <row r="151" spans="1:4" ht="15.75" thickBot="1" x14ac:dyDescent="0.3">
      <c r="A151" s="241">
        <v>150</v>
      </c>
      <c r="B151" s="242" t="s">
        <v>345</v>
      </c>
      <c r="C151" s="243" t="s">
        <v>624</v>
      </c>
      <c r="D151" s="244" t="s">
        <v>625</v>
      </c>
    </row>
  </sheetData>
  <mergeCells count="13">
    <mergeCell ref="C54:C57"/>
    <mergeCell ref="C2:C11"/>
    <mergeCell ref="C12:C17"/>
    <mergeCell ref="C18:C28"/>
    <mergeCell ref="C29:C41"/>
    <mergeCell ref="C44:C53"/>
    <mergeCell ref="C137:C150"/>
    <mergeCell ref="C59:C66"/>
    <mergeCell ref="C67:C87"/>
    <mergeCell ref="C88:C91"/>
    <mergeCell ref="C92:C96"/>
    <mergeCell ref="C97:C102"/>
    <mergeCell ref="C103:C136"/>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pane ySplit="1" topLeftCell="A11" activePane="bottomLeft" state="frozen"/>
      <selection pane="bottomLeft" activeCell="D33" sqref="D33"/>
    </sheetView>
  </sheetViews>
  <sheetFormatPr defaultRowHeight="15" x14ac:dyDescent="0.25"/>
  <cols>
    <col min="2" max="2" width="36.42578125" customWidth="1"/>
    <col min="3" max="3" width="22.7109375" customWidth="1"/>
    <col min="4" max="4" width="116.7109375" customWidth="1"/>
  </cols>
  <sheetData>
    <row r="1" spans="1:4" ht="15.75" thickBot="1" x14ac:dyDescent="0.3">
      <c r="A1" s="9" t="s">
        <v>92</v>
      </c>
      <c r="B1" s="165" t="s">
        <v>95</v>
      </c>
      <c r="C1" t="s">
        <v>517</v>
      </c>
      <c r="D1" t="s">
        <v>1</v>
      </c>
    </row>
    <row r="2" spans="1:4" x14ac:dyDescent="0.25">
      <c r="A2" s="208">
        <v>1001</v>
      </c>
      <c r="B2" s="209" t="s">
        <v>346</v>
      </c>
      <c r="C2" s="261" t="s">
        <v>567</v>
      </c>
      <c r="D2" s="168" t="s">
        <v>647</v>
      </c>
    </row>
    <row r="3" spans="1:4" x14ac:dyDescent="0.25">
      <c r="A3" s="210">
        <v>1002</v>
      </c>
      <c r="B3" s="279" t="s">
        <v>347</v>
      </c>
      <c r="C3" s="259"/>
      <c r="D3" s="171" t="s">
        <v>11</v>
      </c>
    </row>
    <row r="4" spans="1:4" x14ac:dyDescent="0.25">
      <c r="A4" s="210">
        <v>1003</v>
      </c>
      <c r="B4" s="279" t="s">
        <v>348</v>
      </c>
      <c r="C4" s="259"/>
      <c r="D4" s="171" t="s">
        <v>11</v>
      </c>
    </row>
    <row r="5" spans="1:4" x14ac:dyDescent="0.25">
      <c r="A5" s="210">
        <v>1004</v>
      </c>
      <c r="B5" s="279" t="s">
        <v>349</v>
      </c>
      <c r="C5" s="259"/>
      <c r="D5" s="171" t="s">
        <v>11</v>
      </c>
    </row>
    <row r="6" spans="1:4" x14ac:dyDescent="0.25">
      <c r="A6" s="210">
        <v>1005</v>
      </c>
      <c r="B6" s="279" t="s">
        <v>350</v>
      </c>
      <c r="C6" s="259"/>
      <c r="D6" s="171" t="s">
        <v>11</v>
      </c>
    </row>
    <row r="7" spans="1:4" x14ac:dyDescent="0.25">
      <c r="A7" s="210">
        <v>1006</v>
      </c>
      <c r="B7" s="279" t="s">
        <v>351</v>
      </c>
      <c r="C7" s="259"/>
      <c r="D7" s="171" t="s">
        <v>11</v>
      </c>
    </row>
    <row r="8" spans="1:4" x14ac:dyDescent="0.25">
      <c r="A8" s="210">
        <v>1007</v>
      </c>
      <c r="B8" s="279" t="s">
        <v>352</v>
      </c>
      <c r="C8" s="259"/>
      <c r="D8" s="171" t="s">
        <v>11</v>
      </c>
    </row>
    <row r="9" spans="1:4" x14ac:dyDescent="0.25">
      <c r="A9" s="210">
        <v>1008</v>
      </c>
      <c r="B9" s="279" t="s">
        <v>353</v>
      </c>
      <c r="C9" s="259"/>
      <c r="D9" s="171" t="s">
        <v>11</v>
      </c>
    </row>
    <row r="10" spans="1:4" x14ac:dyDescent="0.25">
      <c r="A10" s="210">
        <v>1009</v>
      </c>
      <c r="B10" s="279" t="s">
        <v>354</v>
      </c>
      <c r="C10" s="259"/>
      <c r="D10" s="171" t="s">
        <v>11</v>
      </c>
    </row>
    <row r="11" spans="1:4" x14ac:dyDescent="0.25">
      <c r="A11" s="210">
        <v>1010</v>
      </c>
      <c r="B11" s="279" t="s">
        <v>355</v>
      </c>
      <c r="C11" s="259"/>
      <c r="D11" s="171" t="s">
        <v>11</v>
      </c>
    </row>
    <row r="12" spans="1:4" x14ac:dyDescent="0.25">
      <c r="A12" s="210">
        <v>1011</v>
      </c>
      <c r="B12" s="279" t="s">
        <v>356</v>
      </c>
      <c r="C12" s="259"/>
      <c r="D12" s="171" t="s">
        <v>11</v>
      </c>
    </row>
    <row r="13" spans="1:4" x14ac:dyDescent="0.25">
      <c r="A13" s="210">
        <v>1012</v>
      </c>
      <c r="B13" s="279" t="s">
        <v>357</v>
      </c>
      <c r="C13" s="259"/>
      <c r="D13" s="171" t="s">
        <v>11</v>
      </c>
    </row>
    <row r="14" spans="1:4" x14ac:dyDescent="0.25">
      <c r="A14" s="210">
        <v>1013</v>
      </c>
      <c r="B14" s="279" t="s">
        <v>358</v>
      </c>
      <c r="C14" s="259"/>
      <c r="D14" s="171" t="s">
        <v>648</v>
      </c>
    </row>
    <row r="15" spans="1:4" x14ac:dyDescent="0.25">
      <c r="A15" s="210">
        <v>1014</v>
      </c>
      <c r="B15" s="279" t="s">
        <v>359</v>
      </c>
      <c r="C15" s="259"/>
      <c r="D15" s="171" t="s">
        <v>648</v>
      </c>
    </row>
    <row r="16" spans="1:4" ht="15.75" thickBot="1" x14ac:dyDescent="0.3">
      <c r="A16" s="215">
        <v>1015</v>
      </c>
      <c r="B16" s="281" t="s">
        <v>482</v>
      </c>
      <c r="C16" s="260"/>
      <c r="D16" s="174" t="s">
        <v>649</v>
      </c>
    </row>
    <row r="17" spans="1:4" x14ac:dyDescent="0.25">
      <c r="A17" s="223">
        <v>1016</v>
      </c>
      <c r="B17" s="276" t="s">
        <v>360</v>
      </c>
      <c r="C17" s="261" t="s">
        <v>650</v>
      </c>
      <c r="D17" s="168" t="s">
        <v>651</v>
      </c>
    </row>
    <row r="18" spans="1:4" x14ac:dyDescent="0.25">
      <c r="A18" s="225">
        <v>1017</v>
      </c>
      <c r="B18" s="277" t="s">
        <v>361</v>
      </c>
      <c r="C18" s="259"/>
      <c r="D18" s="171" t="s">
        <v>652</v>
      </c>
    </row>
    <row r="19" spans="1:4" x14ac:dyDescent="0.25">
      <c r="A19" s="225">
        <v>1018</v>
      </c>
      <c r="B19" s="277" t="s">
        <v>362</v>
      </c>
      <c r="C19" s="259"/>
      <c r="D19" s="171" t="s">
        <v>653</v>
      </c>
    </row>
    <row r="20" spans="1:4" x14ac:dyDescent="0.25">
      <c r="A20" s="225">
        <v>1019</v>
      </c>
      <c r="B20" s="277" t="s">
        <v>363</v>
      </c>
      <c r="C20" s="259"/>
      <c r="D20" s="171" t="s">
        <v>559</v>
      </c>
    </row>
    <row r="21" spans="1:4" x14ac:dyDescent="0.25">
      <c r="A21" s="225">
        <v>1020</v>
      </c>
      <c r="B21" s="277" t="s">
        <v>364</v>
      </c>
      <c r="C21" s="259"/>
      <c r="D21" s="171" t="s">
        <v>560</v>
      </c>
    </row>
    <row r="22" spans="1:4" x14ac:dyDescent="0.25">
      <c r="A22" s="225">
        <v>1021</v>
      </c>
      <c r="B22" s="277" t="s">
        <v>365</v>
      </c>
      <c r="C22" s="259"/>
      <c r="D22" s="171" t="s">
        <v>561</v>
      </c>
    </row>
    <row r="23" spans="1:4" x14ac:dyDescent="0.25">
      <c r="A23" s="225">
        <v>1022</v>
      </c>
      <c r="B23" s="277" t="s">
        <v>366</v>
      </c>
      <c r="C23" s="259"/>
      <c r="D23" s="171" t="s">
        <v>562</v>
      </c>
    </row>
    <row r="24" spans="1:4" x14ac:dyDescent="0.25">
      <c r="A24" s="225">
        <v>1023</v>
      </c>
      <c r="B24" s="277" t="s">
        <v>367</v>
      </c>
      <c r="C24" s="259"/>
      <c r="D24" s="171" t="s">
        <v>563</v>
      </c>
    </row>
    <row r="25" spans="1:4" ht="15.75" thickBot="1" x14ac:dyDescent="0.3">
      <c r="A25" s="227">
        <v>1024</v>
      </c>
      <c r="B25" s="278" t="s">
        <v>368</v>
      </c>
      <c r="C25" s="260"/>
      <c r="D25" s="174" t="s">
        <v>564</v>
      </c>
    </row>
    <row r="26" spans="1:4" x14ac:dyDescent="0.25">
      <c r="A26" s="181">
        <v>1025</v>
      </c>
      <c r="B26" s="182" t="s">
        <v>369</v>
      </c>
      <c r="C26" s="261" t="s">
        <v>654</v>
      </c>
      <c r="D26" s="168" t="s">
        <v>655</v>
      </c>
    </row>
    <row r="27" spans="1:4" x14ac:dyDescent="0.25">
      <c r="A27" s="183">
        <v>1026</v>
      </c>
      <c r="B27" s="288" t="s">
        <v>370</v>
      </c>
      <c r="C27" s="259"/>
      <c r="D27" s="171" t="s">
        <v>656</v>
      </c>
    </row>
    <row r="28" spans="1:4" x14ac:dyDescent="0.25">
      <c r="A28" s="183">
        <v>1027</v>
      </c>
      <c r="B28" s="288" t="s">
        <v>371</v>
      </c>
      <c r="C28" s="259"/>
      <c r="D28" s="171" t="s">
        <v>657</v>
      </c>
    </row>
    <row r="29" spans="1:4" x14ac:dyDescent="0.25">
      <c r="A29" s="183">
        <v>1028</v>
      </c>
      <c r="B29" s="288" t="s">
        <v>372</v>
      </c>
      <c r="C29" s="259"/>
      <c r="D29" s="171" t="s">
        <v>658</v>
      </c>
    </row>
    <row r="30" spans="1:4" x14ac:dyDescent="0.25">
      <c r="A30" s="183">
        <v>1029</v>
      </c>
      <c r="B30" s="288" t="s">
        <v>373</v>
      </c>
      <c r="C30" s="259"/>
      <c r="D30" s="171" t="s">
        <v>659</v>
      </c>
    </row>
    <row r="31" spans="1:4" x14ac:dyDescent="0.25">
      <c r="A31" s="183">
        <v>1030</v>
      </c>
      <c r="B31" s="288" t="s">
        <v>374</v>
      </c>
      <c r="C31" s="259"/>
      <c r="D31" s="171" t="s">
        <v>659</v>
      </c>
    </row>
    <row r="32" spans="1:4" x14ac:dyDescent="0.25">
      <c r="A32" s="183">
        <v>1031</v>
      </c>
      <c r="B32" s="288" t="s">
        <v>375</v>
      </c>
      <c r="C32" s="259"/>
      <c r="D32" s="171" t="s">
        <v>660</v>
      </c>
    </row>
    <row r="33" spans="1:4" x14ac:dyDescent="0.25">
      <c r="A33" s="183">
        <v>1032</v>
      </c>
      <c r="B33" s="288" t="s">
        <v>376</v>
      </c>
      <c r="C33" s="259"/>
      <c r="D33" s="171" t="s">
        <v>660</v>
      </c>
    </row>
    <row r="34" spans="1:4" x14ac:dyDescent="0.25">
      <c r="A34" s="183">
        <v>1033</v>
      </c>
      <c r="B34" s="288" t="s">
        <v>377</v>
      </c>
      <c r="C34" s="259"/>
      <c r="D34" s="171" t="s">
        <v>660</v>
      </c>
    </row>
    <row r="35" spans="1:4" x14ac:dyDescent="0.25">
      <c r="A35" s="183">
        <v>1034</v>
      </c>
      <c r="B35" s="288" t="s">
        <v>378</v>
      </c>
      <c r="C35" s="259"/>
      <c r="D35" s="171" t="s">
        <v>660</v>
      </c>
    </row>
    <row r="36" spans="1:4" ht="15.75" thickBot="1" x14ac:dyDescent="0.3">
      <c r="A36" s="188">
        <v>1035</v>
      </c>
      <c r="B36" s="274" t="s">
        <v>379</v>
      </c>
      <c r="C36" s="260"/>
      <c r="D36" s="171" t="s">
        <v>660</v>
      </c>
    </row>
    <row r="37" spans="1:4" ht="30" x14ac:dyDescent="0.25">
      <c r="A37" s="282">
        <v>1036</v>
      </c>
      <c r="B37" s="283" t="s">
        <v>484</v>
      </c>
      <c r="C37" s="261" t="s">
        <v>661</v>
      </c>
      <c r="D37" s="195" t="s">
        <v>617</v>
      </c>
    </row>
    <row r="38" spans="1:4" ht="30" x14ac:dyDescent="0.25">
      <c r="A38" s="284">
        <v>1037</v>
      </c>
      <c r="B38" s="236" t="s">
        <v>485</v>
      </c>
      <c r="C38" s="259"/>
      <c r="D38" s="186" t="s">
        <v>618</v>
      </c>
    </row>
    <row r="39" spans="1:4" ht="30" x14ac:dyDescent="0.25">
      <c r="A39" s="284">
        <v>1038</v>
      </c>
      <c r="B39" s="236" t="s">
        <v>486</v>
      </c>
      <c r="C39" s="259"/>
      <c r="D39" s="186" t="s">
        <v>643</v>
      </c>
    </row>
    <row r="40" spans="1:4" ht="30.75" thickBot="1" x14ac:dyDescent="0.3">
      <c r="A40" s="285">
        <v>1039</v>
      </c>
      <c r="B40" s="286" t="s">
        <v>487</v>
      </c>
      <c r="C40" s="260"/>
      <c r="D40" s="191" t="s">
        <v>644</v>
      </c>
    </row>
  </sheetData>
  <mergeCells count="4">
    <mergeCell ref="C2:C16"/>
    <mergeCell ref="C17:C25"/>
    <mergeCell ref="C26:C36"/>
    <mergeCell ref="C37:C4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07e75b3-53cc-4838-92d2-ebc011bd4832">
      <Terms xmlns="http://schemas.microsoft.com/office/infopath/2007/PartnerControls"/>
    </lcf76f155ced4ddcb4097134ff3c332f>
    <TaxCatchAll xmlns="888ccf44-0d39-41a2-ab17-f7efb2bf697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4FD8CECCB51EC843BF514AFE68379818" ma:contentTypeVersion="18" ma:contentTypeDescription="Opret et nyt dokument." ma:contentTypeScope="" ma:versionID="eda339f53f012ceb64677667a741b441">
  <xsd:schema xmlns:xsd="http://www.w3.org/2001/XMLSchema" xmlns:xs="http://www.w3.org/2001/XMLSchema" xmlns:p="http://schemas.microsoft.com/office/2006/metadata/properties" xmlns:ns2="107e75b3-53cc-4838-92d2-ebc011bd4832" xmlns:ns3="888ccf44-0d39-41a2-ab17-f7efb2bf6977" targetNamespace="http://schemas.microsoft.com/office/2006/metadata/properties" ma:root="true" ma:fieldsID="04a86f3db711706e561c315688f1c464" ns2:_="" ns3:_="">
    <xsd:import namespace="107e75b3-53cc-4838-92d2-ebc011bd4832"/>
    <xsd:import namespace="888ccf44-0d39-41a2-ab17-f7efb2bf697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7e75b3-53cc-4838-92d2-ebc011bd48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Billedmærker" ma:readOnly="false" ma:fieldId="{5cf76f15-5ced-4ddc-b409-7134ff3c332f}" ma:taxonomyMulti="true" ma:sspId="e7e7b2a4-8a24-409e-a9c2-7a67e40641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88ccf44-0d39-41a2-ab17-f7efb2bf6977" elementFormDefault="qualified">
    <xsd:import namespace="http://schemas.microsoft.com/office/2006/documentManagement/types"/>
    <xsd:import namespace="http://schemas.microsoft.com/office/infopath/2007/PartnerControls"/>
    <xsd:element name="SharedWithUsers" ma:index="1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t med detaljer" ma:internalName="SharedWithDetails" ma:readOnly="true">
      <xsd:simpleType>
        <xsd:restriction base="dms:Note">
          <xsd:maxLength value="255"/>
        </xsd:restriction>
      </xsd:simpleType>
    </xsd:element>
    <xsd:element name="TaxCatchAll" ma:index="21" nillable="true" ma:displayName="Taxonomy Catch All Column" ma:hidden="true" ma:list="{5266b194-f4f7-4a3b-a9c4-b710f3295c42}" ma:internalName="TaxCatchAll" ma:showField="CatchAllData" ma:web="888ccf44-0d39-41a2-ab17-f7efb2bf69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2288FB7-E85A-4FE8-9E7A-FE572FF16064}">
  <ds:schemaRefs>
    <ds:schemaRef ds:uri="107e75b3-53cc-4838-92d2-ebc011bd4832"/>
    <ds:schemaRef ds:uri="http://schemas.microsoft.com/office/2006/documentManagement/types"/>
    <ds:schemaRef ds:uri="http://www.w3.org/XML/1998/namespace"/>
    <ds:schemaRef ds:uri="http://schemas.openxmlformats.org/package/2006/metadata/core-properties"/>
    <ds:schemaRef ds:uri="888ccf44-0d39-41a2-ab17-f7efb2bf6977"/>
    <ds:schemaRef ds:uri="http://schemas.microsoft.com/office/2006/metadata/properties"/>
    <ds:schemaRef ds:uri="http://purl.org/dc/dcmitype/"/>
    <ds:schemaRef ds:uri="http://purl.org/dc/terms/"/>
    <ds:schemaRef ds:uri="http://schemas.microsoft.com/office/infopath/2007/PartnerControls"/>
    <ds:schemaRef ds:uri="http://purl.org/dc/elements/1.1/"/>
  </ds:schemaRefs>
</ds:datastoreItem>
</file>

<file path=customXml/itemProps2.xml><?xml version="1.0" encoding="utf-8"?>
<ds:datastoreItem xmlns:ds="http://schemas.openxmlformats.org/officeDocument/2006/customXml" ds:itemID="{0F91B7B9-75FF-4624-B506-952B5B5476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7e75b3-53cc-4838-92d2-ebc011bd4832"/>
    <ds:schemaRef ds:uri="888ccf44-0d39-41a2-ab17-f7efb2bf69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B21D61-7BBD-4BD3-A9A5-1E8F98F2F68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45</vt:i4>
      </vt:variant>
    </vt:vector>
  </HeadingPairs>
  <TitlesOfParts>
    <vt:vector size="56" baseType="lpstr">
      <vt:lpstr>Settings</vt:lpstr>
      <vt:lpstr>Area values</vt:lpstr>
      <vt:lpstr>RfG cases</vt:lpstr>
      <vt:lpstr>DCC cases</vt:lpstr>
      <vt:lpstr>Unit cases</vt:lpstr>
      <vt:lpstr>Custom cases</vt:lpstr>
      <vt:lpstr>Event types</vt:lpstr>
      <vt:lpstr>RfG cases overview</vt:lpstr>
      <vt:lpstr>DCC cases overview</vt:lpstr>
      <vt:lpstr>Unit cases overview</vt:lpstr>
      <vt:lpstr>datavalidation</vt:lpstr>
      <vt:lpstr>inp_Area</vt:lpstr>
      <vt:lpstr>inp_default</vt:lpstr>
      <vt:lpstr>inp_init</vt:lpstr>
      <vt:lpstr>inp_scr_max</vt:lpstr>
      <vt:lpstr>inp_scr_min</vt:lpstr>
      <vt:lpstr>inp_scr_tun</vt:lpstr>
      <vt:lpstr>inp_Uc</vt:lpstr>
      <vt:lpstr>inp_Un</vt:lpstr>
      <vt:lpstr>inp_Vdroop</vt:lpstr>
      <vt:lpstr>inp_xr_max</vt:lpstr>
      <vt:lpstr>inp_xr_min</vt:lpstr>
      <vt:lpstr>inp_xr_tun</vt:lpstr>
      <vt:lpstr>sel_30min_fmax</vt:lpstr>
      <vt:lpstr>sel_30min_fmin</vt:lpstr>
      <vt:lpstr>sel_60min_umax</vt:lpstr>
      <vt:lpstr>sel_60min_umin</vt:lpstr>
      <vt:lpstr>sel_contop_umax</vt:lpstr>
      <vt:lpstr>sel_contop_umin</vt:lpstr>
      <vt:lpstr>sel_fsm_db</vt:lpstr>
      <vt:lpstr>sel_fsm_droop</vt:lpstr>
      <vt:lpstr>sel_fsm_prov</vt:lpstr>
      <vt:lpstr>sel_lfsmo_droop</vt:lpstr>
      <vt:lpstr>sel_lfsmo_start</vt:lpstr>
      <vt:lpstr>sel_lfsmu_droop</vt:lpstr>
      <vt:lpstr>sel_lfsmu_start</vt:lpstr>
      <vt:lpstr>sel_lvfrt_start</vt:lpstr>
      <vt:lpstr>sel_lvfrt_stop</vt:lpstr>
      <vt:lpstr>sel_t1</vt:lpstr>
      <vt:lpstr>sel_t2</vt:lpstr>
      <vt:lpstr>sel_tclear</vt:lpstr>
      <vt:lpstr>sel_trec1</vt:lpstr>
      <vt:lpstr>sel_trec2</vt:lpstr>
      <vt:lpstr>sel_trec3</vt:lpstr>
      <vt:lpstr>sel_u1</vt:lpstr>
      <vt:lpstr>sel_u2</vt:lpstr>
      <vt:lpstr>sel_uclear</vt:lpstr>
      <vt:lpstr>sel_uq_q0.33_umax</vt:lpstr>
      <vt:lpstr>sel_uq_q0.33_umin</vt:lpstr>
      <vt:lpstr>sel_uq_q0.33ue_umax</vt:lpstr>
      <vt:lpstr>sel_uq_q0.33ue_umin</vt:lpstr>
      <vt:lpstr>sel_uq_q0_umax</vt:lpstr>
      <vt:lpstr>sel_uq_q0_umin</vt:lpstr>
      <vt:lpstr>sel_urec1</vt:lpstr>
      <vt:lpstr>sel_urec2</vt:lpstr>
      <vt:lpstr>sel_ures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MKT@energinet.dk;sbs@energinet.dk;CVL@energinet.dk</dc:creator>
  <cp:keywords/>
  <dc:description/>
  <cp:lastModifiedBy>Casper Vestergård Lindgaard</cp:lastModifiedBy>
  <cp:revision/>
  <dcterms:created xsi:type="dcterms:W3CDTF">2015-06-05T18:19:34Z</dcterms:created>
  <dcterms:modified xsi:type="dcterms:W3CDTF">2024-11-19T14:54:29Z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8507bc-e780-4892-8083-f8b069738aec_Enabled">
    <vt:lpwstr>true</vt:lpwstr>
  </property>
  <property fmtid="{D5CDD505-2E9C-101B-9397-08002B2CF9AE}" pid="3" name="MSIP_Label_388507bc-e780-4892-8083-f8b069738aec_SetDate">
    <vt:lpwstr>2024-07-02T04:14:10Z</vt:lpwstr>
  </property>
  <property fmtid="{D5CDD505-2E9C-101B-9397-08002B2CF9AE}" pid="4" name="MSIP_Label_388507bc-e780-4892-8083-f8b069738aec_Method">
    <vt:lpwstr>Privileged</vt:lpwstr>
  </property>
  <property fmtid="{D5CDD505-2E9C-101B-9397-08002B2CF9AE}" pid="5" name="MSIP_Label_388507bc-e780-4892-8083-f8b069738aec_Name">
    <vt:lpwstr>Til arbejdsbrug</vt:lpwstr>
  </property>
  <property fmtid="{D5CDD505-2E9C-101B-9397-08002B2CF9AE}" pid="6" name="MSIP_Label_388507bc-e780-4892-8083-f8b069738aec_SiteId">
    <vt:lpwstr>f7619355-6c67-4100-9a78-1847f30742e2</vt:lpwstr>
  </property>
  <property fmtid="{D5CDD505-2E9C-101B-9397-08002B2CF9AE}" pid="7" name="MSIP_Label_388507bc-e780-4892-8083-f8b069738aec_ActionId">
    <vt:lpwstr>0210f4bb-bb5a-4545-9bd8-48b277cbde2d</vt:lpwstr>
  </property>
  <property fmtid="{D5CDD505-2E9C-101B-9397-08002B2CF9AE}" pid="8" name="MSIP_Label_388507bc-e780-4892-8083-f8b069738aec_ContentBits">
    <vt:lpwstr>0</vt:lpwstr>
  </property>
  <property fmtid="{D5CDD505-2E9C-101B-9397-08002B2CF9AE}" pid="9" name="ContentTypeId">
    <vt:lpwstr>0x0101004FD8CECCB51EC843BF514AFE68379818</vt:lpwstr>
  </property>
  <property fmtid="{D5CDD505-2E9C-101B-9397-08002B2CF9AE}" pid="10" name="MediaServiceImageTags">
    <vt:lpwstr/>
  </property>
</Properties>
</file>