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exchange_sends_to_own_ga\"/>
    </mc:Choice>
  </mc:AlternateContent>
  <xr:revisionPtr revIDLastSave="0" documentId="8_{A964E703-856F-4C13-9E75-B037FEF3E0DA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7" i="11" l="1"/>
  <c r="I87" i="11" s="1"/>
  <c r="H86" i="11"/>
  <c r="I86" i="11" s="1"/>
  <c r="H85" i="11"/>
  <c r="I85" i="11" s="1"/>
  <c r="H84" i="11"/>
  <c r="I84" i="11" s="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I81" i="11"/>
  <c r="I80" i="11"/>
  <c r="I79" i="11"/>
  <c r="I78" i="11"/>
  <c r="I75" i="11"/>
  <c r="I74" i="11"/>
  <c r="I73" i="11"/>
  <c r="I72" i="11"/>
  <c r="I69" i="11"/>
  <c r="I68" i="11"/>
  <c r="I67" i="11"/>
  <c r="I66" i="11"/>
  <c r="I63" i="11"/>
  <c r="I62" i="11"/>
  <c r="I61" i="11"/>
  <c r="I60" i="11"/>
  <c r="I57" i="11"/>
  <c r="I56" i="11"/>
  <c r="I55" i="11"/>
  <c r="I54" i="11"/>
  <c r="J2" i="11"/>
  <c r="J3" i="11"/>
  <c r="V60" i="11" s="1"/>
  <c r="J4" i="11"/>
  <c r="J5" i="11"/>
  <c r="J6" i="11"/>
  <c r="J7" i="11"/>
  <c r="J8" i="11"/>
  <c r="J9" i="11"/>
  <c r="J10" i="11"/>
  <c r="J11" i="11"/>
  <c r="J12" i="11"/>
  <c r="J13" i="11"/>
  <c r="AE31" i="11" a="1"/>
  <c r="AE31" i="11" s="1"/>
  <c r="AE32" i="11" a="1"/>
  <c r="AE32" i="11" s="1"/>
  <c r="AE33" i="11" a="1"/>
  <c r="AE33" i="11" s="1"/>
  <c r="AE34" i="11" a="1"/>
  <c r="AE34" i="11" s="1"/>
  <c r="AE35" i="11" a="1"/>
  <c r="AE35" i="11" s="1"/>
  <c r="AE36" i="11" a="1"/>
  <c r="AE36" i="11" s="1"/>
  <c r="AE37" i="11" a="1"/>
  <c r="AE37" i="11" s="1"/>
  <c r="AE38" i="11" a="1"/>
  <c r="AE38" i="11" s="1"/>
  <c r="AE39" i="11" a="1"/>
  <c r="AE39" i="11" s="1"/>
  <c r="AE40" i="11" a="1"/>
  <c r="AE40" i="11" s="1"/>
  <c r="AE41" i="11" a="1"/>
  <c r="AE41" i="11" s="1"/>
  <c r="AE42" i="11" a="1"/>
  <c r="AE42" i="11" s="1"/>
  <c r="J14" i="11"/>
  <c r="J15" i="11"/>
  <c r="J16" i="11"/>
  <c r="J17" i="11"/>
  <c r="J18" i="11"/>
  <c r="J19" i="11"/>
  <c r="V103" i="11" a="1"/>
  <c r="V105" i="11" a="1"/>
  <c r="V104" i="11" a="1"/>
  <c r="V109" i="11" a="1"/>
  <c r="V107" i="11" a="1"/>
  <c r="V106" i="11" a="1"/>
  <c r="V108" i="11" a="1"/>
  <c r="V102" i="11" a="1"/>
  <c r="V54" i="11" l="1"/>
  <c r="V102" i="11"/>
  <c r="V109" i="11"/>
  <c r="V108" i="11"/>
  <c r="V104" i="11"/>
  <c r="V107" i="11"/>
  <c r="V105" i="11"/>
  <c r="V106" i="11"/>
  <c r="V103" i="1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59" i="11"/>
  <c r="T7" i="11"/>
  <c r="V42" i="11"/>
  <c r="V45" i="11" s="1"/>
  <c r="Z45" i="11" s="1"/>
  <c r="AF27" i="11"/>
  <c r="AF13" i="11" a="1"/>
  <c r="AE27" i="1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AG2" i="11"/>
  <c r="AF32" i="11" s="1" a="1"/>
  <c r="AF32" i="11" s="1"/>
  <c r="AD2" i="11" a="1"/>
  <c r="AD2" i="11" s="1"/>
  <c r="V90" i="11" a="1"/>
  <c r="V86" i="11" a="1"/>
  <c r="V100" i="11" a="1"/>
  <c r="V93" i="11" a="1"/>
  <c r="V98" i="11" a="1"/>
  <c r="V94" i="11" a="1"/>
  <c r="V96" i="11" a="1"/>
  <c r="V95" i="11" a="1"/>
  <c r="V99" i="11" a="1"/>
  <c r="V91" i="11" a="1"/>
  <c r="V101" i="11" a="1"/>
  <c r="V92" i="11" a="1"/>
  <c r="V97" i="11" a="1"/>
  <c r="V87" i="11" a="1"/>
  <c r="V88" i="11" a="1"/>
  <c r="V89" i="11" a="1"/>
  <c r="AE29" i="11" l="1" a="1"/>
  <c r="AE29" i="11" s="1"/>
  <c r="AE30" i="11" a="1"/>
  <c r="AE30" i="11" s="1"/>
  <c r="V63" i="11"/>
  <c r="Z63" i="11" s="1"/>
  <c r="V98" i="11"/>
  <c r="V90" i="11"/>
  <c r="V91" i="11"/>
  <c r="V99" i="11"/>
  <c r="V93" i="11"/>
  <c r="V97" i="11"/>
  <c r="V92" i="11"/>
  <c r="V101" i="11"/>
  <c r="V100" i="11"/>
  <c r="V94" i="11"/>
  <c r="V95" i="11"/>
  <c r="V96" i="11"/>
  <c r="W94" i="11"/>
  <c r="W96" i="11" s="1"/>
  <c r="W98" i="11"/>
  <c r="W101" i="11" s="1"/>
  <c r="V88" i="11"/>
  <c r="H92" i="11" s="1"/>
  <c r="J92" i="11" s="1"/>
  <c r="V87" i="11"/>
  <c r="H91" i="11" s="1"/>
  <c r="J91" i="11" s="1"/>
  <c r="V89" i="11"/>
  <c r="H93" i="11" s="1"/>
  <c r="J93" i="11" s="1"/>
  <c r="V86" i="11"/>
  <c r="H90" i="11" s="1"/>
  <c r="J90" i="11" s="1"/>
  <c r="W90" i="11"/>
  <c r="W93" i="11" s="1"/>
  <c r="AF42" i="11" a="1"/>
  <c r="AF42" i="11" s="1"/>
  <c r="V56" i="1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F29" i="11" a="1"/>
  <c r="AF29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F39" i="11" a="1"/>
  <c r="AF39" i="11" s="1"/>
  <c r="AF38" i="11" a="1"/>
  <c r="AF38" i="11" s="1"/>
  <c r="AF37" i="11" a="1"/>
  <c r="AF37" i="11" s="1"/>
  <c r="AF36" i="11" a="1"/>
  <c r="AF36" i="11" s="1"/>
  <c r="AF35" i="11" a="1"/>
  <c r="AF35" i="11" s="1"/>
  <c r="AF34" i="11" a="1"/>
  <c r="AF34" i="11" s="1"/>
  <c r="AF33" i="11" a="1"/>
  <c r="AF33" i="11" s="1"/>
  <c r="V22" i="11"/>
  <c r="V26" i="11"/>
  <c r="AE13" i="11"/>
  <c r="AE28" i="11" s="1" a="1"/>
  <c r="AE28" i="11" s="1"/>
  <c r="AF13" i="11"/>
  <c r="AF28" i="11" s="1" a="1"/>
  <c r="AF28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86" i="11"/>
  <c r="AH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W100" i="11" l="1"/>
  <c r="X98" i="11"/>
  <c r="Z98" i="11" s="1"/>
  <c r="W99" i="11"/>
  <c r="X94" i="11"/>
  <c r="Z94" i="11" s="1"/>
  <c r="W95" i="11"/>
  <c r="W97" i="11"/>
  <c r="W92" i="11"/>
  <c r="X90" i="11"/>
  <c r="Z90" i="11" s="1"/>
  <c r="W91" i="11"/>
  <c r="V57" i="11"/>
  <c r="Z57" i="11" s="1"/>
  <c r="V55" i="1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Z61" i="11"/>
  <c r="T32" i="11"/>
  <c r="S32" i="11"/>
  <c r="E106" i="11"/>
  <c r="E104" i="11"/>
  <c r="E102" i="11"/>
  <c r="E100" i="11"/>
  <c r="E98" i="11"/>
  <c r="E96" i="11"/>
  <c r="E94" i="1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5" i="11" a="1"/>
  <c r="I97" i="11" a="1"/>
  <c r="I96" i="11" a="1"/>
  <c r="I90" i="11" a="1"/>
  <c r="I92" i="11" a="1"/>
  <c r="I93" i="11" a="1"/>
  <c r="I91" i="11" a="1"/>
  <c r="Z55" i="11" l="1"/>
  <c r="Z53" i="11" s="1"/>
  <c r="Y95" i="11"/>
  <c r="X95" i="11" s="1"/>
  <c r="Z95" i="11" s="1"/>
  <c r="Y96" i="11" s="1"/>
  <c r="X96" i="11" s="1"/>
  <c r="Z96" i="11" s="1"/>
  <c r="Y97" i="11" s="1"/>
  <c r="X97" i="11" s="1"/>
  <c r="Z97" i="11" s="1"/>
  <c r="Y91" i="11"/>
  <c r="X91" i="11" s="1"/>
  <c r="Z91" i="11" s="1"/>
  <c r="Y92" i="11" s="1"/>
  <c r="X92" i="11" s="1"/>
  <c r="Z92" i="11" s="1"/>
  <c r="Y93" i="11" s="1"/>
  <c r="X93" i="11" s="1"/>
  <c r="Z93" i="11" s="1"/>
  <c r="Y99" i="11"/>
  <c r="X99" i="11" s="1"/>
  <c r="Z99" i="11" s="1"/>
  <c r="Y100" i="11" s="1"/>
  <c r="X100" i="11" s="1"/>
  <c r="Z100" i="11" s="1"/>
  <c r="Y101" i="11" s="1"/>
  <c r="X101" i="11" s="1"/>
  <c r="Z101" i="11" s="1"/>
  <c r="AE2" i="11"/>
  <c r="E35" i="11" s="1"/>
  <c r="U18" i="11"/>
  <c r="W55" i="11"/>
  <c r="Y55" i="11" s="1"/>
  <c r="I113" i="11" a="1"/>
  <c r="I113" i="11" s="1"/>
  <c r="I106" i="11" a="1"/>
  <c r="I106" i="11" s="1"/>
  <c r="I108" i="11" a="1"/>
  <c r="I108" i="11" s="1"/>
  <c r="I111" i="11" a="1"/>
  <c r="I111" i="11" s="1"/>
  <c r="I112" i="11" a="1"/>
  <c r="I112" i="11" s="1"/>
  <c r="I110" i="11" a="1"/>
  <c r="I110" i="11" s="1"/>
  <c r="I109" i="11" a="1"/>
  <c r="I109" i="11" s="1"/>
  <c r="I107" i="11" a="1"/>
  <c r="I107" i="11" s="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5" i="11" a="1"/>
  <c r="I103" i="11" a="1"/>
  <c r="I101" i="11" a="1"/>
  <c r="I98" i="11" a="1"/>
  <c r="I100" i="11" a="1"/>
  <c r="I99" i="11" a="1"/>
  <c r="I104" i="11" a="1"/>
  <c r="I102" i="11" a="1"/>
  <c r="I94" i="11" a="1"/>
  <c r="X62" i="11" l="1"/>
  <c r="W62" i="11" s="1"/>
  <c r="Y62" i="11" s="1"/>
  <c r="H48" i="1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Y88" i="11"/>
  <c r="X88" i="11" s="1"/>
  <c r="Z88" i="11" s="1"/>
  <c r="H62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H66" i="11" l="1"/>
  <c r="I48" i="1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Y89" i="11"/>
  <c r="X89" i="11" s="1"/>
  <c r="Z89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64" i="11" l="1"/>
  <c r="W64" i="11" s="1"/>
  <c r="Y64" i="11" s="1"/>
  <c r="H49" i="1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67" i="11" l="1"/>
  <c r="H74" i="11" s="1"/>
  <c r="I49" i="11"/>
  <c r="Y59" i="11"/>
  <c r="H50" i="11"/>
  <c r="X58" i="11"/>
  <c r="W58" i="11" s="1"/>
  <c r="Y58" i="11" s="1"/>
  <c r="Y35" i="11"/>
  <c r="H57" i="11"/>
  <c r="H80" i="11" l="1"/>
  <c r="H68" i="11"/>
  <c r="H79" i="11" s="1"/>
  <c r="I50" i="11"/>
  <c r="H51" i="11"/>
  <c r="Y53" i="11"/>
  <c r="H73" i="11" l="1"/>
  <c r="H69" i="11"/>
  <c r="H72" i="11" s="1"/>
  <c r="I51" i="11"/>
  <c r="U10" i="11"/>
  <c r="H78" i="11" l="1"/>
  <c r="T10" i="1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2" i="11"/>
  <c r="J39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9" i="11"/>
  <c r="J37" i="11"/>
  <c r="J23" i="11"/>
  <c r="J25" i="11"/>
  <c r="K30" i="11" l="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K26" i="11" l="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<sst xmlns="http://schemas.openxmlformats.org/spreadsheetml/2006/main" count="436" uniqueCount="124">
  <si>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</si>
  <si>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</si>
  <si>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</si>
  <si>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</si>
  <si>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</si>
  <si>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</si>
  <si>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</si>
  <si>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</si>
  <si>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</si>
  <si>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</si>
  <si>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</si>
  <si>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</si>
  <si>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</si>
  <si>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</si>
  <si>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</si>
  <si>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</si>
  <si>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</si>
  <si>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</si>
  <si>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</si>
  <si>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</si>
  <si>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</si>
  <si>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</si>
  <si>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</si>
  <si>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</si>
  <si>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</si>
  <si>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</si>
  <si>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</si>
  <si>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</si>
  <si>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</si>
  <si>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</si>
  <si>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</si>
  <si>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</si>
  <si>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</si>
  <si>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</si>
  <si>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</si>
  <si>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</si>
  <si>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</si>
  <si>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</si>
  <si>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</si>
  <si>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</si>
  <si>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</si>
  <si>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</si>
  <si>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</si>
  <si>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</si>
  <si>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</si>
  <si>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</si>
  <si>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</si>
  <si>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</si>
  <si>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</si>
  <si>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</si>
  <si>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</si>
  <si>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</si>
  <si>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</si>
  <si>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</si>
  <si>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</si>
  <si>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</si>
  <si>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</si>
  <si>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</si>
  <si>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</si>
  <si>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</si>
  <si>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</si>
  <si>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</si>
  <si>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</si>
  <si>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</si>
  <si>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</si>
  <si>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</si>
  <si>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</si>
  <si>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</si>
  <si>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</si>
  <si>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</si>
  <si>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</si>
  <si>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</si>
  <si>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</si>
  <si>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</si>
  <si>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</si>
  <si>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</si>
  <si>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</si>
  <si>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</si>
  <si>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</si>
  <si>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</si>
  <si>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</si>
  <si>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</si>
  <si>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</si>
  <si>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</si>
  <si>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</si>
  <si>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</si>
  <si>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</si>
  <si>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</si>
  <si>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</si>
  <si>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</si>
  <si>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</si>
  <si>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</si>
  <si>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</si>
  <si>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</si>
  <si>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</si>
  <si>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</si>
  <si>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glmp</t>
  </si>
  <si>
    <t>180000000000001000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</si>
  <si>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</si>
  <si>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</si>
  <si>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</si>
  <si>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</si>
  <si>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</si>
  <si>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</si>
  <si>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</si>
  <si>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</si>
  <si>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</si>
  <si>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</si>
  <si>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</si>
  <si>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170000001500000101</t>
  </si>
  <si>
    <t>170000001500000201</t>
  </si>
  <si>
    <t>180000001500000001</t>
  </si>
  <si>
    <t>flex_consumption</t>
  </si>
  <si>
    <t>200000000000000002</t>
  </si>
  <si>
    <t>200000000000000004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</si>
  <si>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</si>
  <si>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</si>
  <si>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</si>
  <si>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</si>
  <si>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</si>
  <si>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</si>
  <si>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802</t>
  </si>
  <si>
    <t>804</t>
  </si>
  <si>
    <t>2000000000000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</si>
</sst>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topLeftCell="A41" zoomScale="85" zoomScaleNormal="85" workbookViewId="0">
      <selection activeCell="E88" sqref="E88:I88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108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107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112</v>
      </c>
      <c r="C2" s="10"/>
      <c r="D2" s="10"/>
      <c r="E2" s="11"/>
      <c r="F2" s="12"/>
      <c r="G2" s="12"/>
      <c r="H2" s="41"/>
      <c r="I2" s="41"/>
      <c r="J2" s="43" t="str">
        <f t="shared" ref="J2:J19" si="0">IF(C2="","",SUM(F2:I2))</f>
        <v/>
      </c>
      <c r="K2" s="10"/>
      <c r="L2" s="10"/>
      <c r="M2" s="10"/>
      <c r="N2" s="10"/>
      <c r="O2" s="10"/>
      <c r="P2" s="29"/>
      <c r="Q2" s="29"/>
      <c r="R2" s="24"/>
      <c r="S2" s="7" t="s">
        <v>35</v>
      </c>
      <c r="T2" s="9">
        <f>SUMIFS(TableDay1[TotalHour],TableDay1[settlement_method],"D01",TableDay1[resolution],"PT15M")</f>
        <v>10</v>
      </c>
      <c r="U2" s="42">
        <f>SUMIFS(TableDay1[Quarter1],TableDay1[settlement_method],"D01",TableDay1[resolution],"PT15M")</f>
        <v>10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:AH3">_xlfn._xlws.SORT(_xlfn.UNIQUE(_xlfn.VSTACK(_xlfn._xlws.FILTER(TableDay1[from_ga],TableDay1[from_ga] &lt;&gt; ""),_xlfn._xlws.FILTER(TableDay1[to_ga],TableDay1[to_ga] &lt;&gt; ""))))</f>
        <v>800</v>
      </c>
      <c r="AI2" s="24"/>
      <c r="AJ2" s="24"/>
    </row>
    <row r="3" spans="1:92" x14ac:dyDescent="0.35">
      <c r="C3" s="10" t="s">
        <v>113</v>
      </c>
      <c r="D3" s="10" t="s">
        <v>99</v>
      </c>
      <c r="E3" s="11"/>
      <c r="F3" s="12"/>
      <c r="G3" s="12"/>
      <c r="H3" s="41"/>
      <c r="I3" s="41"/>
      <c r="J3" s="43">
        <f t="shared" si="0"/>
        <v>0</v>
      </c>
      <c r="K3" s="10" t="s">
        <v>92</v>
      </c>
      <c r="L3" s="10"/>
      <c r="M3" s="10"/>
      <c r="N3" s="10"/>
      <c r="O3" s="10" t="s">
        <v>121</v>
      </c>
      <c r="P3" s="29" t="s">
        <v>95</v>
      </c>
      <c r="Q3" s="29" t="s">
        <v>95</v>
      </c>
      <c r="R3" s="24"/>
      <c r="S3" s="7" t="s">
        <v>39</v>
      </c>
      <c r="T3" s="9">
        <f>SUMIFS(TableDay1[TotalHour],TableDay1[settlement_method],"E02",TableDay1[resolution],"PT15M")</f>
        <v>5</v>
      </c>
      <c r="U3" s="42">
        <f>SUMIFS(TableDay1[Quarter1],TableDay1[settlement_method],"E02",TableDay1[resolution],"PT15M")</f>
        <v>5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802</v>
      </c>
      <c r="AE3" s="24" t="str">
        <v>2000000000000</v>
      </c>
      <c r="AF3" s="24" t="str">
        <v>2200000000000</v>
      </c>
      <c r="AG3" s="24"/>
      <c r="AH3" s="24" t="str">
        <v>804</v>
      </c>
      <c r="AI3" s="24"/>
      <c r="AJ3" s="24"/>
    </row>
    <row r="4" spans="1:92" x14ac:dyDescent="0.35">
      <c r="C4" s="10"/>
      <c r="D4" s="10"/>
      <c r="E4" s="11"/>
      <c r="F4" s="12"/>
      <c r="G4" s="12"/>
      <c r="H4" s="41"/>
      <c r="I4" s="41"/>
      <c r="J4" s="43" t="str">
        <f t="shared" si="0"/>
        <v/>
      </c>
      <c r="K4" s="10"/>
      <c r="L4" s="10"/>
      <c r="M4" s="10"/>
      <c r="N4" s="10"/>
      <c r="O4" s="10"/>
      <c r="P4" s="29"/>
      <c r="Q4" s="29"/>
      <c r="R4" s="24"/>
      <c r="S4" s="7" t="s">
        <v>28</v>
      </c>
      <c r="T4" s="9">
        <f>SUMIFS(TableDay1[TotalHour],TableDay1[type],"E18",TableDay1[resolution],"PT15M")</f>
        <v>6</v>
      </c>
      <c r="U4" s="42">
        <f>SUMIFS(TableDay1[Quarter1],TableDay1[type],"E18",TableDay1[resolution],"PT15M")</f>
        <v>6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/>
      <c r="AE4" s="24" t="str">
        <v>3000000000000</v>
      </c>
      <c r="AF4" s="24"/>
      <c r="AG4" s="24"/>
      <c r="AH4" s="24"/>
      <c r="AI4" s="24"/>
      <c r="AJ4" s="24"/>
    </row>
    <row r="5" spans="1:92" x14ac:dyDescent="0.35">
      <c r="C5" s="10" t="s">
        <v>114</v>
      </c>
      <c r="D5" s="10" t="s">
        <v>99</v>
      </c>
      <c r="E5" s="11"/>
      <c r="F5" s="12">
        <v>2.1589999999999998</v>
      </c>
      <c r="G5" s="12"/>
      <c r="H5" s="41"/>
      <c r="I5" s="41"/>
      <c r="J5" s="43">
        <f t="shared" si="0"/>
        <v>2.1589999999999998</v>
      </c>
      <c r="K5" s="10" t="s">
        <v>92</v>
      </c>
      <c r="L5" s="10"/>
      <c r="M5" s="10"/>
      <c r="N5" s="10"/>
      <c r="O5" s="10" t="s">
        <v>95</v>
      </c>
      <c r="P5" s="29" t="s">
        <v>95</v>
      </c>
      <c r="Q5" s="29" t="s">
        <v>122</v>
      </c>
      <c r="R5" s="24"/>
      <c r="S5" s="7" t="s">
        <v>26</v>
      </c>
      <c r="T5" s="9">
        <f>SUMIFS(TableDay1[TotalHour],TableDay1[type],"E17",TableDay1[resolution],"PT15M")</f>
        <v>15</v>
      </c>
      <c r="U5" s="42">
        <f>SUMIFS(TableDay1[Quarter1],TableDay1[type],"E17",TableDay1[resolution],"PT15M")</f>
        <v>15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35">
      <c r="C6" s="10" t="s">
        <v>109</v>
      </c>
      <c r="D6" s="10" t="s">
        <v>90</v>
      </c>
      <c r="E6" s="11" t="s">
        <v>104</v>
      </c>
      <c r="F6" s="12">
        <v>5</v>
      </c>
      <c r="G6" s="12"/>
      <c r="H6" s="12"/>
      <c r="I6" s="12"/>
      <c r="J6" s="43">
        <f t="shared" si="0"/>
        <v>5</v>
      </c>
      <c r="K6" s="10" t="s">
        <v>102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0</v>
      </c>
      <c r="U6" s="42">
        <f>SUMIFS(TableDay1[Quarter1],TableDay1[type],"E20",TableDay1[resolution],"PT15M",TableDay1[to_ga],"800")</f>
        <v>0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35">
      <c r="C7" s="10" t="s">
        <v>115</v>
      </c>
      <c r="D7" s="10" t="s">
        <v>90</v>
      </c>
      <c r="E7" s="11" t="s">
        <v>104</v>
      </c>
      <c r="F7" s="12">
        <v>8</v>
      </c>
      <c r="G7" s="12"/>
      <c r="H7" s="41"/>
      <c r="I7" s="41"/>
      <c r="J7" s="43">
        <f t="shared" si="0"/>
        <v>8</v>
      </c>
      <c r="K7" s="10" t="s">
        <v>92</v>
      </c>
      <c r="L7" s="10" t="s">
        <v>123</v>
      </c>
      <c r="M7" s="10" t="s">
        <v>94</v>
      </c>
      <c r="N7" s="10"/>
      <c r="O7" s="10" t="s">
        <v>95</v>
      </c>
      <c r="P7" s="29"/>
      <c r="Q7" s="29"/>
      <c r="R7" s="24"/>
      <c r="S7" s="6" t="s">
        <v>42</v>
      </c>
      <c r="T7" s="9">
        <f>SUMIFS(TableDay1[TotalHour],TableDay1[type],"E20",TableDay1[resolution],"PT15M",TableDay1[from_ga],"800")</f>
        <v>0</v>
      </c>
      <c r="U7" s="42">
        <f>SUMIFS(TableDay1[Quarter1],TableDay1[type],"E20",TableDay1[resolution],"PT15M",TableDay1[from_ga],"800")</f>
        <v>0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 t="s">
        <v>116</v>
      </c>
      <c r="D8" s="10" t="s">
        <v>90</v>
      </c>
      <c r="E8" s="11" t="s">
        <v>104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92</v>
      </c>
      <c r="L8" s="10" t="s">
        <v>100</v>
      </c>
      <c r="M8" s="10" t="s">
        <v>103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 t="s">
        <v>110</v>
      </c>
      <c r="D9" s="10" t="s">
        <v>90</v>
      </c>
      <c r="E9" s="11" t="s">
        <v>91</v>
      </c>
      <c r="F9" s="12">
        <v>10</v>
      </c>
      <c r="G9" s="12"/>
      <c r="H9" s="41"/>
      <c r="I9" s="41"/>
      <c r="J9" s="43">
        <f t="shared" si="0"/>
        <v>10</v>
      </c>
      <c r="K9" s="10" t="s">
        <v>102</v>
      </c>
      <c r="L9" s="10" t="s">
        <v>93</v>
      </c>
      <c r="M9" s="10" t="s">
        <v>94</v>
      </c>
      <c r="N9" s="10"/>
      <c r="O9" s="10" t="s">
        <v>95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 t="s">
        <v>117</v>
      </c>
      <c r="D10" s="10" t="s">
        <v>90</v>
      </c>
      <c r="E10" s="11" t="s">
        <v>91</v>
      </c>
      <c r="F10" s="12">
        <v>10</v>
      </c>
      <c r="G10" s="12"/>
      <c r="H10" s="41"/>
      <c r="I10" s="41"/>
      <c r="J10" s="43">
        <f t="shared" si="0"/>
        <v>10</v>
      </c>
      <c r="K10" s="10" t="s">
        <v>92</v>
      </c>
      <c r="L10" s="10" t="s">
        <v>123</v>
      </c>
      <c r="M10" s="10" t="s">
        <v>94</v>
      </c>
      <c r="N10" s="10"/>
      <c r="O10" s="10" t="s">
        <v>95</v>
      </c>
      <c r="P10" s="29"/>
      <c r="Q10" s="29"/>
      <c r="R10" s="15" t="s">
        <v>74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 t="s">
        <v>118</v>
      </c>
      <c r="D11" s="10" t="s">
        <v>90</v>
      </c>
      <c r="E11" s="11" t="s">
        <v>91</v>
      </c>
      <c r="F11" s="12">
        <v>0.25</v>
      </c>
      <c r="G11" s="12"/>
      <c r="H11" s="41"/>
      <c r="I11" s="41"/>
      <c r="J11" s="43">
        <f t="shared" si="0"/>
        <v>0.25</v>
      </c>
      <c r="K11" s="10" t="s">
        <v>92</v>
      </c>
      <c r="L11" s="10" t="s">
        <v>100</v>
      </c>
      <c r="M11" s="10" t="s">
        <v>103</v>
      </c>
      <c r="N11" s="10"/>
      <c r="O11" s="10" t="s">
        <v>95</v>
      </c>
      <c r="P11" s="29"/>
      <c r="Q11" s="29"/>
      <c r="R11" s="15" t="s">
        <v>75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 t="s">
        <v>111</v>
      </c>
      <c r="D12" s="10" t="s">
        <v>98</v>
      </c>
      <c r="E12" s="11"/>
      <c r="F12" s="12">
        <v>6</v>
      </c>
      <c r="G12" s="12"/>
      <c r="H12" s="41"/>
      <c r="I12" s="41"/>
      <c r="J12" s="43">
        <f t="shared" si="0"/>
        <v>6</v>
      </c>
      <c r="K12" s="10" t="s">
        <v>102</v>
      </c>
      <c r="L12" s="10" t="s">
        <v>93</v>
      </c>
      <c r="M12" s="10" t="s">
        <v>94</v>
      </c>
      <c r="N12" s="10"/>
      <c r="O12" s="10" t="s">
        <v>95</v>
      </c>
      <c r="P12" s="29"/>
      <c r="Q12" s="29"/>
      <c r="R12" s="15" t="s">
        <v>76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105</v>
      </c>
      <c r="AF12" s="36" t="s">
        <v>106</v>
      </c>
      <c r="AG12" s="36"/>
      <c r="AH12" s="35"/>
      <c r="AI12" s="24"/>
      <c r="AJ12" s="24"/>
    </row>
    <row r="13" spans="1:92" x14ac:dyDescent="0.35">
      <c r="C13" s="10" t="s">
        <v>119</v>
      </c>
      <c r="D13" s="10" t="s">
        <v>98</v>
      </c>
      <c r="E13" s="11"/>
      <c r="F13" s="12">
        <v>4</v>
      </c>
      <c r="G13" s="12"/>
      <c r="H13" s="41"/>
      <c r="I13" s="41"/>
      <c r="J13" s="43">
        <f t="shared" si="0"/>
        <v>4</v>
      </c>
      <c r="K13" s="10" t="s">
        <v>92</v>
      </c>
      <c r="L13" s="10" t="s">
        <v>123</v>
      </c>
      <c r="M13" s="10" t="s">
        <v>94</v>
      </c>
      <c r="N13" s="10"/>
      <c r="O13" s="10" t="s">
        <v>95</v>
      </c>
      <c r="P13" s="29"/>
      <c r="Q13" s="29"/>
      <c r="R13" s="15" t="s">
        <v>77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35">
      <c r="C14" s="10" t="s">
        <v>120</v>
      </c>
      <c r="D14" s="10" t="s">
        <v>98</v>
      </c>
      <c r="E14" s="11"/>
      <c r="F14" s="12">
        <v>2.0030000000000001</v>
      </c>
      <c r="G14" s="12"/>
      <c r="H14" s="41"/>
      <c r="I14" s="41"/>
      <c r="J14" s="43">
        <f t="shared" si="0"/>
        <v>2.0030000000000001</v>
      </c>
      <c r="K14" s="10" t="s">
        <v>92</v>
      </c>
      <c r="L14" s="10" t="s">
        <v>100</v>
      </c>
      <c r="M14" s="10" t="s">
        <v>103</v>
      </c>
      <c r="N14" s="10"/>
      <c r="O14" s="10" t="s">
        <v>95</v>
      </c>
      <c r="P14" s="29"/>
      <c r="Q14" s="29"/>
      <c r="R14" s="15" t="s">
        <v>74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1100000000000</v>
      </c>
      <c r="U14" s="26" t="str">
        <f>IF(AE$3=0,"",AE$3)</f>
        <v>2000000000000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0"/>
        <v>0</v>
      </c>
      <c r="K15" s="10" t="s">
        <v>102</v>
      </c>
      <c r="L15" s="10" t="s">
        <v>93</v>
      </c>
      <c r="M15" s="10" t="s">
        <v>94</v>
      </c>
      <c r="N15" s="10" t="s">
        <v>96</v>
      </c>
      <c r="O15" s="10" t="s">
        <v>95</v>
      </c>
      <c r="P15" s="29"/>
      <c r="Q15" s="29"/>
      <c r="R15" s="15" t="s">
        <v>75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1100000000000</v>
      </c>
      <c r="U15" s="26" t="str">
        <f t="shared" ref="U15:V17" si="3">U$14</f>
        <v>2000000000000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97</v>
      </c>
      <c r="D16" s="10" t="s">
        <v>98</v>
      </c>
      <c r="E16" s="11" t="s">
        <v>91</v>
      </c>
      <c r="F16" s="12"/>
      <c r="G16" s="12"/>
      <c r="H16" s="41"/>
      <c r="I16" s="41"/>
      <c r="J16" s="43">
        <f t="shared" si="0"/>
        <v>0</v>
      </c>
      <c r="K16" s="10" t="s">
        <v>102</v>
      </c>
      <c r="L16" s="10" t="s">
        <v>100</v>
      </c>
      <c r="M16" s="10" t="s">
        <v>103</v>
      </c>
      <c r="N16" s="10" t="s">
        <v>101</v>
      </c>
      <c r="O16" s="10" t="s">
        <v>95</v>
      </c>
      <c r="P16" s="29"/>
      <c r="Q16" s="29"/>
      <c r="R16" s="15" t="s">
        <v>76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1100000000000</v>
      </c>
      <c r="U16" s="26" t="str">
        <f t="shared" si="3"/>
        <v>2000000000000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1100000000000</v>
      </c>
      <c r="U17" s="26" t="str">
        <f t="shared" si="3"/>
        <v>2000000000000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_xlfn.IFNA(INDEX(TableDay1[ga_id],MATCH(U18,TableDay1[es_id],0)),"")</f>
        <v>800</v>
      </c>
      <c r="T18" s="26" t="str">
        <f>_xlfn.IFNA(INDEX(TableDay1[brp_id],MATCH(U18,TableDay1[es_id],0)),"")</f>
        <v>2200000000000</v>
      </c>
      <c r="U18" s="26" t="str">
        <f>IF(AE$4=0,"",AE$4)</f>
        <v>3000000000000</v>
      </c>
      <c r="V18" s="20">
        <f>SUMIFS(TableDay1[TotalHour],TableDay1[es_id],U18,IF(B$2="production",TableDay1[type],TableDay1[settlement_method]),AG$2,TableDay1[resolution],"PT1H")/4</f>
        <v>6.25E-2</v>
      </c>
      <c r="W18" s="19">
        <f>V18</f>
        <v>6.25E-2</v>
      </c>
      <c r="X18" s="19"/>
      <c r="Y18" s="23">
        <f t="shared" si="1"/>
        <v>6.3E-2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_xlfn.IFNA(INDEX(TableDay1[ga_id],MATCH(U19,TableDay1[es_id],0)),"")</f>
        <v>800</v>
      </c>
      <c r="T19" s="26" t="str">
        <f>_xlfn.IFNA(INDEX(TableDay1[brp_id],MATCH(U19,TableDay1[es_id],0)),"")</f>
        <v>2200000000000</v>
      </c>
      <c r="U19" s="26" t="str">
        <f t="shared" ref="U19:V21" si="4">U$18</f>
        <v>3000000000000</v>
      </c>
      <c r="V19" s="19">
        <f t="shared" si="4"/>
        <v>6.25E-2</v>
      </c>
      <c r="W19" s="19">
        <f>X19+W18</f>
        <v>6.2E-2</v>
      </c>
      <c r="X19" s="19">
        <f>V19-Y18</f>
        <v>-5.0000000000000044E-4</v>
      </c>
      <c r="Y19" s="23">
        <f t="shared" si="1"/>
        <v>6.2E-2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7" t="str">
        <f>CONCATENATE(B2,"_per_",B1)</f>
        <v>flex_consumption_per_ga_brp_es</v>
      </c>
      <c r="F20" s="47"/>
      <c r="G20" s="47"/>
      <c r="H20" s="47"/>
      <c r="I20" s="48" t="s">
        <v>21</v>
      </c>
      <c r="J20" s="49"/>
      <c r="K20" s="50"/>
      <c r="R20" s="15" t="s">
        <v>76</v>
      </c>
      <c r="S20" s="26" t="str">
        <f>_xlfn.IFNA(INDEX(TableDay1[ga_id],MATCH(U20,TableDay1[es_id],0)),"")</f>
        <v>800</v>
      </c>
      <c r="T20" s="26" t="str">
        <f>_xlfn.IFNA(INDEX(TableDay1[brp_id],MATCH(U20,TableDay1[es_id],0)),"")</f>
        <v>2200000000000</v>
      </c>
      <c r="U20" s="26" t="str">
        <f t="shared" si="4"/>
        <v>3000000000000</v>
      </c>
      <c r="V20" s="19">
        <f t="shared" si="4"/>
        <v>6.25E-2</v>
      </c>
      <c r="W20" s="19">
        <f>X20+W19</f>
        <v>6.25E-2</v>
      </c>
      <c r="X20" s="19">
        <f>V20-Y19</f>
        <v>5.0000000000000044E-4</v>
      </c>
      <c r="Y20" s="23">
        <f t="shared" si="1"/>
        <v>6.3E-2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_xlfn.IFNA(INDEX(TableDay1[ga_id],MATCH(U21,TableDay1[es_id],0)),"")</f>
        <v>800</v>
      </c>
      <c r="T21" s="26" t="str">
        <f>_xlfn.IFNA(INDEX(TableDay1[brp_id],MATCH(U21,TableDay1[es_id],0)),"")</f>
        <v>2200000000000</v>
      </c>
      <c r="U21" s="26" t="str">
        <f t="shared" si="4"/>
        <v>3000000000000</v>
      </c>
      <c r="V21" s="19">
        <f t="shared" si="4"/>
        <v>6.25E-2</v>
      </c>
      <c r="W21" s="19">
        <f>X21+W20</f>
        <v>6.2E-2</v>
      </c>
      <c r="X21" s="19">
        <f>V21-Y20</f>
        <v>-5.0000000000000044E-4</v>
      </c>
      <c r="Y21" s="23">
        <f t="shared" si="1"/>
        <v>6.2E-2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t="shared" ref="H22:H45" ca="1" si="5">SUBSTITUTE(IF(E22="","",I22+J22+K22),",",".")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ca="1" si="5"/>
        <v>0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si="6"/>
        <v>0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5"/>
        <v>0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si="6"/>
        <v>0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5"/>
        <v>0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si="6"/>
        <v>0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74</v>
      </c>
      <c r="E26" s="31" t="str">
        <f t="shared" si="7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IF(B$1="ga",IF(E26="","","null"),IF(B$1="ga_es",IF(F26="","","null"),IF(B$1="ga_brp",IF(AF$3=0,"",AF$3),IF(F26="","",INDEX(TableDay1[brp_id],MATCH(F26,TableDay1[es_id],0),1)))))</f>
        <v>1100000000000</v>
      </c>
      <c r="H26" s="33" t="str">
        <f t="shared" ca="1" si="5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75</v>
      </c>
      <c r="E27" s="31" t="str">
        <f t="shared" si="7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IF(B$1="ga",IF(E27="","","null"),IF(B$1="ga_es",IF(F27="","","null"),IF(B$1="ga_brp",IF(AF$3=0,"",AF$3),IF(F27="","",INDEX(TableDay1[brp_id],MATCH(F27,TableDay1[es_id],0),1)))))</f>
        <v>1100000000000</v>
      </c>
      <c r="H27" s="33" t="str">
        <f t="shared" ca="1" si="5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76</v>
      </c>
      <c r="E28" s="31" t="str">
        <f t="shared" si="7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IF(B$1="ga",IF(E28="","","null"),IF(B$1="ga_es",IF(F28="","","null"),IF(B$1="ga_brp",IF(AF$3=0,"",AF$3),IF(F28="","",INDEX(TableDay1[brp_id],MATCH(F28,TableDay1[es_id],0),1)))))</f>
        <v>1100000000000</v>
      </c>
      <c r="H28" s="33" t="str">
        <f t="shared" ca="1" si="5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77</v>
      </c>
      <c r="E29" s="31" t="str">
        <f t="shared" si="7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IF(B$1="ga",IF(E29="","","null"),IF(B$1="ga_es",IF(F29="","","null"),IF(B$1="ga_brp",IF(AF$3=0,"",AF$3),IF(F29="","",INDEX(TableDay1[brp_id],MATCH(F29,TableDay1[es_id],0),1)))))</f>
        <v>1100000000000</v>
      </c>
      <c r="H29" s="33" t="str">
        <f t="shared" ca="1" si="5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skmp</v>
      </c>
      <c r="D30" s="15" t="s">
        <v>74</v>
      </c>
      <c r="E30" s="31" t="str">
        <f t="shared" si="7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IF(B$1="ga",IF(E30="","","null"),IF(B$1="ga_es",IF(F30="","","null"),IF(B$1="ga_brp",IF(AF$4=0,"",AF$4),IF(F30="","",INDEX(TableDay1[brp_id],MATCH(F30,TableDay1[es_id],0),1)))))</f>
        <v>2200000000000</v>
      </c>
      <c r="H30" s="33" t="str">
        <f t="shared" ca="1" si="5"/>
        <v>0.063</v>
      </c>
      <c r="I30" s="9">
        <f t="shared" si="8"/>
        <v>6.3E-2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skmp</v>
      </c>
      <c r="D31" s="15" t="s">
        <v>75</v>
      </c>
      <c r="E31" s="31" t="str">
        <f t="shared" si="7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IF(B$1="ga",IF(E31="","","null"),IF(B$1="ga_es",IF(F31="","","null"),IF(B$1="ga_brp",IF(AF$4=0,"",AF$4),IF(F31="","",INDEX(TableDay1[brp_id],MATCH(F31,TableDay1[es_id],0),1)))))</f>
        <v>2200000000000</v>
      </c>
      <c r="H31" s="33" t="str">
        <f t="shared" ca="1" si="5"/>
        <v>0.062</v>
      </c>
      <c r="I31" s="9">
        <f t="shared" si="8"/>
        <v>6.2E-2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skmp</v>
      </c>
      <c r="D32" s="15" t="s">
        <v>76</v>
      </c>
      <c r="E32" s="31" t="str">
        <f t="shared" si="7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IF(B$1="ga",IF(E32="","","null"),IF(B$1="ga_es",IF(F32="","","null"),IF(B$1="ga_brp",IF(AF$4=0,"",AF$4),IF(F32="","",INDEX(TableDay1[brp_id],MATCH(F32,TableDay1[es_id],0),1)))))</f>
        <v>2200000000000</v>
      </c>
      <c r="H32" s="33" t="str">
        <f t="shared" ca="1" si="5"/>
        <v>0.063</v>
      </c>
      <c r="I32" s="9">
        <f t="shared" si="8"/>
        <v>6.3E-2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skmp</v>
      </c>
      <c r="D33" s="15" t="s">
        <v>77</v>
      </c>
      <c r="E33" s="31" t="str">
        <f t="shared" si="7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IF(B$1="ga",IF(E33="","","null"),IF(B$1="ga_es",IF(F33="","","null"),IF(B$1="ga_brp",IF(AF$4=0,"",AF$4),IF(F33="","",INDEX(TableDay1[brp_id],MATCH(F33,TableDay1[es_id],0),1)))))</f>
        <v>2200000000000</v>
      </c>
      <c r="H33" s="33" t="str">
        <f t="shared" ca="1" si="5"/>
        <v>0.062</v>
      </c>
      <c r="I33" s="9">
        <f t="shared" si="8"/>
        <v>6.2E-2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10.25</v>
      </c>
      <c r="W35" s="16" t="s">
        <v>49</v>
      </c>
      <c r="X35" s="16"/>
      <c r="Y35" s="28">
        <f>SUM(Y37:Y40)</f>
        <v>10.25</v>
      </c>
      <c r="Z35" s="21">
        <f>SUM(Z37:Z40)</f>
        <v>10.252000000000001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SUMIFS(TableDay1[TotalHour],TableDay1[settlement_method],"D01",TableDay1[resolution],"PT1H")/4</f>
        <v>2.5625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2.5625</v>
      </c>
      <c r="W37" s="19">
        <f>V37</f>
        <v>2.5625</v>
      </c>
      <c r="X37" s="19"/>
      <c r="Y37" s="23">
        <f>ROUND(W37, 3)</f>
        <v>2.5630000000000002</v>
      </c>
      <c r="Z37" s="23">
        <f>ROUND(V37,3)</f>
        <v>2.5630000000000002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2.5625</v>
      </c>
      <c r="W38" s="19">
        <f>X38+W37</f>
        <v>2.5619999999999998</v>
      </c>
      <c r="X38" s="19">
        <f>V38-Y37</f>
        <v>-5.0000000000016698E-4</v>
      </c>
      <c r="Y38" s="23">
        <f>ROUND(W38, 3)</f>
        <v>2.5619999999999998</v>
      </c>
      <c r="Z38" s="23">
        <f>ROUND(V38,3)</f>
        <v>2.5630000000000002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2.5625</v>
      </c>
      <c r="W39" s="19">
        <f>X39+W38</f>
        <v>2.5625</v>
      </c>
      <c r="X39" s="19">
        <f>V39-Y38</f>
        <v>5.0000000000016698E-4</v>
      </c>
      <c r="Y39" s="23">
        <f>ROUND(W39, 3)</f>
        <v>2.5630000000000002</v>
      </c>
      <c r="Z39" s="23">
        <f>ROUND(V39,3)</f>
        <v>2.5630000000000002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2.5625</v>
      </c>
      <c r="W40" s="19">
        <f>X40+W39</f>
        <v>2.5619999999999998</v>
      </c>
      <c r="X40" s="19">
        <f>V40-Y39</f>
        <v>-5.0000000000016698E-4</v>
      </c>
      <c r="Y40" s="23">
        <f>ROUND(W40, 3)</f>
        <v>2.5619999999999998</v>
      </c>
      <c r="Z40" s="23">
        <f>ROUND(V40,3)</f>
        <v>2.5630000000000002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6.0030000000000001</v>
      </c>
      <c r="W41" s="39" t="s">
        <v>49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1.50075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7" t="s">
        <v>34</v>
      </c>
      <c r="F46" s="47"/>
      <c r="G46" s="47"/>
      <c r="H46" s="47"/>
      <c r="R46" s="24"/>
      <c r="S46" s="24"/>
      <c r="T46" s="24"/>
      <c r="U46" s="15" t="s">
        <v>53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8.8070000000000004</v>
      </c>
      <c r="W47" s="39" t="s">
        <v>49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-0.54</v>
      </c>
      <c r="I48" s="27" t="str">
        <f>SUBSTITUTE(ROUND(H48,3),",",".")</f>
        <v>-0.54</v>
      </c>
      <c r="R48" s="24"/>
      <c r="S48" s="24"/>
      <c r="T48" s="24"/>
      <c r="U48" s="7" t="s">
        <v>44</v>
      </c>
      <c r="V48" s="9">
        <f>SUMIFS(TableDay1[TotalHour],TableDay1[settlement_method],"E02",TableDay1[resolution],"PT1H")/4</f>
        <v>2.2017500000000001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-0.54</v>
      </c>
      <c r="I49" s="27" t="str">
        <f t="shared" ref="I49:I51" si="13">SUBSTITUTE(ROUND(H49,3),",",".")</f>
        <v>-0.54</v>
      </c>
      <c r="R49" s="24"/>
      <c r="S49" s="24"/>
      <c r="T49" s="24"/>
      <c r="U49" s="15" t="s">
        <v>58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-0.53900000000000003</v>
      </c>
      <c r="I50" s="27" t="str">
        <f t="shared" si="13"/>
        <v>-0.539</v>
      </c>
      <c r="R50" s="24"/>
      <c r="S50" s="24"/>
      <c r="T50" s="24"/>
      <c r="U50" s="15" t="s">
        <v>59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-0.54</v>
      </c>
      <c r="I51" s="27" t="str">
        <f t="shared" si="13"/>
        <v>-0.54</v>
      </c>
      <c r="R51" s="24"/>
      <c r="S51" s="24"/>
      <c r="T51" s="24"/>
      <c r="U51" s="15" t="s">
        <v>60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1" t="s">
        <v>36</v>
      </c>
      <c r="F52" s="52"/>
      <c r="G52" s="52"/>
      <c r="H52" s="53"/>
      <c r="R52" s="24"/>
      <c r="S52" s="24"/>
      <c r="T52" s="24"/>
      <c r="U52" s="15" t="s">
        <v>61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0</v>
      </c>
      <c r="W53" s="39" t="s">
        <v>49</v>
      </c>
      <c r="X53" s="40"/>
      <c r="Y53" s="28">
        <f>ROUND(SUM(Y55:Y58),3)</f>
        <v>0</v>
      </c>
      <c r="Z53" s="21">
        <f>SUM(Z55:Z58)</f>
        <v>0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12.563000000000001</v>
      </c>
      <c r="I54" s="27" t="str">
        <f>SUBSTITUTE(ROUND(H54,3),",",".")</f>
        <v>12.563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0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4">$AD$2</f>
        <v>800</v>
      </c>
      <c r="F55" s="31" t="s">
        <v>33</v>
      </c>
      <c r="G55" s="31" t="s">
        <v>33</v>
      </c>
      <c r="H55" s="32">
        <f>totalFlex1H_quarter2+totalFlex15M_quarter2</f>
        <v>2.5619999999999998</v>
      </c>
      <c r="I55" s="27" t="str">
        <f t="shared" ref="I55:I57" si="15">SUBSTITUTE(ROUND(H55,3),",",".")</f>
        <v>2.562</v>
      </c>
      <c r="R55" s="44"/>
      <c r="S55" s="24"/>
      <c r="T55" s="24"/>
      <c r="U55" s="15" t="s">
        <v>62</v>
      </c>
      <c r="V55" s="19">
        <f>V$54</f>
        <v>0</v>
      </c>
      <c r="W55" s="19">
        <f>V55</f>
        <v>0</v>
      </c>
      <c r="X55" s="19"/>
      <c r="Y55" s="23">
        <f>ROUND(W55,3)</f>
        <v>0</v>
      </c>
      <c r="Z55" s="23">
        <f>ROUND(V55,3)</f>
        <v>0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4"/>
        <v>800</v>
      </c>
      <c r="F56" s="31" t="s">
        <v>33</v>
      </c>
      <c r="G56" s="31" t="s">
        <v>33</v>
      </c>
      <c r="H56" s="32">
        <f>totalFlex1H_quarter3+totalFlex15M_quarter3</f>
        <v>2.5630000000000002</v>
      </c>
      <c r="I56" s="27" t="str">
        <f t="shared" si="15"/>
        <v>2.563</v>
      </c>
      <c r="R56" s="24"/>
      <c r="S56" s="24"/>
      <c r="T56" s="24"/>
      <c r="U56" s="15" t="s">
        <v>63</v>
      </c>
      <c r="V56" s="19">
        <f>V$54</f>
        <v>0</v>
      </c>
      <c r="W56" s="19">
        <f>X56+W55</f>
        <v>0</v>
      </c>
      <c r="X56" s="19">
        <f>V56-Y55</f>
        <v>0</v>
      </c>
      <c r="Y56" s="23">
        <f t="shared" ref="Y56:Y58" si="16">ROUND(W56,3)</f>
        <v>0</v>
      </c>
      <c r="Z56" s="23">
        <f>ROUND(V56,3)</f>
        <v>0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4"/>
        <v>800</v>
      </c>
      <c r="F57" s="31" t="s">
        <v>33</v>
      </c>
      <c r="G57" s="31" t="s">
        <v>33</v>
      </c>
      <c r="H57" s="32">
        <f>totalFlex1H_quarter4+totalFlex15M_quarter4</f>
        <v>2.5619999999999998</v>
      </c>
      <c r="I57" s="27" t="str">
        <f t="shared" si="15"/>
        <v>2.562</v>
      </c>
      <c r="R57" s="24"/>
      <c r="S57" s="24"/>
      <c r="T57" s="24"/>
      <c r="U57" s="15" t="s">
        <v>64</v>
      </c>
      <c r="V57" s="19">
        <f>V$54</f>
        <v>0</v>
      </c>
      <c r="W57" s="19">
        <f>X57+W56</f>
        <v>0</v>
      </c>
      <c r="X57" s="19">
        <f>V57-Y56</f>
        <v>0</v>
      </c>
      <c r="Y57" s="23">
        <f t="shared" si="16"/>
        <v>0</v>
      </c>
      <c r="Z57" s="23">
        <f>ROUND(V57,3)</f>
        <v>0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1" t="s">
        <v>37</v>
      </c>
      <c r="F58" s="52"/>
      <c r="G58" s="52"/>
      <c r="H58" s="53"/>
      <c r="R58" s="24"/>
      <c r="S58" s="24"/>
      <c r="T58" s="24"/>
      <c r="U58" s="15" t="s">
        <v>65</v>
      </c>
      <c r="V58" s="19">
        <f>V$54</f>
        <v>0</v>
      </c>
      <c r="W58" s="19">
        <f>X58+W57</f>
        <v>0</v>
      </c>
      <c r="X58" s="19">
        <f>V58-Y57</f>
        <v>0</v>
      </c>
      <c r="Y58" s="23">
        <f t="shared" si="16"/>
        <v>0</v>
      </c>
      <c r="Z58" s="23">
        <f>ROUND(V58,3)</f>
        <v>0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2.1589999999999998</v>
      </c>
      <c r="W59" s="39" t="s">
        <v>49</v>
      </c>
      <c r="X59" s="40"/>
      <c r="Y59" s="28">
        <f>ROUND(SUM(Y61:Y64),3)</f>
        <v>2.1589999999999998</v>
      </c>
      <c r="Z59" s="21">
        <f>SUM(Z61:Z64)</f>
        <v>2.16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7.5009999999999994</v>
      </c>
      <c r="I60" s="27" t="str">
        <f>SUBSTITUTE(ROUND(H60,3),",",".")</f>
        <v>7.501</v>
      </c>
      <c r="R60" s="44"/>
      <c r="S60" s="24"/>
      <c r="T60" s="24"/>
      <c r="U60" s="6" t="s">
        <v>32</v>
      </c>
      <c r="V60" s="9">
        <f>SUMIFS(TableDay1[TotalHour],TableDay1[type],"E20",TableDay1[resolution],"PT1H",TableDay1[from_ga],"800")/4</f>
        <v>0.53974999999999995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7">$AD$2</f>
        <v>800</v>
      </c>
      <c r="F61" s="31" t="s">
        <v>33</v>
      </c>
      <c r="G61" s="31" t="s">
        <v>33</v>
      </c>
      <c r="H61" s="32">
        <f>totalProduction1H_quarter2+totalProduction15M_quarter2</f>
        <v>1.5009999999999999</v>
      </c>
      <c r="I61" s="27" t="str">
        <f t="shared" ref="I61:I63" si="18">SUBSTITUTE(ROUND(H61,3),",",".")</f>
        <v>1.501</v>
      </c>
      <c r="R61" s="24"/>
      <c r="S61" s="24"/>
      <c r="T61" s="24"/>
      <c r="U61" s="15" t="s">
        <v>66</v>
      </c>
      <c r="V61" s="19">
        <f>V$60</f>
        <v>0.53974999999999995</v>
      </c>
      <c r="W61" s="19">
        <f>V61</f>
        <v>0.53974999999999995</v>
      </c>
      <c r="X61" s="19"/>
      <c r="Y61" s="23">
        <f>ROUND(W61,3)</f>
        <v>0.54</v>
      </c>
      <c r="Z61" s="23">
        <f>ROUND(V61,3)</f>
        <v>0.54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7"/>
        <v>800</v>
      </c>
      <c r="F62" s="31" t="s">
        <v>33</v>
      </c>
      <c r="G62" s="31" t="s">
        <v>33</v>
      </c>
      <c r="H62" s="32">
        <f>totalProduction1H_quarter3+totalProduction15M_quarter3</f>
        <v>1.5</v>
      </c>
      <c r="I62" s="27" t="str">
        <f t="shared" si="18"/>
        <v>1.5</v>
      </c>
      <c r="R62" s="24"/>
      <c r="S62" s="24"/>
      <c r="T62" s="24"/>
      <c r="U62" s="15" t="s">
        <v>67</v>
      </c>
      <c r="V62" s="19">
        <f>V$60</f>
        <v>0.53974999999999995</v>
      </c>
      <c r="W62" s="19">
        <f>X62+W61</f>
        <v>0.53949999999999987</v>
      </c>
      <c r="X62" s="19">
        <f>V62-Y61</f>
        <v>-2.5000000000008349E-4</v>
      </c>
      <c r="Y62" s="23">
        <f t="shared" ref="Y62:Y64" si="19">ROUND(W62,3)</f>
        <v>0.54</v>
      </c>
      <c r="Z62" s="23">
        <f>ROUND(V62,3)</f>
        <v>0.54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7"/>
        <v>800</v>
      </c>
      <c r="F63" s="31" t="s">
        <v>33</v>
      </c>
      <c r="G63" s="31" t="s">
        <v>33</v>
      </c>
      <c r="H63" s="32">
        <f>totalProduction1H_quarter4+totalProduction15M_quarter4</f>
        <v>1.5009999999999999</v>
      </c>
      <c r="I63" s="27" t="str">
        <f t="shared" si="18"/>
        <v>1.501</v>
      </c>
      <c r="R63" s="24"/>
      <c r="S63" s="24"/>
      <c r="T63" s="24"/>
      <c r="U63" s="15" t="s">
        <v>68</v>
      </c>
      <c r="V63" s="19">
        <f>V$60</f>
        <v>0.53974999999999995</v>
      </c>
      <c r="W63" s="19">
        <f>X63+W62</f>
        <v>0.53924999999999979</v>
      </c>
      <c r="X63" s="19">
        <f>V63-Y62</f>
        <v>-2.5000000000008349E-4</v>
      </c>
      <c r="Y63" s="23">
        <f t="shared" si="19"/>
        <v>0.53900000000000003</v>
      </c>
      <c r="Z63" s="23">
        <f>ROUND(V63,3)</f>
        <v>0.54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1" t="s">
        <v>38</v>
      </c>
      <c r="F64" s="52"/>
      <c r="G64" s="52"/>
      <c r="H64" s="53"/>
      <c r="R64" s="24"/>
      <c r="S64" s="24"/>
      <c r="T64" s="24"/>
      <c r="U64" s="15" t="s">
        <v>69</v>
      </c>
      <c r="V64" s="19">
        <f>V$60</f>
        <v>0.53974999999999995</v>
      </c>
      <c r="W64" s="19">
        <f>X64+W63</f>
        <v>0.5399999999999997</v>
      </c>
      <c r="X64" s="19">
        <f>V64-Y63</f>
        <v>7.499999999999174E-4</v>
      </c>
      <c r="Y64" s="23">
        <f t="shared" si="19"/>
        <v>0.54</v>
      </c>
      <c r="Z64" s="23">
        <f>ROUND(V64,3)</f>
        <v>0.54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19.056999999999999</v>
      </c>
      <c r="W65" s="55" t="s">
        <v>49</v>
      </c>
      <c r="X65" s="56"/>
      <c r="Y65" s="28">
        <f>ROUND(SUM(Y67:Y70),3)</f>
        <v>19.056999999999999</v>
      </c>
      <c r="Z65" s="21">
        <f>SUM(Z67:Z70)</f>
        <v>19.056000000000001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-12.804</v>
      </c>
      <c r="I66" s="27" t="str">
        <f>SUBSTITUTE(ROUND(H66,3),",",".")</f>
        <v>-12.804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4.7642500000000005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0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-3.8029999999999999</v>
      </c>
      <c r="I67" s="27" t="str">
        <f t="shared" ref="I67:I69" si="21">SUBSTITUTE(ROUND(H67,3),",",".")</f>
        <v>-3.803</v>
      </c>
      <c r="R67" s="24"/>
      <c r="S67" s="24"/>
      <c r="T67" s="24"/>
      <c r="U67" s="15" t="s">
        <v>70</v>
      </c>
      <c r="V67" s="19">
        <f>V$66</f>
        <v>4.7642500000000005</v>
      </c>
      <c r="W67" s="19">
        <f>V67</f>
        <v>4.7642500000000005</v>
      </c>
      <c r="X67" s="19"/>
      <c r="Y67" s="23">
        <f>ROUND(W67, 3)</f>
        <v>4.7640000000000002</v>
      </c>
      <c r="Z67" s="23">
        <f>ROUND(V67,3)</f>
        <v>4.7640000000000002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0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-3.8030000000000004</v>
      </c>
      <c r="I68" s="27" t="str">
        <f t="shared" si="21"/>
        <v>-3.803</v>
      </c>
      <c r="R68" s="24"/>
      <c r="S68" s="24"/>
      <c r="T68" s="24"/>
      <c r="U68" s="15" t="s">
        <v>71</v>
      </c>
      <c r="V68" s="19">
        <f>V$66</f>
        <v>4.7642500000000005</v>
      </c>
      <c r="W68" s="19">
        <f>X68+W67</f>
        <v>4.7645000000000008</v>
      </c>
      <c r="X68" s="19">
        <f>V68-Y67</f>
        <v>2.5000000000030553E-4</v>
      </c>
      <c r="Y68" s="23">
        <f>ROUND(W68, 3)</f>
        <v>4.7649999999999997</v>
      </c>
      <c r="Z68" s="23">
        <f>ROUND(V68,3)</f>
        <v>4.7640000000000002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0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-3.8029999999999999</v>
      </c>
      <c r="I69" s="27" t="str">
        <f t="shared" si="21"/>
        <v>-3.803</v>
      </c>
      <c r="J69" s="2"/>
      <c r="R69" s="24"/>
      <c r="S69" s="24"/>
      <c r="T69" s="24"/>
      <c r="U69" s="15" t="s">
        <v>72</v>
      </c>
      <c r="V69" s="19">
        <f>V$66</f>
        <v>4.7642500000000005</v>
      </c>
      <c r="W69" s="19">
        <f>X69+W68</f>
        <v>4.7637500000000017</v>
      </c>
      <c r="X69" s="19">
        <f>V69-Y68</f>
        <v>-7.4999999999914024E-4</v>
      </c>
      <c r="Y69" s="23">
        <f>ROUND(W69, 3)</f>
        <v>4.7640000000000002</v>
      </c>
      <c r="Z69" s="23">
        <f>ROUND(V69,3)</f>
        <v>4.7640000000000002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1" t="s">
        <v>40</v>
      </c>
      <c r="F70" s="52"/>
      <c r="G70" s="52"/>
      <c r="H70" s="53"/>
      <c r="R70" s="24"/>
      <c r="S70" s="24"/>
      <c r="T70" s="27"/>
      <c r="U70" s="15" t="s">
        <v>73</v>
      </c>
      <c r="V70" s="19">
        <f>V$66</f>
        <v>4.7642500000000005</v>
      </c>
      <c r="W70" s="19">
        <f>X70+W69</f>
        <v>4.764000000000002</v>
      </c>
      <c r="X70" s="19">
        <f>V70-Y69</f>
        <v>2.5000000000030553E-4</v>
      </c>
      <c r="Y70" s="23">
        <f>ROUND(W70, 3)</f>
        <v>4.7640000000000002</v>
      </c>
      <c r="Z70" s="23">
        <f>ROUND(V70,3)</f>
        <v>4.7640000000000002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</v>
      </c>
      <c r="I72" s="27" t="str">
        <f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22">$AD$2</f>
        <v>800</v>
      </c>
      <c r="F73" s="31" t="s">
        <v>33</v>
      </c>
      <c r="G73" s="31" t="s">
        <v>33</v>
      </c>
      <c r="H73" s="32">
        <f>IF(gridLoss1H_quarter3&gt;0,gridLoss1H_quarter3,0)</f>
        <v>0</v>
      </c>
      <c r="I73" s="27" t="str">
        <f t="shared" ref="I73:I75" si="23">SUBSTITUTE(ROUND(H73,3),",",".")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22"/>
        <v>800</v>
      </c>
      <c r="F74" s="31" t="s">
        <v>33</v>
      </c>
      <c r="G74" s="31" t="s">
        <v>33</v>
      </c>
      <c r="H74" s="32">
        <f>IF(gridLoss1H_quarter2&gt;0,gridLoss1H_quarter2,0)</f>
        <v>0</v>
      </c>
      <c r="I74" s="27" t="str">
        <f t="shared" si="23"/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22"/>
        <v>800</v>
      </c>
      <c r="F75" s="31" t="s">
        <v>33</v>
      </c>
      <c r="G75" s="31" t="s">
        <v>33</v>
      </c>
      <c r="H75" s="32">
        <f>IF(gridLoss1H_quarter1&gt;0,gridLoss1H_quarter1,0)</f>
        <v>0</v>
      </c>
      <c r="I75" s="27" t="str">
        <f t="shared" si="23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1" t="s">
        <v>41</v>
      </c>
      <c r="F76" s="52"/>
      <c r="G76" s="52"/>
      <c r="H76" s="5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3.8029999999999999</v>
      </c>
      <c r="I78" s="27" t="str">
        <f>SUBSTITUTE(ROUND(H78,3),",",".")</f>
        <v>3.803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24">$AD$2</f>
        <v>800</v>
      </c>
      <c r="F79" s="31" t="s">
        <v>33</v>
      </c>
      <c r="G79" s="31" t="s">
        <v>33</v>
      </c>
      <c r="H79" s="32">
        <f>IF(gridLoss1H_quarter3&lt;0,gridLoss1H_quarter3*-1,0)</f>
        <v>3.8030000000000004</v>
      </c>
      <c r="I79" s="27" t="str">
        <f t="shared" ref="I79:I81" si="25">SUBSTITUTE(ROUND(H79,3),",",".")</f>
        <v>3.803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24"/>
        <v>800</v>
      </c>
      <c r="F80" s="31" t="s">
        <v>33</v>
      </c>
      <c r="G80" s="31" t="s">
        <v>33</v>
      </c>
      <c r="H80" s="32">
        <f>IF(gridLoss1H_quarter2&lt;0,gridLoss1H_quarter2*-1,0)</f>
        <v>3.8029999999999999</v>
      </c>
      <c r="I80" s="27" t="str">
        <f t="shared" si="25"/>
        <v>3.803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24"/>
        <v>800</v>
      </c>
      <c r="F81" s="31" t="s">
        <v>33</v>
      </c>
      <c r="G81" s="31" t="s">
        <v>33</v>
      </c>
      <c r="H81" s="32">
        <f>IF(gridLoss1H_quarter1&lt;0,(gridLoss1H_quarter1)*-1,0)</f>
        <v>12.804</v>
      </c>
      <c r="I81" s="27" t="str">
        <f t="shared" si="25"/>
        <v>12.804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1" t="s">
        <v>79</v>
      </c>
      <c r="F82" s="52"/>
      <c r="G82" s="52"/>
      <c r="H82" s="5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>
        <f>netEx_quarter1+totalProduction1H_quarter1+totalProduction15M_quarter1+negGridLossQuarter1</f>
        <v>19.765000000000001</v>
      </c>
      <c r="I84" s="27" t="str">
        <f>SUBSTITUTE(ROUND(H84,3),",",".")</f>
        <v>19.765</v>
      </c>
      <c r="J84" s="2"/>
      <c r="U84" s="2"/>
      <c r="V84" s="54" t="s">
        <v>84</v>
      </c>
      <c r="W84" s="54"/>
      <c r="X84" s="54"/>
      <c r="Y84" s="54"/>
      <c r="Z84" s="54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26">$AD$2</f>
        <v>800</v>
      </c>
      <c r="F85" s="31" t="s">
        <v>33</v>
      </c>
      <c r="G85" s="31" t="s">
        <v>33</v>
      </c>
      <c r="H85" s="32">
        <f>netEx_quarter2+totalProduction1H_quarter2+totalProduction15M_quarter2+negGridLossQuarter2</f>
        <v>4.7639999999999993</v>
      </c>
      <c r="I85" s="27" t="str">
        <f t="shared" ref="I85:I87" si="27">SUBSTITUTE(ROUND(H85,3),",",".")</f>
        <v>4.764</v>
      </c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26"/>
        <v>800</v>
      </c>
      <c r="F86" s="31" t="s">
        <v>33</v>
      </c>
      <c r="G86" s="31" t="s">
        <v>33</v>
      </c>
      <c r="H86" s="32">
        <f>netEx_quarter3+totalProduction1H_quarter3+totalProduction15M_quarter3+negGridLossQuarter3</f>
        <v>4.7640000000000002</v>
      </c>
      <c r="I86" s="27" t="str">
        <f t="shared" si="27"/>
        <v>4.764</v>
      </c>
      <c r="J86" s="2"/>
      <c r="R86" s="37"/>
      <c r="S86" s="2"/>
      <c r="U86" s="15" t="s">
        <v>74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0</v>
      </c>
      <c r="W86" s="6">
        <f>(SUMIFS(TableDay1[Quarter1],TableDay1[resolution],"PT1H",TableDay1[from_ga],AH$3)-SUMIFS(TableDay1[Quarter1],TableDay1[resolution],"PT1H",TableDay1[to_ga],AH$3))/4</f>
        <v>-0.53974999999999995</v>
      </c>
      <c r="X86" s="16">
        <f>W86</f>
        <v>-0.53974999999999995</v>
      </c>
      <c r="Y86" s="16"/>
      <c r="Z86" s="16">
        <f t="shared" ref="Z86:Z109" si="28">ROUND(X86, 3)</f>
        <v>-0.54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26"/>
        <v>800</v>
      </c>
      <c r="F87" s="34" t="s">
        <v>33</v>
      </c>
      <c r="G87" s="34" t="s">
        <v>33</v>
      </c>
      <c r="H87" s="32">
        <f>netEx_quarter4+totalProduction1H_quarter4+totalProduction15M_quarter4+negGridLossQuarter4</f>
        <v>4.7639999999999993</v>
      </c>
      <c r="I87" s="27" t="str">
        <f t="shared" si="27"/>
        <v>4.764</v>
      </c>
      <c r="J87" s="2"/>
      <c r="R87" s="2"/>
      <c r="S87" s="2"/>
      <c r="U87" s="15" t="s">
        <v>75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-0.53974999999999995</v>
      </c>
      <c r="X87" s="16">
        <f>Y87+X86</f>
        <v>-0.53949999999999987</v>
      </c>
      <c r="Y87" s="16">
        <f>W87-Z86</f>
        <v>2.5000000000008349E-4</v>
      </c>
      <c r="Z87" s="16">
        <f t="shared" si="28"/>
        <v>-0.54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1" t="s">
        <v>80</v>
      </c>
      <c r="F88" s="52"/>
      <c r="G88" s="52"/>
      <c r="H88" s="52"/>
      <c r="I88" s="53"/>
      <c r="J88" s="2"/>
      <c r="R88" s="2"/>
      <c r="S88" s="2"/>
      <c r="U88" s="15" t="s">
        <v>76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-0.53974999999999995</v>
      </c>
      <c r="X88" s="16">
        <f>Y88+X87</f>
        <v>-0.53924999999999979</v>
      </c>
      <c r="Y88" s="16">
        <f>W88-Z87</f>
        <v>2.5000000000008349E-4</v>
      </c>
      <c r="Z88" s="16">
        <f t="shared" si="28"/>
        <v>-0.53900000000000003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-0.53974999999999995</v>
      </c>
      <c r="X89" s="16">
        <f>Y89+X88</f>
        <v>-0.5399999999999997</v>
      </c>
      <c r="Y89" s="16">
        <f>W89-Z88</f>
        <v>-7.499999999999174E-4</v>
      </c>
      <c r="Z89" s="16">
        <f t="shared" si="28"/>
        <v>-0.54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9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-0.54</v>
      </c>
      <c r="I90" s="32" t="str" cm="1">
        <f t="array" aca="1" ref="I90" ca="1">IF(E90="","",INDIRECT("AH"&amp;ROUND((ROW()-80)*0.25,0)))</f>
        <v>804</v>
      </c>
      <c r="J90" s="27" t="str">
        <f ca="1">IFERROR(SUBSTITUTE(ROUND(H90,3),",","."),"")</f>
        <v>-0.54</v>
      </c>
      <c r="R90" s="2"/>
      <c r="S90" s="2"/>
      <c r="U90" s="15" t="s">
        <v>74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0</v>
      </c>
      <c r="X90" s="16">
        <f>W90</f>
        <v>0</v>
      </c>
      <c r="Y90" s="16"/>
      <c r="Z90" s="16">
        <f t="shared" si="28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9"/>
        <v>800</v>
      </c>
      <c r="F91" s="31" t="str">
        <f t="shared" ref="F91:F113" si="30">IF(E91&lt;&gt;"","null","")</f>
        <v>null</v>
      </c>
      <c r="G91" s="31" t="str">
        <f t="shared" ref="G91:G113" si="31">IF(E91&lt;&gt;"","null","")</f>
        <v>null</v>
      </c>
      <c r="H91" s="32">
        <f t="shared" ref="H91:H113" ca="1" si="32">IF(E91="","",V87+Z87)</f>
        <v>-0.54</v>
      </c>
      <c r="I91" s="32" t="str" cm="1">
        <f t="array" aca="1" ref="I91" ca="1">IF(E91="","",INDIRECT("AH"&amp;ROUND((ROW()-80)*0.25,0)))</f>
        <v>804</v>
      </c>
      <c r="J91" s="27" t="str">
        <f t="shared" ref="J91:J113" ca="1" si="33">IFERROR(SUBSTITUTE(ROUND(H91,3),",","."),"")</f>
        <v>-0.54</v>
      </c>
      <c r="R91" s="2"/>
      <c r="U91" s="15" t="s">
        <v>75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8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9"/>
        <v>800</v>
      </c>
      <c r="F92" s="31" t="str">
        <f t="shared" si="30"/>
        <v>null</v>
      </c>
      <c r="G92" s="31" t="str">
        <f t="shared" si="31"/>
        <v>null</v>
      </c>
      <c r="H92" s="32">
        <f t="shared" ca="1" si="32"/>
        <v>-0.53900000000000003</v>
      </c>
      <c r="I92" s="32" t="str" cm="1">
        <f t="array" aca="1" ref="I92" ca="1">IF(E92="","",INDIRECT("AH"&amp;ROUND((ROW()-80)*0.25,0)))</f>
        <v>804</v>
      </c>
      <c r="J92" s="27" t="str">
        <f t="shared" ca="1" si="33"/>
        <v>-0.539</v>
      </c>
      <c r="U92" s="15" t="s">
        <v>76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8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9"/>
        <v>800</v>
      </c>
      <c r="F93" s="31" t="str">
        <f t="shared" si="30"/>
        <v>null</v>
      </c>
      <c r="G93" s="31" t="str">
        <f t="shared" si="31"/>
        <v>null</v>
      </c>
      <c r="H93" s="32">
        <f t="shared" ca="1" si="32"/>
        <v>-0.54</v>
      </c>
      <c r="I93" s="32" t="str" cm="1">
        <f t="array" aca="1" ref="I93" ca="1">IF(E93="","",INDIRECT("AH"&amp;ROUND((ROW()-80)*0.25,0)))</f>
        <v>804</v>
      </c>
      <c r="J93" s="27" t="str">
        <f t="shared" ca="1" si="33"/>
        <v>-0.54</v>
      </c>
      <c r="U93" s="15" t="s">
        <v>77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8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9"/>
        <v/>
      </c>
      <c r="F94" s="31" t="str">
        <f t="shared" si="30"/>
        <v/>
      </c>
      <c r="G94" s="31" t="str">
        <f t="shared" si="31"/>
        <v/>
      </c>
      <c r="H94" s="32" t="str">
        <f t="shared" si="32"/>
        <v/>
      </c>
      <c r="I94" s="32" t="str" cm="1">
        <f t="array" aca="1" ref="I94" ca="1">IF(E94="","",INDIRECT("AH"&amp;ROUND((ROW()-80)*0.25,0)))</f>
        <v/>
      </c>
      <c r="J94" s="27" t="str">
        <f t="shared" si="33"/>
        <v/>
      </c>
      <c r="U94" s="15" t="s">
        <v>74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0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28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9"/>
        <v/>
      </c>
      <c r="F95" s="31" t="str">
        <f t="shared" si="30"/>
        <v/>
      </c>
      <c r="G95" s="31" t="str">
        <f t="shared" si="31"/>
        <v/>
      </c>
      <c r="H95" s="32" t="str">
        <f t="shared" si="32"/>
        <v/>
      </c>
      <c r="I95" s="32" t="str" cm="1">
        <f t="array" aca="1" ref="I95" ca="1">IF(E95="","",INDIRECT("AH"&amp;ROUND((ROW()-80)*0.25,0)))</f>
        <v/>
      </c>
      <c r="J95" s="27" t="str">
        <f t="shared" si="33"/>
        <v/>
      </c>
      <c r="U95" s="15" t="s">
        <v>75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8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9"/>
        <v/>
      </c>
      <c r="F96" s="31" t="str">
        <f t="shared" si="30"/>
        <v/>
      </c>
      <c r="G96" s="31" t="str">
        <f t="shared" si="31"/>
        <v/>
      </c>
      <c r="H96" s="32" t="str">
        <f t="shared" si="32"/>
        <v/>
      </c>
      <c r="I96" s="32" t="str" cm="1">
        <f t="array" aca="1" ref="I96" ca="1">IF(E96="","",INDIRECT("AH"&amp;ROUND((ROW()-80)*0.25,0)))</f>
        <v/>
      </c>
      <c r="J96" s="27" t="str">
        <f t="shared" si="33"/>
        <v/>
      </c>
      <c r="U96" s="15" t="s">
        <v>76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8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9"/>
        <v/>
      </c>
      <c r="F97" s="31" t="str">
        <f t="shared" si="30"/>
        <v/>
      </c>
      <c r="G97" s="31" t="str">
        <f t="shared" si="31"/>
        <v/>
      </c>
      <c r="H97" s="32" t="str">
        <f t="shared" si="32"/>
        <v/>
      </c>
      <c r="I97" s="32" t="str" cm="1">
        <f t="array" aca="1" ref="I97" ca="1">IF(E97="","",INDIRECT("AH"&amp;ROUND((ROW()-80)*0.25,0)))</f>
        <v/>
      </c>
      <c r="J97" s="27" t="str">
        <f t="shared" si="33"/>
        <v/>
      </c>
      <c r="U97" s="15" t="s">
        <v>77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8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9"/>
        <v/>
      </c>
      <c r="F98" s="31" t="str">
        <f t="shared" si="30"/>
        <v/>
      </c>
      <c r="G98" s="31" t="str">
        <f t="shared" si="31"/>
        <v/>
      </c>
      <c r="H98" s="32" t="str">
        <f t="shared" si="32"/>
        <v/>
      </c>
      <c r="I98" s="32" t="str" cm="1">
        <f t="array" aca="1" ref="I98" ca="1">IF(E98="","",INDIRECT("AH"&amp;ROUND((ROW()-80)*0.25,0)))</f>
        <v/>
      </c>
      <c r="J98" s="27" t="str">
        <f t="shared" si="33"/>
        <v/>
      </c>
      <c r="U98" s="15" t="s">
        <v>74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0</v>
      </c>
      <c r="X98" s="16">
        <f>W98</f>
        <v>0</v>
      </c>
      <c r="Y98" s="16"/>
      <c r="Z98" s="16">
        <f t="shared" si="28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9"/>
        <v/>
      </c>
      <c r="F99" s="31" t="str">
        <f t="shared" si="30"/>
        <v/>
      </c>
      <c r="G99" s="31" t="str">
        <f t="shared" si="31"/>
        <v/>
      </c>
      <c r="H99" s="32" t="str">
        <f t="shared" si="32"/>
        <v/>
      </c>
      <c r="I99" s="32" t="str" cm="1">
        <f t="array" aca="1" ref="I99" ca="1">IF(E99="","",INDIRECT("AH"&amp;ROUND((ROW()-80)*0.25,0)))</f>
        <v/>
      </c>
      <c r="J99" s="27" t="str">
        <f t="shared" si="33"/>
        <v/>
      </c>
      <c r="U99" s="15" t="s">
        <v>75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8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9"/>
        <v/>
      </c>
      <c r="F100" s="31" t="str">
        <f t="shared" si="30"/>
        <v/>
      </c>
      <c r="G100" s="31" t="str">
        <f t="shared" si="31"/>
        <v/>
      </c>
      <c r="H100" s="32" t="str">
        <f t="shared" si="32"/>
        <v/>
      </c>
      <c r="I100" s="32" t="str" cm="1">
        <f t="array" aca="1" ref="I100" ca="1">IF(E100="","",INDIRECT("AH"&amp;ROUND((ROW()-80)*0.25,0)))</f>
        <v/>
      </c>
      <c r="J100" s="27" t="str">
        <f t="shared" si="33"/>
        <v/>
      </c>
      <c r="U100" s="15" t="s">
        <v>76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8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9"/>
        <v/>
      </c>
      <c r="F101" s="31" t="str">
        <f t="shared" si="30"/>
        <v/>
      </c>
      <c r="G101" s="31" t="str">
        <f t="shared" si="31"/>
        <v/>
      </c>
      <c r="H101" s="32" t="str">
        <f t="shared" si="32"/>
        <v/>
      </c>
      <c r="I101" s="32" t="str" cm="1">
        <f t="array" aca="1" ref="I101" ca="1">IF(E101="","",INDIRECT("AH"&amp;ROUND((ROW()-80)*0.25,0)))</f>
        <v/>
      </c>
      <c r="J101" s="27" t="str">
        <f t="shared" si="33"/>
        <v/>
      </c>
      <c r="U101" s="15" t="s">
        <v>77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8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9"/>
        <v/>
      </c>
      <c r="F102" s="31" t="str">
        <f t="shared" si="30"/>
        <v/>
      </c>
      <c r="G102" s="31" t="str">
        <f t="shared" si="31"/>
        <v/>
      </c>
      <c r="H102" s="32" t="str">
        <f t="shared" si="32"/>
        <v/>
      </c>
      <c r="I102" s="32" t="str" cm="1">
        <f t="array" aca="1" ref="I102" ca="1">IF(E102="","",INDIRECT("AH"&amp;ROUND((ROW()-80)*0.25,0)))</f>
        <v/>
      </c>
      <c r="J102" s="27" t="str">
        <f t="shared" si="33"/>
        <v/>
      </c>
      <c r="U102" s="15" t="s">
        <v>74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28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9"/>
        <v/>
      </c>
      <c r="F103" s="31" t="str">
        <f t="shared" si="30"/>
        <v/>
      </c>
      <c r="G103" s="31" t="str">
        <f t="shared" si="31"/>
        <v/>
      </c>
      <c r="H103" s="32" t="str">
        <f t="shared" si="32"/>
        <v/>
      </c>
      <c r="I103" s="32" t="str" cm="1">
        <f t="array" aca="1" ref="I103" ca="1">IF(E103="","",INDIRECT("AH"&amp;ROUND((ROW()-80)*0.25,0)))</f>
        <v/>
      </c>
      <c r="J103" s="27" t="str">
        <f t="shared" si="33"/>
        <v/>
      </c>
      <c r="U103" s="15" t="s">
        <v>75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8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9"/>
        <v/>
      </c>
      <c r="F104" s="31" t="str">
        <f t="shared" si="30"/>
        <v/>
      </c>
      <c r="G104" s="31" t="str">
        <f t="shared" si="31"/>
        <v/>
      </c>
      <c r="H104" s="32" t="str">
        <f t="shared" si="32"/>
        <v/>
      </c>
      <c r="I104" s="32" t="str" cm="1">
        <f t="array" aca="1" ref="I104" ca="1">IF(E104="","",INDIRECT("AH"&amp;ROUND((ROW()-80)*0.25,0)))</f>
        <v/>
      </c>
      <c r="J104" s="27" t="str">
        <f t="shared" si="33"/>
        <v/>
      </c>
      <c r="U104" s="15" t="s">
        <v>76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8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9"/>
        <v/>
      </c>
      <c r="F105" s="31" t="str">
        <f t="shared" si="30"/>
        <v/>
      </c>
      <c r="G105" s="31" t="str">
        <f t="shared" si="31"/>
        <v/>
      </c>
      <c r="H105" s="32" t="str">
        <f t="shared" si="32"/>
        <v/>
      </c>
      <c r="I105" s="32" t="str" cm="1">
        <f t="array" aca="1" ref="I105" ca="1">IF(E105="","",INDIRECT("AH"&amp;ROUND((ROW()-80)*0.25,0)))</f>
        <v/>
      </c>
      <c r="J105" s="27" t="str">
        <f t="shared" si="33"/>
        <v/>
      </c>
      <c r="U105" s="15" t="s">
        <v>77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8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9"/>
        <v/>
      </c>
      <c r="F106" s="31" t="str">
        <f t="shared" si="30"/>
        <v/>
      </c>
      <c r="G106" s="31" t="str">
        <f t="shared" si="31"/>
        <v/>
      </c>
      <c r="H106" s="32" t="str">
        <f t="shared" si="32"/>
        <v/>
      </c>
      <c r="I106" s="32" t="str" cm="1">
        <f t="array" aca="1" ref="I106" ca="1">IF(E106="","",INDIRECT("AH"&amp;ROUND((ROW()-80)*0.25,0)))</f>
        <v/>
      </c>
      <c r="J106" s="27" t="str">
        <f t="shared" si="33"/>
        <v/>
      </c>
      <c r="U106" s="15" t="s">
        <v>74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28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9"/>
        <v/>
      </c>
      <c r="F107" s="31" t="str">
        <f t="shared" si="30"/>
        <v/>
      </c>
      <c r="G107" s="31" t="str">
        <f t="shared" si="31"/>
        <v/>
      </c>
      <c r="H107" s="32" t="str">
        <f t="shared" si="32"/>
        <v/>
      </c>
      <c r="I107" s="32" t="str" cm="1">
        <f t="array" aca="1" ref="I107" ca="1">IF(E107="","",INDIRECT("AH"&amp;ROUND((ROW()-80)*0.25,0)))</f>
        <v/>
      </c>
      <c r="J107" s="27" t="str">
        <f t="shared" si="33"/>
        <v/>
      </c>
      <c r="U107" s="15" t="s">
        <v>75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8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9"/>
        <v/>
      </c>
      <c r="F108" s="31" t="str">
        <f t="shared" si="30"/>
        <v/>
      </c>
      <c r="G108" s="31" t="str">
        <f t="shared" si="31"/>
        <v/>
      </c>
      <c r="H108" s="32" t="str">
        <f t="shared" si="32"/>
        <v/>
      </c>
      <c r="I108" s="32" t="str" cm="1">
        <f t="array" aca="1" ref="I108" ca="1">IF(E108="","",INDIRECT("AH"&amp;ROUND((ROW()-80)*0.25,0)))</f>
        <v/>
      </c>
      <c r="J108" s="27" t="str">
        <f t="shared" si="33"/>
        <v/>
      </c>
      <c r="U108" s="15" t="s">
        <v>76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8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9"/>
        <v/>
      </c>
      <c r="F109" s="31" t="str">
        <f t="shared" si="30"/>
        <v/>
      </c>
      <c r="G109" s="31" t="str">
        <f t="shared" si="31"/>
        <v/>
      </c>
      <c r="H109" s="32" t="str">
        <f t="shared" si="32"/>
        <v/>
      </c>
      <c r="I109" s="32" t="str" cm="1">
        <f t="array" aca="1" ref="I109" ca="1">IF(E109="","",INDIRECT("AH"&amp;ROUND((ROW()-80)*0.25,0)))</f>
        <v/>
      </c>
      <c r="J109" s="27" t="str">
        <f t="shared" si="33"/>
        <v/>
      </c>
      <c r="U109" s="15" t="s">
        <v>77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8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9"/>
        <v/>
      </c>
      <c r="F110" s="31" t="str">
        <f t="shared" si="30"/>
        <v/>
      </c>
      <c r="G110" s="31" t="str">
        <f t="shared" si="31"/>
        <v/>
      </c>
      <c r="H110" s="32" t="str">
        <f t="shared" si="32"/>
        <v/>
      </c>
      <c r="I110" s="32" t="str" cm="1">
        <f t="array" aca="1" ref="I110" ca="1">IF(E110="","",INDIRECT("AH"&amp;ROUND((ROW()-80)*0.25,0)))</f>
        <v/>
      </c>
      <c r="J110" s="27" t="str">
        <f t="shared" si="33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9"/>
        <v/>
      </c>
      <c r="F111" s="31" t="str">
        <f t="shared" si="30"/>
        <v/>
      </c>
      <c r="G111" s="31" t="str">
        <f t="shared" si="31"/>
        <v/>
      </c>
      <c r="H111" s="32" t="str">
        <f t="shared" si="32"/>
        <v/>
      </c>
      <c r="I111" s="32" t="str" cm="1">
        <f t="array" aca="1" ref="I111" ca="1">IF(E111="","",INDIRECT("AH"&amp;ROUND((ROW()-80)*0.25,0)))</f>
        <v/>
      </c>
      <c r="J111" s="27" t="str">
        <f t="shared" si="33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9"/>
        <v/>
      </c>
      <c r="F112" s="31" t="str">
        <f t="shared" si="30"/>
        <v/>
      </c>
      <c r="G112" s="31" t="str">
        <f t="shared" si="31"/>
        <v/>
      </c>
      <c r="H112" s="32" t="str">
        <f t="shared" si="32"/>
        <v/>
      </c>
      <c r="I112" s="32" t="str" cm="1">
        <f t="array" aca="1" ref="I112" ca="1">IF(E112="","",INDIRECT("AH"&amp;ROUND((ROW()-80)*0.25,0)))</f>
        <v/>
      </c>
      <c r="J112" s="27" t="str">
        <f t="shared" si="33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9"/>
        <v/>
      </c>
      <c r="F113" s="31" t="str">
        <f t="shared" si="30"/>
        <v/>
      </c>
      <c r="G113" s="31" t="str">
        <f t="shared" si="31"/>
        <v/>
      </c>
      <c r="H113" s="32" t="str">
        <f t="shared" si="32"/>
        <v/>
      </c>
      <c r="I113" s="32" t="str" cm="1">
        <f t="array" aca="1" ref="I113" ca="1">IF(E113="","",INDIRECT("AH"&amp;ROUND((ROW()-80)*0.25,0)))</f>
        <v/>
      </c>
      <c r="J113" s="27" t="str">
        <f t="shared" si="33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2024-06-03T11:29:26Z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