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calculation_period_before_quarterly_resolution_transition_datetime\"/>
    </mc:Choice>
  </mc:AlternateContent>
  <xr:revisionPtr revIDLastSave="0" documentId="13_ncr:1_{989A2674-6B19-4F88-8B3F-5411A886CEC7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Hour1" sheetId="11" r:id="rId1"/>
  </sheets>
  <definedNames>
    <definedName name="gridLoss" localSheetId="0">Hour1!$H$66</definedName>
    <definedName name="negGridLoss" localSheetId="0">Hour1!$H$78</definedName>
    <definedName name="netEx" localSheetId="0">Hour1!$H$48</definedName>
    <definedName name="posGridLoss" localSheetId="0">Hour1!$H$72</definedName>
    <definedName name="powerIn15M" localSheetId="0">Hour1!$T$7</definedName>
    <definedName name="powerIn1H" localSheetId="0">Hour1!$T$8</definedName>
    <definedName name="powerOut15M" localSheetId="0">Hour1!$T$9</definedName>
    <definedName name="powerOut1H" localSheetId="0">Hour1!$T$10</definedName>
    <definedName name="totalConsumption_quarter1" localSheetId="0">Hour1!#REF!</definedName>
    <definedName name="totalConsumption_quarter2" localSheetId="0">Hour1!#REF!</definedName>
    <definedName name="totalConsumption_quarter3" localSheetId="0">Hour1!#REF!</definedName>
    <definedName name="totalConsumption_quarter4" localSheetId="0">Hour1!#REF!</definedName>
    <definedName name="totalConsumption15M" localSheetId="0">Hour1!$T$10</definedName>
    <definedName name="totalFlex15M" localSheetId="0">Hour1!$T$1</definedName>
    <definedName name="totalFlex1H" localSheetId="0">Hour1!$T$2</definedName>
    <definedName name="totalNonprofiled15M" localSheetId="0">Hour1!$T$3</definedName>
    <definedName name="totalNonprofiled1H" localSheetId="0">Hour1!$T$4</definedName>
    <definedName name="totalProduction15M" localSheetId="0">Hour1!$T$5</definedName>
    <definedName name="totalProduction1H" localSheetId="0">Hour1!$T$6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1" l="1"/>
  <c r="K3" i="11"/>
  <c r="K4" i="11"/>
  <c r="K5" i="11"/>
  <c r="K6" i="11"/>
  <c r="K11" i="11"/>
  <c r="K10" i="11"/>
  <c r="K9" i="11"/>
  <c r="K8" i="11"/>
  <c r="K7" i="11"/>
  <c r="Z2" i="11" l="1" a="1"/>
  <c r="Z2" i="11" s="1"/>
  <c r="T2" i="11"/>
  <c r="T4" i="11"/>
  <c r="T3" i="11"/>
  <c r="T6" i="11"/>
  <c r="T1" i="11"/>
  <c r="K13" i="11"/>
  <c r="K14" i="11"/>
  <c r="K15" i="11"/>
  <c r="K16" i="11"/>
  <c r="K17" i="11"/>
  <c r="K18" i="11"/>
  <c r="K19" i="11"/>
  <c r="X36" i="11" a="1"/>
  <c r="X36" i="11" s="1"/>
  <c r="W36" i="11" a="1"/>
  <c r="W36" i="11" s="1"/>
  <c r="V2" i="11" a="1"/>
  <c r="V2" i="11" s="1"/>
  <c r="X50" i="11"/>
  <c r="W50" i="11"/>
  <c r="E20" i="11"/>
  <c r="Y2" i="11"/>
  <c r="E95" i="11" l="1"/>
  <c r="E91" i="11"/>
  <c r="E96" i="11"/>
  <c r="E90" i="11"/>
  <c r="E94" i="11"/>
  <c r="E92" i="11"/>
  <c r="E93" i="11"/>
  <c r="E97" i="11"/>
  <c r="X53" i="11" a="1"/>
  <c r="X53" i="11" s="1"/>
  <c r="W52" i="11" a="1"/>
  <c r="W52" i="11" s="1"/>
  <c r="X54" i="11" a="1"/>
  <c r="X54" i="11" s="1"/>
  <c r="W53" i="11" a="1"/>
  <c r="W53" i="11" s="1"/>
  <c r="W61" i="11" a="1"/>
  <c r="W61" i="11" s="1"/>
  <c r="X55" i="11" a="1"/>
  <c r="X55" i="11" s="1"/>
  <c r="W54" i="11" a="1"/>
  <c r="W54" i="11" s="1"/>
  <c r="X56" i="11" a="1"/>
  <c r="X56" i="11" s="1"/>
  <c r="W55" i="11" a="1"/>
  <c r="W55" i="11" s="1"/>
  <c r="X57" i="11" a="1"/>
  <c r="X57" i="11" s="1"/>
  <c r="W51" i="11" a="1"/>
  <c r="W51" i="11" s="1"/>
  <c r="X58" i="11" a="1"/>
  <c r="X58" i="11" s="1"/>
  <c r="X59" i="11" a="1"/>
  <c r="X59" i="11" s="1"/>
  <c r="X60" i="11" a="1"/>
  <c r="X60" i="11" s="1"/>
  <c r="W58" i="11" a="1"/>
  <c r="W58" i="11" s="1"/>
  <c r="W60" i="11" a="1"/>
  <c r="W60" i="11" s="1"/>
  <c r="X61" i="11" a="1"/>
  <c r="X61" i="11" s="1"/>
  <c r="W57" i="11" a="1"/>
  <c r="W57" i="11" s="1"/>
  <c r="X52" i="11" a="1"/>
  <c r="X52" i="11" s="1"/>
  <c r="W56" i="11" a="1"/>
  <c r="W56" i="11" s="1"/>
  <c r="W59" i="11" a="1"/>
  <c r="W59" i="11" s="1"/>
  <c r="E66" i="11"/>
  <c r="T10" i="11"/>
  <c r="T7" i="11"/>
  <c r="T8" i="11"/>
  <c r="T9" i="11"/>
  <c r="X51" i="11" a="1"/>
  <c r="X51" i="11" s="1"/>
  <c r="H54" i="11"/>
  <c r="E72" i="11"/>
  <c r="E78" i="11"/>
  <c r="E84" i="11"/>
  <c r="E48" i="11"/>
  <c r="E54" i="11"/>
  <c r="E60" i="11"/>
  <c r="I90" i="11" a="1"/>
  <c r="I91" i="11" a="1"/>
  <c r="I90" i="11" l="1"/>
  <c r="H90" i="11" s="1"/>
  <c r="I91" i="11"/>
  <c r="H91" i="11" s="1"/>
  <c r="I97" i="11" a="1"/>
  <c r="I97" i="11" s="1"/>
  <c r="H97" i="11"/>
  <c r="H93" i="11"/>
  <c r="I93" i="11" a="1"/>
  <c r="I93" i="11" s="1"/>
  <c r="I94" i="11" a="1"/>
  <c r="I94" i="11" s="1"/>
  <c r="H94" i="11"/>
  <c r="H92" i="11"/>
  <c r="I92" i="11" a="1"/>
  <c r="I92" i="11" s="1"/>
  <c r="I96" i="11" a="1"/>
  <c r="I96" i="11" s="1"/>
  <c r="H96" i="11"/>
  <c r="I95" i="11" a="1"/>
  <c r="I95" i="11" s="1"/>
  <c r="H95" i="11"/>
  <c r="H48" i="11"/>
  <c r="G93" i="11" l="1"/>
  <c r="F93" i="11"/>
  <c r="G95" i="11"/>
  <c r="F95" i="11"/>
  <c r="G97" i="11"/>
  <c r="F97" i="11"/>
  <c r="G92" i="11"/>
  <c r="F92" i="11"/>
  <c r="G94" i="11"/>
  <c r="F94" i="11"/>
  <c r="G90" i="11"/>
  <c r="F90" i="11"/>
  <c r="G96" i="11"/>
  <c r="F96" i="11"/>
  <c r="G91" i="11"/>
  <c r="F91" i="11"/>
  <c r="W2" i="11" l="1" a="1"/>
  <c r="X2" i="11" a="1"/>
  <c r="X2" i="11" s="1"/>
  <c r="W2" i="11" l="1"/>
  <c r="E35" i="11" l="1"/>
  <c r="E36" i="11"/>
  <c r="H36" i="11" s="1"/>
  <c r="E37" i="11"/>
  <c r="H37" i="11" s="1"/>
  <c r="E33" i="11"/>
  <c r="E34" i="11"/>
  <c r="E38" i="11"/>
  <c r="H38" i="11" s="1"/>
  <c r="E39" i="11"/>
  <c r="H39" i="11" s="1"/>
  <c r="E41" i="11"/>
  <c r="E40" i="11"/>
  <c r="H40" i="11" s="1"/>
  <c r="E42" i="11"/>
  <c r="E23" i="11"/>
  <c r="E43" i="11"/>
  <c r="E25" i="11"/>
  <c r="E24" i="11"/>
  <c r="E44" i="11"/>
  <c r="H44" i="11" s="1"/>
  <c r="E45" i="11"/>
  <c r="H45" i="11" s="1"/>
  <c r="E28" i="11"/>
  <c r="H28" i="11" s="1"/>
  <c r="E26" i="11"/>
  <c r="E22" i="11"/>
  <c r="F22" i="11" s="1"/>
  <c r="E32" i="11"/>
  <c r="H32" i="11" s="1"/>
  <c r="E27" i="11"/>
  <c r="H27" i="11" s="1"/>
  <c r="E29" i="11"/>
  <c r="H29" i="11" s="1"/>
  <c r="E30" i="11"/>
  <c r="H30" i="11" s="1"/>
  <c r="E31" i="11"/>
  <c r="H31" i="11" s="1"/>
  <c r="F24" i="11" l="1"/>
  <c r="H24" i="11"/>
  <c r="F25" i="11"/>
  <c r="G25" i="11" s="1"/>
  <c r="H25" i="11"/>
  <c r="F43" i="11"/>
  <c r="G43" i="11" s="1"/>
  <c r="H43" i="11"/>
  <c r="F26" i="11"/>
  <c r="G26" i="11" s="1"/>
  <c r="H26" i="11"/>
  <c r="F42" i="11"/>
  <c r="G42" i="11" s="1"/>
  <c r="H42" i="11"/>
  <c r="F34" i="11"/>
  <c r="H34" i="11"/>
  <c r="F33" i="11"/>
  <c r="H33" i="11"/>
  <c r="F35" i="11"/>
  <c r="H35" i="11"/>
  <c r="F23" i="11"/>
  <c r="F41" i="11"/>
  <c r="H41" i="11"/>
  <c r="F40" i="11"/>
  <c r="F28" i="11"/>
  <c r="F39" i="11"/>
  <c r="F32" i="11"/>
  <c r="F45" i="11"/>
  <c r="F37" i="11"/>
  <c r="F38" i="11"/>
  <c r="F31" i="11"/>
  <c r="F30" i="11"/>
  <c r="F29" i="11"/>
  <c r="F36" i="11"/>
  <c r="F44" i="11"/>
  <c r="F27" i="11"/>
  <c r="G22" i="11"/>
  <c r="C42" i="11" l="1"/>
  <c r="I42" i="11"/>
  <c r="C43" i="11"/>
  <c r="I43" i="11"/>
  <c r="C26" i="11"/>
  <c r="I26" i="11"/>
  <c r="D25" i="11"/>
  <c r="I25" i="11"/>
  <c r="C22" i="11"/>
  <c r="I22" i="11"/>
  <c r="G23" i="11"/>
  <c r="G44" i="11"/>
  <c r="G29" i="11"/>
  <c r="G41" i="11"/>
  <c r="G31" i="11"/>
  <c r="G24" i="11"/>
  <c r="G27" i="11"/>
  <c r="G30" i="11"/>
  <c r="G38" i="11"/>
  <c r="G37" i="11"/>
  <c r="G45" i="11"/>
  <c r="G35" i="11"/>
  <c r="G32" i="11"/>
  <c r="G33" i="11"/>
  <c r="G39" i="11"/>
  <c r="G34" i="11"/>
  <c r="G28" i="11"/>
  <c r="G40" i="11"/>
  <c r="D22" i="11"/>
  <c r="G36" i="11"/>
  <c r="C23" i="11"/>
  <c r="D26" i="11"/>
  <c r="J26" i="11" s="1"/>
  <c r="C25" i="11"/>
  <c r="D42" i="11"/>
  <c r="D43" i="11"/>
  <c r="J43" i="11" s="1"/>
  <c r="J25" i="11" l="1"/>
  <c r="C24" i="11"/>
  <c r="I24" i="11"/>
  <c r="C31" i="11"/>
  <c r="I31" i="11"/>
  <c r="C29" i="11"/>
  <c r="I29" i="11"/>
  <c r="D40" i="11"/>
  <c r="I40" i="11"/>
  <c r="C39" i="11"/>
  <c r="I39" i="11"/>
  <c r="C27" i="11"/>
  <c r="I27" i="11"/>
  <c r="D32" i="11"/>
  <c r="I32" i="11"/>
  <c r="C41" i="11"/>
  <c r="I41" i="11"/>
  <c r="D44" i="11"/>
  <c r="I44" i="11"/>
  <c r="C35" i="11"/>
  <c r="I35" i="11"/>
  <c r="C36" i="11"/>
  <c r="I36" i="11"/>
  <c r="D23" i="11"/>
  <c r="J23" i="11" s="1"/>
  <c r="I23" i="11"/>
  <c r="D33" i="11"/>
  <c r="I33" i="11"/>
  <c r="D45" i="11"/>
  <c r="I45" i="11"/>
  <c r="D28" i="11"/>
  <c r="I28" i="11"/>
  <c r="C34" i="11"/>
  <c r="I34" i="11"/>
  <c r="D37" i="11"/>
  <c r="I37" i="11"/>
  <c r="C38" i="11"/>
  <c r="I38" i="11"/>
  <c r="J42" i="11"/>
  <c r="D30" i="11"/>
  <c r="I30" i="11"/>
  <c r="C44" i="11"/>
  <c r="D41" i="11"/>
  <c r="D24" i="11"/>
  <c r="D34" i="11"/>
  <c r="D29" i="11"/>
  <c r="J29" i="11" s="1"/>
  <c r="C32" i="11"/>
  <c r="J32" i="11" s="1"/>
  <c r="C30" i="11"/>
  <c r="D39" i="11"/>
  <c r="C28" i="11"/>
  <c r="C33" i="11"/>
  <c r="D27" i="11"/>
  <c r="D35" i="11"/>
  <c r="D31" i="11"/>
  <c r="C37" i="11"/>
  <c r="D38" i="11"/>
  <c r="C45" i="11"/>
  <c r="C40" i="11"/>
  <c r="D36" i="11"/>
  <c r="J36" i="11" s="1"/>
  <c r="J30" i="11" l="1"/>
  <c r="J40" i="11"/>
  <c r="J33" i="11"/>
  <c r="J38" i="11"/>
  <c r="J31" i="11"/>
  <c r="J35" i="11"/>
  <c r="J28" i="11"/>
  <c r="J39" i="11"/>
  <c r="J34" i="11"/>
  <c r="J41" i="11"/>
  <c r="J24" i="11"/>
  <c r="J45" i="11"/>
  <c r="J37" i="11"/>
  <c r="J44" i="11"/>
  <c r="J27" i="11"/>
  <c r="H23" i="11"/>
  <c r="T5" i="11"/>
  <c r="H60" i="11" s="1"/>
  <c r="H66" i="11" l="1"/>
  <c r="H72" i="11" l="1"/>
  <c r="J22" i="11" s="1"/>
  <c r="H22" i="11" s="1"/>
  <c r="H78" i="11"/>
  <c r="H8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<sst xmlns="http://schemas.openxmlformats.org/spreadsheetml/2006/main" count="167" uniqueCount="82">
  <si>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energy_supplier_id</t>
  </si>
  <si>
    <t>balance_responsible_id</t>
  </si>
  <si>
    <t>quantity</t>
  </si>
  <si>
    <t>mp id</t>
  </si>
  <si>
    <t>resolution</t>
  </si>
  <si>
    <t>es_id</t>
  </si>
  <si>
    <t>brp_id</t>
  </si>
  <si>
    <t>type</t>
  </si>
  <si>
    <t>settlement_method</t>
  </si>
  <si>
    <t>Energy Suppliers</t>
  </si>
  <si>
    <t>Balance responsibles</t>
  </si>
  <si>
    <t>ga_id</t>
  </si>
  <si>
    <t>Grid Areas</t>
  </si>
  <si>
    <t>Mellemregninger</t>
  </si>
  <si>
    <t>Aggregering</t>
  </si>
  <si>
    <t>Har SKMP</t>
  </si>
  <si>
    <t>Har GLMP</t>
  </si>
  <si>
    <t>Type</t>
  </si>
  <si>
    <t>Total production 15M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</si>
  <si>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</si>
  <si>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</si>
  <si>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</si>
  <si>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</si>
  <si>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</si>
  <si>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</si>
  <si>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</si>
  <si>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</si>
  <si>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</si>
  <si>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</si>
  <si>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</si>
  <si>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</si>
  <si>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</si>
  <si>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</si>
  <si>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</si>
  <si>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</si>
  <si>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</si>
  <si>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</si>
  <si>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</si>
  <si>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from_grid_area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</si>
  <si>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</si>
  <si>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</si>
  <si>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</si>
  <si>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</si>
  <si>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</si>
  <si>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</si>
  <si>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</si>
  <si>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</si>
  <si>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E18</t>
  </si>
  <si>
    <t>E20</t>
  </si>
  <si>
    <t>skmp</t>
  </si>
  <si>
    <t>PT15M</t>
  </si>
  <si>
    <t>2000000000000</t>
  </si>
  <si>
    <t>2200000000000</t>
  </si>
  <si>
    <t>All energy suppliers</t>
  </si>
  <si>
    <t>All balance responsibles</t>
  </si>
  <si>
    <t>settlement method/type</t>
  </si>
  <si>
    <t>E02</t>
  </si>
  <si>
    <t>3000000000000</t>
  </si>
  <si>
    <t>170000000000000202</t>
  </si>
  <si>
    <t>3300000000000</t>
  </si>
  <si>
    <t>Total flex consumtion 1H</t>
  </si>
  <si>
    <t>170000000150000201</t>
  </si>
  <si>
    <t>Total nonprofiled consumtion 1H</t>
  </si>
  <si>
    <t>GLMP/SKMP?</t>
  </si>
  <si>
    <t>Total production 1H</t>
  </si>
  <si>
    <t>Total E20 15M (energy in)</t>
  </si>
  <si>
    <t>Total E20 1H (energy in)</t>
  </si>
  <si>
    <t>Total E20 15M (energy out)</t>
  </si>
  <si>
    <t>Total E20 1H (energy out)</t>
  </si>
  <si>
    <t>Total/hour</t>
  </si>
  <si>
    <t>170000000150000101</t>
  </si>
  <si>
    <t>Total without GLMP/SKMP</t>
  </si>
  <si>
    <t>ga_brp_es</t>
  </si>
  <si>
    <t>170000000000000102</t>
  </si>
  <si>
    <t>200000000000000002</t>
  </si>
  <si>
    <t>802</t>
  </si>
  <si>
    <t>180000000000000002</t>
  </si>
  <si>
    <t>180000000150000001</t>
  </si>
  <si>
    <t>200000000150000001</t>
  </si>
  <si>
    <t>180000000150001000</t>
  </si>
  <si>
    <t>170000000150001000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</si>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</sst>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49" fontId="5" fillId="2" borderId="0" xfId="0" applyNumberFormat="1" applyFont="1" applyFill="1"/>
    <xf numFmtId="0" fontId="5" fillId="2" borderId="0" xfId="0" applyFont="1" applyFill="1"/>
    <xf numFmtId="49" fontId="0" fillId="5" borderId="0" xfId="0" applyNumberFormat="1" applyFill="1"/>
    <xf numFmtId="49" fontId="6" fillId="2" borderId="0" xfId="0" applyNumberFormat="1" applyFont="1" applyFill="1"/>
    <xf numFmtId="0" fontId="0" fillId="6" borderId="1" xfId="0" applyFill="1" applyBorder="1"/>
    <xf numFmtId="164" fontId="1" fillId="6" borderId="1" xfId="0" applyNumberFormat="1" applyFont="1" applyFill="1" applyBorder="1"/>
    <xf numFmtId="164" fontId="1" fillId="6" borderId="1" xfId="0" applyNumberFormat="1" applyFont="1" applyFill="1" applyBorder="1" applyAlignment="1">
      <alignment horizontal="right" vertical="center"/>
    </xf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0" fillId="7" borderId="0" xfId="0" applyFill="1"/>
    <xf numFmtId="0" fontId="6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17"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16" dataDxfId="15">
  <autoFilter ref="C1:Q19" xr:uid="{3814BBFA-A2E3-4A77-AAB1-6B1FF8D878B1}"/>
  <tableColumns count="15">
    <tableColumn id="1" xr3:uid="{2B69152A-55A7-4D2B-873F-7F3FB6F402A7}" name="mp id" dataDxfId="14"/>
    <tableColumn id="2" xr3:uid="{DA52C48F-158B-4538-B6A3-FC8044FE7DD3}" name="type" dataDxfId="13"/>
    <tableColumn id="13" xr3:uid="{41EF754D-E325-40F1-B68A-4399F2000678}" name="GLMP/SKMP?" dataDxfId="12"/>
    <tableColumn id="4" xr3:uid="{B562A6FB-BEDA-4307-A449-0F2082B19BCA}" name="settlement_method" dataDxfId="11"/>
    <tableColumn id="5" xr3:uid="{6DA11D4D-F616-4050-A443-FB1A76B379F3}" name="Quarter1" dataDxfId="10"/>
    <tableColumn id="6" xr3:uid="{CD5BB13E-3854-4BA0-A8C2-7EB0351AE2FA}" name="Quarter2" dataDxfId="9"/>
    <tableColumn id="7" xr3:uid="{900BB657-25A0-4ECA-8FE6-633F1CAE8BD7}" name="Quarter3" dataDxfId="8"/>
    <tableColumn id="9" xr3:uid="{4035FFB8-60AE-4E2D-9CA8-C736A1B70CC6}" name="Quarter4" dataDxfId="7"/>
    <tableColumn id="17" xr3:uid="{A7E569B9-FD31-4F1F-B854-F029E2C0FF35}" name="Total/hour" dataDxfId="6">
      <calculatedColumnFormula>IF(SUM(Tabel1342323[[#This Row],[Quarter1]:[Quarter4]])=0,"",SUM(Tabel1342323[[#This Row],[Quarter1]:[Quarter4]]))</calculatedColumnFormula>
    </tableColumn>
    <tableColumn id="10" xr3:uid="{F90F79EC-44B2-4BC6-8C23-82D64320CBD5}" name="resolution" dataDxfId="5"/>
    <tableColumn id="11" xr3:uid="{CD53BB86-08E7-49A0-BC6E-CFD857B5FCB7}" name="es_id" dataDxfId="4"/>
    <tableColumn id="12" xr3:uid="{75786D4A-9554-4C5E-B036-485331D1BE7F}" name="brp_id" dataDxfId="3"/>
    <tableColumn id="14" xr3:uid="{54F26905-4DEB-4534-9F0D-01ABD263F669}" name="ga_id" dataDxfId="2"/>
    <tableColumn id="15" xr3:uid="{5F8C65A2-DFDD-4135-BE29-7811CAA8ACBB}" name="from_ga" dataDxfId="1"/>
    <tableColumn id="16" xr3:uid="{81991ACE-32DD-4EED-AD6E-CA13DD7E8F07}" name="to_g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F400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0" width="15.7109375" style="1" bestFit="1" customWidth="1"/>
    <col min="11" max="11" width="12.7109375" style="1" bestFit="1" customWidth="1"/>
    <col min="12" max="12" width="12.42578125" style="1" bestFit="1" customWidth="1"/>
    <col min="13" max="14" width="13.85546875" style="1" bestFit="1" customWidth="1"/>
    <col min="15" max="15" width="8" style="1" bestFit="1" customWidth="1"/>
    <col min="16" max="16" width="10.5703125" style="1" bestFit="1" customWidth="1"/>
    <col min="17" max="17" width="8.140625" style="1" bestFit="1" customWidth="1"/>
    <col min="18" max="18" width="11.7109375" style="1" customWidth="1"/>
    <col min="19" max="19" width="30.42578125" style="1" bestFit="1" customWidth="1"/>
    <col min="20" max="21" width="11.7109375" style="1" customWidth="1"/>
    <col min="22" max="22" width="9.5703125" style="1" bestFit="1" customWidth="1"/>
    <col min="23" max="23" width="27.42578125" style="1" bestFit="1" customWidth="1"/>
    <col min="24" max="24" width="19.85546875" style="1" bestFit="1" customWidth="1"/>
    <col min="25" max="25" width="21.85546875" style="1" bestFit="1" customWidth="1"/>
    <col min="26" max="26" width="11.7109375" style="1" bestFit="1" customWidth="1"/>
    <col min="27" max="32" width="8.7109375" style="1" customWidth="1"/>
    <col min="33" max="16384" width="8.7109375" style="1"/>
  </cols>
  <sheetData>
    <row r="1" spans="1:84" ht="21" x14ac:dyDescent="0.35">
      <c r="A1" s="16" t="s">
        <v>14</v>
      </c>
      <c r="B1" s="27" t="s">
        <v>72</v>
      </c>
      <c r="C1" s="13" t="s">
        <v>3</v>
      </c>
      <c r="D1" s="13" t="s">
        <v>7</v>
      </c>
      <c r="E1" s="13" t="s">
        <v>63</v>
      </c>
      <c r="F1" s="13" t="s">
        <v>8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69</v>
      </c>
      <c r="L1" s="13" t="s">
        <v>4</v>
      </c>
      <c r="M1" s="13" t="s">
        <v>5</v>
      </c>
      <c r="N1" s="13" t="s">
        <v>6</v>
      </c>
      <c r="O1" s="13" t="s">
        <v>11</v>
      </c>
      <c r="P1" s="13" t="s">
        <v>35</v>
      </c>
      <c r="Q1" s="13" t="s">
        <v>36</v>
      </c>
      <c r="S1" s="20" t="s">
        <v>21</v>
      </c>
      <c r="T1" s="18">
        <f>IFERROR(SUMIFS(Tabel1342323[Total/hour],Tabel1342323[settlement_method],"D01",Tabel1342323[resolution],"PT15M"),0)</f>
        <v>20</v>
      </c>
      <c r="U1" s="2"/>
      <c r="V1" s="20" t="s">
        <v>12</v>
      </c>
      <c r="W1" s="20" t="s">
        <v>9</v>
      </c>
      <c r="X1" s="20" t="s">
        <v>10</v>
      </c>
      <c r="Y1" s="20" t="s">
        <v>55</v>
      </c>
      <c r="Z1" s="20" t="s">
        <v>37</v>
      </c>
      <c r="AA1" s="20"/>
      <c r="AB1" s="17"/>
    </row>
    <row r="2" spans="1:84" ht="21" x14ac:dyDescent="0.35">
      <c r="A2" s="16" t="s">
        <v>17</v>
      </c>
      <c r="B2" s="15" t="s">
        <v>81</v>
      </c>
      <c r="C2" s="9" t="s">
        <v>79</v>
      </c>
      <c r="D2" s="9" t="s">
        <v>47</v>
      </c>
      <c r="E2" s="9" t="s">
        <v>49</v>
      </c>
      <c r="F2" s="10"/>
      <c r="G2" s="11"/>
      <c r="H2" s="11"/>
      <c r="I2" s="11"/>
      <c r="J2" s="11"/>
      <c r="K2" s="28" t="str">
        <f>IF(SUM(Tabel1342323[[#This Row],[Quarter1]:[Quarter4]])=0,"",SUM(Tabel1342323[[#This Row],[Quarter1]:[Quarter4]]))</f>
        <v/>
      </c>
      <c r="L2" s="9" t="s">
        <v>50</v>
      </c>
      <c r="M2" s="9" t="s">
        <v>51</v>
      </c>
      <c r="N2" s="9" t="s">
        <v>52</v>
      </c>
      <c r="O2" s="19" t="s">
        <v>44</v>
      </c>
      <c r="P2" s="19"/>
      <c r="Q2" s="19"/>
      <c r="S2" s="20" t="s">
        <v>60</v>
      </c>
      <c r="T2" s="18">
        <f>IFERROR(SUMIFS(Tabel1342323[Total/hour],Tabel1342323[settlement_method],"D01",Tabel1342323[resolution],"PT1H"),0)</f>
        <v>30</v>
      </c>
      <c r="V2" s="18" t="str" cm="1">
        <f t="array" ref="V2:V3">_xlfn._xlws.SORT(_xlfn.UNIQUE(_xlfn._xlws.FILTER(Tabel1342323[ga_id],Tabel1342323[ga_id] &lt;&gt; "")))</f>
        <v>800</v>
      </c>
      <c r="W2" s="18" t="str" cm="1">
        <f t="array" ref="W2:W3">_xlfn._xlws.SORT(_xlfn.UNIQUE(_xlfn._xlws.FILTER(W51:W63,W51:W63 &lt;&gt; "")))</f>
        <v>2000000000000</v>
      </c>
      <c r="X2" s="18" t="str" cm="1">
        <f t="array" ref="X2:X3">_xlfn._xlws.SORT(_xlfn.UNIQUE(_xlfn._xlws.FILTER(X51:X63,X51:X63 &lt;&gt; "")))</f>
        <v>2200000000000</v>
      </c>
      <c r="Y2" s="18" t="str">
        <f>IF(B$2="production","E18",IF($B$2="flex_consumption","D01","E02"))</f>
        <v>E18</v>
      </c>
      <c r="Z2" s="18" t="str" cm="1">
        <f t="array" ref="Z2:Z4">_xlfn._xlws.SORT(_xlfn.UNIQUE(_xlfn.VSTACK(_xlfn._xlws.FILTER(Tabel1342323[from_ga],Tabel1342323[from_ga] &lt;&gt; ""),_xlfn._xlws.FILTER(Tabel1342323[to_ga],Tabel1342323[to_ga] &lt;&gt; ""))))</f>
        <v>800</v>
      </c>
      <c r="AA2" s="17"/>
      <c r="AB2" s="17"/>
    </row>
    <row r="3" spans="1:84" x14ac:dyDescent="0.25">
      <c r="C3" s="9" t="s">
        <v>80</v>
      </c>
      <c r="D3" s="9" t="s">
        <v>39</v>
      </c>
      <c r="E3" s="9" t="s">
        <v>46</v>
      </c>
      <c r="F3" s="10" t="s">
        <v>40</v>
      </c>
      <c r="G3" s="11"/>
      <c r="H3" s="11"/>
      <c r="I3" s="11"/>
      <c r="J3" s="11"/>
      <c r="K3" s="28" t="str">
        <f>IF(SUM(Tabel1342323[[#This Row],[Quarter1]:[Quarter4]])=0,"",SUM(Tabel1342323[[#This Row],[Quarter1]:[Quarter4]]))</f>
        <v/>
      </c>
      <c r="L3" s="9" t="s">
        <v>50</v>
      </c>
      <c r="M3" s="9" t="s">
        <v>42</v>
      </c>
      <c r="N3" s="9" t="s">
        <v>43</v>
      </c>
      <c r="O3" s="19" t="s">
        <v>44</v>
      </c>
      <c r="P3" s="19"/>
      <c r="Q3" s="19"/>
      <c r="S3" s="20" t="s">
        <v>25</v>
      </c>
      <c r="T3" s="18">
        <f>IFERROR(SUMIFS(Tabel1342323[Total/hour],Tabel1342323[settlement_method],"E02",Tabel1342323[resolution],"PT15M"),0)</f>
        <v>12</v>
      </c>
      <c r="V3" s="17" t="str">
        <v>802</v>
      </c>
      <c r="W3" s="17" t="str">
        <v>3000000000000</v>
      </c>
      <c r="X3" s="17" t="str">
        <v>3300000000000</v>
      </c>
      <c r="Y3" s="17"/>
      <c r="Z3" s="17" t="str">
        <v>801</v>
      </c>
      <c r="AA3" s="17"/>
      <c r="AB3" s="17"/>
    </row>
    <row r="4" spans="1:84" x14ac:dyDescent="0.25">
      <c r="C4" s="9" t="s">
        <v>70</v>
      </c>
      <c r="D4" s="9" t="s">
        <v>39</v>
      </c>
      <c r="E4" s="9"/>
      <c r="F4" s="10" t="s">
        <v>56</v>
      </c>
      <c r="G4" s="11">
        <v>3</v>
      </c>
      <c r="H4" s="11">
        <v>3</v>
      </c>
      <c r="I4" s="11">
        <v>3</v>
      </c>
      <c r="J4" s="11">
        <v>3</v>
      </c>
      <c r="K4" s="28">
        <f>IF(SUM(Tabel1342323[[#This Row],[Quarter1]:[Quarter4]])=0,"",SUM(Tabel1342323[[#This Row],[Quarter1]:[Quarter4]]))</f>
        <v>12</v>
      </c>
      <c r="L4" s="9" t="s">
        <v>50</v>
      </c>
      <c r="M4" s="9" t="s">
        <v>42</v>
      </c>
      <c r="N4" s="9" t="s">
        <v>43</v>
      </c>
      <c r="O4" s="19" t="s">
        <v>44</v>
      </c>
      <c r="P4" s="19"/>
      <c r="Q4" s="19"/>
      <c r="S4" s="20" t="s">
        <v>62</v>
      </c>
      <c r="T4" s="18">
        <f>IFERROR(SUMIFS(Tabel1342323[Total/hour],Tabel1342323[settlement_method],"E02",Tabel1342323[resolution],"PT1H"),0)</f>
        <v>10</v>
      </c>
      <c r="V4" s="17"/>
      <c r="W4" s="17"/>
      <c r="X4" s="17"/>
      <c r="Y4" s="17"/>
      <c r="Z4" s="17" t="str">
        <v>802</v>
      </c>
      <c r="AA4" s="17"/>
      <c r="AB4" s="17"/>
    </row>
    <row r="5" spans="1:84" x14ac:dyDescent="0.25">
      <c r="C5" s="9" t="s">
        <v>73</v>
      </c>
      <c r="D5" s="9" t="s">
        <v>39</v>
      </c>
      <c r="E5" s="9"/>
      <c r="F5" s="10" t="s">
        <v>56</v>
      </c>
      <c r="G5" s="11">
        <v>10</v>
      </c>
      <c r="H5" s="11"/>
      <c r="I5" s="11"/>
      <c r="J5" s="11"/>
      <c r="K5" s="28">
        <f>IF(SUM(Tabel1342323[[#This Row],[Quarter1]:[Quarter4]])=0,"",SUM(Tabel1342323[[#This Row],[Quarter1]:[Quarter4]]))</f>
        <v>10</v>
      </c>
      <c r="L5" s="9" t="s">
        <v>41</v>
      </c>
      <c r="M5" s="9" t="s">
        <v>57</v>
      </c>
      <c r="N5" s="9" t="s">
        <v>59</v>
      </c>
      <c r="O5" s="19" t="s">
        <v>44</v>
      </c>
      <c r="P5" s="19"/>
      <c r="Q5" s="19"/>
      <c r="S5" s="20" t="s">
        <v>18</v>
      </c>
      <c r="T5" s="18">
        <f>IFERROR(SUMIFS(Tabel1342323[Total/hour],Tabel1342323[type],"E18",Tabel1342323[resolution],"PT15M"),0)</f>
        <v>60</v>
      </c>
      <c r="V5" s="17"/>
      <c r="W5" s="17"/>
      <c r="X5" s="17"/>
      <c r="Y5" s="17"/>
      <c r="Z5" s="17"/>
      <c r="AA5" s="17"/>
      <c r="AB5" s="17"/>
    </row>
    <row r="6" spans="1:84" x14ac:dyDescent="0.25">
      <c r="C6" s="9" t="s">
        <v>61</v>
      </c>
      <c r="D6" s="9" t="s">
        <v>39</v>
      </c>
      <c r="E6" s="9"/>
      <c r="F6" s="10" t="s">
        <v>40</v>
      </c>
      <c r="G6" s="11">
        <v>5</v>
      </c>
      <c r="H6" s="11">
        <v>5</v>
      </c>
      <c r="I6" s="11">
        <v>5</v>
      </c>
      <c r="J6" s="11">
        <v>5</v>
      </c>
      <c r="K6" s="28">
        <f>IF(SUM(Tabel1342323[[#This Row],[Quarter1]:[Quarter4]])=0,"",SUM(Tabel1342323[[#This Row],[Quarter1]:[Quarter4]]))</f>
        <v>20</v>
      </c>
      <c r="L6" s="9" t="s">
        <v>50</v>
      </c>
      <c r="M6" s="9" t="s">
        <v>42</v>
      </c>
      <c r="N6" s="9" t="s">
        <v>43</v>
      </c>
      <c r="O6" s="19" t="s">
        <v>44</v>
      </c>
      <c r="P6" s="19"/>
      <c r="Q6" s="19"/>
      <c r="S6" s="20" t="s">
        <v>64</v>
      </c>
      <c r="T6" s="18">
        <f>IFERROR(SUMIFS(Tabel1342323[Total/hour],Tabel1342323[type],"E18",Tabel1342323[resolution],"PT1H"),0)</f>
        <v>33</v>
      </c>
      <c r="V6" s="17"/>
      <c r="W6" s="17"/>
      <c r="X6" s="17"/>
      <c r="Y6" s="17"/>
      <c r="Z6" s="17"/>
      <c r="AA6" s="17"/>
      <c r="AB6" s="17"/>
    </row>
    <row r="7" spans="1:84" x14ac:dyDescent="0.25">
      <c r="C7" s="9" t="s">
        <v>58</v>
      </c>
      <c r="D7" s="9" t="s">
        <v>39</v>
      </c>
      <c r="E7" s="9"/>
      <c r="F7" s="10" t="s">
        <v>40</v>
      </c>
      <c r="G7" s="11">
        <v>30</v>
      </c>
      <c r="H7" s="11"/>
      <c r="I7" s="11"/>
      <c r="J7" s="11"/>
      <c r="K7" s="28">
        <f>IF(SUM(Tabel1342323[[#This Row],[Quarter1]:[Quarter4]])=0,"",SUM(Tabel1342323[[#This Row],[Quarter1]:[Quarter4]]))</f>
        <v>30</v>
      </c>
      <c r="L7" s="9" t="s">
        <v>41</v>
      </c>
      <c r="M7" s="9" t="s">
        <v>57</v>
      </c>
      <c r="N7" s="9" t="s">
        <v>59</v>
      </c>
      <c r="O7" s="19" t="s">
        <v>44</v>
      </c>
      <c r="P7" s="19"/>
      <c r="Q7" s="19"/>
      <c r="S7" s="17" t="s">
        <v>65</v>
      </c>
      <c r="T7" s="18">
        <f>IFERROR(SUMIFS(Tabel1342323[Total/hour],Tabel1342323[type],"E20",Tabel1342323[resolution],"PT15M",Tabel1342323[to_ga],$V$2),0)</f>
        <v>0</v>
      </c>
      <c r="V7" s="17"/>
      <c r="W7" s="17"/>
      <c r="X7" s="17"/>
      <c r="Y7" s="17"/>
      <c r="Z7" s="17"/>
      <c r="AA7" s="17"/>
      <c r="AB7" s="17"/>
    </row>
    <row r="8" spans="1:84" x14ac:dyDescent="0.25">
      <c r="C8" s="9" t="s">
        <v>77</v>
      </c>
      <c r="D8" s="9" t="s">
        <v>47</v>
      </c>
      <c r="E8" s="9"/>
      <c r="F8" s="10"/>
      <c r="G8" s="11">
        <v>15</v>
      </c>
      <c r="H8" s="11">
        <v>15</v>
      </c>
      <c r="I8" s="11">
        <v>15</v>
      </c>
      <c r="J8" s="11">
        <v>15</v>
      </c>
      <c r="K8" s="28">
        <f>IF(SUM(Tabel1342323[[#This Row],[Quarter1]:[Quarter4]])=0,"",SUM(Tabel1342323[[#This Row],[Quarter1]:[Quarter4]]))</f>
        <v>60</v>
      </c>
      <c r="L8" s="9" t="s">
        <v>50</v>
      </c>
      <c r="M8" s="9" t="s">
        <v>51</v>
      </c>
      <c r="N8" s="9" t="s">
        <v>52</v>
      </c>
      <c r="O8" s="19" t="s">
        <v>44</v>
      </c>
      <c r="P8" s="19"/>
      <c r="Q8" s="19"/>
      <c r="S8" s="17" t="s">
        <v>66</v>
      </c>
      <c r="T8" s="18">
        <f>IFERROR(SUMIFS(Tabel1342323[Total/hour],Tabel1342323[type],"E20",Tabel1342323[resolution],"PT1H",Tabel1342323[to_ga],$V$2),0)</f>
        <v>80</v>
      </c>
      <c r="V8" s="17"/>
      <c r="W8" s="17"/>
      <c r="X8" s="17"/>
      <c r="Y8" s="17"/>
      <c r="Z8" s="17"/>
      <c r="AA8" s="17"/>
      <c r="AB8" s="17"/>
    </row>
    <row r="9" spans="1:84" x14ac:dyDescent="0.25">
      <c r="C9" s="9" t="s">
        <v>76</v>
      </c>
      <c r="D9" s="9" t="s">
        <v>47</v>
      </c>
      <c r="E9" s="9"/>
      <c r="F9" s="10"/>
      <c r="G9" s="11">
        <v>33</v>
      </c>
      <c r="H9" s="11"/>
      <c r="I9" s="11"/>
      <c r="J9" s="11"/>
      <c r="K9" s="28">
        <f>IF(SUM(Tabel1342323[[#This Row],[Quarter1]:[Quarter4]])=0,"",SUM(Tabel1342323[[#This Row],[Quarter1]:[Quarter4]]))</f>
        <v>33</v>
      </c>
      <c r="L9" s="9" t="s">
        <v>41</v>
      </c>
      <c r="M9" s="9" t="s">
        <v>57</v>
      </c>
      <c r="N9" s="9" t="s">
        <v>59</v>
      </c>
      <c r="O9" s="19" t="s">
        <v>44</v>
      </c>
      <c r="P9" s="19"/>
      <c r="Q9" s="19"/>
      <c r="S9" s="17" t="s">
        <v>67</v>
      </c>
      <c r="T9" s="18">
        <f>IFERROR(SUMIFS(Tabel1342323[Total/hour],Tabel1342323[type],"E20",Tabel1342323[resolution],"PT15M",Tabel1342323[from_ga],$V$2),0)</f>
        <v>100</v>
      </c>
      <c r="V9" s="24"/>
      <c r="W9" s="24"/>
      <c r="X9" s="24"/>
      <c r="Y9" s="24"/>
      <c r="Z9" s="24"/>
      <c r="AA9" s="17"/>
      <c r="AB9" s="17"/>
    </row>
    <row r="10" spans="1:84" x14ac:dyDescent="0.25">
      <c r="C10" s="9" t="s">
        <v>78</v>
      </c>
      <c r="D10" s="9" t="s">
        <v>48</v>
      </c>
      <c r="E10" s="9"/>
      <c r="F10" s="10"/>
      <c r="G10" s="11">
        <v>25</v>
      </c>
      <c r="H10" s="11">
        <v>25</v>
      </c>
      <c r="I10" s="11">
        <v>25</v>
      </c>
      <c r="J10" s="11">
        <v>25</v>
      </c>
      <c r="K10" s="28">
        <f>IF(SUM(Tabel1342323[[#This Row],[Quarter1]:[Quarter4]])=0,"",SUM(Tabel1342323[[#This Row],[Quarter1]:[Quarter4]]))</f>
        <v>100</v>
      </c>
      <c r="L10" s="9" t="s">
        <v>50</v>
      </c>
      <c r="M10" s="9"/>
      <c r="N10" s="9"/>
      <c r="O10" s="19" t="s">
        <v>44</v>
      </c>
      <c r="P10" s="19" t="s">
        <v>44</v>
      </c>
      <c r="Q10" s="19" t="s">
        <v>45</v>
      </c>
      <c r="S10" s="17" t="s">
        <v>68</v>
      </c>
      <c r="T10" s="18">
        <f>IFERROR(SUMIFS(Tabel1342323[Total/hour],Tabel1342323[type],"E20",Tabel1342323[resolution],"PT1H",Tabel1342323[from_ga],$V$2),0)</f>
        <v>0</v>
      </c>
      <c r="V10" s="25"/>
      <c r="W10" s="25"/>
      <c r="X10" s="25"/>
      <c r="Y10" s="25"/>
      <c r="Z10" s="24"/>
      <c r="AA10" s="17"/>
      <c r="AB10" s="17"/>
    </row>
    <row r="11" spans="1:84" x14ac:dyDescent="0.25">
      <c r="C11" s="9" t="s">
        <v>74</v>
      </c>
      <c r="D11" s="9" t="s">
        <v>48</v>
      </c>
      <c r="E11" s="9"/>
      <c r="F11" s="10"/>
      <c r="G11" s="11">
        <v>80</v>
      </c>
      <c r="H11" s="11"/>
      <c r="I11" s="11"/>
      <c r="J11" s="11"/>
      <c r="K11" s="28">
        <f>IF(SUM(Tabel1342323[[#This Row],[Quarter1]:[Quarter4]])=0,"",SUM(Tabel1342323[[#This Row],[Quarter1]:[Quarter4]]))</f>
        <v>80</v>
      </c>
      <c r="L11" s="9" t="s">
        <v>41</v>
      </c>
      <c r="M11" s="9"/>
      <c r="N11" s="9"/>
      <c r="O11" s="19" t="s">
        <v>75</v>
      </c>
      <c r="P11" s="19" t="s">
        <v>75</v>
      </c>
      <c r="Q11" s="19" t="s">
        <v>44</v>
      </c>
      <c r="V11" s="25"/>
      <c r="W11" s="25"/>
      <c r="X11" s="25"/>
      <c r="Y11" s="25"/>
      <c r="Z11" s="24"/>
      <c r="AA11" s="17"/>
      <c r="AB11" s="17"/>
    </row>
    <row r="12" spans="1:84" x14ac:dyDescent="0.25">
      <c r="C12" s="9"/>
      <c r="D12" s="9"/>
      <c r="E12" s="9"/>
      <c r="F12" s="10"/>
      <c r="G12" s="11"/>
      <c r="H12" s="11"/>
      <c r="I12" s="11"/>
      <c r="J12" s="11"/>
      <c r="K12" s="28"/>
      <c r="L12" s="9"/>
      <c r="M12" s="9"/>
      <c r="N12" s="9"/>
      <c r="O12" s="19"/>
      <c r="P12" s="19"/>
      <c r="Q12" s="19"/>
      <c r="V12" s="25"/>
      <c r="AB12" s="17"/>
    </row>
    <row r="13" spans="1:84" x14ac:dyDescent="0.25">
      <c r="C13" s="9"/>
      <c r="D13" s="9"/>
      <c r="E13" s="9"/>
      <c r="F13" s="10"/>
      <c r="G13" s="11"/>
      <c r="H13" s="11"/>
      <c r="I13" s="11"/>
      <c r="J13" s="11"/>
      <c r="K13" s="28" t="str">
        <f>IF(SUM(Tabel1342323[[#This Row],[Quarter1]:[Quarter4]])=0,"",SUM(Tabel1342323[[#This Row],[Quarter1]:[Quarter4]]))</f>
        <v/>
      </c>
      <c r="L13" s="9"/>
      <c r="M13" s="9"/>
      <c r="N13" s="9"/>
      <c r="O13" s="19"/>
      <c r="P13" s="19"/>
      <c r="Q13" s="19"/>
      <c r="V13" s="25"/>
    </row>
    <row r="14" spans="1:84" x14ac:dyDescent="0.25">
      <c r="C14" s="9"/>
      <c r="D14" s="9"/>
      <c r="E14" s="9"/>
      <c r="F14" s="10"/>
      <c r="G14" s="11"/>
      <c r="H14" s="11"/>
      <c r="I14" s="11"/>
      <c r="J14" s="11"/>
      <c r="K14" s="28" t="str">
        <f>IF(SUM(Tabel1342323[[#This Row],[Quarter1]:[Quarter4]])=0,"",SUM(Tabel1342323[[#This Row],[Quarter1]:[Quarter4]]))</f>
        <v/>
      </c>
      <c r="L14" s="9"/>
      <c r="M14" s="9"/>
      <c r="N14" s="9"/>
      <c r="O14" s="19"/>
      <c r="P14" s="19"/>
      <c r="Q14" s="19"/>
      <c r="R14" s="2"/>
      <c r="S14" s="2"/>
      <c r="T14" s="2"/>
      <c r="U14" s="2"/>
      <c r="V14" s="2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C15" s="12"/>
      <c r="D15" s="9"/>
      <c r="E15" s="9"/>
      <c r="F15" s="10"/>
      <c r="G15" s="11"/>
      <c r="H15" s="11"/>
      <c r="I15" s="11"/>
      <c r="J15" s="11"/>
      <c r="K15" s="28" t="str">
        <f>IF(SUM(Tabel1342323[[#This Row],[Quarter1]:[Quarter4]])=0,"",SUM(Tabel1342323[[#This Row],[Quarter1]:[Quarter4]]))</f>
        <v/>
      </c>
      <c r="L15" s="9"/>
      <c r="M15" s="9"/>
      <c r="N15" s="9"/>
      <c r="O15" s="19"/>
      <c r="P15" s="19"/>
      <c r="Q15" s="19"/>
      <c r="R15" s="2"/>
      <c r="S15" s="2"/>
      <c r="T15" s="2"/>
      <c r="U15" s="2"/>
      <c r="V15" s="2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C16" s="12"/>
      <c r="D16" s="9"/>
      <c r="E16" s="9"/>
      <c r="F16" s="10"/>
      <c r="G16" s="11"/>
      <c r="H16" s="11"/>
      <c r="I16" s="11"/>
      <c r="J16" s="11"/>
      <c r="K16" s="28" t="str">
        <f>IF(SUM(Tabel1342323[[#This Row],[Quarter1]:[Quarter4]])=0,"",SUM(Tabel1342323[[#This Row],[Quarter1]:[Quarter4]]))</f>
        <v/>
      </c>
      <c r="L16" s="9"/>
      <c r="M16" s="9"/>
      <c r="N16" s="9"/>
      <c r="O16" s="19"/>
      <c r="P16" s="19"/>
      <c r="Q16" s="19"/>
      <c r="R16" s="2"/>
      <c r="S16" s="2"/>
      <c r="T16" s="2"/>
      <c r="U16" s="2"/>
      <c r="V16" s="2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C17" s="9"/>
      <c r="D17" s="9"/>
      <c r="E17" s="9"/>
      <c r="F17" s="10"/>
      <c r="G17" s="11"/>
      <c r="H17" s="11"/>
      <c r="I17" s="11"/>
      <c r="J17" s="11"/>
      <c r="K17" s="28" t="str">
        <f>IF(SUM(Tabel1342323[[#This Row],[Quarter1]:[Quarter4]])=0,"",SUM(Tabel1342323[[#This Row],[Quarter1]:[Quarter4]]))</f>
        <v/>
      </c>
      <c r="L17" s="9"/>
      <c r="M17" s="9"/>
      <c r="N17" s="9"/>
      <c r="O17" s="19"/>
      <c r="P17" s="19"/>
      <c r="Q17" s="19"/>
      <c r="R17" s="2"/>
      <c r="S17" s="2"/>
      <c r="T17" s="2"/>
      <c r="U17" s="2"/>
      <c r="V17" s="2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C18" s="9"/>
      <c r="D18" s="9"/>
      <c r="E18" s="9"/>
      <c r="F18" s="10"/>
      <c r="G18" s="11"/>
      <c r="H18" s="11"/>
      <c r="I18" s="11"/>
      <c r="J18" s="11"/>
      <c r="K18" s="28" t="str">
        <f>IF(SUM(Tabel1342323[[#This Row],[Quarter1]:[Quarter4]])=0,"",SUM(Tabel1342323[[#This Row],[Quarter1]:[Quarter4]]))</f>
        <v/>
      </c>
      <c r="L18" s="9"/>
      <c r="M18" s="9"/>
      <c r="N18" s="9"/>
      <c r="O18" s="19"/>
      <c r="P18" s="19"/>
      <c r="Q18" s="19"/>
      <c r="R18" s="2"/>
      <c r="S18" s="2"/>
      <c r="T18" s="2"/>
      <c r="U18" s="2"/>
      <c r="V18" s="2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C19" s="9"/>
      <c r="D19" s="9"/>
      <c r="E19" s="9"/>
      <c r="F19" s="10"/>
      <c r="G19" s="11"/>
      <c r="H19" s="11"/>
      <c r="I19" s="11"/>
      <c r="J19" s="11"/>
      <c r="K19" s="28" t="str">
        <f>IF(SUM(Tabel1342323[[#This Row],[Quarter1]:[Quarter4]])=0,"",SUM(Tabel1342323[[#This Row],[Quarter1]:[Quarter4]]))</f>
        <v/>
      </c>
      <c r="L19" s="9"/>
      <c r="M19" s="9"/>
      <c r="N19" s="9"/>
      <c r="O19" s="19"/>
      <c r="P19" s="19"/>
      <c r="Q19" s="19"/>
      <c r="R19" s="2"/>
      <c r="S19" s="2"/>
      <c r="T19" s="2"/>
      <c r="U19" s="2"/>
      <c r="V19" s="2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23.25" x14ac:dyDescent="0.35">
      <c r="E20" s="30" t="str">
        <f>CONCATENATE(B2,"_per_",B1)</f>
        <v>production_per_ga_brp_es</v>
      </c>
      <c r="F20" s="30"/>
      <c r="G20" s="30"/>
      <c r="H20" s="30"/>
      <c r="I20" s="29" t="s">
        <v>13</v>
      </c>
      <c r="J20" s="29"/>
      <c r="V20" s="2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8.75" x14ac:dyDescent="0.3">
      <c r="C21" s="3" t="s">
        <v>16</v>
      </c>
      <c r="D21" s="3" t="s">
        <v>15</v>
      </c>
      <c r="E21" s="4" t="s">
        <v>11</v>
      </c>
      <c r="F21" s="5" t="s">
        <v>0</v>
      </c>
      <c r="G21" s="5" t="s">
        <v>1</v>
      </c>
      <c r="H21" s="5" t="s">
        <v>2</v>
      </c>
      <c r="I21" s="6" t="s">
        <v>71</v>
      </c>
      <c r="J21" s="7" t="s">
        <v>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/>
      <c r="C22" s="14" t="str">
        <f>IF(AND(F22&lt;&gt;"null",F22&lt;&gt;""),IF(F22=INDEX(Tabel1342323[es_id],MATCH("glmp",Tabel1342323[GLMP/SKMP?],0),1),"glmp",""),IF(AND(G22&lt;&gt;"null",G22&lt;&gt;""),IF(G22=INDEX(Tabel1342323[brp_id],MATCH("glmp",Tabel1342323[GLMP/SKMP?],0),1),"glmp",""),IF(E22=INDEX(Tabel1342323[ga_id],MATCH("glmp",Tabel1342323[GLMP/SKMP?],0),1),"glmp","")))</f>
        <v/>
      </c>
      <c r="D22" s="14" t="str">
        <f>IF(AND(F22&lt;&gt;"null",F22&lt;&gt;""),IF(F22=INDEX(Tabel1342323[es_id],MATCH("skmp",Tabel1342323[GLMP/SKMP?],0),1),"skmp",""),IF(AND(G22&lt;&gt;"null",G22&lt;&gt;""),IF(G22=INDEX(Tabel1342323[brp_id],MATCH("skmp",Tabel1342323[GLMP/SKMP?],0),1),"skmp",""),IF(E22=INDEX(Tabel1342323[ga_id],MATCH("skmp",Tabel1342323[GLMP/SKMP?],0),1),"skmp","")))</f>
        <v>skmp</v>
      </c>
      <c r="E22" s="21" t="str">
        <f t="shared" ref="E22:E45" si="0">IF(B$1="ga",IF(ROW()=22,$V$2,""),IF(OR(B$1="ga_es",B$1="ga_brp_es"),IF(AND(ROW()&lt;22+(COUNTA(W$2:W$11)),ROW()&gt;21),$V$2,""),IF(B$1="ga_brp",IF(AND(ROW()&lt;22+(COUNTA(X$2:X$11)),ROW()&gt;21),$V$2,""))))</f>
        <v>800</v>
      </c>
      <c r="F22" s="21" t="str">
        <f t="shared" ref="F22:F45" si="1">IF(B$1="ga",IF(E22="","","null"),IF(OR(B$1="ga_es",B$1="ga_brp_es"),IF(W2=0,"",W2),IF(B$1="ga_brp",IF(E22="","","null"))))</f>
        <v>2000000000000</v>
      </c>
      <c r="G22" s="21" t="str">
        <f>IF(B$1="ga",IF(E22="","","null"),IF(B$1="ga_es",IF(F22="","","null"),IF(B$1="ga_brp",IF(X2=0,"",X2),IF(F22="","",INDEX(Tabel1342323[brp_id],MATCH(F22,Tabel1342323[es_id],0),1)))))</f>
        <v>2200000000000</v>
      </c>
      <c r="H22" s="23" t="str">
        <f t="shared" ref="H22:H45" si="2">SUBSTITUTE(IF(E22="","",I22+J22),",",".")</f>
        <v>60</v>
      </c>
      <c r="I22" s="8">
        <f>IF(B$2&lt;&gt;"production",IF(OR(B$1="ga_es",B$1="ga_brp_es"),SUMIFS(Tabel1342323[Total/hour],Tabel1342323[es_id],F22,Tabel1342323[settlement_method],Y$2),IF(B$1="ga_brp",SUMIFS(Tabel1342323[Total/hour],Tabel1342323[brp_id],G22,Tabel1342323[settlement_method],Y$2),SUMIFS(Tabel1342323[Total/hour],Tabel1342323[ga_id],E22,Tabel1342323[settlement_method],Y$2))),IF(OR(B$1="ga_es",B$1="ga_brp_es"),SUMIFS(Tabel1342323[Total/hour],Tabel1342323[es_id],F22,Tabel1342323[type],Y$2),IF(B$1="ga_brp",SUMIFS(Tabel1342323[Total/hour],Tabel1342323[brp_id],G22,Tabel1342323[type],Y$2),SUMIFS(Tabel1342323[Total/hour],Tabel1342323[ga_id],E22,Tabel1342323[type],Y$2))))</f>
        <v>60</v>
      </c>
      <c r="J22" s="8">
        <f>IF(AND(D22="skmp",B$2="production"),negGridLoss,IF(AND(C22="glmp",B$2="flex_consumption"),posGridLoss,0))</f>
        <v>0</v>
      </c>
      <c r="K22" s="2"/>
      <c r="L22" s="2"/>
      <c r="M22" s="18"/>
      <c r="N22" s="2"/>
      <c r="O22" s="2"/>
      <c r="P22" s="2"/>
      <c r="Q22" s="2"/>
      <c r="R22" s="2"/>
      <c r="S22" s="2"/>
      <c r="T22" s="2"/>
      <c r="U22" s="2"/>
      <c r="V22" s="2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C23" s="14" t="str">
        <f>IF(AND(F23&lt;&gt;"null",F23&lt;&gt;""),IF(F23=INDEX(Tabel1342323[es_id],MATCH("glmp",Tabel1342323[GLMP/SKMP?],0),1),"glmp",""),IF(AND(G23&lt;&gt;"null",G23&lt;&gt;""),IF(G23=INDEX(Tabel1342323[brp_id],MATCH("glmp",Tabel1342323[GLMP/SKMP?],0),1),"glmp",""),IF(E23=INDEX(Tabel1342323[ga_id],MATCH("glmp",Tabel1342323[GLMP/SKMP?],0),1),"glmp","")))</f>
        <v/>
      </c>
      <c r="D23" s="14" t="str">
        <f>IF(AND(F23&lt;&gt;"null",F23&lt;&gt;""),IF(F23=INDEX(Tabel1342323[es_id],MATCH("skmp",Tabel1342323[GLMP/SKMP?],0),1),"skmp",""),IF(AND(G23&lt;&gt;"null",G23&lt;&gt;""),IF(G23=INDEX(Tabel1342323[brp_id],MATCH("skmp",Tabel1342323[GLMP/SKMP?],0),1),"skmp",""),IF(E23=INDEX(Tabel1342323[ga_id],MATCH("skmp",Tabel1342323[GLMP/SKMP?],0),1),"skmp","")))</f>
        <v/>
      </c>
      <c r="E23" s="21" t="str">
        <f t="shared" si="0"/>
        <v>800</v>
      </c>
      <c r="F23" s="21" t="str">
        <f t="shared" si="1"/>
        <v>3000000000000</v>
      </c>
      <c r="G23" s="21" t="str">
        <f>IF(B$1="ga",IF(E23="","","null"),IF(B$1="ga_es",IF(F23="","","null"),IF(B$1="ga_brp",IF(X3=0,"",X3),IF(F23="","",INDEX(Tabel1342323[brp_id],MATCH(F23,Tabel1342323[es_id],0),1)))))</f>
        <v>3300000000000</v>
      </c>
      <c r="H23" s="23" t="str">
        <f t="shared" si="2"/>
        <v>33</v>
      </c>
      <c r="I23" s="8">
        <f>IF(B$2&lt;&gt;"production",IF(OR(B$1="ga_es",B$1="ga_brp_es"),SUMIFS(Tabel1342323[Total/hour],Tabel1342323[es_id],F23,Tabel1342323[settlement_method],Y$2),IF(B$1="ga_brp",SUMIFS(Tabel1342323[Total/hour],Tabel1342323[brp_id],G23,Tabel1342323[settlement_method],Y$2),SUMIFS(Tabel1342323[Total/hour],Tabel1342323[ga_id],E23,Tabel1342323[settlement_method],Y$2))),IF(OR(B$1="ga_es",B$1="ga_brp_es"),SUMIFS(Tabel1342323[Total/hour],Tabel1342323[es_id],F23,Tabel1342323[type],Y$2),IF(B$1="ga_brp",SUMIFS(Tabel1342323[Total/hour],Tabel1342323[brp_id],G23,Tabel1342323[type],Y$2),SUMIFS(Tabel1342323[Total/hour],Tabel1342323[ga_id],E23,Tabel1342323[type],Y$2))))</f>
        <v>33</v>
      </c>
      <c r="J23" s="8">
        <f t="shared" ref="J23:J45" si="3">IF(AND(D23="skmp",B$2="production"),negGridLoss,IF(AND(C23="glmp",B$2="flex_consumption"),posGridLoss,0))</f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C24" s="14" t="str">
        <f>IF(AND(F24&lt;&gt;"null",F24&lt;&gt;""),IF(F24=INDEX(Tabel1342323[es_id],MATCH("glmp",Tabel1342323[GLMP/SKMP?],0),1),"glmp",""),IF(AND(G24&lt;&gt;"null",G24&lt;&gt;""),IF(G24=INDEX(Tabel1342323[brp_id],MATCH("glmp",Tabel1342323[GLMP/SKMP?],0),1),"glmp",""),IF(E24=INDEX(Tabel1342323[ga_id],MATCH("glmp",Tabel1342323[GLMP/SKMP?],0),1),"glmp","")))</f>
        <v/>
      </c>
      <c r="D24" s="14" t="str">
        <f>IF(AND(F24&lt;&gt;"null",F24&lt;&gt;""),IF(F24=INDEX(Tabel1342323[es_id],MATCH("skmp",Tabel1342323[GLMP/SKMP?],0),1),"skmp",""),IF(AND(G24&lt;&gt;"null",G24&lt;&gt;""),IF(G24=INDEX(Tabel1342323[brp_id],MATCH("skmp",Tabel1342323[GLMP/SKMP?],0),1),"skmp",""),IF(E24=INDEX(Tabel1342323[ga_id],MATCH("skmp",Tabel1342323[GLMP/SKMP?],0),1),"skmp","")))</f>
        <v/>
      </c>
      <c r="E24" s="21" t="str">
        <f t="shared" si="0"/>
        <v/>
      </c>
      <c r="F24" s="21" t="str">
        <f t="shared" si="1"/>
        <v/>
      </c>
      <c r="G24" s="21" t="str">
        <f>IF(B$1="ga",IF(E24="","","null"),IF(B$1="ga_es",IF(F24="","","null"),IF(B$1="ga_brp",IF(X4=0,"",X4),IF(F24="","",INDEX(Tabel1342323[brp_id],MATCH(F24,Tabel1342323[es_id],0),1)))))</f>
        <v/>
      </c>
      <c r="H24" s="23" t="str">
        <f t="shared" si="2"/>
        <v/>
      </c>
      <c r="I24" s="8">
        <f>IF(B$2&lt;&gt;"production",IF(OR(B$1="ga_es",B$1="ga_brp_es"),SUMIFS(Tabel1342323[Total/hour],Tabel1342323[es_id],F24,Tabel1342323[settlement_method],Y$2),IF(B$1="ga_brp",SUMIFS(Tabel1342323[Total/hour],Tabel1342323[brp_id],G24,Tabel1342323[settlement_method],Y$2),SUMIFS(Tabel1342323[Total/hour],Tabel1342323[ga_id],E24,Tabel1342323[settlement_method],Y$2))),IF(OR(B$1="ga_es",B$1="ga_brp_es"),SUMIFS(Tabel1342323[Total/hour],Tabel1342323[es_id],F24,Tabel1342323[type],Y$2),IF(B$1="ga_brp",SUMIFS(Tabel1342323[Total/hour],Tabel1342323[brp_id],G24,Tabel1342323[type],Y$2),SUMIFS(Tabel1342323[Total/hour],Tabel1342323[ga_id],E24,Tabel1342323[type],Y$2))))</f>
        <v>0</v>
      </c>
      <c r="J24" s="8">
        <f t="shared" si="3"/>
        <v>0</v>
      </c>
      <c r="L24" s="2"/>
      <c r="M24" s="2"/>
      <c r="P24" s="2"/>
      <c r="Q24" s="2"/>
      <c r="R24" s="2"/>
      <c r="S24" s="2"/>
      <c r="T24" s="2"/>
      <c r="U24" s="2"/>
      <c r="V24" s="2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C25" s="14" t="str">
        <f>IF(AND(F25&lt;&gt;"null",F25&lt;&gt;""),IF(F25=INDEX(Tabel1342323[es_id],MATCH("glmp",Tabel1342323[GLMP/SKMP?],0),1),"glmp",""),IF(AND(G25&lt;&gt;"null",G25&lt;&gt;""),IF(G25=INDEX(Tabel1342323[brp_id],MATCH("glmp",Tabel1342323[GLMP/SKMP?],0),1),"glmp",""),IF(E25=INDEX(Tabel1342323[ga_id],MATCH("glmp",Tabel1342323[GLMP/SKMP?],0),1),"glmp","")))</f>
        <v/>
      </c>
      <c r="D25" s="14" t="str">
        <f>IF(AND(F25&lt;&gt;"null",F25&lt;&gt;""),IF(F25=INDEX(Tabel1342323[es_id],MATCH("skmp",Tabel1342323[GLMP/SKMP?],0),1),"skmp",""),IF(AND(G25&lt;&gt;"null",G25&lt;&gt;""),IF(G25=INDEX(Tabel1342323[brp_id],MATCH("skmp",Tabel1342323[GLMP/SKMP?],0),1),"skmp",""),IF(E25=INDEX(Tabel1342323[ga_id],MATCH("skmp",Tabel1342323[GLMP/SKMP?],0),1),"skmp","")))</f>
        <v/>
      </c>
      <c r="E25" s="21" t="str">
        <f t="shared" si="0"/>
        <v/>
      </c>
      <c r="F25" s="21" t="str">
        <f t="shared" si="1"/>
        <v/>
      </c>
      <c r="G25" s="21" t="str">
        <f>IF(B$1="ga",IF(E25="","","null"),IF(B$1="ga_es",IF(F25="","","null"),IF(B$1="ga_brp",IF(X5=0,"",X5),IF(F25="","",INDEX(Tabel1342323[brp_id],MATCH(F25,Tabel1342323[es_id],0),1)))))</f>
        <v/>
      </c>
      <c r="H25" s="23" t="str">
        <f t="shared" si="2"/>
        <v/>
      </c>
      <c r="I25" s="8">
        <f>IF(B$2&lt;&gt;"production",IF(OR(B$1="ga_es",B$1="ga_brp_es"),SUMIFS(Tabel1342323[Total/hour],Tabel1342323[es_id],F25,Tabel1342323[settlement_method],Y$2),IF(B$1="ga_brp",SUMIFS(Tabel1342323[Total/hour],Tabel1342323[brp_id],G25,Tabel1342323[settlement_method],Y$2),SUMIFS(Tabel1342323[Total/hour],Tabel1342323[ga_id],E25,Tabel1342323[settlement_method],Y$2))),IF(OR(B$1="ga_es",B$1="ga_brp_es"),SUMIFS(Tabel1342323[Total/hour],Tabel1342323[es_id],F25,Tabel1342323[type],Y$2),IF(B$1="ga_brp",SUMIFS(Tabel1342323[Total/hour],Tabel1342323[brp_id],G25,Tabel1342323[type],Y$2),SUMIFS(Tabel1342323[Total/hour],Tabel1342323[ga_id],E25,Tabel1342323[type],Y$2))))</f>
        <v>0</v>
      </c>
      <c r="J25" s="8">
        <f t="shared" si="3"/>
        <v>0</v>
      </c>
      <c r="L25" s="2"/>
      <c r="M25" s="2"/>
      <c r="P25" s="2"/>
      <c r="Q25" s="2"/>
      <c r="R25" s="2"/>
      <c r="S25" s="2"/>
      <c r="T25" s="2"/>
      <c r="U25" s="2"/>
      <c r="V25" s="2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C26" s="14" t="str">
        <f>IF(AND(F26&lt;&gt;"null",F26&lt;&gt;""),IF(F26=INDEX(Tabel1342323[es_id],MATCH("glmp",Tabel1342323[GLMP/SKMP?],0),1),"glmp",""),IF(AND(G26&lt;&gt;"null",G26&lt;&gt;""),IF(G26=INDEX(Tabel1342323[brp_id],MATCH("glmp",Tabel1342323[GLMP/SKMP?],0),1),"glmp",""),IF(E26=INDEX(Tabel1342323[ga_id],MATCH("glmp",Tabel1342323[GLMP/SKMP?],0),1),"glmp","")))</f>
        <v/>
      </c>
      <c r="D26" s="14" t="str">
        <f>IF(AND(F26&lt;&gt;"null",F26&lt;&gt;""),IF(F26=INDEX(Tabel1342323[es_id],MATCH("skmp",Tabel1342323[GLMP/SKMP?],0),1),"skmp",""),IF(AND(G26&lt;&gt;"null",G26&lt;&gt;""),IF(G26=INDEX(Tabel1342323[brp_id],MATCH("skmp",Tabel1342323[GLMP/SKMP?],0),1),"skmp",""),IF(E26=INDEX(Tabel1342323[ga_id],MATCH("skmp",Tabel1342323[GLMP/SKMP?],0),1),"skmp","")))</f>
        <v/>
      </c>
      <c r="E26" s="21" t="str">
        <f t="shared" si="0"/>
        <v/>
      </c>
      <c r="F26" s="21" t="str">
        <f t="shared" si="1"/>
        <v/>
      </c>
      <c r="G26" s="21" t="str">
        <f>IF(B$1="ga",IF(E26="","","null"),IF(B$1="ga_es",IF(F26="","","null"),IF(B$1="ga_brp",IF(X6=0,"",X6),IF(F26="","",INDEX(Tabel1342323[brp_id],MATCH(F26,Tabel1342323[es_id],0),1)))))</f>
        <v/>
      </c>
      <c r="H26" s="23" t="str">
        <f t="shared" si="2"/>
        <v/>
      </c>
      <c r="I26" s="8">
        <f>IF(B$2&lt;&gt;"production",IF(OR(B$1="ga_es",B$1="ga_brp_es"),SUMIFS(Tabel1342323[Total/hour],Tabel1342323[es_id],F26,Tabel1342323[settlement_method],Y$2),IF(B$1="ga_brp",SUMIFS(Tabel1342323[Total/hour],Tabel1342323[brp_id],G26,Tabel1342323[settlement_method],Y$2),SUMIFS(Tabel1342323[Total/hour],Tabel1342323[ga_id],E26,Tabel1342323[settlement_method],Y$2))),IF(OR(B$1="ga_es",B$1="ga_brp_es"),SUMIFS(Tabel1342323[Total/hour],Tabel1342323[es_id],F26,Tabel1342323[type],Y$2),IF(B$1="ga_brp",SUMIFS(Tabel1342323[Total/hour],Tabel1342323[brp_id],G26,Tabel1342323[type],Y$2),SUMIFS(Tabel1342323[Total/hour],Tabel1342323[ga_id],E26,Tabel1342323[type],Y$2))))</f>
        <v>0</v>
      </c>
      <c r="J26" s="8">
        <f t="shared" si="3"/>
        <v>0</v>
      </c>
      <c r="L26" s="2"/>
      <c r="M26" s="2"/>
      <c r="N26" s="2"/>
      <c r="P26" s="2"/>
      <c r="Q26" s="2"/>
      <c r="R26" s="2"/>
      <c r="S26" s="2"/>
      <c r="T26" s="2"/>
      <c r="U26" s="2"/>
      <c r="V26" s="2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C27" s="14" t="str">
        <f>IF(AND(F27&lt;&gt;"null",F27&lt;&gt;""),IF(F27=INDEX(Tabel1342323[es_id],MATCH("glmp",Tabel1342323[GLMP/SKMP?],0),1),"glmp",""),IF(AND(G27&lt;&gt;"null",G27&lt;&gt;""),IF(G27=INDEX(Tabel1342323[brp_id],MATCH("glmp",Tabel1342323[GLMP/SKMP?],0),1),"glmp",""),IF(E27=INDEX(Tabel1342323[ga_id],MATCH("glmp",Tabel1342323[GLMP/SKMP?],0),1),"glmp","")))</f>
        <v/>
      </c>
      <c r="D27" s="14" t="str">
        <f>IF(AND(F27&lt;&gt;"null",F27&lt;&gt;""),IF(F27=INDEX(Tabel1342323[es_id],MATCH("skmp",Tabel1342323[GLMP/SKMP?],0),1),"skmp",""),IF(AND(G27&lt;&gt;"null",G27&lt;&gt;""),IF(G27=INDEX(Tabel1342323[brp_id],MATCH("skmp",Tabel1342323[GLMP/SKMP?],0),1),"skmp",""),IF(E27=INDEX(Tabel1342323[ga_id],MATCH("skmp",Tabel1342323[GLMP/SKMP?],0),1),"skmp","")))</f>
        <v/>
      </c>
      <c r="E27" s="21" t="str">
        <f t="shared" si="0"/>
        <v/>
      </c>
      <c r="F27" s="21" t="str">
        <f t="shared" si="1"/>
        <v/>
      </c>
      <c r="G27" s="21" t="str">
        <f>IF(B$1="ga",IF(E27="","","null"),IF(B$1="ga_es",IF(F27="","","null"),IF(B$1="ga_brp",IF(X7=0,"",X7),IF(F27="","",INDEX(Tabel1342323[brp_id],MATCH(F27,Tabel1342323[es_id],0),1)))))</f>
        <v/>
      </c>
      <c r="H27" s="23" t="str">
        <f t="shared" si="2"/>
        <v/>
      </c>
      <c r="I27" s="8">
        <f>IF(B$2&lt;&gt;"production",IF(OR(B$1="ga_es",B$1="ga_brp_es"),SUMIFS(Tabel1342323[Total/hour],Tabel1342323[es_id],F27,Tabel1342323[settlement_method],Y$2),IF(B$1="ga_brp",SUMIFS(Tabel1342323[Total/hour],Tabel1342323[brp_id],G27,Tabel1342323[settlement_method],Y$2),SUMIFS(Tabel1342323[Total/hour],Tabel1342323[ga_id],E27,Tabel1342323[settlement_method],Y$2))),IF(OR(B$1="ga_es",B$1="ga_brp_es"),SUMIFS(Tabel1342323[Total/hour],Tabel1342323[es_id],F27,Tabel1342323[type],Y$2),IF(B$1="ga_brp",SUMIFS(Tabel1342323[Total/hour],Tabel1342323[brp_id],G27,Tabel1342323[type],Y$2),SUMIFS(Tabel1342323[Total/hour],Tabel1342323[ga_id],E27,Tabel1342323[type],Y$2))))</f>
        <v>0</v>
      </c>
      <c r="J27" s="8">
        <f t="shared" si="3"/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C28" s="14" t="str">
        <f>IF(AND(F28&lt;&gt;"null",F28&lt;&gt;""),IF(F28=INDEX(Tabel1342323[es_id],MATCH("glmp",Tabel1342323[GLMP/SKMP?],0),1),"glmp",""),IF(AND(G28&lt;&gt;"null",G28&lt;&gt;""),IF(G28=INDEX(Tabel1342323[brp_id],MATCH("glmp",Tabel1342323[GLMP/SKMP?],0),1),"glmp",""),IF(E28=INDEX(Tabel1342323[ga_id],MATCH("glmp",Tabel1342323[GLMP/SKMP?],0),1),"glmp","")))</f>
        <v/>
      </c>
      <c r="D28" s="14" t="str">
        <f>IF(AND(F28&lt;&gt;"null",F28&lt;&gt;""),IF(F28=INDEX(Tabel1342323[es_id],MATCH("skmp",Tabel1342323[GLMP/SKMP?],0),1),"skmp",""),IF(AND(G28&lt;&gt;"null",G28&lt;&gt;""),IF(G28=INDEX(Tabel1342323[brp_id],MATCH("skmp",Tabel1342323[GLMP/SKMP?],0),1),"skmp",""),IF(E28=INDEX(Tabel1342323[ga_id],MATCH("skmp",Tabel1342323[GLMP/SKMP?],0),1),"skmp","")))</f>
        <v/>
      </c>
      <c r="E28" s="21" t="str">
        <f t="shared" si="0"/>
        <v/>
      </c>
      <c r="F28" s="21" t="str">
        <f t="shared" si="1"/>
        <v/>
      </c>
      <c r="G28" s="21" t="str">
        <f>IF(B$1="ga",IF(E28="","","null"),IF(B$1="ga_es",IF(F28="","","null"),IF(B$1="ga_brp",IF(X8=0,"",X8),IF(F28="","",INDEX(Tabel1342323[brp_id],MATCH(F28,Tabel1342323[es_id],0),1)))))</f>
        <v/>
      </c>
      <c r="H28" s="23" t="str">
        <f t="shared" si="2"/>
        <v/>
      </c>
      <c r="I28" s="8">
        <f>IF(B$2&lt;&gt;"production",IF(OR(B$1="ga_es",B$1="ga_brp_es"),SUMIFS(Tabel1342323[Total/hour],Tabel1342323[es_id],F28,Tabel1342323[settlement_method],Y$2),IF(B$1="ga_brp",SUMIFS(Tabel1342323[Total/hour],Tabel1342323[brp_id],G28,Tabel1342323[settlement_method],Y$2),SUMIFS(Tabel1342323[Total/hour],Tabel1342323[ga_id],E28,Tabel1342323[settlement_method],Y$2))),IF(OR(B$1="ga_es",B$1="ga_brp_es"),SUMIFS(Tabel1342323[Total/hour],Tabel1342323[es_id],F28,Tabel1342323[type],Y$2),IF(B$1="ga_brp",SUMIFS(Tabel1342323[Total/hour],Tabel1342323[brp_id],G28,Tabel1342323[type],Y$2),SUMIFS(Tabel1342323[Total/hour],Tabel1342323[ga_id],E28,Tabel1342323[type],Y$2))))</f>
        <v>0</v>
      </c>
      <c r="J28" s="8">
        <f t="shared" si="3"/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C29" s="14" t="str">
        <f>IF(AND(F29&lt;&gt;"null",F29&lt;&gt;""),IF(F29=INDEX(Tabel1342323[es_id],MATCH("glmp",Tabel1342323[GLMP/SKMP?],0),1),"glmp",""),IF(AND(G29&lt;&gt;"null",G29&lt;&gt;""),IF(G29=INDEX(Tabel1342323[brp_id],MATCH("glmp",Tabel1342323[GLMP/SKMP?],0),1),"glmp",""),IF(E29=INDEX(Tabel1342323[ga_id],MATCH("glmp",Tabel1342323[GLMP/SKMP?],0),1),"glmp","")))</f>
        <v/>
      </c>
      <c r="D29" s="14" t="str">
        <f>IF(AND(F29&lt;&gt;"null",F29&lt;&gt;""),IF(F29=INDEX(Tabel1342323[es_id],MATCH("skmp",Tabel1342323[GLMP/SKMP?],0),1),"skmp",""),IF(AND(G29&lt;&gt;"null",G29&lt;&gt;""),IF(G29=INDEX(Tabel1342323[brp_id],MATCH("skmp",Tabel1342323[GLMP/SKMP?],0),1),"skmp",""),IF(E29=INDEX(Tabel1342323[ga_id],MATCH("skmp",Tabel1342323[GLMP/SKMP?],0),1),"skmp","")))</f>
        <v/>
      </c>
      <c r="E29" s="21" t="str">
        <f t="shared" si="0"/>
        <v/>
      </c>
      <c r="F29" s="21" t="str">
        <f t="shared" si="1"/>
        <v/>
      </c>
      <c r="G29" s="21" t="str">
        <f>IF(B$1="ga",IF(E29="","","null"),IF(B$1="ga_es",IF(F29="","","null"),IF(B$1="ga_brp",IF(X9=0,"",X9),IF(F29="","",INDEX(Tabel1342323[brp_id],MATCH(F29,Tabel1342323[es_id],0),1)))))</f>
        <v/>
      </c>
      <c r="H29" s="23" t="str">
        <f t="shared" si="2"/>
        <v/>
      </c>
      <c r="I29" s="8">
        <f>IF(B$2&lt;&gt;"production",IF(OR(B$1="ga_es",B$1="ga_brp_es"),SUMIFS(Tabel1342323[Total/hour],Tabel1342323[es_id],F29,Tabel1342323[settlement_method],Y$2),IF(B$1="ga_brp",SUMIFS(Tabel1342323[Total/hour],Tabel1342323[brp_id],G29,Tabel1342323[settlement_method],Y$2),SUMIFS(Tabel1342323[Total/hour],Tabel1342323[ga_id],E29,Tabel1342323[settlement_method],Y$2))),IF(OR(B$1="ga_es",B$1="ga_brp_es"),SUMIFS(Tabel1342323[Total/hour],Tabel1342323[es_id],F29,Tabel1342323[type],Y$2),IF(B$1="ga_brp",SUMIFS(Tabel1342323[Total/hour],Tabel1342323[brp_id],G29,Tabel1342323[type],Y$2),SUMIFS(Tabel1342323[Total/hour],Tabel1342323[ga_id],E29,Tabel1342323[type],Y$2))))</f>
        <v>0</v>
      </c>
      <c r="J29" s="8">
        <f t="shared" si="3"/>
        <v>0</v>
      </c>
      <c r="L29" s="2"/>
      <c r="R29" s="2"/>
      <c r="V29" s="2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C30" s="14" t="str">
        <f>IF(AND(F30&lt;&gt;"null",F30&lt;&gt;""),IF(F30=INDEX(Tabel1342323[es_id],MATCH("glmp",Tabel1342323[GLMP/SKMP?],0),1),"glmp",""),IF(AND(G30&lt;&gt;"null",G30&lt;&gt;""),IF(G30=INDEX(Tabel1342323[brp_id],MATCH("glmp",Tabel1342323[GLMP/SKMP?],0),1),"glmp",""),IF(E30=INDEX(Tabel1342323[ga_id],MATCH("glmp",Tabel1342323[GLMP/SKMP?],0),1),"glmp","")))</f>
        <v/>
      </c>
      <c r="D30" s="14" t="str">
        <f>IF(AND(F30&lt;&gt;"null",F30&lt;&gt;""),IF(F30=INDEX(Tabel1342323[es_id],MATCH("skmp",Tabel1342323[GLMP/SKMP?],0),1),"skmp",""),IF(AND(G30&lt;&gt;"null",G30&lt;&gt;""),IF(G30=INDEX(Tabel1342323[brp_id],MATCH("skmp",Tabel1342323[GLMP/SKMP?],0),1),"skmp",""),IF(E30=INDEX(Tabel1342323[ga_id],MATCH("skmp",Tabel1342323[GLMP/SKMP?],0),1),"skmp","")))</f>
        <v/>
      </c>
      <c r="E30" s="21" t="str">
        <f t="shared" si="0"/>
        <v/>
      </c>
      <c r="F30" s="21" t="str">
        <f t="shared" si="1"/>
        <v/>
      </c>
      <c r="G30" s="21" t="str">
        <f>IF(B$1="ga",IF(E30="","","null"),IF(B$1="ga_es",IF(F30="","","null"),IF(B$1="ga_brp",IF(X10=0,"",X10),IF(F30="","",INDEX(Tabel1342323[brp_id],MATCH(F30,Tabel1342323[es_id],0),1)))))</f>
        <v/>
      </c>
      <c r="H30" s="23" t="str">
        <f t="shared" si="2"/>
        <v/>
      </c>
      <c r="I30" s="8">
        <f>IF(B$2&lt;&gt;"production",IF(OR(B$1="ga_es",B$1="ga_brp_es"),SUMIFS(Tabel1342323[Total/hour],Tabel1342323[es_id],F30,Tabel1342323[settlement_method],Y$2),IF(B$1="ga_brp",SUMIFS(Tabel1342323[Total/hour],Tabel1342323[brp_id],G30,Tabel1342323[settlement_method],Y$2),SUMIFS(Tabel1342323[Total/hour],Tabel1342323[ga_id],E30,Tabel1342323[settlement_method],Y$2))),IF(OR(B$1="ga_es",B$1="ga_brp_es"),SUMIFS(Tabel1342323[Total/hour],Tabel1342323[es_id],F30,Tabel1342323[type],Y$2),IF(B$1="ga_brp",SUMIFS(Tabel1342323[Total/hour],Tabel1342323[brp_id],G30,Tabel1342323[type],Y$2),SUMIFS(Tabel1342323[Total/hour],Tabel1342323[ga_id],E30,Tabel1342323[type],Y$2))))</f>
        <v>0</v>
      </c>
      <c r="J30" s="8">
        <f t="shared" si="3"/>
        <v>0</v>
      </c>
      <c r="L30" s="2"/>
      <c r="R30" s="2"/>
      <c r="V30" s="2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C31" s="14" t="str">
        <f>IF(AND(F31&lt;&gt;"null",F31&lt;&gt;""),IF(F31=INDEX(Tabel1342323[es_id],MATCH("glmp",Tabel1342323[GLMP/SKMP?],0),1),"glmp",""),IF(AND(G31&lt;&gt;"null",G31&lt;&gt;""),IF(G31=INDEX(Tabel1342323[brp_id],MATCH("glmp",Tabel1342323[GLMP/SKMP?],0),1),"glmp",""),IF(E31=INDEX(Tabel1342323[ga_id],MATCH("glmp",Tabel1342323[GLMP/SKMP?],0),1),"glmp","")))</f>
        <v/>
      </c>
      <c r="D31" s="14" t="str">
        <f>IF(AND(F31&lt;&gt;"null",F31&lt;&gt;""),IF(F31=INDEX(Tabel1342323[es_id],MATCH("skmp",Tabel1342323[GLMP/SKMP?],0),1),"skmp",""),IF(AND(G31&lt;&gt;"null",G31&lt;&gt;""),IF(G31=INDEX(Tabel1342323[brp_id],MATCH("skmp",Tabel1342323[GLMP/SKMP?],0),1),"skmp",""),IF(E31=INDEX(Tabel1342323[ga_id],MATCH("skmp",Tabel1342323[GLMP/SKMP?],0),1),"skmp","")))</f>
        <v/>
      </c>
      <c r="E31" s="21" t="str">
        <f t="shared" si="0"/>
        <v/>
      </c>
      <c r="F31" s="21" t="str">
        <f t="shared" si="1"/>
        <v/>
      </c>
      <c r="G31" s="21" t="str">
        <f>IF(B$1="ga",IF(E31="","","null"),IF(B$1="ga_es",IF(F31="","","null"),IF(B$1="ga_brp",IF(X11=0,"",X11),IF(F31="","",INDEX(Tabel1342323[brp_id],MATCH(F31,Tabel1342323[es_id],0),1)))))</f>
        <v/>
      </c>
      <c r="H31" s="23" t="str">
        <f t="shared" si="2"/>
        <v/>
      </c>
      <c r="I31" s="8">
        <f>IF(B$2&lt;&gt;"production",IF(OR(B$1="ga_es",B$1="ga_brp_es"),SUMIFS(Tabel1342323[Total/hour],Tabel1342323[es_id],F31,Tabel1342323[settlement_method],Y$2),IF(B$1="ga_brp",SUMIFS(Tabel1342323[Total/hour],Tabel1342323[brp_id],G31,Tabel1342323[settlement_method],Y$2),SUMIFS(Tabel1342323[Total/hour],Tabel1342323[ga_id],E31,Tabel1342323[settlement_method],Y$2))),IF(OR(B$1="ga_es",B$1="ga_brp_es"),SUMIFS(Tabel1342323[Total/hour],Tabel1342323[es_id],F31,Tabel1342323[type],Y$2),IF(B$1="ga_brp",SUMIFS(Tabel1342323[Total/hour],Tabel1342323[brp_id],G31,Tabel1342323[type],Y$2),SUMIFS(Tabel1342323[Total/hour],Tabel1342323[ga_id],E31,Tabel1342323[type],Y$2))))</f>
        <v>0</v>
      </c>
      <c r="J31" s="8">
        <f t="shared" si="3"/>
        <v>0</v>
      </c>
      <c r="L31" s="2"/>
      <c r="R31" s="2"/>
      <c r="V31" s="2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C32" s="14" t="str">
        <f>IF(AND(F32&lt;&gt;"null",F32&lt;&gt;""),IF(F32=INDEX(Tabel1342323[es_id],MATCH("glmp",Tabel1342323[GLMP/SKMP?],0),1),"glmp",""),IF(AND(G32&lt;&gt;"null",G32&lt;&gt;""),IF(G32=INDEX(Tabel1342323[brp_id],MATCH("glmp",Tabel1342323[GLMP/SKMP?],0),1),"glmp",""),IF(E32=INDEX(Tabel1342323[ga_id],MATCH("glmp",Tabel1342323[GLMP/SKMP?],0),1),"glmp","")))</f>
        <v/>
      </c>
      <c r="D32" s="14" t="str">
        <f>IF(AND(F32&lt;&gt;"null",F32&lt;&gt;""),IF(F32=INDEX(Tabel1342323[es_id],MATCH("skmp",Tabel1342323[GLMP/SKMP?],0),1),"skmp",""),IF(AND(G32&lt;&gt;"null",G32&lt;&gt;""),IF(G32=INDEX(Tabel1342323[brp_id],MATCH("skmp",Tabel1342323[GLMP/SKMP?],0),1),"skmp",""),IF(E32=INDEX(Tabel1342323[ga_id],MATCH("skmp",Tabel1342323[GLMP/SKMP?],0),1),"skmp","")))</f>
        <v/>
      </c>
      <c r="E32" s="21" t="str">
        <f t="shared" si="0"/>
        <v/>
      </c>
      <c r="F32" s="21" t="str">
        <f t="shared" si="1"/>
        <v/>
      </c>
      <c r="G32" s="21" t="str">
        <f>IF(B$1="ga",IF(E32="","","null"),IF(B$1="ga_es",IF(F32="","","null"),IF(B$1="ga_brp",IF(X12=0,"",X12),IF(F32="","",INDEX(Tabel1342323[brp_id],MATCH(F32,Tabel1342323[es_id],0),1)))))</f>
        <v/>
      </c>
      <c r="H32" s="23" t="str">
        <f t="shared" si="2"/>
        <v/>
      </c>
      <c r="I32" s="8">
        <f>IF(B$2&lt;&gt;"production",IF(OR(B$1="ga_es",B$1="ga_brp_es"),SUMIFS(Tabel1342323[Total/hour],Tabel1342323[es_id],F32,Tabel1342323[settlement_method],Y$2),IF(B$1="ga_brp",SUMIFS(Tabel1342323[Total/hour],Tabel1342323[brp_id],G32,Tabel1342323[settlement_method],Y$2),SUMIFS(Tabel1342323[Total/hour],Tabel1342323[ga_id],E32,Tabel1342323[settlement_method],Y$2))),IF(OR(B$1="ga_es",B$1="ga_brp_es"),SUMIFS(Tabel1342323[Total/hour],Tabel1342323[es_id],F32,Tabel1342323[type],Y$2),IF(B$1="ga_brp",SUMIFS(Tabel1342323[Total/hour],Tabel1342323[brp_id],G32,Tabel1342323[type],Y$2),SUMIFS(Tabel1342323[Total/hour],Tabel1342323[ga_id],E32,Tabel1342323[type],Y$2))))</f>
        <v>0</v>
      </c>
      <c r="J32" s="8">
        <f t="shared" si="3"/>
        <v>0</v>
      </c>
      <c r="L32" s="2"/>
      <c r="V32" s="2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C33" s="14" t="str">
        <f>IF(AND(F33&lt;&gt;"null",F33&lt;&gt;""),IF(F33=INDEX(Tabel1342323[es_id],MATCH("glmp",Tabel1342323[GLMP/SKMP?],0),1),"glmp",""),IF(AND(G33&lt;&gt;"null",G33&lt;&gt;""),IF(G33=INDEX(Tabel1342323[brp_id],MATCH("glmp",Tabel1342323[GLMP/SKMP?],0),1),"glmp",""),IF(E33=INDEX(Tabel1342323[ga_id],MATCH("glmp",Tabel1342323[GLMP/SKMP?],0),1),"glmp","")))</f>
        <v/>
      </c>
      <c r="D33" s="14" t="str">
        <f>IF(AND(F33&lt;&gt;"null",F33&lt;&gt;""),IF(F33=INDEX(Tabel1342323[es_id],MATCH("skmp",Tabel1342323[GLMP/SKMP?],0),1),"skmp",""),IF(AND(G33&lt;&gt;"null",G33&lt;&gt;""),IF(G33=INDEX(Tabel1342323[brp_id],MATCH("skmp",Tabel1342323[GLMP/SKMP?],0),1),"skmp",""),IF(E33=INDEX(Tabel1342323[ga_id],MATCH("skmp",Tabel1342323[GLMP/SKMP?],0),1),"skmp","")))</f>
        <v/>
      </c>
      <c r="E33" s="21" t="str">
        <f t="shared" si="0"/>
        <v/>
      </c>
      <c r="F33" s="21" t="str">
        <f t="shared" si="1"/>
        <v/>
      </c>
      <c r="G33" s="21" t="str">
        <f>IF(B$1="ga",IF(E33="","","null"),IF(B$1="ga_es",IF(F33="","","null"),IF(B$1="ga_brp",IF(X13=0,"",X13),IF(F33="","",INDEX(Tabel1342323[brp_id],MATCH(F33,Tabel1342323[es_id],0),1)))))</f>
        <v/>
      </c>
      <c r="H33" s="23" t="str">
        <f t="shared" si="2"/>
        <v/>
      </c>
      <c r="I33" s="8">
        <f>IF(B$2&lt;&gt;"production",IF(OR(B$1="ga_es",B$1="ga_brp_es"),SUMIFS(Tabel1342323[Total/hour],Tabel1342323[es_id],F33,Tabel1342323[settlement_method],Y$2),IF(B$1="ga_brp",SUMIFS(Tabel1342323[Total/hour],Tabel1342323[brp_id],G33,Tabel1342323[settlement_method],Y$2),SUMIFS(Tabel1342323[Total/hour],Tabel1342323[ga_id],E33,Tabel1342323[settlement_method],Y$2))),IF(OR(B$1="ga_es",B$1="ga_brp_es"),SUMIFS(Tabel1342323[Total/hour],Tabel1342323[es_id],F33,Tabel1342323[type],Y$2),IF(B$1="ga_brp",SUMIFS(Tabel1342323[Total/hour],Tabel1342323[brp_id],G33,Tabel1342323[type],Y$2),SUMIFS(Tabel1342323[Total/hour],Tabel1342323[ga_id],E33,Tabel1342323[type],Y$2))))</f>
        <v>0</v>
      </c>
      <c r="J33" s="8">
        <f t="shared" si="3"/>
        <v>0</v>
      </c>
      <c r="L33" s="2"/>
      <c r="V33" s="2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C34" s="14" t="str">
        <f>IF(AND(F34&lt;&gt;"null",F34&lt;&gt;""),IF(F34=INDEX(Tabel1342323[es_id],MATCH("glmp",Tabel1342323[GLMP/SKMP?],0),1),"glmp",""),IF(AND(G34&lt;&gt;"null",G34&lt;&gt;""),IF(G34=INDEX(Tabel1342323[brp_id],MATCH("glmp",Tabel1342323[GLMP/SKMP?],0),1),"glmp",""),IF(E34=INDEX(Tabel1342323[ga_id],MATCH("glmp",Tabel1342323[GLMP/SKMP?],0),1),"glmp","")))</f>
        <v/>
      </c>
      <c r="D34" s="14" t="str">
        <f>IF(AND(F34&lt;&gt;"null",F34&lt;&gt;""),IF(F34=INDEX(Tabel1342323[es_id],MATCH("skmp",Tabel1342323[GLMP/SKMP?],0),1),"skmp",""),IF(AND(G34&lt;&gt;"null",G34&lt;&gt;""),IF(G34=INDEX(Tabel1342323[brp_id],MATCH("skmp",Tabel1342323[GLMP/SKMP?],0),1),"skmp",""),IF(E34=INDEX(Tabel1342323[ga_id],MATCH("skmp",Tabel1342323[GLMP/SKMP?],0),1),"skmp","")))</f>
        <v/>
      </c>
      <c r="E34" s="21" t="str">
        <f t="shared" si="0"/>
        <v/>
      </c>
      <c r="F34" s="21" t="str">
        <f t="shared" si="1"/>
        <v/>
      </c>
      <c r="G34" s="21" t="str">
        <f>IF(B$1="ga",IF(E34="","","null"),IF(B$1="ga_es",IF(F34="","","null"),IF(B$1="ga_brp",IF(X14=0,"",X14),IF(F34="","",INDEX(Tabel1342323[brp_id],MATCH(F34,Tabel1342323[es_id],0),1)))))</f>
        <v/>
      </c>
      <c r="H34" s="23" t="str">
        <f t="shared" si="2"/>
        <v/>
      </c>
      <c r="I34" s="8">
        <f>IF(B$2&lt;&gt;"production",IF(OR(B$1="ga_es",B$1="ga_brp_es"),SUMIFS(Tabel1342323[Total/hour],Tabel1342323[es_id],F34,Tabel1342323[settlement_method],Y$2),IF(B$1="ga_brp",SUMIFS(Tabel1342323[Total/hour],Tabel1342323[brp_id],G34,Tabel1342323[settlement_method],Y$2),SUMIFS(Tabel1342323[Total/hour],Tabel1342323[ga_id],E34,Tabel1342323[settlement_method],Y$2))),IF(OR(B$1="ga_es",B$1="ga_brp_es"),SUMIFS(Tabel1342323[Total/hour],Tabel1342323[es_id],F34,Tabel1342323[type],Y$2),IF(B$1="ga_brp",SUMIFS(Tabel1342323[Total/hour],Tabel1342323[brp_id],G34,Tabel1342323[type],Y$2),SUMIFS(Tabel1342323[Total/hour],Tabel1342323[ga_id],E34,Tabel1342323[type],Y$2))))</f>
        <v>0</v>
      </c>
      <c r="J34" s="8">
        <f t="shared" si="3"/>
        <v>0</v>
      </c>
      <c r="L34" s="2"/>
      <c r="V34" s="2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C35" s="14" t="str">
        <f>IF(AND(F35&lt;&gt;"null",F35&lt;&gt;""),IF(F35=INDEX(Tabel1342323[es_id],MATCH("glmp",Tabel1342323[GLMP/SKMP?],0),1),"glmp",""),IF(AND(G35&lt;&gt;"null",G35&lt;&gt;""),IF(G35=INDEX(Tabel1342323[brp_id],MATCH("glmp",Tabel1342323[GLMP/SKMP?],0),1),"glmp",""),IF(E35=INDEX(Tabel1342323[ga_id],MATCH("glmp",Tabel1342323[GLMP/SKMP?],0),1),"glmp","")))</f>
        <v/>
      </c>
      <c r="D35" s="14" t="str">
        <f>IF(AND(F35&lt;&gt;"null",F35&lt;&gt;""),IF(F35=INDEX(Tabel1342323[es_id],MATCH("skmp",Tabel1342323[GLMP/SKMP?],0),1),"skmp",""),IF(AND(G35&lt;&gt;"null",G35&lt;&gt;""),IF(G35=INDEX(Tabel1342323[brp_id],MATCH("skmp",Tabel1342323[GLMP/SKMP?],0),1),"skmp",""),IF(E35=INDEX(Tabel1342323[ga_id],MATCH("skmp",Tabel1342323[GLMP/SKMP?],0),1),"skmp","")))</f>
        <v/>
      </c>
      <c r="E35" s="21" t="str">
        <f t="shared" si="0"/>
        <v/>
      </c>
      <c r="F35" s="21" t="str">
        <f t="shared" si="1"/>
        <v/>
      </c>
      <c r="G35" s="21" t="str">
        <f>IF(B$1="ga",IF(E35="","","null"),IF(B$1="ga_es",IF(F35="","","null"),IF(B$1="ga_brp",IF(X15=0,"",X15),IF(F35="","",INDEX(Tabel1342323[brp_id],MATCH(F35,Tabel1342323[es_id],0),1)))))</f>
        <v/>
      </c>
      <c r="H35" s="23" t="str">
        <f t="shared" si="2"/>
        <v/>
      </c>
      <c r="I35" s="8">
        <f>IF(B$2&lt;&gt;"production",IF(OR(B$1="ga_es",B$1="ga_brp_es"),SUMIFS(Tabel1342323[Total/hour],Tabel1342323[es_id],F35,Tabel1342323[settlement_method],Y$2),IF(B$1="ga_brp",SUMIFS(Tabel1342323[Total/hour],Tabel1342323[brp_id],G35,Tabel1342323[settlement_method],Y$2),SUMIFS(Tabel1342323[Total/hour],Tabel1342323[ga_id],E35,Tabel1342323[settlement_method],Y$2))),IF(OR(B$1="ga_es",B$1="ga_brp_es"),SUMIFS(Tabel1342323[Total/hour],Tabel1342323[es_id],F35,Tabel1342323[type],Y$2),IF(B$1="ga_brp",SUMIFS(Tabel1342323[Total/hour],Tabel1342323[brp_id],G35,Tabel1342323[type],Y$2),SUMIFS(Tabel1342323[Total/hour],Tabel1342323[ga_id],E35,Tabel1342323[type],Y$2))))</f>
        <v>0</v>
      </c>
      <c r="J35" s="8">
        <f t="shared" si="3"/>
        <v>0</v>
      </c>
      <c r="L35" s="2"/>
      <c r="V35" s="25"/>
      <c r="W35" s="25" t="s">
        <v>53</v>
      </c>
      <c r="X35" s="25" t="s">
        <v>54</v>
      </c>
      <c r="Y35" s="25"/>
      <c r="Z35" s="24"/>
      <c r="AA35" s="17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C36" s="14" t="str">
        <f>IF(AND(F36&lt;&gt;"null",F36&lt;&gt;""),IF(F36=INDEX(Tabel1342323[es_id],MATCH("glmp",Tabel1342323[GLMP/SKMP?],0),1),"glmp",""),IF(AND(G36&lt;&gt;"null",G36&lt;&gt;""),IF(G36=INDEX(Tabel1342323[brp_id],MATCH("glmp",Tabel1342323[GLMP/SKMP?],0),1),"glmp",""),IF(E36=INDEX(Tabel1342323[ga_id],MATCH("glmp",Tabel1342323[GLMP/SKMP?],0),1),"glmp","")))</f>
        <v/>
      </c>
      <c r="D36" s="14" t="str">
        <f>IF(AND(F36&lt;&gt;"null",F36&lt;&gt;""),IF(F36=INDEX(Tabel1342323[es_id],MATCH("skmp",Tabel1342323[GLMP/SKMP?],0),1),"skmp",""),IF(AND(G36&lt;&gt;"null",G36&lt;&gt;""),IF(G36=INDEX(Tabel1342323[brp_id],MATCH("skmp",Tabel1342323[GLMP/SKMP?],0),1),"skmp",""),IF(E36=INDEX(Tabel1342323[ga_id],MATCH("skmp",Tabel1342323[GLMP/SKMP?],0),1),"skmp","")))</f>
        <v/>
      </c>
      <c r="E36" s="21" t="str">
        <f t="shared" si="0"/>
        <v/>
      </c>
      <c r="F36" s="21" t="str">
        <f t="shared" si="1"/>
        <v/>
      </c>
      <c r="G36" s="21" t="str">
        <f>IF(B$1="ga",IF(E36="","","null"),IF(B$1="ga_es",IF(F36="","","null"),IF(B$1="ga_brp",IF(X16=0,"",X16),IF(F36="","",INDEX(Tabel1342323[brp_id],MATCH(F36,Tabel1342323[es_id],0),1)))))</f>
        <v/>
      </c>
      <c r="H36" s="23" t="str">
        <f t="shared" si="2"/>
        <v/>
      </c>
      <c r="I36" s="8">
        <f>IF(B$2&lt;&gt;"production",IF(OR(B$1="ga_es",B$1="ga_brp_es"),SUMIFS(Tabel1342323[Total/hour],Tabel1342323[es_id],F36,Tabel1342323[settlement_method],Y$2),IF(B$1="ga_brp",SUMIFS(Tabel1342323[Total/hour],Tabel1342323[brp_id],G36,Tabel1342323[settlement_method],Y$2),SUMIFS(Tabel1342323[Total/hour],Tabel1342323[ga_id],E36,Tabel1342323[settlement_method],Y$2))),IF(OR(B$1="ga_es",B$1="ga_brp_es"),SUMIFS(Tabel1342323[Total/hour],Tabel1342323[es_id],F36,Tabel1342323[type],Y$2),IF(B$1="ga_brp",SUMIFS(Tabel1342323[Total/hour],Tabel1342323[brp_id],G36,Tabel1342323[type],Y$2),SUMIFS(Tabel1342323[Total/hour],Tabel1342323[ga_id],E36,Tabel1342323[type],Y$2))))</f>
        <v>0</v>
      </c>
      <c r="J36" s="8">
        <f t="shared" si="3"/>
        <v>0</v>
      </c>
      <c r="L36" s="2"/>
      <c r="V36" s="25"/>
      <c r="W36" s="25" t="str" cm="1">
        <f t="array" ref="W36:W38">_xlfn._xlws.SORT(_xlfn.UNIQUE(_xlfn._xlws.FILTER(Tabel1342323[es_id],Tabel1342323[es_id] &lt;&gt; "")))</f>
        <v>1000000000000</v>
      </c>
      <c r="X36" s="25" t="str" cm="1">
        <f t="array" ref="X36:X38">_xlfn._xlws.SORT(_xlfn.UNIQUE(_xlfn._xlws.FILTER(Tabel1342323[brp_id],Tabel1342323[brp_id] &lt;&gt; "")))</f>
        <v>1100000000000</v>
      </c>
      <c r="Y36" s="25"/>
      <c r="Z36" s="24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C37" s="14" t="str">
        <f>IF(AND(F37&lt;&gt;"null",F37&lt;&gt;""),IF(F37=INDEX(Tabel1342323[es_id],MATCH("glmp",Tabel1342323[GLMP/SKMP?],0),1),"glmp",""),IF(AND(G37&lt;&gt;"null",G37&lt;&gt;""),IF(G37=INDEX(Tabel1342323[brp_id],MATCH("glmp",Tabel1342323[GLMP/SKMP?],0),1),"glmp",""),IF(E37=INDEX(Tabel1342323[ga_id],MATCH("glmp",Tabel1342323[GLMP/SKMP?],0),1),"glmp","")))</f>
        <v/>
      </c>
      <c r="D37" s="14" t="str">
        <f>IF(AND(F37&lt;&gt;"null",F37&lt;&gt;""),IF(F37=INDEX(Tabel1342323[es_id],MATCH("skmp",Tabel1342323[GLMP/SKMP?],0),1),"skmp",""),IF(AND(G37&lt;&gt;"null",G37&lt;&gt;""),IF(G37=INDEX(Tabel1342323[brp_id],MATCH("skmp",Tabel1342323[GLMP/SKMP?],0),1),"skmp",""),IF(E37=INDEX(Tabel1342323[ga_id],MATCH("skmp",Tabel1342323[GLMP/SKMP?],0),1),"skmp","")))</f>
        <v/>
      </c>
      <c r="E37" s="21" t="str">
        <f t="shared" si="0"/>
        <v/>
      </c>
      <c r="F37" s="21" t="str">
        <f t="shared" si="1"/>
        <v/>
      </c>
      <c r="G37" s="21" t="str">
        <f>IF(B$1="ga",IF(E37="","","null"),IF(B$1="ga_es",IF(F37="","","null"),IF(B$1="ga_brp",IF(X17=0,"",X17),IF(F37="","",INDEX(Tabel1342323[brp_id],MATCH(F37,Tabel1342323[es_id],0),1)))))</f>
        <v/>
      </c>
      <c r="H37" s="23" t="str">
        <f t="shared" si="2"/>
        <v/>
      </c>
      <c r="I37" s="8">
        <f>IF(B$2&lt;&gt;"production",IF(OR(B$1="ga_es",B$1="ga_brp_es"),SUMIFS(Tabel1342323[Total/hour],Tabel1342323[es_id],F37,Tabel1342323[settlement_method],Y$2),IF(B$1="ga_brp",SUMIFS(Tabel1342323[Total/hour],Tabel1342323[brp_id],G37,Tabel1342323[settlement_method],Y$2),SUMIFS(Tabel1342323[Total/hour],Tabel1342323[ga_id],E37,Tabel1342323[settlement_method],Y$2))),IF(OR(B$1="ga_es",B$1="ga_brp_es"),SUMIFS(Tabel1342323[Total/hour],Tabel1342323[es_id],F37,Tabel1342323[type],Y$2),IF(B$1="ga_brp",SUMIFS(Tabel1342323[Total/hour],Tabel1342323[brp_id],G37,Tabel1342323[type],Y$2),SUMIFS(Tabel1342323[Total/hour],Tabel1342323[ga_id],E37,Tabel1342323[type],Y$2))))</f>
        <v>0</v>
      </c>
      <c r="J37" s="8">
        <f t="shared" si="3"/>
        <v>0</v>
      </c>
      <c r="L37" s="2"/>
      <c r="V37" s="25"/>
      <c r="W37" s="25" t="str">
        <v>2000000000000</v>
      </c>
      <c r="X37" s="25" t="str">
        <v>2200000000000</v>
      </c>
      <c r="Y37" s="25"/>
      <c r="Z37" s="25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C38" s="14" t="str">
        <f>IF(AND(F38&lt;&gt;"null",F38&lt;&gt;""),IF(F38=INDEX(Tabel1342323[es_id],MATCH("glmp",Tabel1342323[GLMP/SKMP?],0),1),"glmp",""),IF(AND(G38&lt;&gt;"null",G38&lt;&gt;""),IF(G38=INDEX(Tabel1342323[brp_id],MATCH("glmp",Tabel1342323[GLMP/SKMP?],0),1),"glmp",""),IF(E38=INDEX(Tabel1342323[ga_id],MATCH("glmp",Tabel1342323[GLMP/SKMP?],0),1),"glmp","")))</f>
        <v/>
      </c>
      <c r="D38" s="14" t="str">
        <f>IF(AND(F38&lt;&gt;"null",F38&lt;&gt;""),IF(F38=INDEX(Tabel1342323[es_id],MATCH("skmp",Tabel1342323[GLMP/SKMP?],0),1),"skmp",""),IF(AND(G38&lt;&gt;"null",G38&lt;&gt;""),IF(G38=INDEX(Tabel1342323[brp_id],MATCH("skmp",Tabel1342323[GLMP/SKMP?],0),1),"skmp",""),IF(E38=INDEX(Tabel1342323[ga_id],MATCH("skmp",Tabel1342323[GLMP/SKMP?],0),1),"skmp","")))</f>
        <v/>
      </c>
      <c r="E38" s="21" t="str">
        <f t="shared" si="0"/>
        <v/>
      </c>
      <c r="F38" s="21" t="str">
        <f t="shared" si="1"/>
        <v/>
      </c>
      <c r="G38" s="21" t="str">
        <f>IF(B$1="ga",IF(E38="","","null"),IF(B$1="ga_es",IF(F38="","","null"),IF(B$1="ga_brp",IF(X18=0,"",X18),IF(F38="","",INDEX(Tabel1342323[brp_id],MATCH(F38,Tabel1342323[es_id],0),1)))))</f>
        <v/>
      </c>
      <c r="H38" s="23" t="str">
        <f t="shared" si="2"/>
        <v/>
      </c>
      <c r="I38" s="8">
        <f>IF(B$2&lt;&gt;"production",IF(OR(B$1="ga_es",B$1="ga_brp_es"),SUMIFS(Tabel1342323[Total/hour],Tabel1342323[es_id],F38,Tabel1342323[settlement_method],Y$2),IF(B$1="ga_brp",SUMIFS(Tabel1342323[Total/hour],Tabel1342323[brp_id],G38,Tabel1342323[settlement_method],Y$2),SUMIFS(Tabel1342323[Total/hour],Tabel1342323[ga_id],E38,Tabel1342323[settlement_method],Y$2))),IF(OR(B$1="ga_es",B$1="ga_brp_es"),SUMIFS(Tabel1342323[Total/hour],Tabel1342323[es_id],F38,Tabel1342323[type],Y$2),IF(B$1="ga_brp",SUMIFS(Tabel1342323[Total/hour],Tabel1342323[brp_id],G38,Tabel1342323[type],Y$2),SUMIFS(Tabel1342323[Total/hour],Tabel1342323[ga_id],E38,Tabel1342323[type],Y$2))))</f>
        <v>0</v>
      </c>
      <c r="J38" s="8">
        <f t="shared" si="3"/>
        <v>0</v>
      </c>
      <c r="L38" s="2"/>
      <c r="V38" s="25"/>
      <c r="W38" s="25" t="str">
        <v>3000000000000</v>
      </c>
      <c r="X38" s="25" t="str">
        <v>3300000000000</v>
      </c>
      <c r="Y38" s="25"/>
      <c r="Z38" s="25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C39" s="14" t="str">
        <f>IF(AND(F39&lt;&gt;"null",F39&lt;&gt;""),IF(F39=INDEX(Tabel1342323[es_id],MATCH("glmp",Tabel1342323[GLMP/SKMP?],0),1),"glmp",""),IF(AND(G39&lt;&gt;"null",G39&lt;&gt;""),IF(G39=INDEX(Tabel1342323[brp_id],MATCH("glmp",Tabel1342323[GLMP/SKMP?],0),1),"glmp",""),IF(E39=INDEX(Tabel1342323[ga_id],MATCH("glmp",Tabel1342323[GLMP/SKMP?],0),1),"glmp","")))</f>
        <v/>
      </c>
      <c r="D39" s="14" t="str">
        <f>IF(AND(F39&lt;&gt;"null",F39&lt;&gt;""),IF(F39=INDEX(Tabel1342323[es_id],MATCH("skmp",Tabel1342323[GLMP/SKMP?],0),1),"skmp",""),IF(AND(G39&lt;&gt;"null",G39&lt;&gt;""),IF(G39=INDEX(Tabel1342323[brp_id],MATCH("skmp",Tabel1342323[GLMP/SKMP?],0),1),"skmp",""),IF(E39=INDEX(Tabel1342323[ga_id],MATCH("skmp",Tabel1342323[GLMP/SKMP?],0),1),"skmp","")))</f>
        <v/>
      </c>
      <c r="E39" s="21" t="str">
        <f t="shared" si="0"/>
        <v/>
      </c>
      <c r="F39" s="21" t="str">
        <f t="shared" si="1"/>
        <v/>
      </c>
      <c r="G39" s="21" t="str">
        <f>IF(B$1="ga",IF(E39="","","null"),IF(B$1="ga_es",IF(F39="","","null"),IF(B$1="ga_brp",IF(X19=0,"",X19),IF(F39="","",INDEX(Tabel1342323[brp_id],MATCH(F39,Tabel1342323[es_id],0),1)))))</f>
        <v/>
      </c>
      <c r="H39" s="23" t="str">
        <f t="shared" si="2"/>
        <v/>
      </c>
      <c r="I39" s="8">
        <f>IF(B$2&lt;&gt;"production",IF(OR(B$1="ga_es",B$1="ga_brp_es"),SUMIFS(Tabel1342323[Total/hour],Tabel1342323[es_id],F39,Tabel1342323[settlement_method],Y$2),IF(B$1="ga_brp",SUMIFS(Tabel1342323[Total/hour],Tabel1342323[brp_id],G39,Tabel1342323[settlement_method],Y$2),SUMIFS(Tabel1342323[Total/hour],Tabel1342323[ga_id],E39,Tabel1342323[settlement_method],Y$2))),IF(OR(B$1="ga_es",B$1="ga_brp_es"),SUMIFS(Tabel1342323[Total/hour],Tabel1342323[es_id],F39,Tabel1342323[type],Y$2),IF(B$1="ga_brp",SUMIFS(Tabel1342323[Total/hour],Tabel1342323[brp_id],G39,Tabel1342323[type],Y$2),SUMIFS(Tabel1342323[Total/hour],Tabel1342323[ga_id],E39,Tabel1342323[type],Y$2))))</f>
        <v>0</v>
      </c>
      <c r="J39" s="8">
        <f t="shared" si="3"/>
        <v>0</v>
      </c>
      <c r="L39" s="2"/>
      <c r="V39" s="25"/>
      <c r="W39" s="25"/>
      <c r="X39" s="25"/>
      <c r="Y39" s="25"/>
      <c r="Z39" s="25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C40" s="14" t="str">
        <f>IF(AND(F40&lt;&gt;"null",F40&lt;&gt;""),IF(F40=INDEX(Tabel1342323[es_id],MATCH("glmp",Tabel1342323[GLMP/SKMP?],0),1),"glmp",""),IF(AND(G40&lt;&gt;"null",G40&lt;&gt;""),IF(G40=INDEX(Tabel1342323[brp_id],MATCH("glmp",Tabel1342323[GLMP/SKMP?],0),1),"glmp",""),IF(E40=INDEX(Tabel1342323[ga_id],MATCH("glmp",Tabel1342323[GLMP/SKMP?],0),1),"glmp","")))</f>
        <v/>
      </c>
      <c r="D40" s="14" t="str">
        <f>IF(AND(F40&lt;&gt;"null",F40&lt;&gt;""),IF(F40=INDEX(Tabel1342323[es_id],MATCH("skmp",Tabel1342323[GLMP/SKMP?],0),1),"skmp",""),IF(AND(G40&lt;&gt;"null",G40&lt;&gt;""),IF(G40=INDEX(Tabel1342323[brp_id],MATCH("skmp",Tabel1342323[GLMP/SKMP?],0),1),"skmp",""),IF(E40=INDEX(Tabel1342323[ga_id],MATCH("skmp",Tabel1342323[GLMP/SKMP?],0),1),"skmp","")))</f>
        <v/>
      </c>
      <c r="E40" s="21" t="str">
        <f t="shared" si="0"/>
        <v/>
      </c>
      <c r="F40" s="21" t="str">
        <f t="shared" si="1"/>
        <v/>
      </c>
      <c r="G40" s="21" t="str">
        <f>IF(B$1="ga",IF(E40="","","null"),IF(B$1="ga_es",IF(F40="","","null"),IF(B$1="ga_brp",IF(X20=0,"",X20),IF(F40="","",INDEX(Tabel1342323[brp_id],MATCH(F40,Tabel1342323[es_id],0),1)))))</f>
        <v/>
      </c>
      <c r="H40" s="23" t="str">
        <f t="shared" si="2"/>
        <v/>
      </c>
      <c r="I40" s="8">
        <f>IF(B$2&lt;&gt;"production",IF(OR(B$1="ga_es",B$1="ga_brp_es"),SUMIFS(Tabel1342323[Total/hour],Tabel1342323[es_id],F40,Tabel1342323[settlement_method],Y$2),IF(B$1="ga_brp",SUMIFS(Tabel1342323[Total/hour],Tabel1342323[brp_id],G40,Tabel1342323[settlement_method],Y$2),SUMIFS(Tabel1342323[Total/hour],Tabel1342323[ga_id],E40,Tabel1342323[settlement_method],Y$2))),IF(OR(B$1="ga_es",B$1="ga_brp_es"),SUMIFS(Tabel1342323[Total/hour],Tabel1342323[es_id],F40,Tabel1342323[type],Y$2),IF(B$1="ga_brp",SUMIFS(Tabel1342323[Total/hour],Tabel1342323[brp_id],G40,Tabel1342323[type],Y$2),SUMIFS(Tabel1342323[Total/hour],Tabel1342323[ga_id],E40,Tabel1342323[type],Y$2))))</f>
        <v>0</v>
      </c>
      <c r="J40" s="8">
        <f t="shared" si="3"/>
        <v>0</v>
      </c>
      <c r="L40" s="2"/>
      <c r="V40" s="25"/>
      <c r="W40" s="25"/>
      <c r="X40" s="25"/>
      <c r="Y40" s="25"/>
      <c r="Z40" s="25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C41" s="14" t="str">
        <f>IF(AND(F41&lt;&gt;"null",F41&lt;&gt;""),IF(F41=INDEX(Tabel1342323[es_id],MATCH("glmp",Tabel1342323[GLMP/SKMP?],0),1),"glmp",""),IF(AND(G41&lt;&gt;"null",G41&lt;&gt;""),IF(G41=INDEX(Tabel1342323[brp_id],MATCH("glmp",Tabel1342323[GLMP/SKMP?],0),1),"glmp",""),IF(E41=INDEX(Tabel1342323[ga_id],MATCH("glmp",Tabel1342323[GLMP/SKMP?],0),1),"glmp","")))</f>
        <v/>
      </c>
      <c r="D41" s="14" t="str">
        <f>IF(AND(F41&lt;&gt;"null",F41&lt;&gt;""),IF(F41=INDEX(Tabel1342323[es_id],MATCH("skmp",Tabel1342323[GLMP/SKMP?],0),1),"skmp",""),IF(AND(G41&lt;&gt;"null",G41&lt;&gt;""),IF(G41=INDEX(Tabel1342323[brp_id],MATCH("skmp",Tabel1342323[GLMP/SKMP?],0),1),"skmp",""),IF(E41=INDEX(Tabel1342323[ga_id],MATCH("skmp",Tabel1342323[GLMP/SKMP?],0),1),"skmp","")))</f>
        <v/>
      </c>
      <c r="E41" s="21" t="str">
        <f t="shared" si="0"/>
        <v/>
      </c>
      <c r="F41" s="21" t="str">
        <f t="shared" si="1"/>
        <v/>
      </c>
      <c r="G41" s="21" t="str">
        <f>IF(B$1="ga",IF(E41="","","null"),IF(B$1="ga_es",IF(F41="","","null"),IF(B$1="ga_brp",IF(X21=0,"",X21),IF(F41="","",INDEX(Tabel1342323[brp_id],MATCH(F41,Tabel1342323[es_id],0),1)))))</f>
        <v/>
      </c>
      <c r="H41" s="23" t="str">
        <f t="shared" si="2"/>
        <v/>
      </c>
      <c r="I41" s="8">
        <f>IF(B$2&lt;&gt;"production",IF(OR(B$1="ga_es",B$1="ga_brp_es"),SUMIFS(Tabel1342323[Total/hour],Tabel1342323[es_id],F41,Tabel1342323[settlement_method],Y$2),IF(B$1="ga_brp",SUMIFS(Tabel1342323[Total/hour],Tabel1342323[brp_id],G41,Tabel1342323[settlement_method],Y$2),SUMIFS(Tabel1342323[Total/hour],Tabel1342323[ga_id],E41,Tabel1342323[settlement_method],Y$2))),IF(OR(B$1="ga_es",B$1="ga_brp_es"),SUMIFS(Tabel1342323[Total/hour],Tabel1342323[es_id],F41,Tabel1342323[type],Y$2),IF(B$1="ga_brp",SUMIFS(Tabel1342323[Total/hour],Tabel1342323[brp_id],G41,Tabel1342323[type],Y$2),SUMIFS(Tabel1342323[Total/hour],Tabel1342323[ga_id],E41,Tabel1342323[type],Y$2))))</f>
        <v>0</v>
      </c>
      <c r="J41" s="8">
        <f t="shared" si="3"/>
        <v>0</v>
      </c>
      <c r="L41" s="2"/>
      <c r="V41" s="25"/>
      <c r="W41" s="24"/>
      <c r="X41" s="25"/>
      <c r="Y41" s="25"/>
      <c r="Z41" s="25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C42" s="14" t="str">
        <f>IF(AND(F42&lt;&gt;"null",F42&lt;&gt;""),IF(F42=INDEX(Tabel1342323[es_id],MATCH("glmp",Tabel1342323[GLMP/SKMP?],0),1),"glmp",""),IF(AND(G42&lt;&gt;"null",G42&lt;&gt;""),IF(G42=INDEX(Tabel1342323[brp_id],MATCH("glmp",Tabel1342323[GLMP/SKMP?],0),1),"glmp",""),IF(E42=INDEX(Tabel1342323[ga_id],MATCH("glmp",Tabel1342323[GLMP/SKMP?],0),1),"glmp","")))</f>
        <v/>
      </c>
      <c r="D42" s="14" t="str">
        <f>IF(AND(F42&lt;&gt;"null",F42&lt;&gt;""),IF(F42=INDEX(Tabel1342323[es_id],MATCH("skmp",Tabel1342323[GLMP/SKMP?],0),1),"skmp",""),IF(AND(G42&lt;&gt;"null",G42&lt;&gt;""),IF(G42=INDEX(Tabel1342323[brp_id],MATCH("skmp",Tabel1342323[GLMP/SKMP?],0),1),"skmp",""),IF(E42=INDEX(Tabel1342323[ga_id],MATCH("skmp",Tabel1342323[GLMP/SKMP?],0),1),"skmp","")))</f>
        <v/>
      </c>
      <c r="E42" s="21" t="str">
        <f t="shared" si="0"/>
        <v/>
      </c>
      <c r="F42" s="21" t="str">
        <f t="shared" si="1"/>
        <v/>
      </c>
      <c r="G42" s="21" t="str">
        <f>IF(B$1="ga",IF(E42="","","null"),IF(B$1="ga_es",IF(F42="","","null"),IF(B$1="ga_brp",IF(X22=0,"",X22),IF(F42="","",INDEX(Tabel1342323[brp_id],MATCH(F42,Tabel1342323[es_id],0),1)))))</f>
        <v/>
      </c>
      <c r="H42" s="23" t="str">
        <f t="shared" si="2"/>
        <v/>
      </c>
      <c r="I42" s="8">
        <f>IF(B$2&lt;&gt;"production",IF(OR(B$1="ga_es",B$1="ga_brp_es"),SUMIFS(Tabel1342323[Total/hour],Tabel1342323[es_id],F42,Tabel1342323[settlement_method],Y$2),IF(B$1="ga_brp",SUMIFS(Tabel1342323[Total/hour],Tabel1342323[brp_id],G42,Tabel1342323[settlement_method],Y$2),SUMIFS(Tabel1342323[Total/hour],Tabel1342323[ga_id],E42,Tabel1342323[settlement_method],Y$2))),IF(OR(B$1="ga_es",B$1="ga_brp_es"),SUMIFS(Tabel1342323[Total/hour],Tabel1342323[es_id],F42,Tabel1342323[type],Y$2),IF(B$1="ga_brp",SUMIFS(Tabel1342323[Total/hour],Tabel1342323[brp_id],G42,Tabel1342323[type],Y$2),SUMIFS(Tabel1342323[Total/hour],Tabel1342323[ga_id],E42,Tabel1342323[type],Y$2))))</f>
        <v>0</v>
      </c>
      <c r="J42" s="8">
        <f t="shared" si="3"/>
        <v>0</v>
      </c>
      <c r="L42" s="2"/>
      <c r="V42" s="25"/>
      <c r="W42" s="25"/>
      <c r="X42" s="25"/>
      <c r="Y42" s="25"/>
      <c r="Z42" s="25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C43" s="14" t="str">
        <f>IF(AND(F43&lt;&gt;"null",F43&lt;&gt;""),IF(F43=INDEX(Tabel1342323[es_id],MATCH("glmp",Tabel1342323[GLMP/SKMP?],0),1),"glmp",""),IF(AND(G43&lt;&gt;"null",G43&lt;&gt;""),IF(G43=INDEX(Tabel1342323[brp_id],MATCH("glmp",Tabel1342323[GLMP/SKMP?],0),1),"glmp",""),IF(E43=INDEX(Tabel1342323[ga_id],MATCH("glmp",Tabel1342323[GLMP/SKMP?],0),1),"glmp","")))</f>
        <v/>
      </c>
      <c r="D43" s="14" t="str">
        <f>IF(AND(F43&lt;&gt;"null",F43&lt;&gt;""),IF(F43=INDEX(Tabel1342323[es_id],MATCH("skmp",Tabel1342323[GLMP/SKMP?],0),1),"skmp",""),IF(AND(G43&lt;&gt;"null",G43&lt;&gt;""),IF(G43=INDEX(Tabel1342323[brp_id],MATCH("skmp",Tabel1342323[GLMP/SKMP?],0),1),"skmp",""),IF(E43=INDEX(Tabel1342323[ga_id],MATCH("skmp",Tabel1342323[GLMP/SKMP?],0),1),"skmp","")))</f>
        <v/>
      </c>
      <c r="E43" s="21" t="str">
        <f t="shared" si="0"/>
        <v/>
      </c>
      <c r="F43" s="21" t="str">
        <f t="shared" si="1"/>
        <v/>
      </c>
      <c r="G43" s="21" t="str">
        <f>IF(B$1="ga",IF(E43="","","null"),IF(B$1="ga_es",IF(F43="","","null"),IF(B$1="ga_brp",IF(X23=0,"",X23),IF(F43="","",INDEX(Tabel1342323[brp_id],MATCH(F43,Tabel1342323[es_id],0),1)))))</f>
        <v/>
      </c>
      <c r="H43" s="23" t="str">
        <f t="shared" si="2"/>
        <v/>
      </c>
      <c r="I43" s="8">
        <f>IF(B$2&lt;&gt;"production",IF(OR(B$1="ga_es",B$1="ga_brp_es"),SUMIFS(Tabel1342323[Total/hour],Tabel1342323[es_id],F43,Tabel1342323[settlement_method],Y$2),IF(B$1="ga_brp",SUMIFS(Tabel1342323[Total/hour],Tabel1342323[brp_id],G43,Tabel1342323[settlement_method],Y$2),SUMIFS(Tabel1342323[Total/hour],Tabel1342323[ga_id],E43,Tabel1342323[settlement_method],Y$2))),IF(OR(B$1="ga_es",B$1="ga_brp_es"),SUMIFS(Tabel1342323[Total/hour],Tabel1342323[es_id],F43,Tabel1342323[type],Y$2),IF(B$1="ga_brp",SUMIFS(Tabel1342323[Total/hour],Tabel1342323[brp_id],G43,Tabel1342323[type],Y$2),SUMIFS(Tabel1342323[Total/hour],Tabel1342323[ga_id],E43,Tabel1342323[type],Y$2))))</f>
        <v>0</v>
      </c>
      <c r="J43" s="8">
        <f t="shared" si="3"/>
        <v>0</v>
      </c>
      <c r="L43" s="2"/>
      <c r="V43" s="25"/>
      <c r="W43" s="25"/>
      <c r="X43" s="25"/>
      <c r="Y43" s="25"/>
      <c r="Z43" s="25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C44" s="14" t="str">
        <f>IF(AND(F44&lt;&gt;"null",F44&lt;&gt;""),IF(F44=INDEX(Tabel1342323[es_id],MATCH("glmp",Tabel1342323[GLMP/SKMP?],0),1),"glmp",""),IF(AND(G44&lt;&gt;"null",G44&lt;&gt;""),IF(G44=INDEX(Tabel1342323[brp_id],MATCH("glmp",Tabel1342323[GLMP/SKMP?],0),1),"glmp",""),IF(E44=INDEX(Tabel1342323[ga_id],MATCH("glmp",Tabel1342323[GLMP/SKMP?],0),1),"glmp","")))</f>
        <v/>
      </c>
      <c r="D44" s="14" t="str">
        <f>IF(AND(F44&lt;&gt;"null",F44&lt;&gt;""),IF(F44=INDEX(Tabel1342323[es_id],MATCH("skmp",Tabel1342323[GLMP/SKMP?],0),1),"skmp",""),IF(AND(G44&lt;&gt;"null",G44&lt;&gt;""),IF(G44=INDEX(Tabel1342323[brp_id],MATCH("skmp",Tabel1342323[GLMP/SKMP?],0),1),"skmp",""),IF(E44=INDEX(Tabel1342323[ga_id],MATCH("skmp",Tabel1342323[GLMP/SKMP?],0),1),"skmp","")))</f>
        <v/>
      </c>
      <c r="E44" s="21" t="str">
        <f t="shared" si="0"/>
        <v/>
      </c>
      <c r="F44" s="21" t="str">
        <f t="shared" si="1"/>
        <v/>
      </c>
      <c r="G44" s="21" t="str">
        <f>IF(B$1="ga",IF(E44="","","null"),IF(B$1="ga_es",IF(F44="","","null"),IF(B$1="ga_brp",IF(X24=0,"",X24),IF(F44="","",INDEX(Tabel1342323[brp_id],MATCH(F44,Tabel1342323[es_id],0),1)))))</f>
        <v/>
      </c>
      <c r="H44" s="23" t="str">
        <f t="shared" si="2"/>
        <v/>
      </c>
      <c r="I44" s="8">
        <f>IF(B$2&lt;&gt;"production",IF(OR(B$1="ga_es",B$1="ga_brp_es"),SUMIFS(Tabel1342323[Total/hour],Tabel1342323[es_id],F44,Tabel1342323[settlement_method],Y$2),IF(B$1="ga_brp",SUMIFS(Tabel1342323[Total/hour],Tabel1342323[brp_id],G44,Tabel1342323[settlement_method],Y$2),SUMIFS(Tabel1342323[Total/hour],Tabel1342323[ga_id],E44,Tabel1342323[settlement_method],Y$2))),IF(OR(B$1="ga_es",B$1="ga_brp_es"),SUMIFS(Tabel1342323[Total/hour],Tabel1342323[es_id],F44,Tabel1342323[type],Y$2),IF(B$1="ga_brp",SUMIFS(Tabel1342323[Total/hour],Tabel1342323[brp_id],G44,Tabel1342323[type],Y$2),SUMIFS(Tabel1342323[Total/hour],Tabel1342323[ga_id],E44,Tabel1342323[type],Y$2))))</f>
        <v>0</v>
      </c>
      <c r="J44" s="8">
        <f t="shared" si="3"/>
        <v>0</v>
      </c>
      <c r="L44" s="2"/>
      <c r="V44" s="25"/>
      <c r="W44" s="24"/>
      <c r="X44" s="24"/>
      <c r="Y44" s="25"/>
      <c r="Z44" s="25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C45" s="14" t="str">
        <f>IF(AND(F45&lt;&gt;"null",F45&lt;&gt;""),IF(F45=INDEX(Tabel1342323[es_id],MATCH("glmp",Tabel1342323[GLMP/SKMP?],0),1),"glmp",""),IF(AND(G45&lt;&gt;"null",G45&lt;&gt;""),IF(G45=INDEX(Tabel1342323[brp_id],MATCH("glmp",Tabel1342323[GLMP/SKMP?],0),1),"glmp",""),IF(E45=INDEX(Tabel1342323[ga_id],MATCH("glmp",Tabel1342323[GLMP/SKMP?],0),1),"glmp","")))</f>
        <v/>
      </c>
      <c r="D45" s="14" t="str">
        <f>IF(AND(F45&lt;&gt;"null",F45&lt;&gt;""),IF(F45=INDEX(Tabel1342323[es_id],MATCH("skmp",Tabel1342323[GLMP/SKMP?],0),1),"skmp",""),IF(AND(G45&lt;&gt;"null",G45&lt;&gt;""),IF(G45=INDEX(Tabel1342323[brp_id],MATCH("skmp",Tabel1342323[GLMP/SKMP?],0),1),"skmp",""),IF(E45=INDEX(Tabel1342323[ga_id],MATCH("skmp",Tabel1342323[GLMP/SKMP?],0),1),"skmp","")))</f>
        <v/>
      </c>
      <c r="E45" s="21" t="str">
        <f t="shared" si="0"/>
        <v/>
      </c>
      <c r="F45" s="21" t="str">
        <f t="shared" si="1"/>
        <v/>
      </c>
      <c r="G45" s="21" t="str">
        <f>IF(B$1="ga",IF(E45="","","null"),IF(B$1="ga_es",IF(F45="","","null"),IF(B$1="ga_brp",IF(X25=0,"",X25),IF(F45="","",INDEX(Tabel1342323[brp_id],MATCH(F45,Tabel1342323[es_id],0),1)))))</f>
        <v/>
      </c>
      <c r="H45" s="23" t="str">
        <f t="shared" si="2"/>
        <v/>
      </c>
      <c r="I45" s="8">
        <f>IF(B$2&lt;&gt;"production",IF(OR(B$1="ga_es",B$1="ga_brp_es"),SUMIFS(Tabel1342323[Total/hour],Tabel1342323[es_id],F45,Tabel1342323[settlement_method],Y$2),IF(B$1="ga_brp",SUMIFS(Tabel1342323[Total/hour],Tabel1342323[brp_id],G45,Tabel1342323[settlement_method],Y$2),SUMIFS(Tabel1342323[Total/hour],Tabel1342323[ga_id],E45,Tabel1342323[settlement_method],Y$2))),IF(OR(B$1="ga_es",B$1="ga_brp_es"),SUMIFS(Tabel1342323[Total/hour],Tabel1342323[es_id],F45,Tabel1342323[type],Y$2),IF(B$1="ga_brp",SUMIFS(Tabel1342323[Total/hour],Tabel1342323[brp_id],G45,Tabel1342323[type],Y$2),SUMIFS(Tabel1342323[Total/hour],Tabel1342323[ga_id],E45,Tabel1342323[type],Y$2))))</f>
        <v>0</v>
      </c>
      <c r="J45" s="8">
        <f t="shared" si="3"/>
        <v>0</v>
      </c>
      <c r="L45" s="2"/>
      <c r="M45" s="2"/>
      <c r="V45" s="25"/>
      <c r="W45" s="24"/>
      <c r="X45" s="24"/>
      <c r="Y45" s="25"/>
      <c r="Z45" s="25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23.25" x14ac:dyDescent="0.35">
      <c r="C46" s="2"/>
      <c r="E46" s="30" t="s">
        <v>20</v>
      </c>
      <c r="F46" s="30"/>
      <c r="G46" s="30"/>
      <c r="H46" s="30"/>
      <c r="M46" s="2"/>
      <c r="N46" s="2"/>
      <c r="V46" s="25"/>
      <c r="W46" s="24"/>
      <c r="X46" s="24"/>
      <c r="Y46" s="25"/>
      <c r="Z46" s="25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8.75" x14ac:dyDescent="0.3">
      <c r="C47" s="2"/>
      <c r="D47" s="2"/>
      <c r="E47" s="4" t="s">
        <v>11</v>
      </c>
      <c r="F47" s="5" t="s">
        <v>0</v>
      </c>
      <c r="G47" s="5" t="s">
        <v>1</v>
      </c>
      <c r="H47" s="5" t="s">
        <v>2</v>
      </c>
      <c r="M47" s="2"/>
      <c r="V47" s="25"/>
      <c r="W47" s="24"/>
      <c r="X47" s="24"/>
      <c r="Y47" s="25"/>
      <c r="Z47" s="25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/>
      <c r="B48" s="2"/>
      <c r="C48" s="2"/>
      <c r="D48" s="2"/>
      <c r="E48" s="21" t="str">
        <f>$V$2</f>
        <v>800</v>
      </c>
      <c r="F48" s="21" t="s">
        <v>19</v>
      </c>
      <c r="G48" s="21" t="s">
        <v>19</v>
      </c>
      <c r="H48" s="22">
        <f>powerIn1H+powerIn15M-powerOut1H-powerOut15M</f>
        <v>-20</v>
      </c>
      <c r="V48" s="25"/>
      <c r="W48" s="24"/>
      <c r="X48" s="24"/>
      <c r="Y48" s="25"/>
      <c r="Z48" s="25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/>
      <c r="B49" s="2"/>
      <c r="C49" s="2"/>
      <c r="V49" s="2"/>
      <c r="W49" s="24"/>
      <c r="X49" s="24"/>
      <c r="Y49" s="25"/>
      <c r="Z49" s="25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/>
      <c r="B50" s="2"/>
      <c r="C50" s="2"/>
      <c r="V50" s="2"/>
      <c r="W50" s="25" t="str">
        <f>_xlfn.CONCAT("Energy suppliers for "&amp;B2)</f>
        <v>Energy suppliers for production</v>
      </c>
      <c r="X50" s="25" t="str">
        <f>_xlfn.CONCAT("Balance responsibles for "&amp;B2)</f>
        <v>Balance responsibles for production</v>
      </c>
      <c r="Y50" s="25"/>
      <c r="Z50" s="25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/>
      <c r="B51" s="2"/>
      <c r="C51" s="2"/>
      <c r="V51" s="2"/>
      <c r="W51" s="25" t="str" cm="1">
        <f t="array" ref="W51">IFERROR(IF($B$2="production",_xlfn.UNIQUE(INDEX(_xlfn._xlws.FILTER(Tabel1342323[[mp id]:[es_id]],(Tabel1342323[es_id]=W36)*(Tabel1342323[type]="E18"),""),,11)),_xlfn.UNIQUE(INDEX(_xlfn._xlws.FILTER(Tabel1342323[[mp id]:[es_id]],(Tabel1342323[es_id]=W36)*(Tabel1342323[settlement_method]=Y$2),""),,11))),"")</f>
        <v/>
      </c>
      <c r="X51" s="25" t="str" cm="1">
        <f t="array" ref="X51">IFERROR(IF($B$2="production",_xlfn.UNIQUE(INDEX(_xlfn._xlws.FILTER(Tabel1342323[[mp id]:[brp_id]],(Tabel1342323[brp_id]=X36)*(Tabel1342323[type]="E18"),""),,10)),_xlfn.UNIQUE(INDEX(_xlfn._xlws.FILTER(Tabel1342323[[mp id]:[brp_id]],(Tabel1342323[brp_id]=X36)*(Tabel1342323[settlement_method]=Y$2),""),,12))),"")</f>
        <v/>
      </c>
      <c r="Y51" s="25"/>
      <c r="Z51" s="25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ht="23.25" x14ac:dyDescent="0.35">
      <c r="A52" s="2"/>
      <c r="B52" s="2"/>
      <c r="C52" s="2"/>
      <c r="D52" s="2"/>
      <c r="E52" s="31" t="s">
        <v>22</v>
      </c>
      <c r="F52" s="32"/>
      <c r="G52" s="32"/>
      <c r="H52" s="33"/>
      <c r="V52" s="2"/>
      <c r="W52" s="25" t="str" cm="1">
        <f t="array" ref="W52">IFERROR(IF($B$2="production",_xlfn.UNIQUE(INDEX(_xlfn._xlws.FILTER(Tabel1342323[[mp id]:[es_id]],(Tabel1342323[es_id]=W37)*(Tabel1342323[type]="E18"),""),,11)),_xlfn.UNIQUE(INDEX(_xlfn._xlws.FILTER(Tabel1342323[[mp id]:[es_id]],(Tabel1342323[es_id]=W37)*(Tabel1342323[settlement_method]=Y$2),""),,11))),"")</f>
        <v>2000000000000</v>
      </c>
      <c r="X52" s="25" t="str" cm="1">
        <f t="array" ref="X52">IFERROR(IF($B$2="production",_xlfn.UNIQUE(INDEX(_xlfn._xlws.FILTER(Tabel1342323[[mp id]:[brp_id]],(Tabel1342323[brp_id]=X37)*(Tabel1342323[type]="E18"),""),,12)),_xlfn.UNIQUE(INDEX(_xlfn._xlws.FILTER(Tabel1342323[[mp id]:[brp_id]],(Tabel1342323[brp_id]=X37)*(Tabel1342323[settlement_method]=Y$2),""),,12))),"")</f>
        <v>2200000000000</v>
      </c>
      <c r="Y52" s="25"/>
      <c r="Z52" s="25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ht="18.75" x14ac:dyDescent="0.3">
      <c r="A53" s="2"/>
      <c r="B53" s="2"/>
      <c r="C53" s="2"/>
      <c r="D53" s="2"/>
      <c r="E53" s="4" t="s">
        <v>11</v>
      </c>
      <c r="F53" s="5" t="s">
        <v>0</v>
      </c>
      <c r="G53" s="5" t="s">
        <v>1</v>
      </c>
      <c r="H53" s="5" t="s">
        <v>2</v>
      </c>
      <c r="V53" s="2"/>
      <c r="W53" s="25" t="str" cm="1">
        <f t="array" ref="W53">IFERROR(IF($B$2="production",_xlfn.UNIQUE(INDEX(_xlfn._xlws.FILTER(Tabel1342323[[mp id]:[es_id]],(Tabel1342323[es_id]=W38)*(Tabel1342323[type]="E18"),""),,11)),_xlfn.UNIQUE(INDEX(_xlfn._xlws.FILTER(Tabel1342323[[mp id]:[es_id]],(Tabel1342323[es_id]=W38)*(Tabel1342323[settlement_method]=Y$2),""),,11))),"")</f>
        <v>3000000000000</v>
      </c>
      <c r="X53" s="25" t="str" cm="1">
        <f t="array" ref="X53">IFERROR(IF($B$2="production",_xlfn.UNIQUE(INDEX(_xlfn._xlws.FILTER(Tabel1342323[[mp id]:[brp_id]],(Tabel1342323[brp_id]=X38)*(Tabel1342323[type]="E18"),""),,12)),_xlfn.UNIQUE(INDEX(_xlfn._xlws.FILTER(Tabel1342323[[mp id]:[brp_id]],(Tabel1342323[brp_id]=X38)*(Tabel1342323[settlement_method]=Y$2),""),,12))),"")</f>
        <v>3300000000000</v>
      </c>
      <c r="Y53" s="25"/>
      <c r="Z53" s="25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/>
      <c r="B54" s="2"/>
      <c r="C54" s="2"/>
      <c r="D54" s="2"/>
      <c r="E54" s="21" t="str">
        <f>$V$2</f>
        <v>800</v>
      </c>
      <c r="F54" s="21" t="s">
        <v>19</v>
      </c>
      <c r="G54" s="21" t="s">
        <v>19</v>
      </c>
      <c r="H54" s="22">
        <f>totalFlex1H+totalFlex15M</f>
        <v>50</v>
      </c>
      <c r="V54" s="2"/>
      <c r="W54" s="25" t="str" cm="1">
        <f t="array" ref="W54">IFERROR(IF($B$2="production",_xlfn.UNIQUE(INDEX(_xlfn._xlws.FILTER(Tabel1342323[[mp id]:[es_id]],(Tabel1342323[es_id]=W39)*(Tabel1342323[type]="E18"),""),,11)),_xlfn.UNIQUE(INDEX(_xlfn._xlws.FILTER(Tabel1342323[[mp id]:[es_id]],(Tabel1342323[es_id]=W39)*(Tabel1342323[settlement_method]=Y$2),""),,11))),"")</f>
        <v/>
      </c>
      <c r="X54" s="25" t="str" cm="1">
        <f t="array" ref="X54">IFERROR(IF($B$2="production",_xlfn.UNIQUE(INDEX(_xlfn._xlws.FILTER(Tabel1342323[[mp id]:[brp_id]],(Tabel1342323[brp_id]=X39)*(Tabel1342323[type]="E18"),""),,12)),_xlfn.UNIQUE(INDEX(_xlfn._xlws.FILTER(Tabel1342323[[mp id]:[brp_id]],(Tabel1342323[brp_id]=X39)*(Tabel1342323[settlement_method]=Y$2),""),,12))),"")</f>
        <v/>
      </c>
      <c r="Y54" s="25"/>
      <c r="Z54" s="25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/>
      <c r="B55" s="2"/>
      <c r="V55" s="2"/>
      <c r="W55" s="25" t="str" cm="1">
        <f t="array" ref="W55">IFERROR(IF($B$2="production",_xlfn.UNIQUE(INDEX(_xlfn._xlws.FILTER(Tabel1342323[[mp id]:[es_id]],(Tabel1342323[es_id]=W40)*(Tabel1342323[type]="E18"),""),,11)),_xlfn.UNIQUE(INDEX(_xlfn._xlws.FILTER(Tabel1342323[[mp id]:[es_id]],(Tabel1342323[es_id]=W40)*(Tabel1342323[settlement_method]=Y$2),""),,11))),"")</f>
        <v/>
      </c>
      <c r="X55" s="25" t="str" cm="1">
        <f t="array" ref="X55">IFERROR(IF($B$2="production",_xlfn.UNIQUE(INDEX(_xlfn._xlws.FILTER(Tabel1342323[[mp id]:[brp_id]],(Tabel1342323[brp_id]=X40)*(Tabel1342323[type]="E18"),""),,12)),_xlfn.UNIQUE(INDEX(_xlfn._xlws.FILTER(Tabel1342323[[mp id]:[brp_id]],(Tabel1342323[brp_id]=X40)*(Tabel1342323[settlement_method]=Y$2),""),,12))),"")</f>
        <v/>
      </c>
      <c r="Y55" s="25"/>
      <c r="Z55" s="25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/>
      <c r="B56" s="2"/>
      <c r="V56" s="2"/>
      <c r="W56" s="25" t="str" cm="1">
        <f t="array" ref="W56">IFERROR(IF($B$2="production",_xlfn.UNIQUE(INDEX(_xlfn._xlws.FILTER(Tabel1342323[[mp id]:[es_id]],(Tabel1342323[es_id]=W41)*(Tabel1342323[type]="E18"),""),,11)),_xlfn.UNIQUE(INDEX(_xlfn._xlws.FILTER(Tabel1342323[[mp id]:[es_id]],(Tabel1342323[es_id]=W41)*(Tabel1342323[settlement_method]=Y$2),""),,11))),"")</f>
        <v/>
      </c>
      <c r="X56" s="25" t="str" cm="1">
        <f t="array" ref="X56">IFERROR(IF($B$2="production",_xlfn.UNIQUE(INDEX(_xlfn._xlws.FILTER(Tabel1342323[[mp id]:[brp_id]],(Tabel1342323[brp_id]=X41)*(Tabel1342323[type]="E18"),""),,12)),_xlfn.UNIQUE(INDEX(_xlfn._xlws.FILTER(Tabel1342323[[mp id]:[brp_id]],(Tabel1342323[brp_id]=X41)*(Tabel1342323[settlement_method]=Y$2),""),,12))),"")</f>
        <v/>
      </c>
      <c r="Y56" s="25"/>
      <c r="Z56" s="25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/>
      <c r="B57" s="2"/>
      <c r="V57" s="2"/>
      <c r="W57" s="25" t="str" cm="1">
        <f t="array" ref="W57">IFERROR(IF($B$2="production",_xlfn.UNIQUE(INDEX(_xlfn._xlws.FILTER(Tabel1342323[[mp id]:[es_id]],(Tabel1342323[es_id]=W42)*(Tabel1342323[type]="E18"),""),,11)),_xlfn.UNIQUE(INDEX(_xlfn._xlws.FILTER(Tabel1342323[[mp id]:[es_id]],(Tabel1342323[es_id]=W42)*(Tabel1342323[settlement_method]=Y$2),""),,11))),"")</f>
        <v/>
      </c>
      <c r="X57" s="25" t="str" cm="1">
        <f t="array" ref="X57">IFERROR(IF($B$2="production",_xlfn.UNIQUE(INDEX(_xlfn._xlws.FILTER(Tabel1342323[[mp id]:[brp_id]],(Tabel1342323[brp_id]=X42)*(Tabel1342323[type]="E18"),""),,12)),_xlfn.UNIQUE(INDEX(_xlfn._xlws.FILTER(Tabel1342323[[mp id]:[brp_id]],(Tabel1342323[brp_id]=X42)*(Tabel1342323[settlement_method]=Y$2),""),,12))),"")</f>
        <v/>
      </c>
      <c r="Y57" s="25"/>
      <c r="Z57" s="25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23.25" x14ac:dyDescent="0.35">
      <c r="A58" s="2"/>
      <c r="B58" s="2"/>
      <c r="C58" s="2"/>
      <c r="D58" s="2"/>
      <c r="E58" s="31" t="s">
        <v>23</v>
      </c>
      <c r="F58" s="32"/>
      <c r="G58" s="32"/>
      <c r="H58" s="33"/>
      <c r="V58" s="2"/>
      <c r="W58" s="25" t="str" cm="1">
        <f t="array" ref="W58">IFERROR(IF($B$2="production",_xlfn.UNIQUE(INDEX(_xlfn._xlws.FILTER(Tabel1342323[[mp id]:[es_id]],(Tabel1342323[es_id]=W43)*(Tabel1342323[type]="E18"),""),,11)),_xlfn.UNIQUE(INDEX(_xlfn._xlws.FILTER(Tabel1342323[[mp id]:[es_id]],(Tabel1342323[es_id]=W43)*(Tabel1342323[settlement_method]=Y$2),""),,11))),"")</f>
        <v/>
      </c>
      <c r="X58" s="25" t="str" cm="1">
        <f t="array" ref="X58">IFERROR(IF($B$2="production",_xlfn.UNIQUE(INDEX(_xlfn._xlws.FILTER(Tabel1342323[[mp id]:[brp_id]],(Tabel1342323[brp_id]=X43)*(Tabel1342323[type]="E18"),""),,12)),_xlfn.UNIQUE(INDEX(_xlfn._xlws.FILTER(Tabel1342323[[mp id]:[brp_id]],(Tabel1342323[brp_id]=X43)*(Tabel1342323[settlement_method]=Y$2),""),,12))),"")</f>
        <v/>
      </c>
      <c r="Y58" s="25"/>
      <c r="Z58" s="25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8.75" x14ac:dyDescent="0.3">
      <c r="A59" s="2"/>
      <c r="B59" s="2"/>
      <c r="C59" s="2"/>
      <c r="D59" s="2"/>
      <c r="E59" s="4" t="s">
        <v>11</v>
      </c>
      <c r="F59" s="5" t="s">
        <v>0</v>
      </c>
      <c r="G59" s="5" t="s">
        <v>1</v>
      </c>
      <c r="H59" s="5" t="s">
        <v>2</v>
      </c>
      <c r="K59" s="2"/>
      <c r="V59" s="2"/>
      <c r="W59" s="25" t="str" cm="1">
        <f t="array" ref="W59">IFERROR(IF($B$2="production",_xlfn.UNIQUE(INDEX(_xlfn._xlws.FILTER(Tabel1342323[[mp id]:[es_id]],(Tabel1342323[es_id]=W44)*(Tabel1342323[type]="E18"),""),,11)),_xlfn.UNIQUE(INDEX(_xlfn._xlws.FILTER(Tabel1342323[[mp id]:[es_id]],(Tabel1342323[es_id]=W44)*(Tabel1342323[settlement_method]=Y$2),""),,11))),"")</f>
        <v/>
      </c>
      <c r="X59" s="25" t="str" cm="1">
        <f t="array" ref="X59">IFERROR(IF($B$2="production",_xlfn.UNIQUE(INDEX(_xlfn._xlws.FILTER(Tabel1342323[[mp id]:[brp_id]],(Tabel1342323[brp_id]=X44)*(Tabel1342323[type]="E18"),""),,12)),_xlfn.UNIQUE(INDEX(_xlfn._xlws.FILTER(Tabel1342323[[mp id]:[brp_id]],(Tabel1342323[brp_id]=X44)*(Tabel1342323[settlement_method]=Y$2),""),,12))),"")</f>
        <v/>
      </c>
      <c r="Y59" s="25"/>
      <c r="Z59" s="25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C60" s="2"/>
      <c r="D60" s="2"/>
      <c r="E60" s="21" t="str">
        <f>$V$2</f>
        <v>800</v>
      </c>
      <c r="F60" s="21" t="s">
        <v>19</v>
      </c>
      <c r="G60" s="21" t="s">
        <v>19</v>
      </c>
      <c r="H60" s="22">
        <f>totalProduction1H+totalProduction15M</f>
        <v>93</v>
      </c>
      <c r="K60" s="2"/>
      <c r="V60" s="2"/>
      <c r="W60" s="25" t="str" cm="1">
        <f t="array" ref="W60">IFERROR(IF($B$2="production",_xlfn.UNIQUE(INDEX(_xlfn._xlws.FILTER(Tabel1342323[[mp id]:[es_id]],(Tabel1342323[es_id]=W45)*(Tabel1342323[type]="E18"),""),,11)),_xlfn.UNIQUE(INDEX(_xlfn._xlws.FILTER(Tabel1342323[[mp id]:[es_id]],(Tabel1342323[es_id]=W45)*(Tabel1342323[settlement_method]=Y$2),""),,11))),"")</f>
        <v/>
      </c>
      <c r="X60" s="25" t="str" cm="1">
        <f t="array" ref="X60">IFERROR(IF($B$2="production",_xlfn.UNIQUE(INDEX(_xlfn._xlws.FILTER(Tabel1342323[[mp id]:[brp_id]],(Tabel1342323[brp_id]=X45)*(Tabel1342323[type]="E18"),""),,12)),_xlfn.UNIQUE(INDEX(_xlfn._xlws.FILTER(Tabel1342323[[mp id]:[brp_id]],(Tabel1342323[brp_id]=X45)*(Tabel1342323[settlement_method]=Y$2),""),,12))),"")</f>
        <v/>
      </c>
      <c r="Y60" s="25"/>
      <c r="Z60" s="25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K61" s="2"/>
      <c r="V61" s="2"/>
      <c r="W61" s="25" t="str" cm="1">
        <f t="array" ref="W61">IFERROR(IF($B$2="production",_xlfn.UNIQUE(INDEX(_xlfn._xlws.FILTER(Tabel1342323[[mp id]:[es_id]],(Tabel1342323[es_id]=W46)*(Tabel1342323[type]="E18"),""),,11)),_xlfn.UNIQUE(INDEX(_xlfn._xlws.FILTER(Tabel1342323[[mp id]:[es_id]],(Tabel1342323[es_id]=W46)*(Tabel1342323[settlement_method]=Y$2),""),,11))),"")</f>
        <v/>
      </c>
      <c r="X61" s="25" t="str" cm="1">
        <f t="array" ref="X61">IFERROR(IF($B$2="production",_xlfn.UNIQUE(INDEX(_xlfn._xlws.FILTER(Tabel1342323[[mp id]:[brp_id]],(Tabel1342323[brp_id]=X46)*(Tabel1342323[type]="E18"),""),,12)),_xlfn.UNIQUE(INDEX(_xlfn._xlws.FILTER(Tabel1342323[[mp id]:[brp_id]],(Tabel1342323[brp_id]=X46)*(Tabel1342323[settlement_method]=Y$2),""),,12))),"")</f>
        <v/>
      </c>
      <c r="Y61" s="25"/>
      <c r="Z61" s="25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K62" s="2"/>
      <c r="V62" s="2"/>
      <c r="W62" s="25"/>
      <c r="X62" s="25"/>
      <c r="Y62" s="25"/>
      <c r="Z62" s="25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K63" s="2"/>
      <c r="V63" s="2"/>
      <c r="W63" s="25"/>
      <c r="X63" s="25"/>
      <c r="Y63" s="25"/>
      <c r="Z63" s="25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23.25" x14ac:dyDescent="0.35">
      <c r="C64" s="2"/>
      <c r="D64" s="2"/>
      <c r="E64" s="31" t="s">
        <v>24</v>
      </c>
      <c r="F64" s="32"/>
      <c r="G64" s="32"/>
      <c r="H64" s="33"/>
      <c r="K64" s="2"/>
      <c r="V64" s="2"/>
      <c r="W64" s="25"/>
      <c r="X64" s="25"/>
      <c r="Y64" s="25"/>
      <c r="Z64" s="25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3:84" ht="18.75" x14ac:dyDescent="0.3">
      <c r="C65" s="2"/>
      <c r="D65" s="2"/>
      <c r="E65" s="4" t="s">
        <v>11</v>
      </c>
      <c r="F65" s="5" t="s">
        <v>0</v>
      </c>
      <c r="G65" s="5" t="s">
        <v>1</v>
      </c>
      <c r="H65" s="5" t="s">
        <v>2</v>
      </c>
      <c r="K65" s="2"/>
      <c r="V65" s="2"/>
      <c r="W65" s="25"/>
      <c r="X65" s="25"/>
      <c r="Y65" s="25"/>
      <c r="Z65" s="25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3:84" x14ac:dyDescent="0.25">
      <c r="C66" s="2"/>
      <c r="D66" s="2"/>
      <c r="E66" s="21" t="str">
        <f>$V$2</f>
        <v>800</v>
      </c>
      <c r="F66" s="21" t="s">
        <v>19</v>
      </c>
      <c r="G66" s="21" t="s">
        <v>19</v>
      </c>
      <c r="H66" s="22">
        <f>totalProduction1H+totalProduction15M+netEx-totalFlex1H-totalFlex15M-totalNonprofiled1H-totalNonprofiled15M</f>
        <v>1</v>
      </c>
      <c r="K66" s="2"/>
      <c r="V66" s="2"/>
      <c r="W66" s="25"/>
      <c r="X66" s="25"/>
      <c r="Y66" s="25"/>
      <c r="Z66" s="25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3:84" x14ac:dyDescent="0.25">
      <c r="K67" s="2"/>
      <c r="V67" s="2"/>
      <c r="W67" s="25"/>
      <c r="X67" s="25"/>
      <c r="Y67" s="25"/>
      <c r="Z67" s="25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3:84" x14ac:dyDescent="0.25">
      <c r="K68" s="2"/>
      <c r="V68" s="2"/>
      <c r="W68" s="25"/>
      <c r="X68" s="25"/>
      <c r="Y68" s="25"/>
      <c r="Z68" s="25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3:84" x14ac:dyDescent="0.25">
      <c r="J69" s="2"/>
      <c r="K69" s="2"/>
      <c r="V69" s="2"/>
      <c r="W69" s="25"/>
      <c r="X69" s="25"/>
      <c r="Y69" s="25"/>
      <c r="Z69" s="25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3:84" ht="23.25" x14ac:dyDescent="0.35">
      <c r="C70" s="2"/>
      <c r="D70" s="2"/>
      <c r="E70" s="31" t="s">
        <v>26</v>
      </c>
      <c r="F70" s="32"/>
      <c r="G70" s="32"/>
      <c r="H70" s="33"/>
      <c r="K70" s="2"/>
      <c r="V70" s="2"/>
      <c r="W70" s="25"/>
      <c r="X70" s="25"/>
      <c r="Y70" s="25"/>
      <c r="Z70" s="25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3:84" ht="18.75" x14ac:dyDescent="0.3">
      <c r="C71" s="2"/>
      <c r="D71" s="2"/>
      <c r="E71" s="4" t="s">
        <v>11</v>
      </c>
      <c r="F71" s="5" t="s">
        <v>0</v>
      </c>
      <c r="G71" s="5" t="s">
        <v>1</v>
      </c>
      <c r="H71" s="5" t="s">
        <v>2</v>
      </c>
      <c r="K71" s="2"/>
      <c r="V71" s="2"/>
      <c r="W71" s="25"/>
      <c r="X71" s="25"/>
      <c r="Y71" s="25"/>
      <c r="Z71" s="25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3:84" x14ac:dyDescent="0.25">
      <c r="C72" s="2"/>
      <c r="D72" s="2"/>
      <c r="E72" s="21" t="str">
        <f>$V$2</f>
        <v>800</v>
      </c>
      <c r="F72" s="21" t="s">
        <v>19</v>
      </c>
      <c r="G72" s="21" t="s">
        <v>19</v>
      </c>
      <c r="H72" s="22">
        <f>IF(gridLoss&gt;0,gridLoss,0)</f>
        <v>1</v>
      </c>
      <c r="K72" s="2"/>
      <c r="V72" s="2"/>
      <c r="W72" s="2"/>
      <c r="X72" s="2"/>
      <c r="Y72" s="18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3:84" x14ac:dyDescent="0.25">
      <c r="K73" s="2"/>
      <c r="V73" s="2"/>
      <c r="W73" s="2"/>
      <c r="X73" s="2"/>
      <c r="Y73" s="18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3:84" x14ac:dyDescent="0.25">
      <c r="C74" s="2"/>
      <c r="D74" s="2"/>
      <c r="E74" s="2"/>
      <c r="F74" s="2"/>
      <c r="G74" s="2"/>
      <c r="H74" s="2"/>
      <c r="I74" s="2"/>
      <c r="K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8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3:84" x14ac:dyDescent="0.25">
      <c r="C75" s="2"/>
      <c r="D75" s="2"/>
      <c r="E75" s="2"/>
      <c r="F75" s="2"/>
      <c r="G75" s="2"/>
      <c r="H75" s="2"/>
      <c r="I75" s="2"/>
      <c r="K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8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3:84" ht="23.25" x14ac:dyDescent="0.35">
      <c r="C76" s="2"/>
      <c r="D76" s="2"/>
      <c r="E76" s="31" t="s">
        <v>27</v>
      </c>
      <c r="F76" s="32"/>
      <c r="G76" s="32"/>
      <c r="H76" s="3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8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3:84" ht="18.75" x14ac:dyDescent="0.3">
      <c r="C77" s="2"/>
      <c r="D77" s="2"/>
      <c r="E77" s="4" t="s">
        <v>11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8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3:84" x14ac:dyDescent="0.25">
      <c r="C78" s="2"/>
      <c r="D78" s="2"/>
      <c r="E78" s="21" t="str">
        <f>$V$2</f>
        <v>800</v>
      </c>
      <c r="F78" s="21" t="s">
        <v>19</v>
      </c>
      <c r="G78" s="21" t="s">
        <v>19</v>
      </c>
      <c r="H78" s="22">
        <f>IF(gridLoss&lt;0,gridLoss*-1,0)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8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3:8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8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3:8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8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3:8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18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3:84" ht="23.25" x14ac:dyDescent="0.35">
      <c r="C82" s="2"/>
      <c r="D82" s="2"/>
      <c r="E82" s="31" t="s">
        <v>33</v>
      </c>
      <c r="F82" s="32"/>
      <c r="G82" s="32"/>
      <c r="H82" s="3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8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3:84" ht="18.75" x14ac:dyDescent="0.3">
      <c r="C83" s="2"/>
      <c r="D83" s="2"/>
      <c r="E83" s="4" t="s">
        <v>11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8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3:84" x14ac:dyDescent="0.25">
      <c r="C84" s="2"/>
      <c r="D84" s="2"/>
      <c r="E84" s="21" t="str">
        <f>$V$2</f>
        <v>800</v>
      </c>
      <c r="F84" s="21" t="s">
        <v>19</v>
      </c>
      <c r="G84" s="21" t="s">
        <v>19</v>
      </c>
      <c r="H84" s="22">
        <f>netEx+totalProduction1H+totalProduction15M+negGridLoss</f>
        <v>73</v>
      </c>
      <c r="I84" s="26"/>
      <c r="J84" s="2"/>
      <c r="K84" s="2"/>
      <c r="V84" s="2"/>
      <c r="W84" s="2"/>
      <c r="X84" s="2"/>
      <c r="Y84" s="18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3:84" x14ac:dyDescent="0.25">
      <c r="C85" s="2"/>
      <c r="D85" s="2"/>
      <c r="E85" s="2"/>
      <c r="F85" s="2"/>
      <c r="G85" s="2"/>
      <c r="H85" s="2"/>
      <c r="I85" s="2"/>
      <c r="J85" s="2"/>
      <c r="K85" s="2"/>
      <c r="V85" s="2"/>
      <c r="W85" s="2"/>
      <c r="X85" s="2"/>
      <c r="Y85" s="18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3:84" x14ac:dyDescent="0.25">
      <c r="C86" s="2"/>
      <c r="D86" s="2"/>
      <c r="E86" s="2"/>
      <c r="F86" s="2"/>
      <c r="G86" s="2"/>
      <c r="H86" s="2"/>
      <c r="I86" s="2"/>
      <c r="J86" s="2"/>
      <c r="K86" s="2"/>
      <c r="V86" s="2"/>
      <c r="W86" s="2"/>
      <c r="X86" s="2"/>
      <c r="Y86" s="18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3:84" x14ac:dyDescent="0.25">
      <c r="C87" s="2"/>
      <c r="D87" s="2"/>
      <c r="E87" s="2"/>
      <c r="F87" s="2"/>
      <c r="G87" s="2"/>
      <c r="H87" s="2"/>
      <c r="I87" s="2"/>
      <c r="J87" s="2"/>
      <c r="K87" s="2"/>
      <c r="V87" s="2"/>
      <c r="W87" s="2"/>
      <c r="X87" s="2"/>
      <c r="Y87" s="18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3:84" ht="23.25" x14ac:dyDescent="0.35">
      <c r="C88" s="2"/>
      <c r="D88" s="2"/>
      <c r="E88" s="31" t="s">
        <v>34</v>
      </c>
      <c r="F88" s="32"/>
      <c r="G88" s="32"/>
      <c r="H88" s="32"/>
      <c r="I88" s="33"/>
      <c r="J88" s="2"/>
      <c r="K88" s="2"/>
      <c r="V88" s="2"/>
      <c r="W88" s="2"/>
      <c r="X88" s="2"/>
      <c r="Y88" s="18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3:84" ht="18.75" x14ac:dyDescent="0.3">
      <c r="C89" s="2"/>
      <c r="D89" s="2"/>
      <c r="E89" s="4" t="s">
        <v>11</v>
      </c>
      <c r="F89" s="5" t="s">
        <v>0</v>
      </c>
      <c r="G89" s="5" t="s">
        <v>1</v>
      </c>
      <c r="H89" s="5" t="s">
        <v>2</v>
      </c>
      <c r="I89" s="5" t="s">
        <v>38</v>
      </c>
      <c r="J89" s="2"/>
      <c r="K89" s="2"/>
      <c r="V89" s="2"/>
      <c r="W89" s="2"/>
      <c r="X89" s="2"/>
      <c r="Y89" s="18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3:84" x14ac:dyDescent="0.25">
      <c r="C90" s="2"/>
      <c r="D90" s="2"/>
      <c r="E90" s="21" t="str">
        <f t="shared" ref="E90:E97" si="4">IF(ROW()&lt;89+(COUNTA(Z$2:Z$44)),$V$2,"")</f>
        <v>800</v>
      </c>
      <c r="F90" s="21" t="str">
        <f>IF(E90&lt;&gt;"","null","")</f>
        <v>null</v>
      </c>
      <c r="G90" s="21" t="str">
        <f>IF(E90&lt;&gt;"","null","")</f>
        <v>null</v>
      </c>
      <c r="H90" s="22">
        <f ca="1">IF(E90="","",SUMIF(Tabel1342323[from_ga],I90,Tabel1342323[Total/hour])-SUMIF(Tabel1342323[to_ga],I90,Tabel1342323[Total/hour]))</f>
        <v>0</v>
      </c>
      <c r="I90" s="22" cm="1">
        <f t="array" aca="1" ref="I90" ca="1">IF(E90="","",INDIRECT("AL"&amp;(ROW()-87)))</f>
        <v>0</v>
      </c>
      <c r="J90" s="2"/>
      <c r="K90" s="2"/>
      <c r="V90" s="2"/>
      <c r="W90" s="2"/>
      <c r="X90" s="2"/>
      <c r="Y90" s="18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3:84" x14ac:dyDescent="0.25">
      <c r="C91" s="2"/>
      <c r="D91" s="2"/>
      <c r="E91" s="21" t="str">
        <f t="shared" si="4"/>
        <v>800</v>
      </c>
      <c r="F91" s="21" t="str">
        <f t="shared" ref="F91:F97" si="5">IF(E91&lt;&gt;"","null","")</f>
        <v>null</v>
      </c>
      <c r="G91" s="21" t="str">
        <f t="shared" ref="G91:G97" si="6">IF(E91&lt;&gt;"","null","")</f>
        <v>null</v>
      </c>
      <c r="H91" s="22">
        <f ca="1">IF(E91="","",SUMIF(Tabel1342323[from_ga],I91,Tabel1342323[Total/hour])-SUMIF(Tabel1342323[to_ga],I91,Tabel1342323[Total/hour]))</f>
        <v>0</v>
      </c>
      <c r="I91" s="22" cm="1">
        <f t="array" aca="1" ref="I91" ca="1">IF(E91="","",INDIRECT("AL"&amp;(ROW()-87)))</f>
        <v>0</v>
      </c>
      <c r="J91" s="2"/>
      <c r="K91" s="2"/>
      <c r="V91" s="2"/>
      <c r="W91" s="2"/>
      <c r="X91" s="2"/>
      <c r="Y91" s="18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3:84" x14ac:dyDescent="0.25">
      <c r="C92" s="2"/>
      <c r="D92" s="2"/>
      <c r="E92" s="21" t="str">
        <f>IF(ROW()&lt;89+(COUNTA(Z$2:Z$44)),$V$2,"")</f>
        <v/>
      </c>
      <c r="F92" s="21" t="str">
        <f t="shared" si="5"/>
        <v/>
      </c>
      <c r="G92" s="21" t="str">
        <f t="shared" si="6"/>
        <v/>
      </c>
      <c r="H92" s="22" t="str">
        <f>IF(E92="","",SUMIF(Tabel1342323[from_ga],I92,Tabel1342323[Total/hour])-SUMIF(Tabel1342323[to_ga],I92,Tabel1342323[Total/hour]))</f>
        <v/>
      </c>
      <c r="I92" s="22" t="str" cm="1">
        <f t="array" aca="1" ref="I92" ca="1">IF(E92="","",INDIRECT("AL"&amp;(ROW()-87)))</f>
        <v/>
      </c>
      <c r="J92" s="2"/>
      <c r="K92" s="2"/>
      <c r="V92" s="2"/>
      <c r="W92" s="2"/>
      <c r="X92" s="2"/>
      <c r="Y92" s="18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3:84" x14ac:dyDescent="0.25">
      <c r="C93" s="2"/>
      <c r="D93" s="2"/>
      <c r="E93" s="21" t="str">
        <f t="shared" si="4"/>
        <v/>
      </c>
      <c r="F93" s="21" t="str">
        <f t="shared" si="5"/>
        <v/>
      </c>
      <c r="G93" s="21" t="str">
        <f t="shared" si="6"/>
        <v/>
      </c>
      <c r="H93" s="22" t="str">
        <f>IF(E93="","",SUMIF(Tabel1342323[from_ga],I93,Tabel1342323[Total/hour])-SUMIF(Tabel1342323[to_ga],I93,Tabel1342323[Total/hour]))</f>
        <v/>
      </c>
      <c r="I93" s="22" t="str" cm="1">
        <f t="array" aca="1" ref="I93" ca="1">IF(E93="","",INDIRECT("AL"&amp;(ROW()-87)))</f>
        <v/>
      </c>
      <c r="J93" s="2"/>
      <c r="K93" s="2"/>
      <c r="V93" s="2"/>
      <c r="W93" s="2"/>
      <c r="X93" s="2"/>
      <c r="Y93" s="18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3:84" x14ac:dyDescent="0.25">
      <c r="C94" s="2"/>
      <c r="D94" s="2"/>
      <c r="E94" s="21" t="str">
        <f t="shared" si="4"/>
        <v/>
      </c>
      <c r="F94" s="21" t="str">
        <f t="shared" si="5"/>
        <v/>
      </c>
      <c r="G94" s="21" t="str">
        <f t="shared" si="6"/>
        <v/>
      </c>
      <c r="H94" s="22" t="str">
        <f>IF(E94="","",SUMIF(Tabel1342323[from_ga],I94,Tabel1342323[Total/hour])-SUMIF(Tabel1342323[to_ga],I94,Tabel1342323[Total/hour]))</f>
        <v/>
      </c>
      <c r="I94" s="22" t="str" cm="1">
        <f t="array" aca="1" ref="I94" ca="1">IF(E94="","",INDIRECT("AL"&amp;(ROW()-87)))</f>
        <v/>
      </c>
      <c r="J94" s="2"/>
      <c r="K94" s="2"/>
      <c r="V94" s="2"/>
      <c r="W94" s="2"/>
      <c r="X94" s="2"/>
      <c r="Y94" s="18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3:84" x14ac:dyDescent="0.25">
      <c r="C95" s="2"/>
      <c r="D95" s="2"/>
      <c r="E95" s="21" t="str">
        <f t="shared" si="4"/>
        <v/>
      </c>
      <c r="F95" s="21" t="str">
        <f t="shared" si="5"/>
        <v/>
      </c>
      <c r="G95" s="21" t="str">
        <f t="shared" si="6"/>
        <v/>
      </c>
      <c r="H95" s="22" t="str">
        <f>IF(E95="","",SUMIF(Tabel1342323[from_ga],I95,Tabel1342323[Total/hour])-SUMIF(Tabel1342323[to_ga],I95,Tabel1342323[Total/hour]))</f>
        <v/>
      </c>
      <c r="I95" s="22" t="str" cm="1">
        <f t="array" aca="1" ref="I95" ca="1">IF(E95="","",INDIRECT("AL"&amp;(ROW()-87)))</f>
        <v/>
      </c>
      <c r="J95" s="2"/>
      <c r="K95" s="2"/>
      <c r="V95" s="2"/>
      <c r="W95" s="2"/>
      <c r="X95" s="2"/>
      <c r="Y95" s="18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3:84" x14ac:dyDescent="0.25">
      <c r="C96" s="2"/>
      <c r="D96" s="2"/>
      <c r="E96" s="21" t="str">
        <f t="shared" si="4"/>
        <v/>
      </c>
      <c r="F96" s="21" t="str">
        <f t="shared" si="5"/>
        <v/>
      </c>
      <c r="G96" s="21" t="str">
        <f t="shared" si="6"/>
        <v/>
      </c>
      <c r="H96" s="22" t="str">
        <f>IF(E96="","",SUMIF(Tabel1342323[from_ga],I96,Tabel1342323[Total/hour])-SUMIF(Tabel1342323[to_ga],I96,Tabel1342323[Total/hour]))</f>
        <v/>
      </c>
      <c r="I96" s="22" t="str" cm="1">
        <f t="array" aca="1" ref="I96" ca="1">IF(E96="","",INDIRECT("AL"&amp;(ROW()-87)))</f>
        <v/>
      </c>
      <c r="J96" s="2"/>
      <c r="K96" s="2"/>
      <c r="V96" s="2"/>
      <c r="W96" s="2"/>
      <c r="X96" s="2"/>
      <c r="Y96" s="18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3:84" x14ac:dyDescent="0.25">
      <c r="C97" s="2"/>
      <c r="D97" s="2"/>
      <c r="E97" s="21" t="str">
        <f t="shared" si="4"/>
        <v/>
      </c>
      <c r="F97" s="21" t="str">
        <f t="shared" si="5"/>
        <v/>
      </c>
      <c r="G97" s="21" t="str">
        <f t="shared" si="6"/>
        <v/>
      </c>
      <c r="H97" s="22" t="str">
        <f>IF(E97="","",SUMIF(Tabel1342323[from_ga],I97,Tabel1342323[Total/hour])-SUMIF(Tabel1342323[to_ga],I97,Tabel1342323[Total/hour]))</f>
        <v/>
      </c>
      <c r="I97" s="22" t="str" cm="1">
        <f t="array" aca="1" ref="I97" ca="1">IF(E97="","",INDIRECT("AL"&amp;(ROW()-87)))</f>
        <v/>
      </c>
      <c r="J97" s="2"/>
      <c r="K97" s="2"/>
      <c r="V97" s="2"/>
      <c r="W97" s="2"/>
      <c r="X97" s="2"/>
      <c r="Y97" s="18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3:84" x14ac:dyDescent="0.25">
      <c r="C98" s="2"/>
      <c r="D98" s="2"/>
      <c r="F98" s="2"/>
      <c r="G98" s="2"/>
      <c r="H98" s="2"/>
      <c r="I98" s="2"/>
      <c r="J98" s="2"/>
      <c r="K98" s="2"/>
      <c r="V98" s="2"/>
      <c r="W98" s="2"/>
      <c r="X98" s="2"/>
      <c r="Y98" s="18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3:84" x14ac:dyDescent="0.25">
      <c r="C99" s="2"/>
      <c r="D99" s="2"/>
      <c r="F99" s="2"/>
      <c r="G99" s="2"/>
      <c r="H99" s="2"/>
      <c r="I99" s="2"/>
      <c r="J99" s="2"/>
      <c r="K99" s="2"/>
      <c r="V99" s="2"/>
      <c r="W99" s="2"/>
      <c r="X99" s="2"/>
      <c r="Y99" s="18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3:84" x14ac:dyDescent="0.25">
      <c r="C100" s="2"/>
      <c r="D100" s="2"/>
      <c r="F100" s="2"/>
      <c r="G100" s="2"/>
      <c r="H100" s="2"/>
      <c r="I100" s="2"/>
      <c r="J100" s="2"/>
      <c r="K100" s="2"/>
      <c r="V100" s="2"/>
      <c r="W100" s="2"/>
      <c r="X100" s="2"/>
      <c r="Y100" s="18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3:84" x14ac:dyDescent="0.25">
      <c r="C101" s="2"/>
      <c r="D101" s="2"/>
      <c r="F101" s="2"/>
      <c r="G101" s="2"/>
      <c r="H101" s="2"/>
      <c r="I101" s="2"/>
      <c r="J101" s="2"/>
      <c r="K101" s="2"/>
      <c r="V101" s="2"/>
      <c r="W101" s="2"/>
      <c r="X101" s="2"/>
      <c r="Y101" s="18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3:84" x14ac:dyDescent="0.25">
      <c r="C102" s="2"/>
      <c r="D102" s="2"/>
      <c r="F102" s="2"/>
      <c r="G102" s="2"/>
      <c r="H102" s="2"/>
      <c r="I102" s="2"/>
      <c r="J102" s="2"/>
      <c r="K102" s="2"/>
      <c r="V102" s="2"/>
      <c r="W102" s="2"/>
      <c r="X102" s="2"/>
      <c r="Y102" s="18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3:84" x14ac:dyDescent="0.25">
      <c r="C103" s="2"/>
      <c r="D103" s="2"/>
      <c r="F103" s="2"/>
      <c r="G103" s="2"/>
      <c r="H103" s="2"/>
      <c r="I103" s="2"/>
      <c r="J103" s="2"/>
      <c r="K103" s="2"/>
      <c r="V103" s="2"/>
      <c r="W103" s="2"/>
      <c r="X103" s="2"/>
      <c r="Y103" s="18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3:84" x14ac:dyDescent="0.25">
      <c r="C104" s="2"/>
      <c r="D104" s="2"/>
      <c r="F104" s="2"/>
      <c r="G104" s="2"/>
      <c r="H104" s="2"/>
      <c r="I104" s="2"/>
      <c r="J104" s="2"/>
      <c r="K104" s="2"/>
      <c r="V104" s="2"/>
      <c r="W104" s="2"/>
      <c r="X104" s="2"/>
      <c r="Y104" s="18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3:84" x14ac:dyDescent="0.25">
      <c r="C105" s="2"/>
      <c r="D105" s="2"/>
      <c r="F105" s="2"/>
      <c r="G105" s="2"/>
      <c r="H105" s="2"/>
      <c r="I105" s="2"/>
      <c r="J105" s="2"/>
      <c r="K105" s="2"/>
      <c r="V105" s="2"/>
      <c r="W105" s="2"/>
      <c r="X105" s="2"/>
      <c r="Y105" s="18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3:84" x14ac:dyDescent="0.25">
      <c r="C106" s="2"/>
      <c r="D106" s="2"/>
      <c r="F106" s="2"/>
      <c r="G106" s="2"/>
      <c r="H106" s="2"/>
      <c r="I106" s="2"/>
      <c r="J106" s="2"/>
      <c r="V106" s="2"/>
      <c r="W106" s="2"/>
      <c r="X106" s="2"/>
      <c r="Y106" s="18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3:84" x14ac:dyDescent="0.25">
      <c r="C107" s="2"/>
      <c r="F107" s="2"/>
      <c r="G107" s="2"/>
      <c r="H107" s="2"/>
      <c r="I107" s="2"/>
      <c r="J107" s="2"/>
      <c r="V107" s="2"/>
      <c r="W107" s="2"/>
      <c r="X107" s="2"/>
      <c r="Y107" s="18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3:84" x14ac:dyDescent="0.25">
      <c r="C108" s="2"/>
      <c r="F108" s="2"/>
      <c r="G108" s="2"/>
      <c r="H108" s="2"/>
      <c r="I108" s="2"/>
      <c r="J108" s="2"/>
      <c r="V108" s="2"/>
      <c r="W108" s="2"/>
      <c r="X108" s="2"/>
      <c r="Y108" s="18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3:84" x14ac:dyDescent="0.25">
      <c r="C109" s="2"/>
      <c r="F109" s="2"/>
      <c r="G109" s="2"/>
      <c r="H109" s="2"/>
      <c r="I109" s="2"/>
      <c r="J109" s="2"/>
      <c r="V109" s="2"/>
      <c r="W109" s="2"/>
      <c r="X109" s="2"/>
      <c r="Y109" s="18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3:84" x14ac:dyDescent="0.25"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18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3:84" x14ac:dyDescent="0.25"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18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3:84" x14ac:dyDescent="0.25"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8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3:84" x14ac:dyDescent="0.25"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18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3:84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18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3:84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18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3:84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18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3:84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18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3:8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18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3:8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8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3:8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18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3:8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18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3:8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8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3:8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18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3:8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18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3:8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18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3:8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8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3:8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18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3:8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8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3:8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18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3:8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18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3:8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18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3:8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18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3:8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1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3:8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18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3:8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18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3:8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18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3:8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18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3:8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18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3:8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18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3:8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18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3:8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8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3:8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18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3:8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18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3:8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8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3:8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8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3:8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8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3:8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8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3:8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18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3:8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18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3:8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18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3:8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18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3:8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18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3:8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18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3:8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18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3:8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18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3:8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18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3:8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18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3:8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18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3:8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18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3:8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18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3:8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18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3:8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18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3:8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18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3:8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18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3:8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18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3:8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18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3:8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18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3:8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18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3:8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18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3:8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18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3:8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18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3:8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18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3:8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18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3:8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18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3:8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18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3:8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18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3:8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18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3:8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18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3:8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18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3:8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18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3:8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18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3:8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18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3:8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18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3:8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18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3:8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18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3:8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18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3:8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18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3:8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18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3:8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18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3:8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18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3:8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18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3:8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18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3:8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18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3:8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18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3:8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18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3:8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8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3:8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18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3:8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18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3:8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18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3:8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18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3:8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18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3:8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18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3:8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8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3:8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18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3:8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8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3:8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18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3:8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18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3:8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18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3:8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18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3:8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18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3:8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18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3:8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18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3:8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18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3:8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18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3:8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18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3:8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18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3:8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18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3:8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18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3:8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18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3:8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18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3:8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8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3:8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18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3:8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18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3:8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18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3:8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18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3:8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18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3:8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18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3:8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18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3:8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18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3:8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18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3:8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18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3:8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18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3:8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18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3:8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18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3:8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18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3:8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18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3:8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18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3:8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18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3:8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18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3:8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18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3:8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18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3:8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18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3:8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18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3:8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18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3:8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18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3:84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18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3:84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18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3:84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18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3:84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3:84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3:84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3:84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3:84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3:84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3:84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3:84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3:84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3:84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3:84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3:84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3:84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3:84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3:84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3:84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3:84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3:84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3:84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3:84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3:84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3:84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3:84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3:84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3:84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3:84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3:84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3:84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3:84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3:84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3:84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3:84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3:84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3:84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3:84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3:84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3:84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3:84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3:84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3:84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3:84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3:84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3:84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3:84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3:84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3:84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3:84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3:84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3:84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3:84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3:84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3:84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3:84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3:84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3:84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3:84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3:84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3:84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3:84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3:84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3:84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3:84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3:84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3:84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3:84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3:84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3:84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3:84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3:84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3:84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3:84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3:84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3:84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3:84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3:84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3:84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3:84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3:84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3:84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3:84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3:84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3:84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3:84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3:84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3:84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3:84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3:84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3:84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3:84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3:84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3:84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3:84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3:84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3:84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3:84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3:84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3:84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3:84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3:84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3:84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3:84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3:84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3:84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3:84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3:84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3:84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3:84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3:84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3:84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3:84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3:84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3:84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3:84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3:84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3:84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3:84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3:84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3:84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3:84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3:84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3:84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3:84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3:84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3:84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3:84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3:84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3:84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3:84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3:84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3:84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3:84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3:84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3:84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3:84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3:84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3:84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3:84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3:84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3:84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3:84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3:84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3:84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3:84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3:84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3:84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3:84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3:84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3:84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3:84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3:84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3:84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3:84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</sheetData>
  <mergeCells count="10">
    <mergeCell ref="I20:J20"/>
    <mergeCell ref="E20:H20"/>
    <mergeCell ref="E46:H46"/>
    <mergeCell ref="E88:I88"/>
    <mergeCell ref="E52:H52"/>
    <mergeCell ref="E58:H58"/>
    <mergeCell ref="E64:H64"/>
    <mergeCell ref="E70:H70"/>
    <mergeCell ref="E76:H76"/>
    <mergeCell ref="E82:H82"/>
  </mergeCells>
  <phoneticPr fontId="11" type="noConversion"/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F2:F19" xr:uid="{38B2C6CE-2095-4F07-9DB0-8F3ECA75289E}">
      <formula1>"D01,E02"</formula1>
    </dataValidation>
    <dataValidation type="list" allowBlank="1" showInputMessage="1" showErrorMessage="1" sqref="L2:L19" xr:uid="{57A4D470-46D1-44C9-B065-59B3567B39C7}">
      <formula1>"PT15M,PT1H"</formula1>
    </dataValidation>
    <dataValidation type="list" allowBlank="1" showInputMessage="1" showErrorMessage="1" sqref="E2:F19 L2:L19" xr:uid="{A8A7884E-12CD-45C2-A372-F6EC1B801A34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Hour1</vt:lpstr>
      <vt:lpstr>Hour1!gridLoss</vt:lpstr>
      <vt:lpstr>Hour1!negGridLoss</vt:lpstr>
      <vt:lpstr>Hour1!netEx</vt:lpstr>
      <vt:lpstr>Hour1!posGridLoss</vt:lpstr>
      <vt:lpstr>Hour1!powerIn15M</vt:lpstr>
      <vt:lpstr>Hour1!powerIn1H</vt:lpstr>
      <vt:lpstr>Hour1!powerOut15M</vt:lpstr>
      <vt:lpstr>Hour1!powerOut1H</vt:lpstr>
      <vt:lpstr>Hour1!totalConsumption15M</vt:lpstr>
      <vt:lpstr>Hour1!totalFlex15M</vt:lpstr>
      <vt:lpstr>Hour1!totalFlex1H</vt:lpstr>
      <vt:lpstr>Hour1!totalNonprofiled15M</vt:lpstr>
      <vt:lpstr>Hour1!totalNonprofiled1H</vt:lpstr>
      <vt:lpstr>Hour1!totalProduction15M</vt:lpstr>
      <vt:lpstr>Hour1!totalProduction1H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2024-05-14T08:16:23Z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