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3B62A6BB-58E6-49A5-A656-DD1ECD5E8757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In1H_quarter1" localSheetId="0">Hour1!$Y$55</definedName>
    <definedName name="powerIn1H_quarter2" localSheetId="0">Hour1!$Y$56</definedName>
    <definedName name="powerIn1H_quarter3" localSheetId="0">Hour1!$Y$57</definedName>
    <definedName name="powerIn1H_quarter4" localSheetId="0">Hour1!$Y$58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powerOut1H_quarter1" localSheetId="0">Hour1!$Y$61</definedName>
    <definedName name="powerOut1H_quarter2" localSheetId="0">Hour1!$Y$62</definedName>
    <definedName name="powerOut1H_quarter3" localSheetId="0">Hour1!$Y$63</definedName>
    <definedName name="powerOut1H_quarter4" localSheetId="0">Hour1!$Y$64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1" l="1"/>
  <c r="J3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3" i="11" a="1"/>
  <c r="V106" i="11" a="1"/>
  <c r="V107" i="11" a="1"/>
  <c r="V108" i="11" a="1"/>
  <c r="V105" i="11" a="1"/>
  <c r="V104" i="11" a="1"/>
  <c r="V109" i="11" a="1"/>
  <c r="V102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V60" i="11"/>
  <c r="V63" i="11" s="1"/>
  <c r="V59" i="11"/>
  <c r="T7" i="11"/>
  <c r="V42" i="11"/>
  <c r="V45" i="11" s="1"/>
  <c r="Z45" i="11" s="1"/>
  <c r="AF27" i="11"/>
  <c r="AF13" i="11" a="1"/>
  <c r="AE27" i="11"/>
  <c r="AE43" i="11" s="1" a="1"/>
  <c r="AE43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F32" i="11" s="1" a="1"/>
  <c r="AF32" i="11" s="1"/>
  <c r="AD2" i="11" a="1"/>
  <c r="AD2" i="11" s="1"/>
  <c r="V96" i="11" a="1"/>
  <c r="V95" i="11" a="1"/>
  <c r="V94" i="11" a="1"/>
  <c r="V100" i="11" a="1"/>
  <c r="V101" i="11" a="1"/>
  <c r="V92" i="11" a="1"/>
  <c r="V97" i="11" a="1"/>
  <c r="V93" i="11" a="1"/>
  <c r="V99" i="11" a="1"/>
  <c r="V91" i="11" a="1"/>
  <c r="V90" i="11" a="1"/>
  <c r="V98" i="11" a="1"/>
  <c r="V86" i="11" a="1"/>
  <c r="V89" i="11" a="1"/>
  <c r="V87" i="11" a="1"/>
  <c r="V88" i="11" a="1"/>
  <c r="V98" i="11" l="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V54" i="11"/>
  <c r="V56" i="11" s="1"/>
  <c r="Z56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E32" i="11" a="1"/>
  <c r="AE32" i="11" s="1"/>
  <c r="AF29" i="11" a="1"/>
  <c r="AF29" i="11" s="1"/>
  <c r="AE31" i="11" a="1"/>
  <c r="AE31" i="11" s="1"/>
  <c r="AE42" i="11" a="1"/>
  <c r="AE42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E40" i="11" a="1"/>
  <c r="AE40" i="11" s="1"/>
  <c r="AF39" i="11" a="1"/>
  <c r="AF39" i="11" s="1"/>
  <c r="AE39" i="11" a="1"/>
  <c r="AE39" i="11" s="1"/>
  <c r="AF38" i="11" a="1"/>
  <c r="AF38" i="11" s="1"/>
  <c r="AE38" i="11" a="1"/>
  <c r="AE38" i="11" s="1"/>
  <c r="AF37" i="11" a="1"/>
  <c r="AF37" i="11" s="1"/>
  <c r="AE37" i="11" a="1"/>
  <c r="AE37" i="11" s="1"/>
  <c r="AF36" i="11" a="1"/>
  <c r="AF36" i="11" s="1"/>
  <c r="AE36" i="11" a="1"/>
  <c r="AE36" i="11" s="1"/>
  <c r="AF35" i="11" a="1"/>
  <c r="AF35" i="11" s="1"/>
  <c r="AE35" i="11" a="1"/>
  <c r="AE35" i="11" s="1"/>
  <c r="AF34" i="11" a="1"/>
  <c r="AF34" i="11" s="1"/>
  <c r="AE34" i="11" a="1"/>
  <c r="AE34" i="11" s="1"/>
  <c r="AF33" i="11" a="1"/>
  <c r="AF33" i="11" s="1"/>
  <c r="V22" i="11"/>
  <c r="V26" i="11"/>
  <c r="AE41" i="11" a="1"/>
  <c r="AE41" i="11" s="1"/>
  <c r="AE33" i="11" a="1"/>
  <c r="AE33" i="11" s="1"/>
  <c r="AE30" i="11" a="1"/>
  <c r="AE30" i="11" s="1"/>
  <c r="AE13" i="11"/>
  <c r="AE28" i="11" s="1" a="1"/>
  <c r="AE28" i="11" s="1"/>
  <c r="AF13" i="11"/>
  <c r="AF28" i="11" s="1" a="1"/>
  <c r="AF28" i="11" s="1"/>
  <c r="AF43" i="11" s="1" a="1"/>
  <c r="AF43" i="11" s="1"/>
  <c r="T5" i="11"/>
  <c r="V53" i="11"/>
  <c r="T6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Z63" i="11"/>
  <c r="W86" i="11"/>
  <c r="AH2" i="11"/>
  <c r="T26" i="11"/>
  <c r="U27" i="11"/>
  <c r="U32" i="11"/>
  <c r="V44" i="11"/>
  <c r="V61" i="11"/>
  <c r="V64" i="11"/>
  <c r="W108" i="11"/>
  <c r="X106" i="11"/>
  <c r="Z106" i="11" s="1"/>
  <c r="X102" i="11"/>
  <c r="Z102" i="11" s="1"/>
  <c r="V62" i="11"/>
  <c r="V46" i="11"/>
  <c r="W107" i="11"/>
  <c r="W103" i="11"/>
  <c r="W100" i="11" l="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7" i="11" s="1"/>
  <c r="V55" i="11"/>
  <c r="Z55" i="11" s="1"/>
  <c r="V58" i="11"/>
  <c r="Z58" i="11" s="1"/>
  <c r="H60" i="1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Z61" i="1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I96" i="11" a="1"/>
  <c r="I97" i="11" a="1"/>
  <c r="I95" i="11" a="1"/>
  <c r="I91" i="11" a="1"/>
  <c r="I93" i="11" a="1"/>
  <c r="I92" i="11" a="1"/>
  <c r="I90" i="11" a="1"/>
  <c r="Y95" i="11" l="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Y55" i="11" s="1"/>
  <c r="H48" i="11" s="1"/>
  <c r="I113" i="11" a="1"/>
  <c r="I113" i="11" s="1"/>
  <c r="H113" i="11"/>
  <c r="H104" i="11"/>
  <c r="H99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61" i="1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65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Z59" i="11"/>
  <c r="G94" i="11"/>
  <c r="F94" i="11"/>
  <c r="Y59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02" i="11" a="1"/>
  <c r="I103" i="11" a="1"/>
  <c r="I99" i="11" a="1"/>
  <c r="I94" i="11" a="1"/>
  <c r="I98" i="11" a="1"/>
  <c r="I104" i="11" a="1"/>
  <c r="I101" i="11" a="1"/>
  <c r="I100" i="11" a="1"/>
  <c r="I105" i="11" a="1"/>
  <c r="H95" i="11" l="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W56" i="11" s="1"/>
  <c r="Y56" i="11" s="1"/>
  <c r="H49" i="11" s="1"/>
  <c r="Y88" i="11"/>
  <c r="X88" i="11" s="1"/>
  <c r="Z88" i="11" s="1"/>
  <c r="H92" i="11" s="1"/>
  <c r="H91" i="11"/>
  <c r="H62" i="11"/>
  <c r="H66" i="11"/>
  <c r="X38" i="11"/>
  <c r="W38" i="11" s="1"/>
  <c r="Y38" i="11" s="1"/>
  <c r="H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T21" i="11" l="1"/>
  <c r="S21" i="11"/>
  <c r="S20" i="11"/>
  <c r="T20" i="11"/>
  <c r="S19" i="11"/>
  <c r="T19" i="11"/>
  <c r="V20" i="11"/>
  <c r="V21" i="11"/>
  <c r="V19" i="11"/>
  <c r="W18" i="11"/>
  <c r="Y18" i="11" s="1"/>
  <c r="X57" i="11"/>
  <c r="W57" i="11" s="1"/>
  <c r="Y57" i="11" s="1"/>
  <c r="H50" i="11" s="1"/>
  <c r="Y89" i="11"/>
  <c r="X89" i="11" s="1"/>
  <c r="Z89" i="11" s="1"/>
  <c r="H93" i="11" s="1"/>
  <c r="H67" i="11"/>
  <c r="H74" i="11" s="1"/>
  <c r="H63" i="11"/>
  <c r="X39" i="11"/>
  <c r="W39" i="11" s="1"/>
  <c r="Y39" i="11" s="1"/>
  <c r="H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X19" i="11" l="1"/>
  <c r="W19" i="11" s="1"/>
  <c r="Y19" i="11" s="1"/>
  <c r="X20" i="11" s="1"/>
  <c r="W20" i="11" s="1"/>
  <c r="Y20" i="11" s="1"/>
  <c r="X21" i="11" s="1"/>
  <c r="W21" i="11" s="1"/>
  <c r="Y21" i="11" s="1"/>
  <c r="X58" i="11"/>
  <c r="W58" i="11" s="1"/>
  <c r="Y58" i="11" s="1"/>
  <c r="H51" i="11" s="1"/>
  <c r="H68" i="11"/>
  <c r="H79" i="11" s="1"/>
  <c r="H86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80" i="11"/>
  <c r="H85" i="11" s="1"/>
  <c r="Y53" i="11" l="1"/>
  <c r="Y35" i="11"/>
  <c r="H57" i="11"/>
  <c r="H69" i="11"/>
  <c r="H72" i="11" s="1"/>
  <c r="H73" i="11"/>
  <c r="H78" i="11" l="1"/>
  <c r="H87" i="11" s="1"/>
  <c r="U10" i="11" l="1"/>
  <c r="T10" i="11" l="1"/>
  <c r="V10" i="11"/>
  <c r="U11" i="11"/>
  <c r="U13" i="11"/>
  <c r="U12" i="11"/>
  <c r="S10" i="11"/>
  <c r="S12" i="11" l="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8" i="11"/>
  <c r="J39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29" i="11"/>
  <c r="J37" i="11"/>
  <c r="J25" i="11"/>
  <c r="H84" i="11" l="1"/>
  <c r="K30" i="11"/>
  <c r="H30" i="11" s="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s="1"/>
  <c r="H22" i="11" s="1"/>
  <c r="B23" i="11" l="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<sst xmlns="http://schemas.openxmlformats.org/spreadsheetml/2006/main" count="390" uniqueCount="114">
  <si>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</si>
  <si>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</si>
  <si>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</si>
  <si>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</si>
  <si>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</si>
  <si>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</si>
  <si>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</si>
  <si>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</si>
  <si>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</si>
  <si>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</si>
  <si>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</si>
  <si>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</si>
  <si>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</si>
  <si>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</si>
  <si>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</si>
  <si>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</si>
  <si>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</si>
  <si>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</si>
  <si>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</si>
  <si>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</si>
  <si>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</si>
  <si>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</si>
  <si>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</si>
  <si>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</si>
  <si>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</si>
  <si>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</si>
  <si>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</si>
  <si>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</si>
  <si>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</si>
  <si>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</si>
  <si>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</si>
  <si>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ind i ga (15M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</si>
  <si>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</si>
  <si>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</si>
  <si>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</si>
  <si>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</si>
  <si>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</si>
  <si>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</si>
  <si>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</si>
  <si>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</si>
  <si>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</si>
  <si>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</si>
  <si>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</si>
  <si>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</si>
  <si>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</si>
  <si>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</si>
  <si>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</si>
  <si>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</si>
  <si>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</si>
  <si>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</si>
  <si>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</si>
  <si>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</si>
  <si>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</si>
  <si>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</si>
  <si>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</si>
  <si>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</si>
  <si>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</si>
  <si>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</si>
  <si>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</si>
  <si>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</si>
  <si>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</si>
  <si>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</si>
  <si>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</si>
  <si>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</si>
  <si>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</si>
  <si>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</si>
  <si>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</si>
  <si>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</si>
  <si>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</si>
  <si>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</si>
  <si>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</si>
  <si>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</si>
  <si>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</si>
  <si>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</si>
  <si>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</si>
  <si>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</si>
  <si>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</si>
  <si>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</si>
  <si>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</si>
  <si>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</si>
  <si>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</si>
  <si>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</si>
  <si>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</si>
  <si>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</si>
  <si>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</si>
  <si>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</si>
  <si>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</si>
  <si>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</si>
  <si>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</si>
  <si>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</si>
  <si>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</si>
  <si>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</si>
  <si>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PT1H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</si>
  <si>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</si>
  <si>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</si>
  <si>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</si>
  <si>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</si>
  <si>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</si>
  <si>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</si>
  <si>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</si>
  <si>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</si>
  <si>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</si>
  <si>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</si>
  <si>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</si>
  <si>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</si>
  <si>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</si>
  <si>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</si>
  <si>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</si>
  <si>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</si>
  <si>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200000001500000001</t>
  </si>
  <si>
    <t>170000001500000101</t>
  </si>
  <si>
    <t>170000001500000201</t>
  </si>
  <si>
    <t>180000001500000001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</si>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</sst>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Normal="100" workbookViewId="0">
      <selection activeCell="H22" sqref="H22:H25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8.8164062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4.17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1.816406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88</v>
      </c>
      <c r="C1" s="14" t="s">
        <v>7</v>
      </c>
      <c r="D1" s="14" t="s">
        <v>11</v>
      </c>
      <c r="E1" s="14" t="s">
        <v>12</v>
      </c>
      <c r="F1" s="14" t="s">
        <v>74</v>
      </c>
      <c r="G1" s="14" t="s">
        <v>75</v>
      </c>
      <c r="H1" s="14" t="s">
        <v>76</v>
      </c>
      <c r="I1" s="14" t="s">
        <v>77</v>
      </c>
      <c r="J1" s="14" t="s">
        <v>108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81</v>
      </c>
      <c r="Q1" s="14" t="s">
        <v>82</v>
      </c>
      <c r="U1" s="15" t="s">
        <v>74</v>
      </c>
      <c r="V1" s="15" t="s">
        <v>75</v>
      </c>
      <c r="W1" s="15" t="s">
        <v>76</v>
      </c>
      <c r="X1" s="15" t="s">
        <v>77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107</v>
      </c>
      <c r="AH1" s="30" t="s">
        <v>83</v>
      </c>
      <c r="AI1" s="30"/>
      <c r="AJ1" s="24"/>
    </row>
    <row r="2" spans="1:92" ht="21" x14ac:dyDescent="0.5">
      <c r="A2" s="18" t="s">
        <v>25</v>
      </c>
      <c r="B2" s="17" t="s">
        <v>113</v>
      </c>
      <c r="C2" s="10" t="s">
        <v>109</v>
      </c>
      <c r="D2" s="10" t="s">
        <v>99</v>
      </c>
      <c r="E2" s="11"/>
      <c r="F2" s="12">
        <v>1</v>
      </c>
      <c r="G2" s="12"/>
      <c r="H2" s="41"/>
      <c r="I2" s="41"/>
      <c r="J2" s="43">
        <f>IF(C2="","",SUM(F2:I2))</f>
        <v>1</v>
      </c>
      <c r="K2" s="10" t="s">
        <v>102</v>
      </c>
      <c r="L2" s="10"/>
      <c r="M2" s="10"/>
      <c r="N2" s="10"/>
      <c r="O2" s="10" t="s">
        <v>95</v>
      </c>
      <c r="P2" s="29" t="s">
        <v>95</v>
      </c>
      <c r="Q2" s="29" t="s">
        <v>95</v>
      </c>
      <c r="R2" s="24"/>
      <c r="S2" s="7" t="s">
        <v>35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">_xlfn._xlws.SORT(_xlfn.UNIQUE(_xlfn._xlws.FILTER(TableDay1[ga_id],TableDay1[ga_id] &lt;&gt; "")))</f>
        <v>800</v>
      </c>
      <c r="AE2" s="27" t="str" cm="1">
        <f t="array" ref="AE2">_xlfn._xlws.SORT(_xlfn.UNIQUE(_xlfn._xlws.FILTER(AE28:AE41,AE28:AE41 &lt;&gt; "")))</f>
        <v>3000000000000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tr" cm="1">
        <f t="array" ref="AH2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35">
      <c r="C3" s="10"/>
      <c r="D3" s="10"/>
      <c r="E3" s="11"/>
      <c r="F3" s="12"/>
      <c r="G3" s="12"/>
      <c r="H3" s="41"/>
      <c r="I3" s="41"/>
      <c r="J3" s="43" t="str">
        <f t="shared" ref="J3:J19" si="0">IF(C3="","",SUM(F3:I3))</f>
        <v/>
      </c>
      <c r="K3" s="10"/>
      <c r="L3" s="10"/>
      <c r="M3" s="10"/>
      <c r="N3" s="10"/>
      <c r="O3" s="10"/>
      <c r="P3" s="29"/>
      <c r="Q3" s="29"/>
      <c r="R3" s="24"/>
      <c r="S3" s="7" t="s">
        <v>39</v>
      </c>
      <c r="T3" s="9">
        <f>SUMIFS(TableDay1[TotalHour],TableDay1[settlement_method],"E02",TableDay1[resolution],"PT15M")</f>
        <v>1</v>
      </c>
      <c r="U3" s="42">
        <f>SUMIFS(TableDay1[Quarter1],TableDay1[settlement_method],"E02",TableDay1[resolution],"PT15M")</f>
        <v>1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/>
      <c r="AE3" s="24"/>
      <c r="AF3" s="24"/>
      <c r="AG3" s="24"/>
      <c r="AH3" s="24"/>
      <c r="AI3" s="24"/>
      <c r="AJ3" s="24"/>
    </row>
    <row r="4" spans="1:92" x14ac:dyDescent="0.35">
      <c r="C4" s="10"/>
      <c r="D4" s="10"/>
      <c r="E4" s="11"/>
      <c r="F4" s="12"/>
      <c r="G4" s="12"/>
      <c r="H4" s="41"/>
      <c r="I4" s="41"/>
      <c r="J4" s="43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SUMIFS(TableDay1[TotalHour],TableDay1[type],"E18",TableDay1[resolution],"PT15M")</f>
        <v>1</v>
      </c>
      <c r="U4" s="42">
        <f>SUMIFS(TableDay1[Quarter1],TableDay1[type],"E18",TableDay1[resolution],"PT15M")</f>
        <v>1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/>
      <c r="P5" s="29"/>
      <c r="Q5" s="29"/>
      <c r="R5" s="24"/>
      <c r="S5" s="7" t="s">
        <v>26</v>
      </c>
      <c r="T5" s="9">
        <f>SUMIFS(TableDay1[TotalHour],TableDay1[type],"E17",TableDay1[resolution],"PT15M")</f>
        <v>1</v>
      </c>
      <c r="U5" s="42">
        <f>SUMIFS(TableDay1[Quarter1],TableDay1[type],"E17",TableDay1[resolution],"PT15M")</f>
        <v>1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/>
    </row>
    <row r="6" spans="1:92" x14ac:dyDescent="0.35">
      <c r="C6" s="10" t="s">
        <v>110</v>
      </c>
      <c r="D6" s="10" t="s">
        <v>90</v>
      </c>
      <c r="E6" s="11" t="s">
        <v>104</v>
      </c>
      <c r="F6" s="12">
        <v>1</v>
      </c>
      <c r="G6" s="12"/>
      <c r="H6" s="12"/>
      <c r="I6" s="12"/>
      <c r="J6" s="43">
        <f t="shared" si="0"/>
        <v>1</v>
      </c>
      <c r="K6" s="10" t="s">
        <v>102</v>
      </c>
      <c r="L6" s="10" t="s">
        <v>93</v>
      </c>
      <c r="M6" s="10" t="s">
        <v>94</v>
      </c>
      <c r="N6" s="10"/>
      <c r="O6" s="10" t="s">
        <v>95</v>
      </c>
      <c r="P6" s="29"/>
      <c r="Q6" s="29"/>
      <c r="R6" s="24"/>
      <c r="S6" s="6" t="s">
        <v>31</v>
      </c>
      <c r="T6" s="9">
        <f>SUMIFS(TableDay1[TotalHour],TableDay1[type],"E20",TableDay1[resolution],"PT15M",TableDay1[to_ga],"800")</f>
        <v>1</v>
      </c>
      <c r="U6" s="42">
        <f>SUMIFS(TableDay1[Quarter1],TableDay1[type],"E20",TableDay1[resolution],"PT15M",TableDay1[to_ga],"800")</f>
        <v>1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/>
    </row>
    <row r="7" spans="1:92" x14ac:dyDescent="0.35">
      <c r="C7" s="10"/>
      <c r="D7" s="10"/>
      <c r="E7" s="11"/>
      <c r="F7" s="12"/>
      <c r="G7" s="12"/>
      <c r="H7" s="41"/>
      <c r="I7" s="41"/>
      <c r="J7" s="43" t="str">
        <f t="shared" si="0"/>
        <v/>
      </c>
      <c r="K7" s="10"/>
      <c r="L7" s="10"/>
      <c r="M7" s="10"/>
      <c r="N7" s="10"/>
      <c r="O7" s="10"/>
      <c r="P7" s="29"/>
      <c r="Q7" s="29"/>
      <c r="R7" s="24"/>
      <c r="S7" s="6" t="s">
        <v>42</v>
      </c>
      <c r="T7" s="9">
        <f>SUMIFS(TableDay1[TotalHour],TableDay1[type],"E20",TableDay1[resolution],"PT15M",TableDay1[from_ga],"800")</f>
        <v>1</v>
      </c>
      <c r="U7" s="42">
        <f>SUMIFS(TableDay1[Quarter1],TableDay1[type],"E20",TableDay1[resolution],"PT15M",TableDay1[from_ga],"800")</f>
        <v>1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35">
      <c r="C9" s="10" t="s">
        <v>111</v>
      </c>
      <c r="D9" s="10" t="s">
        <v>90</v>
      </c>
      <c r="E9" s="11" t="s">
        <v>91</v>
      </c>
      <c r="F9" s="12">
        <v>1.111</v>
      </c>
      <c r="G9" s="12"/>
      <c r="H9" s="41"/>
      <c r="I9" s="41"/>
      <c r="J9" s="43">
        <f t="shared" si="0"/>
        <v>1.111</v>
      </c>
      <c r="K9" s="10" t="s">
        <v>92</v>
      </c>
      <c r="L9" s="10" t="s">
        <v>93</v>
      </c>
      <c r="M9" s="10" t="s">
        <v>94</v>
      </c>
      <c r="N9" s="10"/>
      <c r="O9" s="10" t="s">
        <v>95</v>
      </c>
      <c r="P9" s="29"/>
      <c r="Q9" s="29"/>
      <c r="R9" s="24"/>
      <c r="S9" s="25"/>
      <c r="T9" s="7" t="s">
        <v>10</v>
      </c>
      <c r="U9" s="7" t="s">
        <v>9</v>
      </c>
      <c r="V9" s="7" t="s">
        <v>85</v>
      </c>
      <c r="W9" s="7" t="s">
        <v>45</v>
      </c>
      <c r="X9" s="7" t="s">
        <v>46</v>
      </c>
      <c r="Y9" s="7" t="s">
        <v>47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2200000000000</v>
      </c>
      <c r="U10" s="26" t="str">
        <f>IF(AE$2=0,"",AE$2)</f>
        <v>3000000000000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/>
      <c r="K11" s="10"/>
      <c r="L11" s="10"/>
      <c r="M11" s="10"/>
      <c r="N11" s="10"/>
      <c r="O11" s="10"/>
      <c r="P11" s="29"/>
      <c r="Q11" s="29"/>
      <c r="R11" s="15" t="s">
        <v>75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2200000000000</v>
      </c>
      <c r="U11" s="26" t="str">
        <f t="shared" ref="U11:V13" si="2">U$10</f>
        <v>3000000000000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35">
      <c r="C12" s="10" t="s">
        <v>112</v>
      </c>
      <c r="D12" s="10" t="s">
        <v>98</v>
      </c>
      <c r="E12" s="11"/>
      <c r="F12" s="12">
        <v>1</v>
      </c>
      <c r="G12" s="12"/>
      <c r="H12" s="41"/>
      <c r="I12" s="41"/>
      <c r="J12" s="43">
        <f t="shared" si="0"/>
        <v>1</v>
      </c>
      <c r="K12" s="10" t="s">
        <v>102</v>
      </c>
      <c r="L12" s="10" t="s">
        <v>100</v>
      </c>
      <c r="M12" s="10" t="s">
        <v>103</v>
      </c>
      <c r="N12" s="10"/>
      <c r="O12" s="10" t="s">
        <v>95</v>
      </c>
      <c r="P12" s="29"/>
      <c r="Q12" s="29"/>
      <c r="R12" s="15" t="s">
        <v>76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2200000000000</v>
      </c>
      <c r="U12" s="26" t="str">
        <f t="shared" si="2"/>
        <v>3000000000000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105</v>
      </c>
      <c r="AF12" s="36" t="s">
        <v>106</v>
      </c>
      <c r="AG12" s="36"/>
      <c r="AH12" s="35"/>
      <c r="AI12" s="24"/>
      <c r="AJ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2200000000000</v>
      </c>
      <c r="U13" s="26" t="str">
        <f t="shared" si="2"/>
        <v>3000000000000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4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74</v>
      </c>
      <c r="S14" s="26" t="str">
        <f>_xlfn.IFNA(INDEX(TableDay1[ga_id],MATCH(U14,TableDay1[es_id],0)),"")</f>
        <v/>
      </c>
      <c r="T14" s="26" t="str">
        <f>_xlfn.IFNA(INDEX(TableDay1[brp_id],MATCH(U14,TableDay1[es_id],0)),"")</f>
        <v/>
      </c>
      <c r="U14" s="26" t="str">
        <f>IF(AE$3=0,"",AE$3)</f>
        <v/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3000000000000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89</v>
      </c>
      <c r="D15" s="10" t="s">
        <v>90</v>
      </c>
      <c r="E15" s="11" t="s">
        <v>91</v>
      </c>
      <c r="F15" s="12"/>
      <c r="G15" s="12"/>
      <c r="H15" s="41"/>
      <c r="I15" s="41"/>
      <c r="J15" s="43">
        <f t="shared" si="0"/>
        <v>0</v>
      </c>
      <c r="K15" s="10" t="s">
        <v>102</v>
      </c>
      <c r="L15" s="10" t="s">
        <v>93</v>
      </c>
      <c r="M15" s="10" t="s">
        <v>94</v>
      </c>
      <c r="N15" s="10" t="s">
        <v>96</v>
      </c>
      <c r="O15" s="10" t="s">
        <v>95</v>
      </c>
      <c r="P15" s="29"/>
      <c r="Q15" s="29"/>
      <c r="R15" s="15" t="s">
        <v>75</v>
      </c>
      <c r="S15" s="26" t="str">
        <f>_xlfn.IFNA(INDEX(TableDay1[ga_id],MATCH(U15,TableDay1[es_id],0)),"")</f>
        <v/>
      </c>
      <c r="T15" s="26" t="str">
        <f>_xlfn.IFNA(INDEX(TableDay1[brp_id],MATCH(U15,TableDay1[es_id],0)),"")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97</v>
      </c>
      <c r="D16" s="10" t="s">
        <v>98</v>
      </c>
      <c r="E16" s="11" t="s">
        <v>91</v>
      </c>
      <c r="F16" s="12"/>
      <c r="G16" s="12"/>
      <c r="H16" s="41"/>
      <c r="I16" s="41"/>
      <c r="J16" s="43">
        <f t="shared" si="0"/>
        <v>0</v>
      </c>
      <c r="K16" s="10" t="s">
        <v>102</v>
      </c>
      <c r="L16" s="10" t="s">
        <v>100</v>
      </c>
      <c r="M16" s="10" t="s">
        <v>103</v>
      </c>
      <c r="N16" s="10" t="s">
        <v>101</v>
      </c>
      <c r="O16" s="10" t="s">
        <v>95</v>
      </c>
      <c r="P16" s="29"/>
      <c r="Q16" s="29"/>
      <c r="R16" s="15" t="s">
        <v>76</v>
      </c>
      <c r="S16" s="26" t="str">
        <f>_xlfn.IFNA(INDEX(TableDay1[ga_id],MATCH(U16,TableDay1[es_id],0)),"")</f>
        <v/>
      </c>
      <c r="T16" s="26" t="str">
        <f>_xlfn.IFNA(INDEX(TableDay1[brp_id],MATCH(U16,TableDay1[es_id],0)),"")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77</v>
      </c>
      <c r="S17" s="26" t="str">
        <f>_xlfn.IFNA(INDEX(TableDay1[ga_id],MATCH(U17,TableDay1[es_id],0)),"")</f>
        <v/>
      </c>
      <c r="T17" s="26" t="str">
        <f>_xlfn.IFNA(INDEX(TableDay1[brp_id],MATCH(U17,TableDay1[es_id],0)),"")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74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75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4" t="str">
        <f>CONCATENATE(B2,"_per_",B1)</f>
        <v>production_per_ga_brp_es</v>
      </c>
      <c r="F20" s="44"/>
      <c r="G20" s="44"/>
      <c r="H20" s="44"/>
      <c r="I20" s="45" t="s">
        <v>21</v>
      </c>
      <c r="J20" s="46"/>
      <c r="K20" s="47"/>
      <c r="R20" s="15" t="s">
        <v>76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78</v>
      </c>
      <c r="L21" s="2"/>
      <c r="M21" s="2"/>
      <c r="N21" s="2"/>
      <c r="O21" s="2"/>
      <c r="P21" s="2"/>
      <c r="Q21" s="2"/>
      <c r="R21" s="15" t="s">
        <v>77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3000000000000</v>
      </c>
      <c r="G22" s="31" t="str">
        <f>IF(B$1="ga",IF(E22="","","null"),IF(B$1="ga_es",IF(F22="","","null"),IF(B$1="ga_brp",IF(AF$2=0,"",AF$2),IF(F22="","",INDEX(TableDay1[brp_id],MATCH(F22,TableDay1[es_id],0),1)))))</f>
        <v>2200000000000</v>
      </c>
      <c r="H22" s="33" t="str">
        <f t="shared" ref="H22:H45" ca="1" si="5">SUBSTITUTE(IF(E22="","",I22+J22+K22),",",".")</f>
        <v>1.278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</v>
      </c>
      <c r="K22" s="9">
        <f t="shared" ref="K22:K45" si="6">IF(AND(C22="skmp",B$2="production"),VLOOKUP(D22,D$78:H$81,5,FALSE),IF(AND(B22="glmp",B$2="flex_consumption"),VLOOKUP(D22,D$72:H$75,5,FALSE),0))</f>
        <v>0.27800000000000002</v>
      </c>
      <c r="L22" s="2"/>
      <c r="M22" s="2"/>
      <c r="N22" s="2"/>
      <c r="O22" s="2"/>
      <c r="P22" s="2"/>
      <c r="Q22" s="2"/>
      <c r="R22" s="15" t="s">
        <v>74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75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3000000000000</v>
      </c>
      <c r="G23" s="31" t="str">
        <f>IF(B$1="ga",IF(E23="","","null"),IF(B$1="ga_es",IF(F23="","","null"),IF(B$1="ga_brp",IF(AF$2=0,"",AF$2),IF(F23="","",INDEX(TableDay1[brp_id],MATCH(F23,TableDay1[es_id],0),1)))))</f>
        <v>2200000000000</v>
      </c>
      <c r="H23" s="33" t="str">
        <f t="shared" ca="1" si="5"/>
        <v>0.278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6"/>
        <v>0.27800000000000002</v>
      </c>
      <c r="L23" s="2"/>
      <c r="M23" s="2"/>
      <c r="N23" s="2"/>
      <c r="O23" s="2"/>
      <c r="P23" s="2"/>
      <c r="Q23" s="2"/>
      <c r="R23" s="15" t="s">
        <v>75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76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3000000000000</v>
      </c>
      <c r="G24" s="31" t="str">
        <f>IF(B$1="ga",IF(E24="","","null"),IF(B$1="ga_es",IF(F24="","","null"),IF(B$1="ga_brp",IF(AF$2=0,"",AF$2),IF(F24="","",INDEX(TableDay1[brp_id],MATCH(F24,TableDay1[es_id],0),1)))))</f>
        <v>2200000000000</v>
      </c>
      <c r="H24" s="33" t="str">
        <f t="shared" ca="1" si="5"/>
        <v>0.277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6"/>
        <v>0.27700000000000002</v>
      </c>
      <c r="L24" s="2"/>
      <c r="M24" s="2"/>
      <c r="N24" s="2"/>
      <c r="O24" s="2"/>
      <c r="P24" s="2"/>
      <c r="Q24" s="2"/>
      <c r="R24" s="15" t="s">
        <v>76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77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3000000000000</v>
      </c>
      <c r="G25" s="31" t="str">
        <f>IF(B$1="ga",IF(E25="","","null"),IF(B$1="ga_es",IF(F25="","","null"),IF(B$1="ga_brp",IF(AF$2=0,"",AF$2),IF(F25="","",INDEX(TableDay1[brp_id],MATCH(F25,TableDay1[es_id],0),1)))))</f>
        <v>2200000000000</v>
      </c>
      <c r="H25" s="33" t="str">
        <f t="shared" ca="1" si="5"/>
        <v>0.278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6"/>
        <v>0.27800000000000002</v>
      </c>
      <c r="L25" s="37"/>
      <c r="M25" s="2"/>
      <c r="N25" s="2"/>
      <c r="O25" s="2"/>
      <c r="P25" s="2"/>
      <c r="Q25" s="2"/>
      <c r="R25" s="15" t="s">
        <v>77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74</v>
      </c>
      <c r="E26" s="31" t="str">
        <f t="shared" si="7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IF(B$1="ga",IF(E26="","","null"),IF(B$1="ga_es",IF(F26="","","null"),IF(B$1="ga_brp",IF(AF$3=0,"",AF$3),IF(F26="","",INDEX(TableDay1[brp_id],MATCH(F26,TableDay1[es_id],0),1)))))</f>
        <v/>
      </c>
      <c r="H26" s="33" t="str">
        <f t="shared" si="5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74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75</v>
      </c>
      <c r="E27" s="31" t="str">
        <f t="shared" si="7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IF(B$1="ga",IF(E27="","","null"),IF(B$1="ga_es",IF(F27="","","null"),IF(B$1="ga_brp",IF(AF$3=0,"",AF$3),IF(F27="","",INDEX(TableDay1[brp_id],MATCH(F27,TableDay1[es_id],0),1)))))</f>
        <v/>
      </c>
      <c r="H27" s="33" t="str">
        <f t="shared" si="5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75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76</v>
      </c>
      <c r="E28" s="31" t="str">
        <f t="shared" si="7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IF(B$1="ga",IF(E28="","","null"),IF(B$1="ga_es",IF(F28="","","null"),IF(B$1="ga_brp",IF(AF$3=0,"",AF$3),IF(F28="","",INDEX(TableDay1[brp_id],MATCH(F28,TableDay1[es_id],0),1)))))</f>
        <v/>
      </c>
      <c r="H28" s="33" t="str">
        <f t="shared" si="5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76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IFERROR(IF($B$2="production",INDEX(_xlfn._xlws.FILTER(TableDay1[[type]:[brp_id]],(TableDay1[es_id]=AE13)*(TableDay1[type]="E18"),""),,9),INDEX(_xlfn._xlws.FILTER(TableDay1[[type]:[brp_id]],(TableDay1[es_id]=AE13)*(TableDay1[settlement_method]=AG$2),""),,9)),"")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77</v>
      </c>
      <c r="E29" s="31" t="str">
        <f t="shared" si="7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IF(B$1="ga",IF(E29="","","null"),IF(B$1="ga_es",IF(F29="","","null"),IF(B$1="ga_brp",IF(AF$3=0,"",AF$3),IF(F29="","",INDEX(TableDay1[brp_id],MATCH(F29,TableDay1[es_id],0),1)))))</f>
        <v/>
      </c>
      <c r="H29" s="33" t="str">
        <f t="shared" si="5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77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74</v>
      </c>
      <c r="E30" s="31" t="str">
        <f t="shared" si="7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5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74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75</v>
      </c>
      <c r="E31" s="31" t="str">
        <f t="shared" si="7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5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75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76</v>
      </c>
      <c r="E32" s="31" t="str">
        <f t="shared" si="7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5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76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77</v>
      </c>
      <c r="E33" s="31" t="str">
        <f t="shared" si="7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5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77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74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75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1.111</v>
      </c>
      <c r="W35" s="16" t="s">
        <v>49</v>
      </c>
      <c r="X35" s="16"/>
      <c r="Y35" s="28">
        <f>SUM(Y37:Y40)</f>
        <v>1.1110000000000002</v>
      </c>
      <c r="Z35" s="21">
        <f>SUM(Z37:Z40)</f>
        <v>1.1120000000000001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76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43</v>
      </c>
      <c r="V36" s="20">
        <f>SUMIFS(TableDay1[TotalHour],TableDay1[settlement_method],"D01",TableDay1[resolution],"PT1H")/4</f>
        <v>0.27775</v>
      </c>
      <c r="W36" s="7" t="s">
        <v>45</v>
      </c>
      <c r="X36" s="7" t="s">
        <v>46</v>
      </c>
      <c r="Y36" s="7" t="s">
        <v>47</v>
      </c>
      <c r="Z36" s="7" t="s">
        <v>48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77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54</v>
      </c>
      <c r="V37" s="19">
        <f>V$36</f>
        <v>0.27775</v>
      </c>
      <c r="W37" s="19">
        <f>V37</f>
        <v>0.27775</v>
      </c>
      <c r="X37" s="19"/>
      <c r="Y37" s="23">
        <f>ROUND(W37, 3)</f>
        <v>0.27800000000000002</v>
      </c>
      <c r="Z37" s="23">
        <f>ROUND(V37,3)</f>
        <v>0.27800000000000002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74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55</v>
      </c>
      <c r="V38" s="19">
        <f>V$36</f>
        <v>0.27775</v>
      </c>
      <c r="W38" s="19">
        <f>X38+W37</f>
        <v>0.27749999999999997</v>
      </c>
      <c r="X38" s="19">
        <f>V38-Y37</f>
        <v>-2.5000000000002798E-4</v>
      </c>
      <c r="Y38" s="23">
        <f>ROUND(W38, 3)</f>
        <v>0.27800000000000002</v>
      </c>
      <c r="Z38" s="23">
        <f>ROUND(V38,3)</f>
        <v>0.27800000000000002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75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56</v>
      </c>
      <c r="V39" s="19">
        <f>V$36</f>
        <v>0.27775</v>
      </c>
      <c r="W39" s="19">
        <f>X39+W38</f>
        <v>0.27724999999999994</v>
      </c>
      <c r="X39" s="19">
        <f>V39-Y38</f>
        <v>-2.5000000000002798E-4</v>
      </c>
      <c r="Y39" s="23">
        <f>ROUND(W39, 3)</f>
        <v>0.27700000000000002</v>
      </c>
      <c r="Z39" s="23">
        <f>ROUND(V39,3)</f>
        <v>0.27800000000000002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76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57</v>
      </c>
      <c r="V40" s="19">
        <f>V$36</f>
        <v>0.27775</v>
      </c>
      <c r="W40" s="19">
        <f>X40+W39</f>
        <v>0.27799999999999991</v>
      </c>
      <c r="X40" s="19">
        <f>V40-Y39</f>
        <v>7.4999999999997291E-4</v>
      </c>
      <c r="Y40" s="23">
        <f>ROUND(W40, 3)</f>
        <v>0.27800000000000002</v>
      </c>
      <c r="Z40" s="23">
        <f>ROUND(V40,3)</f>
        <v>0.27800000000000002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77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0</v>
      </c>
      <c r="W41" s="39" t="s">
        <v>49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74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0</v>
      </c>
      <c r="W42" s="7" t="s">
        <v>45</v>
      </c>
      <c r="X42" s="7" t="s">
        <v>46</v>
      </c>
      <c r="Y42" s="7" t="s">
        <v>47</v>
      </c>
      <c r="Z42" s="7" t="s">
        <v>48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75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50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 t="str" cm="1">
        <f t="array" ref="AE43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3" s="36" t="str" cm="1">
        <f t="array" ref="AF43">IFERROR(IF($B$2="production",_xlfn.UNIQUE(INDEX(_xlfn._xlws.FILTER(TableDay1[[type]:[brp_id]],(TableDay1[brp_id]=AF28)*(TableDay1[type]=$AG$2),""),,10)),_xlfn.UNIQUE(INDEX(_xlfn._xlws.FILTER(TableDay1[[type]:[brp_id]],(TableDay1[brp_id]=AF28)*(TableDay1[settlement_method]=AG$2),""),,10))),"")</f>
        <v/>
      </c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76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51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77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52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4" t="s">
        <v>34</v>
      </c>
      <c r="F46" s="44"/>
      <c r="G46" s="44"/>
      <c r="H46" s="44"/>
      <c r="R46" s="24"/>
      <c r="S46" s="24"/>
      <c r="T46" s="24"/>
      <c r="U46" s="15" t="s">
        <v>53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0</v>
      </c>
      <c r="W47" s="39" t="s">
        <v>49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74</v>
      </c>
      <c r="E48" s="31" t="str">
        <f>$AD$2</f>
        <v>800</v>
      </c>
      <c r="F48" s="31" t="s">
        <v>33</v>
      </c>
      <c r="G48" s="31" t="s">
        <v>33</v>
      </c>
      <c r="H48" s="32">
        <f>powerIn1H_quarter1+powerIn15M_quarter1-powerOut1H_quarter1-powerOut15M_quarter1</f>
        <v>0</v>
      </c>
      <c r="I48" s="2"/>
      <c r="R48" s="24"/>
      <c r="S48" s="24"/>
      <c r="T48" s="24"/>
      <c r="U48" s="7" t="s">
        <v>44</v>
      </c>
      <c r="V48" s="9">
        <f>SUMIFS(TableDay1[TotalHour],TableDay1[settlement_method],"E02",TableDay1[resolution],"PT1H")/4</f>
        <v>0</v>
      </c>
      <c r="W48" s="7" t="s">
        <v>45</v>
      </c>
      <c r="X48" s="7" t="s">
        <v>46</v>
      </c>
      <c r="Y48" s="7" t="s">
        <v>47</v>
      </c>
      <c r="Z48" s="7" t="s">
        <v>48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75</v>
      </c>
      <c r="E49" s="31" t="str">
        <f t="shared" ref="E49:E51" si="12">$AD$2</f>
        <v>800</v>
      </c>
      <c r="F49" s="31" t="s">
        <v>33</v>
      </c>
      <c r="G49" s="31" t="s">
        <v>33</v>
      </c>
      <c r="H49" s="32">
        <f>powerIn1H_quarter2+powerIn15M_quarter2-powerOut1H_quarter2-powerOut15M_quarter2</f>
        <v>0</v>
      </c>
      <c r="I49" s="2"/>
      <c r="R49" s="24"/>
      <c r="S49" s="24"/>
      <c r="T49" s="24"/>
      <c r="U49" s="15" t="s">
        <v>58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76</v>
      </c>
      <c r="E50" s="31" t="str">
        <f t="shared" si="12"/>
        <v>800</v>
      </c>
      <c r="F50" s="31" t="s">
        <v>33</v>
      </c>
      <c r="G50" s="31" t="s">
        <v>33</v>
      </c>
      <c r="H50" s="32">
        <f>powerIn1H_quarter3+powerIn15M_quarter3-powerOut1H_quarter3-powerOut15M_quarter3</f>
        <v>0</v>
      </c>
      <c r="I50" s="2"/>
      <c r="R50" s="24"/>
      <c r="S50" s="24"/>
      <c r="T50" s="24"/>
      <c r="U50" s="15" t="s">
        <v>59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77</v>
      </c>
      <c r="E51" s="31" t="str">
        <f t="shared" si="12"/>
        <v>800</v>
      </c>
      <c r="F51" s="31" t="s">
        <v>33</v>
      </c>
      <c r="G51" s="31" t="s">
        <v>33</v>
      </c>
      <c r="H51" s="32">
        <f>powerIn1H_quarter4+powerIn15M_quarter4-powerOut1H_quarter4-powerOut15M_quarter4</f>
        <v>0</v>
      </c>
      <c r="I51" s="2"/>
      <c r="R51" s="24"/>
      <c r="S51" s="24"/>
      <c r="T51" s="24"/>
      <c r="U51" s="15" t="s">
        <v>60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8" t="s">
        <v>36</v>
      </c>
      <c r="F52" s="49"/>
      <c r="G52" s="49"/>
      <c r="H52" s="50"/>
      <c r="R52" s="24"/>
      <c r="S52" s="24"/>
      <c r="T52" s="24"/>
      <c r="U52" s="15" t="s">
        <v>61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0</v>
      </c>
      <c r="W53" s="39" t="s">
        <v>49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33</v>
      </c>
      <c r="G54" s="31" t="s">
        <v>33</v>
      </c>
      <c r="H54" s="32">
        <f>totalFlex1H_quarter1+totalFlex15M_quarter1</f>
        <v>0.27800000000000002</v>
      </c>
      <c r="R54" s="24"/>
      <c r="S54" s="24"/>
      <c r="T54" s="24"/>
      <c r="U54" s="6" t="s">
        <v>30</v>
      </c>
      <c r="V54" s="9">
        <f>SUMIFS(TableDay1[TotalHour],TableDay1[type],"E20",TableDay1[resolution],"PT1H",TableDay1[to_ga],$AD$2)/4</f>
        <v>0</v>
      </c>
      <c r="W54" s="7" t="s">
        <v>45</v>
      </c>
      <c r="X54" s="7" t="s">
        <v>46</v>
      </c>
      <c r="Y54" s="7" t="s">
        <v>47</v>
      </c>
      <c r="Z54" s="7" t="s">
        <v>48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3">$AD$2</f>
        <v>800</v>
      </c>
      <c r="F55" s="31" t="s">
        <v>33</v>
      </c>
      <c r="G55" s="31" t="s">
        <v>33</v>
      </c>
      <c r="H55" s="32">
        <f>totalFlex1H_quarter2+totalFlex15M_quarter2</f>
        <v>0.27800000000000002</v>
      </c>
      <c r="R55" s="24"/>
      <c r="S55" s="24"/>
      <c r="T55" s="24"/>
      <c r="U55" s="15" t="s">
        <v>62</v>
      </c>
      <c r="V55" s="19">
        <f>V$54</f>
        <v>0</v>
      </c>
      <c r="W55" s="19">
        <f>V55</f>
        <v>0</v>
      </c>
      <c r="X55" s="19"/>
      <c r="Y55" s="23">
        <f>ROUND(W55, 3)</f>
        <v>0</v>
      </c>
      <c r="Z55" s="23">
        <f>ROUND(V55,3)</f>
        <v>0</v>
      </c>
      <c r="AA55" s="24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3"/>
        <v>800</v>
      </c>
      <c r="F56" s="31" t="s">
        <v>33</v>
      </c>
      <c r="G56" s="31" t="s">
        <v>33</v>
      </c>
      <c r="H56" s="32">
        <f>totalFlex1H_quarter3+totalFlex15M_quarter3</f>
        <v>0.27700000000000002</v>
      </c>
      <c r="R56" s="24"/>
      <c r="S56" s="24"/>
      <c r="T56" s="24"/>
      <c r="U56" s="15" t="s">
        <v>63</v>
      </c>
      <c r="V56" s="19">
        <f>V$54</f>
        <v>0</v>
      </c>
      <c r="W56" s="19">
        <f>X56+W55</f>
        <v>0</v>
      </c>
      <c r="X56" s="19">
        <f>V56-Y55</f>
        <v>0</v>
      </c>
      <c r="Y56" s="23">
        <f>ROUND(W56, 3)</f>
        <v>0</v>
      </c>
      <c r="Z56" s="23">
        <f>ROUND(V56,3)</f>
        <v>0</v>
      </c>
      <c r="AA56" s="24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3"/>
        <v>800</v>
      </c>
      <c r="F57" s="31" t="s">
        <v>33</v>
      </c>
      <c r="G57" s="31" t="s">
        <v>33</v>
      </c>
      <c r="H57" s="32">
        <f>totalFlex1H_quarter4+totalFlex15M_quarter4</f>
        <v>0.27800000000000002</v>
      </c>
      <c r="R57" s="24"/>
      <c r="S57" s="24"/>
      <c r="T57" s="24"/>
      <c r="U57" s="15" t="s">
        <v>64</v>
      </c>
      <c r="V57" s="19">
        <f>V$54</f>
        <v>0</v>
      </c>
      <c r="W57" s="19">
        <f>X57+W56</f>
        <v>0</v>
      </c>
      <c r="X57" s="19">
        <f>V57-Y56</f>
        <v>0</v>
      </c>
      <c r="Y57" s="23">
        <f>ROUND(W57, 3)</f>
        <v>0</v>
      </c>
      <c r="Z57" s="23">
        <f>ROUND(V57,3)</f>
        <v>0</v>
      </c>
      <c r="AA57" s="27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8" t="s">
        <v>37</v>
      </c>
      <c r="F58" s="49"/>
      <c r="G58" s="49"/>
      <c r="H58" s="50"/>
      <c r="R58" s="24"/>
      <c r="S58" s="24"/>
      <c r="T58" s="24"/>
      <c r="U58" s="15" t="s">
        <v>65</v>
      </c>
      <c r="V58" s="19">
        <f>V$54</f>
        <v>0</v>
      </c>
      <c r="W58" s="19">
        <f>X58+W57</f>
        <v>0</v>
      </c>
      <c r="X58" s="19">
        <f>V58-Y57</f>
        <v>0</v>
      </c>
      <c r="Y58" s="23">
        <f>ROUND(W58, 3)</f>
        <v>0</v>
      </c>
      <c r="Z58" s="23">
        <f>ROUND(V58,3)</f>
        <v>0</v>
      </c>
      <c r="AA58" s="27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49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33</v>
      </c>
      <c r="G60" s="31" t="s">
        <v>33</v>
      </c>
      <c r="H60" s="32">
        <f>totalProduction1H_quarter1+totalProduction15M_quarter1</f>
        <v>1</v>
      </c>
      <c r="R60" s="24"/>
      <c r="S60" s="24"/>
      <c r="T60" s="24"/>
      <c r="U60" s="6" t="s">
        <v>32</v>
      </c>
      <c r="V60" s="9">
        <f>SUMIFS(TableDay1[TotalHour],TableDay1[type],"E20",TableDay1[resolution],"PT1H",TableDay1[from_ga],"800")/4</f>
        <v>0</v>
      </c>
      <c r="W60" s="7" t="s">
        <v>45</v>
      </c>
      <c r="X60" s="7" t="s">
        <v>46</v>
      </c>
      <c r="Y60" s="7" t="s">
        <v>47</v>
      </c>
      <c r="Z60" s="7" t="s">
        <v>48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4">$AD$2</f>
        <v>800</v>
      </c>
      <c r="F61" s="31" t="s">
        <v>33</v>
      </c>
      <c r="G61" s="31" t="s">
        <v>33</v>
      </c>
      <c r="H61" s="32">
        <f>totalProduction1H_quarter2+totalProduction15M_quarter2</f>
        <v>0</v>
      </c>
      <c r="R61" s="24"/>
      <c r="S61" s="24"/>
      <c r="T61" s="24"/>
      <c r="U61" s="15" t="s">
        <v>66</v>
      </c>
      <c r="V61" s="19">
        <f>V$60</f>
        <v>0</v>
      </c>
      <c r="W61" s="19">
        <f>V61</f>
        <v>0</v>
      </c>
      <c r="X61" s="19"/>
      <c r="Y61" s="23">
        <f>ROUND(W61, 3)</f>
        <v>0</v>
      </c>
      <c r="Z61" s="23">
        <f>ROUND(V61,3)</f>
        <v>0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4"/>
        <v>800</v>
      </c>
      <c r="F62" s="31" t="s">
        <v>33</v>
      </c>
      <c r="G62" s="31" t="s">
        <v>33</v>
      </c>
      <c r="H62" s="32">
        <f>totalProduction1H_quarter3+totalProduction15M_quarter3</f>
        <v>0</v>
      </c>
      <c r="R62" s="24"/>
      <c r="S62" s="24"/>
      <c r="T62" s="24"/>
      <c r="U62" s="15" t="s">
        <v>67</v>
      </c>
      <c r="V62" s="19">
        <f>V$60</f>
        <v>0</v>
      </c>
      <c r="W62" s="19">
        <f>X62+W61</f>
        <v>0</v>
      </c>
      <c r="X62" s="19">
        <f>V62-Y61</f>
        <v>0</v>
      </c>
      <c r="Y62" s="23">
        <f>ROUND(W62, 3)</f>
        <v>0</v>
      </c>
      <c r="Z62" s="23">
        <f>ROUND(V62,3)</f>
        <v>0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4"/>
        <v>800</v>
      </c>
      <c r="F63" s="31" t="s">
        <v>33</v>
      </c>
      <c r="G63" s="31" t="s">
        <v>33</v>
      </c>
      <c r="H63" s="32">
        <f>totalProduction1H_quarter4+totalProduction15M_quarter4</f>
        <v>0</v>
      </c>
      <c r="R63" s="24"/>
      <c r="S63" s="24"/>
      <c r="T63" s="24"/>
      <c r="U63" s="15" t="s">
        <v>68</v>
      </c>
      <c r="V63" s="19">
        <f>V$60</f>
        <v>0</v>
      </c>
      <c r="W63" s="19">
        <f>X63+W62</f>
        <v>0</v>
      </c>
      <c r="X63" s="19">
        <f>V63-Y62</f>
        <v>0</v>
      </c>
      <c r="Y63" s="23">
        <f>ROUND(W63, 3)</f>
        <v>0</v>
      </c>
      <c r="Z63" s="23">
        <f>ROUND(V63,3)</f>
        <v>0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8" t="s">
        <v>38</v>
      </c>
      <c r="F64" s="49"/>
      <c r="G64" s="49"/>
      <c r="H64" s="50"/>
      <c r="R64" s="24"/>
      <c r="S64" s="24"/>
      <c r="T64" s="24"/>
      <c r="U64" s="15" t="s">
        <v>69</v>
      </c>
      <c r="V64" s="19">
        <f>V$60</f>
        <v>0</v>
      </c>
      <c r="W64" s="19">
        <f>X64+W63</f>
        <v>0</v>
      </c>
      <c r="X64" s="19">
        <f>V64-Y63</f>
        <v>0</v>
      </c>
      <c r="Y64" s="23">
        <f>ROUND(W64, 3)</f>
        <v>0</v>
      </c>
      <c r="Z64" s="23">
        <f>ROUND(V64,3)</f>
        <v>0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1.111</v>
      </c>
      <c r="W65" s="52" t="s">
        <v>49</v>
      </c>
      <c r="X65" s="53"/>
      <c r="Y65" s="28">
        <f>ROUND(SUM(Y67:Y70),3)</f>
        <v>1.111</v>
      </c>
      <c r="Z65" s="21">
        <f>SUM(Z67:Z70)</f>
        <v>1.1120000000000001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33</v>
      </c>
      <c r="G66" s="31" t="s">
        <v>33</v>
      </c>
      <c r="H66" s="32">
        <f>totalProduction1H_quarter1+totalProduction15M_quarter1+netEx_quarter1-totalFlex1H_quarter1-totalFlex15M_quarter1-totalNonprofiled1H_quarter1-totalNonprofiled15M_quarter1</f>
        <v>-0.27800000000000002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0.27775</v>
      </c>
      <c r="W66" s="7" t="s">
        <v>45</v>
      </c>
      <c r="X66" s="7" t="s">
        <v>46</v>
      </c>
      <c r="Y66" s="7" t="s">
        <v>47</v>
      </c>
      <c r="Z66" s="7" t="s">
        <v>48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5">$AD$2</f>
        <v>800</v>
      </c>
      <c r="F67" s="31" t="s">
        <v>33</v>
      </c>
      <c r="G67" s="31" t="s">
        <v>33</v>
      </c>
      <c r="H67" s="32">
        <f>totalProduction1H_quarter2+totalProduction15M_quarter2+netEx_quarter2-totalFlex1H_quarter2-totalFlex15M_quarter2-totalNonprofiled1H_quarter2-totalNonprofiled15M_quarter2</f>
        <v>-0.27800000000000002</v>
      </c>
      <c r="R67" s="24"/>
      <c r="S67" s="24"/>
      <c r="T67" s="24"/>
      <c r="U67" s="15" t="s">
        <v>70</v>
      </c>
      <c r="V67" s="19">
        <f>V$66</f>
        <v>0.27775</v>
      </c>
      <c r="W67" s="19">
        <f>V67</f>
        <v>0.27775</v>
      </c>
      <c r="X67" s="19"/>
      <c r="Y67" s="23">
        <f>ROUND(W67, 3)</f>
        <v>0.27800000000000002</v>
      </c>
      <c r="Z67" s="23">
        <f>ROUND(V67,3)</f>
        <v>0.27800000000000002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5"/>
        <v>800</v>
      </c>
      <c r="F68" s="31" t="s">
        <v>33</v>
      </c>
      <c r="G68" s="31" t="s">
        <v>33</v>
      </c>
      <c r="H68" s="32">
        <f>totalProduction1H_quarter3+totalProduction15M_quarter3+netEx_quarter3-totalFlex1H_quarter3-totalFlex15M_quarter3-totalNonprofiled1H_quarter3-totalNonprofiled15M_quarter3</f>
        <v>-0.27700000000000002</v>
      </c>
      <c r="R68" s="24"/>
      <c r="S68" s="24"/>
      <c r="T68" s="24"/>
      <c r="U68" s="15" t="s">
        <v>71</v>
      </c>
      <c r="V68" s="19">
        <f>V$66</f>
        <v>0.27775</v>
      </c>
      <c r="W68" s="19">
        <f>X68+W67</f>
        <v>0.27749999999999997</v>
      </c>
      <c r="X68" s="19">
        <f>V68-Y67</f>
        <v>-2.5000000000002798E-4</v>
      </c>
      <c r="Y68" s="23">
        <f>ROUND(W68, 3)</f>
        <v>0.27800000000000002</v>
      </c>
      <c r="Z68" s="23">
        <f>ROUND(V68,3)</f>
        <v>0.27800000000000002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5"/>
        <v>800</v>
      </c>
      <c r="F69" s="31" t="s">
        <v>33</v>
      </c>
      <c r="G69" s="31" t="s">
        <v>33</v>
      </c>
      <c r="H69" s="32">
        <f>totalProduction1H_quarter4+totalProduction15M_quarter4+netEx_quarter4-totalFlex1H_quarter4-totalFlex15M_quarter4-totalNonprofiled1H_quarter4-totalNonprofiled15M_quarter4</f>
        <v>-0.27800000000000002</v>
      </c>
      <c r="J69" s="2"/>
      <c r="R69" s="24"/>
      <c r="S69" s="24"/>
      <c r="T69" s="24"/>
      <c r="U69" s="15" t="s">
        <v>72</v>
      </c>
      <c r="V69" s="19">
        <f>V$66</f>
        <v>0.27775</v>
      </c>
      <c r="W69" s="19">
        <f>X69+W68</f>
        <v>0.27724999999999994</v>
      </c>
      <c r="X69" s="19">
        <f>V69-Y68</f>
        <v>-2.5000000000002798E-4</v>
      </c>
      <c r="Y69" s="23">
        <f>ROUND(W69, 3)</f>
        <v>0.27700000000000002</v>
      </c>
      <c r="Z69" s="23">
        <f>ROUND(V69,3)</f>
        <v>0.27800000000000002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8" t="s">
        <v>40</v>
      </c>
      <c r="F70" s="49"/>
      <c r="G70" s="49"/>
      <c r="H70" s="50"/>
      <c r="R70" s="24"/>
      <c r="S70" s="24"/>
      <c r="T70" s="27"/>
      <c r="U70" s="15" t="s">
        <v>73</v>
      </c>
      <c r="V70" s="19">
        <f>V$66</f>
        <v>0.27775</v>
      </c>
      <c r="W70" s="19">
        <f>X70+W69</f>
        <v>0.27799999999999991</v>
      </c>
      <c r="X70" s="19">
        <f>V70-Y69</f>
        <v>7.4999999999997291E-4</v>
      </c>
      <c r="Y70" s="23">
        <f>ROUND(W70, 3)</f>
        <v>0.27800000000000002</v>
      </c>
      <c r="Z70" s="23">
        <f>ROUND(V70,3)</f>
        <v>0.27800000000000002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77</v>
      </c>
      <c r="E72" s="31" t="str">
        <f>$AD$2</f>
        <v>800</v>
      </c>
      <c r="F72" s="31" t="s">
        <v>33</v>
      </c>
      <c r="G72" s="31" t="s">
        <v>33</v>
      </c>
      <c r="H72" s="32">
        <f>IF(gridLoss1H_quarter4&gt;0,gridLoss1H_quarter4,0)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76</v>
      </c>
      <c r="E73" s="31" t="str">
        <f t="shared" ref="E73:E75" si="16">$AD$2</f>
        <v>800</v>
      </c>
      <c r="F73" s="31" t="s">
        <v>33</v>
      </c>
      <c r="G73" s="31" t="s">
        <v>33</v>
      </c>
      <c r="H73" s="32">
        <f>IF(gridLoss1H_quarter3&gt;0,gridLoss1H_quarter3,0)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75</v>
      </c>
      <c r="E74" s="31" t="str">
        <f t="shared" si="16"/>
        <v>800</v>
      </c>
      <c r="F74" s="31" t="s">
        <v>33</v>
      </c>
      <c r="G74" s="31" t="s">
        <v>33</v>
      </c>
      <c r="H74" s="32">
        <f>IF(gridLoss1H_quarter2&gt;0,gridLoss1H_quarter2,0)</f>
        <v>0</v>
      </c>
      <c r="I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74</v>
      </c>
      <c r="E75" s="31" t="str">
        <f t="shared" si="16"/>
        <v>800</v>
      </c>
      <c r="F75" s="31" t="s">
        <v>33</v>
      </c>
      <c r="G75" s="31" t="s">
        <v>33</v>
      </c>
      <c r="H75" s="32">
        <f>IF(gridLoss1H_quarter1&gt;0,gridLoss1H_quarter1,0)</f>
        <v>0</v>
      </c>
      <c r="I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8" t="s">
        <v>41</v>
      </c>
      <c r="F76" s="49"/>
      <c r="G76" s="49"/>
      <c r="H76" s="5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77</v>
      </c>
      <c r="E78" s="31" t="str">
        <f>$AD$2</f>
        <v>800</v>
      </c>
      <c r="F78" s="31" t="s">
        <v>33</v>
      </c>
      <c r="G78" s="31" t="s">
        <v>33</v>
      </c>
      <c r="H78" s="32">
        <f>IF(gridLoss1H_quarter4&lt;0,gridLoss1H_quarter4*-1,0)</f>
        <v>0.27800000000000002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76</v>
      </c>
      <c r="E79" s="31" t="str">
        <f t="shared" ref="E79:E81" si="17">$AD$2</f>
        <v>800</v>
      </c>
      <c r="F79" s="31" t="s">
        <v>33</v>
      </c>
      <c r="G79" s="31" t="s">
        <v>33</v>
      </c>
      <c r="H79" s="32">
        <f>IF(gridLoss1H_quarter3&lt;0,gridLoss1H_quarter3*-1,0)</f>
        <v>0.27700000000000002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75</v>
      </c>
      <c r="E80" s="31" t="str">
        <f t="shared" si="17"/>
        <v>800</v>
      </c>
      <c r="F80" s="31" t="s">
        <v>33</v>
      </c>
      <c r="G80" s="31" t="s">
        <v>33</v>
      </c>
      <c r="H80" s="32">
        <f>IF(gridLoss1H_quarter2&lt;0,gridLoss1H_quarter2*-1,0)</f>
        <v>0.27800000000000002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74</v>
      </c>
      <c r="E81" s="31" t="str">
        <f t="shared" si="17"/>
        <v>800</v>
      </c>
      <c r="F81" s="31" t="s">
        <v>33</v>
      </c>
      <c r="G81" s="31" t="s">
        <v>33</v>
      </c>
      <c r="H81" s="32">
        <f>IF(gridLoss1H_quarter1&lt;0,(gridLoss1H_quarter1)*-1,0)</f>
        <v>0.27800000000000002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8" t="s">
        <v>79</v>
      </c>
      <c r="F82" s="49"/>
      <c r="G82" s="49"/>
      <c r="H82" s="5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74</v>
      </c>
      <c r="E84" s="31" t="str">
        <f>$AD$2</f>
        <v>800</v>
      </c>
      <c r="F84" s="31" t="s">
        <v>33</v>
      </c>
      <c r="G84" s="31" t="s">
        <v>33</v>
      </c>
      <c r="H84" s="32" t="str">
        <f>SUBSTITUTE(netEx_quarter1+totalProduction1H_quarter1+totalProduction15M_quarter1+negGridLossQuarter1,",",".")</f>
        <v>1.278</v>
      </c>
      <c r="I84" s="37"/>
      <c r="J84" s="2"/>
      <c r="U84" s="2"/>
      <c r="V84" s="51" t="s">
        <v>84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75</v>
      </c>
      <c r="E85" s="31" t="str">
        <f t="shared" ref="E85:E87" si="18">$AD$2</f>
        <v>800</v>
      </c>
      <c r="F85" s="31" t="s">
        <v>33</v>
      </c>
      <c r="G85" s="31" t="s">
        <v>33</v>
      </c>
      <c r="H85" s="32" t="str">
        <f>SUBSTITUTE(netEx_quarter2+totalProduction1H_quarter2+totalProduction15M_quarter2+negGridLossQuarter2,",",".")</f>
        <v>0.278</v>
      </c>
      <c r="I85" s="2"/>
      <c r="J85" s="2"/>
      <c r="K85" s="2"/>
      <c r="U85" s="2"/>
      <c r="V85" s="6" t="s">
        <v>14</v>
      </c>
      <c r="W85" s="6" t="s">
        <v>86</v>
      </c>
      <c r="X85" s="6" t="s">
        <v>45</v>
      </c>
      <c r="Y85" s="6" t="s">
        <v>46</v>
      </c>
      <c r="Z85" s="6" t="s">
        <v>47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76</v>
      </c>
      <c r="E86" s="31" t="str">
        <f t="shared" si="18"/>
        <v>800</v>
      </c>
      <c r="F86" s="31" t="s">
        <v>33</v>
      </c>
      <c r="G86" s="31" t="s">
        <v>33</v>
      </c>
      <c r="H86" s="32" t="str">
        <f>SUBSTITUTE(netEx_quarter3+totalProduction1H_quarter3+totalProduction15M_quarter3+negGridLossQuarter3,",",".")</f>
        <v>0.277</v>
      </c>
      <c r="I86" s="2"/>
      <c r="J86" s="2"/>
      <c r="R86" s="37"/>
      <c r="S86" s="2"/>
      <c r="U86" s="15" t="s">
        <v>74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0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19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77</v>
      </c>
      <c r="E87" s="31" t="str">
        <f t="shared" si="18"/>
        <v>800</v>
      </c>
      <c r="F87" s="34" t="s">
        <v>33</v>
      </c>
      <c r="G87" s="34" t="s">
        <v>33</v>
      </c>
      <c r="H87" s="32" t="str">
        <f>SUBSTITUTE(netEx_quarter4+totalProduction1H_quarter4+totalProduction15M_quarter4+negGridLossQuarter4,",",".")</f>
        <v>0.278</v>
      </c>
      <c r="I87" s="2"/>
      <c r="J87" s="2"/>
      <c r="R87" s="2"/>
      <c r="S87" s="2"/>
      <c r="U87" s="15" t="s">
        <v>75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1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8" t="s">
        <v>80</v>
      </c>
      <c r="F88" s="49"/>
      <c r="G88" s="49"/>
      <c r="H88" s="49"/>
      <c r="I88" s="50"/>
      <c r="J88" s="2"/>
      <c r="R88" s="2"/>
      <c r="S88" s="2"/>
      <c r="U88" s="15" t="s">
        <v>76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1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87</v>
      </c>
      <c r="J89" s="2"/>
      <c r="R89" s="2"/>
      <c r="S89" s="2"/>
      <c r="U89" s="15" t="s">
        <v>77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1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74</v>
      </c>
      <c r="E90" s="31" t="str">
        <f t="shared" ref="E90:E113" si="20">IF(AND(ROW()&lt;86+(COUNTA(AH$2:AH$21)*4),ROW()&gt;89),$AH$2,"")</f>
        <v/>
      </c>
      <c r="F90" s="31" t="str">
        <f>IF(E90&lt;&gt;"","null","")</f>
        <v/>
      </c>
      <c r="G90" s="31" t="str">
        <f>IF(E90&lt;&gt;"","null","")</f>
        <v/>
      </c>
      <c r="H90" s="32" t="str">
        <f t="shared" ref="H90:H112" si="21">SUBSTITUTE(IF(E90="","",V86+Z86),",",".")</f>
        <v/>
      </c>
      <c r="I90" s="32" t="str" cm="1">
        <f t="array" aca="1" ref="I90" ca="1">IF(E90="","",INDIRECT("AH"&amp;ROUND((ROW()-80)*0.25,0)))</f>
        <v/>
      </c>
      <c r="J90" s="2"/>
      <c r="R90" s="2"/>
      <c r="S90" s="2"/>
      <c r="U90" s="15" t="s">
        <v>74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0</v>
      </c>
      <c r="X90" s="16">
        <f>W90</f>
        <v>0</v>
      </c>
      <c r="Y90" s="16"/>
      <c r="Z90" s="16">
        <f t="shared" si="1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75</v>
      </c>
      <c r="E91" s="31" t="str">
        <f t="shared" si="20"/>
        <v/>
      </c>
      <c r="F91" s="31" t="str">
        <f t="shared" ref="F91:F113" si="22">IF(E91&lt;&gt;"","null","")</f>
        <v/>
      </c>
      <c r="G91" s="31" t="str">
        <f t="shared" ref="G91:G113" si="23">IF(E91&lt;&gt;"","null","")</f>
        <v/>
      </c>
      <c r="H91" s="32" t="str">
        <f t="shared" si="21"/>
        <v/>
      </c>
      <c r="I91" s="32" t="str" cm="1">
        <f t="array" aca="1" ref="I91" ca="1">IF(E91="","",INDIRECT("AH"&amp;ROUND((ROW()-80)*0.25,0)))</f>
        <v/>
      </c>
      <c r="J91" s="2"/>
      <c r="R91" s="2"/>
      <c r="U91" s="15" t="s">
        <v>75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1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76</v>
      </c>
      <c r="E92" s="31" t="str">
        <f t="shared" si="20"/>
        <v/>
      </c>
      <c r="F92" s="31" t="str">
        <f t="shared" si="22"/>
        <v/>
      </c>
      <c r="G92" s="31" t="str">
        <f t="shared" si="23"/>
        <v/>
      </c>
      <c r="H92" s="32" t="str">
        <f t="shared" si="21"/>
        <v/>
      </c>
      <c r="I92" s="32" t="str" cm="1">
        <f t="array" aca="1" ref="I92" ca="1">IF(E92="","",INDIRECT("AH"&amp;ROUND((ROW()-80)*0.25,0)))</f>
        <v/>
      </c>
      <c r="J92" s="2"/>
      <c r="U92" s="15" t="s">
        <v>76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1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77</v>
      </c>
      <c r="E93" s="31" t="str">
        <f t="shared" si="20"/>
        <v/>
      </c>
      <c r="F93" s="31" t="str">
        <f t="shared" si="22"/>
        <v/>
      </c>
      <c r="G93" s="31" t="str">
        <f t="shared" si="23"/>
        <v/>
      </c>
      <c r="H93" s="32" t="str">
        <f t="shared" si="21"/>
        <v/>
      </c>
      <c r="I93" s="32" t="str" cm="1">
        <f t="array" aca="1" ref="I93" ca="1">IF(E93="","",INDIRECT("AH"&amp;ROUND((ROW()-80)*0.25,0)))</f>
        <v/>
      </c>
      <c r="J93" s="2"/>
      <c r="U93" s="15" t="s">
        <v>77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1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74</v>
      </c>
      <c r="E94" s="31" t="str">
        <f t="shared" si="20"/>
        <v/>
      </c>
      <c r="F94" s="31" t="str">
        <f t="shared" si="22"/>
        <v/>
      </c>
      <c r="G94" s="31" t="str">
        <f t="shared" si="23"/>
        <v/>
      </c>
      <c r="H94" s="32" t="str">
        <f t="shared" si="21"/>
        <v/>
      </c>
      <c r="I94" s="32" t="str" cm="1">
        <f t="array" aca="1" ref="I94" ca="1">IF(E94="","",INDIRECT("AH"&amp;ROUND((ROW()-80)*0.25,0)))</f>
        <v/>
      </c>
      <c r="J94" s="2"/>
      <c r="U94" s="15" t="s">
        <v>74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1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75</v>
      </c>
      <c r="E95" s="31" t="str">
        <f t="shared" si="20"/>
        <v/>
      </c>
      <c r="F95" s="31" t="str">
        <f t="shared" si="22"/>
        <v/>
      </c>
      <c r="G95" s="31" t="str">
        <f t="shared" si="23"/>
        <v/>
      </c>
      <c r="H95" s="32" t="str">
        <f t="shared" si="21"/>
        <v/>
      </c>
      <c r="I95" s="32" t="str" cm="1">
        <f t="array" aca="1" ref="I95" ca="1">IF(E95="","",INDIRECT("AH"&amp;ROUND((ROW()-80)*0.25,0)))</f>
        <v/>
      </c>
      <c r="J95" s="2"/>
      <c r="U95" s="15" t="s">
        <v>75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1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76</v>
      </c>
      <c r="E96" s="31" t="str">
        <f t="shared" si="20"/>
        <v/>
      </c>
      <c r="F96" s="31" t="str">
        <f t="shared" si="22"/>
        <v/>
      </c>
      <c r="G96" s="31" t="str">
        <f t="shared" si="23"/>
        <v/>
      </c>
      <c r="H96" s="32" t="str">
        <f t="shared" si="21"/>
        <v/>
      </c>
      <c r="I96" s="32" t="str" cm="1">
        <f t="array" aca="1" ref="I96" ca="1">IF(E96="","",INDIRECT("AH"&amp;ROUND((ROW()-80)*0.25,0)))</f>
        <v/>
      </c>
      <c r="J96" s="2"/>
      <c r="U96" s="15" t="s">
        <v>76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1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77</v>
      </c>
      <c r="E97" s="31" t="str">
        <f t="shared" si="20"/>
        <v/>
      </c>
      <c r="F97" s="31" t="str">
        <f t="shared" si="22"/>
        <v/>
      </c>
      <c r="G97" s="31" t="str">
        <f t="shared" si="23"/>
        <v/>
      </c>
      <c r="H97" s="32" t="str">
        <f t="shared" si="21"/>
        <v/>
      </c>
      <c r="I97" s="32" t="str" cm="1">
        <f t="array" aca="1" ref="I97" ca="1">IF(E97="","",INDIRECT("AH"&amp;ROUND((ROW()-80)*0.25,0)))</f>
        <v/>
      </c>
      <c r="J97" s="2"/>
      <c r="U97" s="15" t="s">
        <v>77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1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74</v>
      </c>
      <c r="E98" s="31" t="str">
        <f t="shared" si="20"/>
        <v/>
      </c>
      <c r="F98" s="31" t="str">
        <f t="shared" si="22"/>
        <v/>
      </c>
      <c r="G98" s="31" t="str">
        <f t="shared" si="23"/>
        <v/>
      </c>
      <c r="H98" s="32" t="str">
        <f t="shared" si="21"/>
        <v/>
      </c>
      <c r="I98" s="32" t="str" cm="1">
        <f t="array" aca="1" ref="I98" ca="1">IF(E98="","",INDIRECT("AH"&amp;ROUND((ROW()-80)*0.25,0)))</f>
        <v/>
      </c>
      <c r="J98" s="2"/>
      <c r="U98" s="15" t="s">
        <v>74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1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75</v>
      </c>
      <c r="E99" s="31" t="str">
        <f t="shared" si="20"/>
        <v/>
      </c>
      <c r="F99" s="31" t="str">
        <f t="shared" si="22"/>
        <v/>
      </c>
      <c r="G99" s="31" t="str">
        <f t="shared" si="23"/>
        <v/>
      </c>
      <c r="H99" s="32" t="str">
        <f t="shared" si="21"/>
        <v/>
      </c>
      <c r="I99" s="32" t="str" cm="1">
        <f t="array" aca="1" ref="I99" ca="1">IF(E99="","",INDIRECT("AH"&amp;ROUND((ROW()-80)*0.25,0)))</f>
        <v/>
      </c>
      <c r="J99" s="2"/>
      <c r="U99" s="15" t="s">
        <v>75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1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76</v>
      </c>
      <c r="E100" s="31" t="str">
        <f t="shared" si="20"/>
        <v/>
      </c>
      <c r="F100" s="31" t="str">
        <f t="shared" si="22"/>
        <v/>
      </c>
      <c r="G100" s="31" t="str">
        <f t="shared" si="23"/>
        <v/>
      </c>
      <c r="H100" s="32" t="str">
        <f t="shared" si="21"/>
        <v/>
      </c>
      <c r="I100" s="32" t="str" cm="1">
        <f t="array" aca="1" ref="I100" ca="1">IF(E100="","",INDIRECT("AH"&amp;ROUND((ROW()-80)*0.25,0)))</f>
        <v/>
      </c>
      <c r="J100" s="2"/>
      <c r="U100" s="15" t="s">
        <v>76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1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77</v>
      </c>
      <c r="E101" s="31" t="str">
        <f t="shared" si="20"/>
        <v/>
      </c>
      <c r="F101" s="31" t="str">
        <f t="shared" si="22"/>
        <v/>
      </c>
      <c r="G101" s="31" t="str">
        <f t="shared" si="23"/>
        <v/>
      </c>
      <c r="H101" s="32" t="str">
        <f t="shared" si="21"/>
        <v/>
      </c>
      <c r="I101" s="32" t="str" cm="1">
        <f t="array" aca="1" ref="I101" ca="1">IF(E101="","",INDIRECT("AH"&amp;ROUND((ROW()-80)*0.25,0)))</f>
        <v/>
      </c>
      <c r="J101" s="2"/>
      <c r="U101" s="15" t="s">
        <v>77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1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74</v>
      </c>
      <c r="E102" s="31" t="str">
        <f t="shared" si="20"/>
        <v/>
      </c>
      <c r="F102" s="31" t="str">
        <f t="shared" si="22"/>
        <v/>
      </c>
      <c r="G102" s="31" t="str">
        <f t="shared" si="23"/>
        <v/>
      </c>
      <c r="H102" s="32" t="str">
        <f t="shared" si="21"/>
        <v/>
      </c>
      <c r="I102" s="32" t="str" cm="1">
        <f t="array" aca="1" ref="I102" ca="1">IF(E102="","",INDIRECT("AH"&amp;ROUND((ROW()-80)*0.25,0)))</f>
        <v/>
      </c>
      <c r="J102" s="2"/>
      <c r="U102" s="15" t="s">
        <v>74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1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75</v>
      </c>
      <c r="E103" s="31" t="str">
        <f t="shared" si="20"/>
        <v/>
      </c>
      <c r="F103" s="31" t="str">
        <f t="shared" si="22"/>
        <v/>
      </c>
      <c r="G103" s="31" t="str">
        <f t="shared" si="23"/>
        <v/>
      </c>
      <c r="H103" s="32" t="str">
        <f t="shared" si="21"/>
        <v/>
      </c>
      <c r="I103" s="32" t="str" cm="1">
        <f t="array" aca="1" ref="I103" ca="1">IF(E103="","",INDIRECT("AH"&amp;ROUND((ROW()-80)*0.25,0)))</f>
        <v/>
      </c>
      <c r="J103" s="2"/>
      <c r="U103" s="15" t="s">
        <v>75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1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76</v>
      </c>
      <c r="E104" s="31" t="str">
        <f t="shared" si="20"/>
        <v/>
      </c>
      <c r="F104" s="31" t="str">
        <f t="shared" si="22"/>
        <v/>
      </c>
      <c r="G104" s="31" t="str">
        <f t="shared" si="23"/>
        <v/>
      </c>
      <c r="H104" s="32" t="str">
        <f t="shared" si="21"/>
        <v/>
      </c>
      <c r="I104" s="32" t="str" cm="1">
        <f t="array" aca="1" ref="I104" ca="1">IF(E104="","",INDIRECT("AH"&amp;ROUND((ROW()-80)*0.25,0)))</f>
        <v/>
      </c>
      <c r="J104" s="2"/>
      <c r="U104" s="15" t="s">
        <v>76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1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77</v>
      </c>
      <c r="E105" s="31" t="str">
        <f t="shared" si="20"/>
        <v/>
      </c>
      <c r="F105" s="31" t="str">
        <f t="shared" si="22"/>
        <v/>
      </c>
      <c r="G105" s="31" t="str">
        <f t="shared" si="23"/>
        <v/>
      </c>
      <c r="H105" s="32" t="str">
        <f t="shared" si="21"/>
        <v/>
      </c>
      <c r="I105" s="32" t="str" cm="1">
        <f t="array" aca="1" ref="I105" ca="1">IF(E105="","",INDIRECT("AH"&amp;ROUND((ROW()-80)*0.25,0)))</f>
        <v/>
      </c>
      <c r="J105" s="2"/>
      <c r="U105" s="15" t="s">
        <v>77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1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74</v>
      </c>
      <c r="E106" s="31" t="str">
        <f t="shared" si="20"/>
        <v/>
      </c>
      <c r="F106" s="31" t="str">
        <f t="shared" si="22"/>
        <v/>
      </c>
      <c r="G106" s="31" t="str">
        <f t="shared" si="23"/>
        <v/>
      </c>
      <c r="H106" s="32" t="str">
        <f t="shared" si="21"/>
        <v/>
      </c>
      <c r="I106" s="32" t="str" cm="1">
        <f t="array" aca="1" ref="I106" ca="1">IF(E106="","",INDIRECT("AH"&amp;ROUND((ROW()-80)*0.25,0)))</f>
        <v/>
      </c>
      <c r="J106" s="2"/>
      <c r="U106" s="15" t="s">
        <v>74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1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75</v>
      </c>
      <c r="E107" s="31" t="str">
        <f t="shared" si="20"/>
        <v/>
      </c>
      <c r="F107" s="31" t="str">
        <f t="shared" si="22"/>
        <v/>
      </c>
      <c r="G107" s="31" t="str">
        <f t="shared" si="23"/>
        <v/>
      </c>
      <c r="H107" s="32" t="str">
        <f t="shared" si="21"/>
        <v/>
      </c>
      <c r="I107" s="32" t="str" cm="1">
        <f t="array" aca="1" ref="I107" ca="1">IF(E107="","",INDIRECT("AH"&amp;ROUND((ROW()-80)*0.25,0)))</f>
        <v/>
      </c>
      <c r="J107" s="2"/>
      <c r="U107" s="15" t="s">
        <v>75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1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76</v>
      </c>
      <c r="E108" s="31" t="str">
        <f t="shared" si="20"/>
        <v/>
      </c>
      <c r="F108" s="31" t="str">
        <f t="shared" si="22"/>
        <v/>
      </c>
      <c r="G108" s="31" t="str">
        <f t="shared" si="23"/>
        <v/>
      </c>
      <c r="H108" s="32" t="str">
        <f t="shared" si="21"/>
        <v/>
      </c>
      <c r="I108" s="32" t="str" cm="1">
        <f t="array" aca="1" ref="I108" ca="1">IF(E108="","",INDIRECT("AH"&amp;ROUND((ROW()-80)*0.25,0)))</f>
        <v/>
      </c>
      <c r="J108" s="2"/>
      <c r="U108" s="15" t="s">
        <v>76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1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77</v>
      </c>
      <c r="E109" s="31" t="str">
        <f t="shared" si="20"/>
        <v/>
      </c>
      <c r="F109" s="31" t="str">
        <f t="shared" si="22"/>
        <v/>
      </c>
      <c r="G109" s="31" t="str">
        <f t="shared" si="23"/>
        <v/>
      </c>
      <c r="H109" s="32" t="str">
        <f t="shared" si="21"/>
        <v/>
      </c>
      <c r="I109" s="32" t="str" cm="1">
        <f t="array" aca="1" ref="I109" ca="1">IF(E109="","",INDIRECT("AH"&amp;ROUND((ROW()-80)*0.25,0)))</f>
        <v/>
      </c>
      <c r="J109" s="2"/>
      <c r="U109" s="15" t="s">
        <v>77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1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74</v>
      </c>
      <c r="E110" s="31" t="str">
        <f t="shared" si="20"/>
        <v/>
      </c>
      <c r="F110" s="31" t="str">
        <f t="shared" si="22"/>
        <v/>
      </c>
      <c r="G110" s="31" t="str">
        <f t="shared" si="23"/>
        <v/>
      </c>
      <c r="H110" s="32" t="str">
        <f t="shared" si="21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75</v>
      </c>
      <c r="E111" s="31" t="str">
        <f t="shared" si="20"/>
        <v/>
      </c>
      <c r="F111" s="31" t="str">
        <f t="shared" si="22"/>
        <v/>
      </c>
      <c r="G111" s="31" t="str">
        <f t="shared" si="23"/>
        <v/>
      </c>
      <c r="H111" s="32" t="str">
        <f t="shared" si="21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76</v>
      </c>
      <c r="E112" s="31" t="str">
        <f t="shared" si="20"/>
        <v/>
      </c>
      <c r="F112" s="31" t="str">
        <f t="shared" si="22"/>
        <v/>
      </c>
      <c r="G112" s="31" t="str">
        <f t="shared" si="23"/>
        <v/>
      </c>
      <c r="H112" s="32" t="str">
        <f t="shared" si="21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77</v>
      </c>
      <c r="E113" s="31" t="str">
        <f t="shared" si="20"/>
        <v/>
      </c>
      <c r="F113" s="31" t="str">
        <f t="shared" si="22"/>
        <v/>
      </c>
      <c r="G113" s="31" t="str">
        <f t="shared" si="23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63</vt:i4>
      </vt:variant>
    </vt:vector>
  </HeadingPairs>
  <TitlesOfParts>
    <vt:vector size="64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Hour1!powerIn1H_quarter1</vt:lpstr>
      <vt:lpstr>Hour1!powerIn1H_quarter2</vt:lpstr>
      <vt:lpstr>Hour1!powerIn1H_quarter3</vt:lpstr>
      <vt:lpstr>Hour1!powerIn1H_quarter4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Hour1!powerOut1H_quarter1</vt:lpstr>
      <vt:lpstr>Hour1!powerOut1H_quarter2</vt:lpstr>
      <vt:lpstr>Hour1!powerOut1H_quarter3</vt:lpstr>
      <vt:lpstr>Hour1!powerOut1H_quarter4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2024-05-29T08:33:08Z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