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energy_calculation\given_period_is_two_days_with_mp_end\"/>
    </mc:Choice>
  </mc:AlternateContent>
  <xr:revisionPtr revIDLastSave="0" documentId="13_ncr:1_{84279BDF-BC67-4FA2-B5AE-BC9AF74FA5DA}" xr6:coauthVersionLast="47" xr6:coauthVersionMax="47" xr10:uidLastSave="{00000000-0000-0000-0000-000000000000}"/>
  <bookViews>
    <workbookView xWindow="-120" yWindow="-120" windowWidth="38640" windowHeight="21120" activeTab="1" xr2:uid="{B26405EC-4681-4CC9-BF80-F87B3459AD72}"/>
  </bookViews>
  <sheets>
    <sheet name="Day1" sheetId="11" r:id="rId1"/>
    <sheet name="Day2" sheetId="13" r:id="rId2"/>
  </sheets>
  <definedNames>
    <definedName name="gridLoss15M" localSheetId="0">'Day1'!$S$34</definedName>
    <definedName name="gridLoss15M" localSheetId="1">'Day2'!$S$34</definedName>
    <definedName name="gridLoss1H_quarter1" localSheetId="0">'Day1'!$H$66</definedName>
    <definedName name="gridLoss1H_quarter1" localSheetId="1">'Day2'!$H$66</definedName>
    <definedName name="gridLoss1H_quarter2" localSheetId="0">'Day1'!$H$67</definedName>
    <definedName name="gridLoss1H_quarter2" localSheetId="1">'Day2'!$H$67</definedName>
    <definedName name="gridLoss1H_quarter3" localSheetId="0">'Day1'!$H$68</definedName>
    <definedName name="gridLoss1H_quarter3" localSheetId="1">'Day2'!$H$68</definedName>
    <definedName name="gridLoss1H_quarter4" localSheetId="0">'Day1'!$H$69</definedName>
    <definedName name="gridLoss1H_quarter4" localSheetId="1">'Day2'!$H$69</definedName>
    <definedName name="negGridLossQuarter1" localSheetId="0">'Day1'!$H$81</definedName>
    <definedName name="negGridLossQuarter1" localSheetId="1">'Day2'!$H$81</definedName>
    <definedName name="negGridLossQuarter2" localSheetId="0">'Day1'!$H$80</definedName>
    <definedName name="negGridLossQuarter2" localSheetId="1">'Day2'!$H$80</definedName>
    <definedName name="negGridLossQuarter3" localSheetId="0">'Day1'!$H$79</definedName>
    <definedName name="negGridLossQuarter3" localSheetId="1">'Day2'!$H$79</definedName>
    <definedName name="negGridLossQuarter4" localSheetId="0">'Day1'!$H$78</definedName>
    <definedName name="negGridLossQuarter4" localSheetId="1">'Day2'!$H$78</definedName>
    <definedName name="netEx_quarter1" localSheetId="0">'Day1'!$H$48</definedName>
    <definedName name="netEx_quarter1" localSheetId="1">'Day2'!$H$48</definedName>
    <definedName name="netEx_quarter2" localSheetId="0">'Day1'!$H$49</definedName>
    <definedName name="netEx_quarter2" localSheetId="1">'Day2'!$H$49</definedName>
    <definedName name="netEx_quarter3" localSheetId="0">'Day1'!$H$50</definedName>
    <definedName name="netEx_quarter3" localSheetId="1">'Day2'!$H$50</definedName>
    <definedName name="netEx_quarter4" localSheetId="0">'Day1'!$H$51</definedName>
    <definedName name="netEx_quarter4" localSheetId="1">'Day2'!$H$51</definedName>
    <definedName name="powerIn15M" localSheetId="0">'Day1'!$T$6</definedName>
    <definedName name="powerIn15M" localSheetId="1">'Day2'!$T$6</definedName>
    <definedName name="powerIn15M_quarter1" localSheetId="0">'Day1'!$U$6</definedName>
    <definedName name="powerIn15M_quarter1" localSheetId="1">'Day2'!$U$6</definedName>
    <definedName name="powerIn15M_quarter2" localSheetId="0">'Day1'!$V$6</definedName>
    <definedName name="powerIn15M_quarter2" localSheetId="1">'Day2'!$V$6</definedName>
    <definedName name="powerIn15M_quarter3" localSheetId="0">'Day1'!$W$6</definedName>
    <definedName name="powerIn15M_quarter3" localSheetId="1">'Day2'!$W$6</definedName>
    <definedName name="powerIn15M_quarter4" localSheetId="0">'Day1'!$X$6</definedName>
    <definedName name="powerIn15M_quarter4" localSheetId="1">'Day2'!$X$6</definedName>
    <definedName name="powerIn1H_quarter1" localSheetId="0">'Day1'!$Y$55</definedName>
    <definedName name="powerIn1H_quarter1" localSheetId="1">'Day2'!$Y$55</definedName>
    <definedName name="powerIn1H_quarter2" localSheetId="0">'Day1'!$Y$56</definedName>
    <definedName name="powerIn1H_quarter2" localSheetId="1">'Day2'!$Y$56</definedName>
    <definedName name="powerIn1H_quarter3" localSheetId="0">'Day1'!$Y$57</definedName>
    <definedName name="powerIn1H_quarter3" localSheetId="1">'Day2'!$Y$57</definedName>
    <definedName name="powerIn1H_quarter4" localSheetId="0">'Day1'!$Y$58</definedName>
    <definedName name="powerIn1H_quarter4" localSheetId="1">'Day2'!$Y$58</definedName>
    <definedName name="powerOut15M" localSheetId="0">'Day1'!$T$7</definedName>
    <definedName name="powerOut15M" localSheetId="1">'Day2'!$T$7</definedName>
    <definedName name="powerOut15M_quarter1" localSheetId="0">'Day1'!$U$7</definedName>
    <definedName name="powerOut15M_quarter1" localSheetId="1">'Day2'!$U$7</definedName>
    <definedName name="powerOut15M_quarter2" localSheetId="0">'Day1'!$V$7</definedName>
    <definedName name="powerOut15M_quarter2" localSheetId="1">'Day2'!$V$7</definedName>
    <definedName name="powerOut15M_quarter3" localSheetId="0">'Day1'!$W$7</definedName>
    <definedName name="powerOut15M_quarter3" localSheetId="1">'Day2'!$W$7</definedName>
    <definedName name="powerOut15M_quarter4" localSheetId="0">'Day1'!$X$7</definedName>
    <definedName name="powerOut15M_quarter4" localSheetId="1">'Day2'!$X$7</definedName>
    <definedName name="powerOut1H_quarter1" localSheetId="0">'Day1'!$Y$61</definedName>
    <definedName name="powerOut1H_quarter1" localSheetId="1">'Day2'!$Y$61</definedName>
    <definedName name="powerOut1H_quarter2" localSheetId="0">'Day1'!$Y$62</definedName>
    <definedName name="powerOut1H_quarter2" localSheetId="1">'Day2'!$Y$62</definedName>
    <definedName name="powerOut1H_quarter3" localSheetId="0">'Day1'!$Y$63</definedName>
    <definedName name="powerOut1H_quarter3" localSheetId="1">'Day2'!$Y$63</definedName>
    <definedName name="powerOut1H_quarter4" localSheetId="0">'Day1'!$Y$64</definedName>
    <definedName name="powerOut1H_quarter4" localSheetId="1">'Day2'!$Y$64</definedName>
    <definedName name="totalConsumption_quarter1" localSheetId="0">'Day1'!$Y$67</definedName>
    <definedName name="totalConsumption_quarter1" localSheetId="1">'Day2'!$Y$67</definedName>
    <definedName name="totalConsumption_quarter2" localSheetId="0">'Day1'!$Y$68</definedName>
    <definedName name="totalConsumption_quarter2" localSheetId="1">'Day2'!$Y$68</definedName>
    <definedName name="totalConsumption_quarter3" localSheetId="0">'Day1'!$Y$69</definedName>
    <definedName name="totalConsumption_quarter3" localSheetId="1">'Day2'!$Y$69</definedName>
    <definedName name="totalConsumption_quarter4" localSheetId="0">'Day1'!$Y$70</definedName>
    <definedName name="totalConsumption_quarter4" localSheetId="1">'Day2'!$Y$70</definedName>
    <definedName name="totalConsumption15M" localSheetId="0">'Day1'!$T$5</definedName>
    <definedName name="totalConsumption15M" localSheetId="1">'Day2'!$T$5</definedName>
    <definedName name="totalFlex15M" localSheetId="0">'Day1'!$T$2</definedName>
    <definedName name="totalFlex15M" localSheetId="1">'Day2'!$T$2</definedName>
    <definedName name="totalFlex15M_quarter1" localSheetId="0">'Day1'!$U$2</definedName>
    <definedName name="totalFlex15M_quarter1" localSheetId="1">'Day2'!$U$2</definedName>
    <definedName name="totalFlex15M_quarter2" localSheetId="0">'Day1'!$V$2</definedName>
    <definedName name="totalFlex15M_quarter2" localSheetId="1">'Day2'!$V$2</definedName>
    <definedName name="totalFlex15M_quarter3" localSheetId="0">'Day1'!$W$2</definedName>
    <definedName name="totalFlex15M_quarter3" localSheetId="1">'Day2'!$W$2</definedName>
    <definedName name="totalFlex15M_quarter4" localSheetId="0">'Day1'!$X$2</definedName>
    <definedName name="totalFlex15M_quarter4" localSheetId="1">'Day2'!$X$2</definedName>
    <definedName name="totalFlex1H_quarter1" localSheetId="0">'Day1'!$Y$37</definedName>
    <definedName name="totalFlex1H_quarter1" localSheetId="1">'Day2'!$Y$37</definedName>
    <definedName name="totalFlex1H_quarter2" localSheetId="0">'Day1'!$Y$38</definedName>
    <definedName name="totalFlex1H_quarter2" localSheetId="1">'Day2'!$Y$38</definedName>
    <definedName name="totalFlex1H_quarter3" localSheetId="0">'Day1'!$Y$39</definedName>
    <definedName name="totalFlex1H_quarter3" localSheetId="1">'Day2'!$Y$39</definedName>
    <definedName name="totalFlex1H_quarter4" localSheetId="0">'Day1'!$Y$40</definedName>
    <definedName name="totalFlex1H_quarter4" localSheetId="1">'Day2'!$Y$40</definedName>
    <definedName name="totalNonprofiled15M" localSheetId="0">'Day1'!$T$3</definedName>
    <definedName name="totalNonprofiled15M" localSheetId="1">'Day2'!$T$3</definedName>
    <definedName name="totalNonprofiled15M_quarter1" localSheetId="0">'Day1'!$U$3</definedName>
    <definedName name="totalNonprofiled15M_quarter1" localSheetId="1">'Day2'!$U$3</definedName>
    <definedName name="totalNonprofiled15M_quarter2" localSheetId="0">'Day1'!$V$3</definedName>
    <definedName name="totalNonprofiled15M_quarter2" localSheetId="1">'Day2'!$V$3</definedName>
    <definedName name="totalNonprofiled15M_quarter3" localSheetId="0">'Day1'!$W$3</definedName>
    <definedName name="totalNonprofiled15M_quarter3" localSheetId="1">'Day2'!$W$3</definedName>
    <definedName name="totalNonprofiled15M_quarter4" localSheetId="0">'Day1'!$X$3</definedName>
    <definedName name="totalNonprofiled15M_quarter4" localSheetId="1">'Day2'!$X$3</definedName>
    <definedName name="totalNonprofiled1H_quarter1" localSheetId="0">'Day1'!$Y$49</definedName>
    <definedName name="totalNonprofiled1H_quarter1" localSheetId="1">'Day2'!$Y$49</definedName>
    <definedName name="totalNonprofiled1H_quarter2" localSheetId="0">'Day1'!$Y$50</definedName>
    <definedName name="totalNonprofiled1H_quarter2" localSheetId="1">'Day2'!$Y$50</definedName>
    <definedName name="totalNonprofiled1H_quarter3" localSheetId="0">'Day1'!$Y$51</definedName>
    <definedName name="totalNonprofiled1H_quarter3" localSheetId="1">'Day2'!$Y$51</definedName>
    <definedName name="totalNonprofiled1H_quarter4" localSheetId="0">'Day1'!$Y$52</definedName>
    <definedName name="totalNonprofiled1H_quarter4" localSheetId="1">'Day2'!$Y$52</definedName>
    <definedName name="totalProduction15M" localSheetId="0">'Day1'!$T$4</definedName>
    <definedName name="totalProduction15M" localSheetId="1">'Day2'!$T$4</definedName>
    <definedName name="totalProduction15M_quarter1" localSheetId="0">'Day1'!$U$4</definedName>
    <definedName name="totalProduction15M_quarter1" localSheetId="1">'Day2'!$U$4</definedName>
    <definedName name="totalProduction15M_quarter2" localSheetId="0">'Day1'!$V$4</definedName>
    <definedName name="totalProduction15M_quarter2" localSheetId="1">'Day2'!$V$4</definedName>
    <definedName name="totalProduction15M_quarter3" localSheetId="0">'Day1'!$W$4</definedName>
    <definedName name="totalProduction15M_quarter3" localSheetId="1">'Day2'!$W$4</definedName>
    <definedName name="totalProduction15M_quarter4" localSheetId="0">'Day1'!$X$4</definedName>
    <definedName name="totalProduction15M_quarter4" localSheetId="1">'Day2'!$X$4</definedName>
    <definedName name="totalProduction1H_quarter1" localSheetId="0">'Day1'!$Y$43</definedName>
    <definedName name="totalProduction1H_quarter1" localSheetId="1">'Day2'!$Y$43</definedName>
    <definedName name="totalProduction1H_quarter2" localSheetId="0">'Day1'!$Y$44</definedName>
    <definedName name="totalProduction1H_quarter2" localSheetId="1">'Day2'!$Y$44</definedName>
    <definedName name="totalProduction1H_quarter3" localSheetId="0">'Day1'!$Y$45</definedName>
    <definedName name="totalProduction1H_quarter3" localSheetId="1">'Day2'!$Y$45</definedName>
    <definedName name="totalProduction1H_quarter4" localSheetId="0">'Day1'!$Y$46</definedName>
    <definedName name="totalProduction1H_quarter4" localSheetId="1">'Day2'!$Y$46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1" i="13" l="1"/>
  <c r="I80" i="13"/>
  <c r="I79" i="13"/>
  <c r="I78" i="13"/>
  <c r="I75" i="13"/>
  <c r="I74" i="13"/>
  <c r="I73" i="13"/>
  <c r="I72" i="13"/>
  <c r="I69" i="13"/>
  <c r="I68" i="13"/>
  <c r="I67" i="13"/>
  <c r="I66" i="13"/>
  <c r="I63" i="13"/>
  <c r="I62" i="13"/>
  <c r="I61" i="13"/>
  <c r="I60" i="13"/>
  <c r="I57" i="13"/>
  <c r="I56" i="13"/>
  <c r="I55" i="13"/>
  <c r="I54" i="13"/>
  <c r="I51" i="13"/>
  <c r="I50" i="13"/>
  <c r="I49" i="13"/>
  <c r="I48" i="13"/>
  <c r="I81" i="11"/>
  <c r="I80" i="11"/>
  <c r="I79" i="11"/>
  <c r="I78" i="11"/>
  <c r="I75" i="11"/>
  <c r="I74" i="11"/>
  <c r="I73" i="11"/>
  <c r="I72" i="11"/>
  <c r="I63" i="11"/>
  <c r="I62" i="11"/>
  <c r="I61" i="11"/>
  <c r="I60" i="11"/>
  <c r="I57" i="11"/>
  <c r="I56" i="11"/>
  <c r="I55" i="11"/>
  <c r="I54" i="11"/>
  <c r="I51" i="11"/>
  <c r="I50" i="11"/>
  <c r="I49" i="11"/>
  <c r="I48" i="11"/>
  <c r="I67" i="11"/>
  <c r="I68" i="11"/>
  <c r="I69" i="11"/>
  <c r="I66" i="11"/>
  <c r="W106" i="13"/>
  <c r="W109" i="13" s="1"/>
  <c r="W102" i="13"/>
  <c r="W103" i="13" s="1"/>
  <c r="W98" i="13"/>
  <c r="W99" i="13" s="1"/>
  <c r="W94" i="13"/>
  <c r="W95" i="13" s="1"/>
  <c r="W90" i="13"/>
  <c r="X90" i="13" s="1"/>
  <c r="Z90" i="13" s="1"/>
  <c r="V66" i="13"/>
  <c r="V69" i="13" s="1"/>
  <c r="V60" i="13"/>
  <c r="V62" i="13" s="1"/>
  <c r="Z62" i="13" s="1"/>
  <c r="V59" i="13"/>
  <c r="F45" i="13"/>
  <c r="F44" i="13"/>
  <c r="F43" i="13"/>
  <c r="G43" i="13" s="1"/>
  <c r="V42" i="13"/>
  <c r="V44" i="13" s="1"/>
  <c r="F42" i="13"/>
  <c r="G42" i="13" s="1"/>
  <c r="V41" i="13"/>
  <c r="F41" i="13"/>
  <c r="G41" i="13" s="1"/>
  <c r="F40" i="13"/>
  <c r="G40" i="13" s="1"/>
  <c r="F39" i="13"/>
  <c r="G39" i="13" s="1"/>
  <c r="F38" i="13"/>
  <c r="G38" i="13" s="1"/>
  <c r="F37" i="13"/>
  <c r="G37" i="13" s="1"/>
  <c r="F36" i="13"/>
  <c r="F35" i="13"/>
  <c r="F34" i="13"/>
  <c r="G34" i="13" s="1"/>
  <c r="F33" i="13"/>
  <c r="G33" i="13" s="1"/>
  <c r="F32" i="13"/>
  <c r="F31" i="13"/>
  <c r="G31" i="13" s="1"/>
  <c r="U30" i="13"/>
  <c r="T30" i="13"/>
  <c r="S30" i="13"/>
  <c r="F30" i="13"/>
  <c r="U29" i="13"/>
  <c r="T29" i="13" s="1"/>
  <c r="S28" i="13"/>
  <c r="AF27" i="13"/>
  <c r="AE27" i="13"/>
  <c r="AE43" i="13" s="1" a="1"/>
  <c r="AE43" i="13" s="1"/>
  <c r="U27" i="13"/>
  <c r="T27" i="13" s="1"/>
  <c r="U26" i="13"/>
  <c r="U28" i="13" s="1"/>
  <c r="T28" i="13" s="1"/>
  <c r="T26" i="13"/>
  <c r="S26" i="13"/>
  <c r="Z24" i="13" a="1"/>
  <c r="Z24" i="13" s="1"/>
  <c r="U22" i="13"/>
  <c r="S22" i="13"/>
  <c r="U21" i="13"/>
  <c r="T21" i="13" s="1"/>
  <c r="S21" i="13"/>
  <c r="E20" i="13"/>
  <c r="J19" i="13"/>
  <c r="U18" i="13"/>
  <c r="T18" i="13"/>
  <c r="S18" i="13"/>
  <c r="J18" i="13"/>
  <c r="J17" i="13"/>
  <c r="J16" i="13"/>
  <c r="J15" i="13"/>
  <c r="J14" i="13"/>
  <c r="AF13" i="13" a="1"/>
  <c r="AE13" i="13" a="1"/>
  <c r="AE13" i="13" s="1"/>
  <c r="AE28" i="13" s="1" a="1"/>
  <c r="AE28" i="13" s="1"/>
  <c r="J13" i="13"/>
  <c r="J12" i="13"/>
  <c r="J11" i="13"/>
  <c r="T6" i="13" s="1"/>
  <c r="J10" i="13"/>
  <c r="J9" i="13"/>
  <c r="J8" i="13"/>
  <c r="X7" i="13"/>
  <c r="W7" i="13"/>
  <c r="V7" i="13"/>
  <c r="U7" i="13"/>
  <c r="T7" i="13"/>
  <c r="J7" i="13"/>
  <c r="V36" i="13" s="1"/>
  <c r="V37" i="13" s="1"/>
  <c r="X6" i="13"/>
  <c r="W6" i="13"/>
  <c r="V6" i="13"/>
  <c r="U6" i="13"/>
  <c r="J6" i="13"/>
  <c r="X5" i="13"/>
  <c r="W5" i="13"/>
  <c r="V5" i="13"/>
  <c r="U5" i="13"/>
  <c r="J5" i="13"/>
  <c r="X4" i="13"/>
  <c r="W4" i="13"/>
  <c r="V4" i="13"/>
  <c r="U4" i="13"/>
  <c r="J4" i="13"/>
  <c r="X3" i="13"/>
  <c r="W3" i="13"/>
  <c r="V3" i="13"/>
  <c r="U3" i="13"/>
  <c r="T3" i="13"/>
  <c r="J3" i="13"/>
  <c r="AH2" i="13" a="1"/>
  <c r="W86" i="13" s="1"/>
  <c r="AG2" i="13"/>
  <c r="AD2" i="13" a="1"/>
  <c r="AD2" i="13" s="1"/>
  <c r="E74" i="13" s="1"/>
  <c r="X2" i="13"/>
  <c r="W2" i="13"/>
  <c r="V2" i="13"/>
  <c r="U2" i="13"/>
  <c r="J2" i="13"/>
  <c r="J2" i="11"/>
  <c r="J3" i="11"/>
  <c r="J4" i="11"/>
  <c r="J5" i="11"/>
  <c r="J6" i="11"/>
  <c r="J7" i="11"/>
  <c r="J8" i="11"/>
  <c r="J9" i="11"/>
  <c r="J10" i="11"/>
  <c r="J12" i="11"/>
  <c r="J13" i="11"/>
  <c r="J14" i="11"/>
  <c r="J15" i="11"/>
  <c r="J16" i="11"/>
  <c r="J17" i="11"/>
  <c r="J18" i="11"/>
  <c r="J19" i="11"/>
  <c r="V94" i="13" a="1"/>
  <c r="V108" i="13" a="1"/>
  <c r="V107" i="11" a="1"/>
  <c r="J37" i="13"/>
  <c r="V91" i="13" a="1"/>
  <c r="V87" i="13" a="1"/>
  <c r="V95" i="13" a="1"/>
  <c r="V103" i="13" a="1"/>
  <c r="V104" i="13" a="1"/>
  <c r="V104" i="11" a="1"/>
  <c r="V89" i="13" a="1"/>
  <c r="V97" i="11" a="1"/>
  <c r="V86" i="13" a="1"/>
  <c r="V92" i="11" a="1"/>
  <c r="V96" i="13" a="1"/>
  <c r="V109" i="13" a="1"/>
  <c r="V93" i="11" a="1"/>
  <c r="J30" i="13"/>
  <c r="V105" i="13" a="1"/>
  <c r="V102" i="13" a="1"/>
  <c r="V101" i="11" a="1"/>
  <c r="J35" i="13"/>
  <c r="V88" i="13" a="1"/>
  <c r="V97" i="13" a="1"/>
  <c r="V100" i="11" a="1"/>
  <c r="V98" i="13" a="1"/>
  <c r="V92" i="13" a="1"/>
  <c r="V100" i="13" a="1"/>
  <c r="V95" i="11" a="1"/>
  <c r="V108" i="11" a="1"/>
  <c r="V103" i="11" a="1"/>
  <c r="V109" i="11" a="1"/>
  <c r="V94" i="11" a="1"/>
  <c r="V90" i="11" a="1"/>
  <c r="V102" i="11" a="1"/>
  <c r="V91" i="11" a="1"/>
  <c r="V107" i="13" a="1"/>
  <c r="V99" i="11" a="1"/>
  <c r="J31" i="13"/>
  <c r="V101" i="13" a="1"/>
  <c r="V90" i="13" a="1"/>
  <c r="V106" i="13" a="1"/>
  <c r="V93" i="13" a="1"/>
  <c r="V98" i="11" a="1"/>
  <c r="V96" i="11" a="1"/>
  <c r="V106" i="11" a="1"/>
  <c r="V105" i="11" a="1"/>
  <c r="V99" i="13" a="1"/>
  <c r="J44" i="13"/>
  <c r="V65" i="13" l="1"/>
  <c r="V47" i="13"/>
  <c r="T2" i="13"/>
  <c r="AF32" i="13" a="1"/>
  <c r="AF32" i="13" s="1"/>
  <c r="T4" i="13"/>
  <c r="Z25" i="13" a="1"/>
  <c r="Z25" i="13" s="1"/>
  <c r="V89" i="13"/>
  <c r="V104" i="13"/>
  <c r="V102" i="13"/>
  <c r="V109" i="13"/>
  <c r="V108" i="13"/>
  <c r="V107" i="13"/>
  <c r="V99" i="13"/>
  <c r="V91" i="13"/>
  <c r="V94" i="13"/>
  <c r="V93" i="13"/>
  <c r="V106" i="13"/>
  <c r="V90" i="13"/>
  <c r="V101" i="13"/>
  <c r="V100" i="13"/>
  <c r="V92" i="13"/>
  <c r="V98" i="13"/>
  <c r="V97" i="13"/>
  <c r="V88" i="13"/>
  <c r="V105" i="13"/>
  <c r="V96" i="13"/>
  <c r="V103" i="13"/>
  <c r="V95" i="13"/>
  <c r="V87" i="13"/>
  <c r="V86" i="13"/>
  <c r="V96" i="11"/>
  <c r="V102" i="11"/>
  <c r="V94" i="11"/>
  <c r="V109" i="11"/>
  <c r="V108" i="11"/>
  <c r="V100" i="11"/>
  <c r="V92" i="11"/>
  <c r="V97" i="11"/>
  <c r="V104" i="11"/>
  <c r="V101" i="11"/>
  <c r="V93" i="11"/>
  <c r="V107" i="11"/>
  <c r="V99" i="11"/>
  <c r="V91" i="11"/>
  <c r="V105" i="11"/>
  <c r="V106" i="11"/>
  <c r="V98" i="11"/>
  <c r="V90" i="11"/>
  <c r="V103" i="11"/>
  <c r="V95" i="11"/>
  <c r="AE37" i="13" a="1"/>
  <c r="AE37" i="13" s="1"/>
  <c r="AF41" i="13" a="1"/>
  <c r="AF41" i="13" s="1"/>
  <c r="AF42" i="13" a="1"/>
  <c r="AF42" i="13" s="1"/>
  <c r="AF30" i="13" a="1"/>
  <c r="AF30" i="13" s="1"/>
  <c r="E57" i="13"/>
  <c r="E66" i="13"/>
  <c r="E79" i="13"/>
  <c r="E80" i="13"/>
  <c r="V45" i="13"/>
  <c r="Z45" i="13" s="1"/>
  <c r="W100" i="13"/>
  <c r="W91" i="13"/>
  <c r="Y91" i="13" s="1"/>
  <c r="X91" i="13" s="1"/>
  <c r="Z91" i="13" s="1"/>
  <c r="W92" i="13"/>
  <c r="W96" i="13"/>
  <c r="W93" i="13"/>
  <c r="X98" i="13"/>
  <c r="Z98" i="13" s="1"/>
  <c r="Y99" i="13" s="1"/>
  <c r="X99" i="13" s="1"/>
  <c r="Z99" i="13" s="1"/>
  <c r="V61" i="13"/>
  <c r="W61" i="13" s="1"/>
  <c r="Y61" i="13" s="1"/>
  <c r="X62" i="13" s="1"/>
  <c r="W62" i="13" s="1"/>
  <c r="Y62" i="13" s="1"/>
  <c r="V64" i="13"/>
  <c r="Z64" i="13" s="1"/>
  <c r="X106" i="13"/>
  <c r="Z106" i="13" s="1"/>
  <c r="W107" i="13"/>
  <c r="W108" i="13"/>
  <c r="Z69" i="13"/>
  <c r="W87" i="13"/>
  <c r="W89" i="13"/>
  <c r="X86" i="13"/>
  <c r="Z86" i="13" s="1"/>
  <c r="W88" i="13"/>
  <c r="AE31" i="13" a="1"/>
  <c r="AE31" i="13" s="1"/>
  <c r="G30" i="13"/>
  <c r="AF35" i="13" a="1"/>
  <c r="AF35" i="13" s="1"/>
  <c r="E68" i="13"/>
  <c r="Z37" i="13"/>
  <c r="W37" i="13"/>
  <c r="Y37" i="13" s="1"/>
  <c r="AE33" i="13" a="1"/>
  <c r="AE33" i="13" s="1"/>
  <c r="G36" i="13"/>
  <c r="V46" i="13"/>
  <c r="V43" i="13"/>
  <c r="E69" i="13"/>
  <c r="G45" i="13"/>
  <c r="V40" i="13"/>
  <c r="V39" i="13"/>
  <c r="V38" i="13"/>
  <c r="V18" i="13"/>
  <c r="U19" i="13"/>
  <c r="U25" i="13"/>
  <c r="V22" i="13"/>
  <c r="U24" i="13"/>
  <c r="U23" i="13"/>
  <c r="T22" i="13"/>
  <c r="G32" i="13"/>
  <c r="U31" i="13"/>
  <c r="V30" i="13"/>
  <c r="U33" i="13"/>
  <c r="U32" i="13"/>
  <c r="E54" i="13"/>
  <c r="AE30" i="13" a="1"/>
  <c r="AE30" i="13" s="1"/>
  <c r="AE38" i="13" a="1"/>
  <c r="AE38" i="13" s="1"/>
  <c r="AF40" i="13" a="1"/>
  <c r="AF40" i="13" s="1"/>
  <c r="G35" i="13"/>
  <c r="G44" i="13"/>
  <c r="AE32" i="13" a="1"/>
  <c r="AE32" i="13" s="1"/>
  <c r="E73" i="13"/>
  <c r="T5" i="13"/>
  <c r="E84" i="13"/>
  <c r="E72" i="13"/>
  <c r="E50" i="13"/>
  <c r="E56" i="13"/>
  <c r="E81" i="13"/>
  <c r="E62" i="13"/>
  <c r="E87" i="13"/>
  <c r="E55" i="13"/>
  <c r="E78" i="13"/>
  <c r="E61" i="13"/>
  <c r="V54" i="13"/>
  <c r="E67" i="13"/>
  <c r="E51" i="13"/>
  <c r="E48" i="13"/>
  <c r="E63" i="13"/>
  <c r="E60" i="13"/>
  <c r="V53" i="13"/>
  <c r="AE41" i="13" a="1"/>
  <c r="AE41" i="13" s="1"/>
  <c r="AE40" i="13" a="1"/>
  <c r="AE40" i="13" s="1"/>
  <c r="AF39" i="13" a="1"/>
  <c r="AF39" i="13" s="1"/>
  <c r="AF33" i="13" a="1"/>
  <c r="AF33" i="13" s="1"/>
  <c r="AE42" i="13" a="1"/>
  <c r="AE42" i="13" s="1"/>
  <c r="AE39" i="13" a="1"/>
  <c r="AE39" i="13" s="1"/>
  <c r="AF38" i="13" a="1"/>
  <c r="AF38" i="13" s="1"/>
  <c r="AF36" i="13" a="1"/>
  <c r="AF36" i="13" s="1"/>
  <c r="AE35" i="13" a="1"/>
  <c r="AE35" i="13" s="1"/>
  <c r="AE34" i="13" a="1"/>
  <c r="AE34" i="13" s="1"/>
  <c r="AE36" i="13" a="1"/>
  <c r="AE36" i="13" s="1"/>
  <c r="AF31" i="13" a="1"/>
  <c r="AF31" i="13" s="1"/>
  <c r="U20" i="13"/>
  <c r="S27" i="13"/>
  <c r="AF34" i="13" a="1"/>
  <c r="AF34" i="13" s="1"/>
  <c r="E49" i="13"/>
  <c r="E75" i="13"/>
  <c r="V68" i="13"/>
  <c r="V70" i="13"/>
  <c r="V67" i="13"/>
  <c r="E85" i="13"/>
  <c r="S29" i="13"/>
  <c r="AF29" i="13" a="1"/>
  <c r="AF29" i="13" s="1"/>
  <c r="AF13" i="13"/>
  <c r="AF28" i="13" s="1" a="1"/>
  <c r="AF28" i="13" s="1"/>
  <c r="AF37" i="13" a="1"/>
  <c r="AF37" i="13" s="1"/>
  <c r="Z44" i="13"/>
  <c r="E86" i="13"/>
  <c r="X102" i="13"/>
  <c r="Z102" i="13" s="1"/>
  <c r="Y103" i="13" s="1"/>
  <c r="X103" i="13" s="1"/>
  <c r="Z103" i="13" s="1"/>
  <c r="V63" i="13"/>
  <c r="X94" i="13"/>
  <c r="Z94" i="13" s="1"/>
  <c r="Y95" i="13" s="1"/>
  <c r="X95" i="13" s="1"/>
  <c r="Z95" i="13" s="1"/>
  <c r="W105" i="13"/>
  <c r="AH2" i="13"/>
  <c r="V26" i="13"/>
  <c r="V35" i="13"/>
  <c r="W101" i="13"/>
  <c r="V48" i="13"/>
  <c r="W97" i="13"/>
  <c r="W104" i="13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60" i="11"/>
  <c r="V63" i="11" s="1"/>
  <c r="V59" i="11"/>
  <c r="T7" i="11"/>
  <c r="V42" i="11"/>
  <c r="V45" i="11" s="1"/>
  <c r="Z45" i="11" s="1"/>
  <c r="AF27" i="11"/>
  <c r="AF13" i="11" a="1"/>
  <c r="AE27" i="11"/>
  <c r="AE13" i="11" a="1"/>
  <c r="Z24" i="11" a="1"/>
  <c r="Z24" i="11" s="1"/>
  <c r="Z25" i="11" a="1"/>
  <c r="Z25" i="11" s="1"/>
  <c r="W106" i="11"/>
  <c r="W109" i="11" s="1"/>
  <c r="W102" i="11"/>
  <c r="W105" i="11" s="1"/>
  <c r="W98" i="11"/>
  <c r="W94" i="11"/>
  <c r="W96" i="11" s="1"/>
  <c r="U30" i="11"/>
  <c r="S30" i="11" s="1"/>
  <c r="U26" i="11"/>
  <c r="U29" i="11" s="1"/>
  <c r="E20" i="11"/>
  <c r="AH2" i="11" a="1"/>
  <c r="AG2" i="11"/>
  <c r="AF32" i="11" s="1" a="1"/>
  <c r="AF32" i="11" s="1"/>
  <c r="AD2" i="11" a="1"/>
  <c r="AD2" i="11" s="1"/>
  <c r="V86" i="11" a="1"/>
  <c r="V89" i="11" a="1"/>
  <c r="V88" i="11" a="1"/>
  <c r="V87" i="11" a="1"/>
  <c r="J32" i="13"/>
  <c r="J43" i="13"/>
  <c r="J41" i="13"/>
  <c r="J42" i="13"/>
  <c r="J34" i="13"/>
  <c r="J40" i="13"/>
  <c r="J36" i="13"/>
  <c r="J45" i="13"/>
  <c r="J33" i="13"/>
  <c r="J39" i="13"/>
  <c r="J38" i="13"/>
  <c r="AE43" i="11" l="1" a="1"/>
  <c r="AE43" i="11" s="1"/>
  <c r="Y96" i="13"/>
  <c r="X96" i="13" s="1"/>
  <c r="Z96" i="13" s="1"/>
  <c r="Y97" i="13" s="1"/>
  <c r="X97" i="13" s="1"/>
  <c r="Z97" i="13" s="1"/>
  <c r="V87" i="11"/>
  <c r="V88" i="11"/>
  <c r="V89" i="11"/>
  <c r="V86" i="11"/>
  <c r="W90" i="11"/>
  <c r="W91" i="11" s="1"/>
  <c r="Y100" i="13"/>
  <c r="X100" i="13" s="1"/>
  <c r="Z100" i="13" s="1"/>
  <c r="Y101" i="13" s="1"/>
  <c r="X101" i="13" s="1"/>
  <c r="Z101" i="13" s="1"/>
  <c r="Y107" i="13"/>
  <c r="X107" i="13" s="1"/>
  <c r="Z107" i="13" s="1"/>
  <c r="Y108" i="13" s="1"/>
  <c r="X108" i="13" s="1"/>
  <c r="Z108" i="13" s="1"/>
  <c r="Y109" i="13" s="1"/>
  <c r="X109" i="13" s="1"/>
  <c r="Z109" i="13" s="1"/>
  <c r="Y92" i="13"/>
  <c r="X92" i="13" s="1"/>
  <c r="Z92" i="13" s="1"/>
  <c r="Y93" i="13" s="1"/>
  <c r="X93" i="13" s="1"/>
  <c r="Z93" i="13" s="1"/>
  <c r="Z61" i="13"/>
  <c r="AE2" i="13" a="1"/>
  <c r="AE2" i="13" s="1"/>
  <c r="AF43" i="13" a="1"/>
  <c r="AF43" i="13" s="1"/>
  <c r="AF2" i="13" a="1"/>
  <c r="AF2" i="13" s="1"/>
  <c r="S25" i="13"/>
  <c r="T25" i="13"/>
  <c r="V56" i="13"/>
  <c r="V55" i="13"/>
  <c r="V57" i="13"/>
  <c r="V58" i="13"/>
  <c r="S19" i="13"/>
  <c r="T19" i="13"/>
  <c r="Y87" i="13"/>
  <c r="X87" i="13" s="1"/>
  <c r="Z87" i="13" s="1"/>
  <c r="Y88" i="13" s="1"/>
  <c r="X88" i="13" s="1"/>
  <c r="Z88" i="13" s="1"/>
  <c r="Y89" i="13" s="1"/>
  <c r="X89" i="13" s="1"/>
  <c r="Z89" i="13" s="1"/>
  <c r="Z38" i="13"/>
  <c r="X38" i="13"/>
  <c r="W38" i="13" s="1"/>
  <c r="Y38" i="13" s="1"/>
  <c r="H55" i="13" s="1"/>
  <c r="H54" i="13"/>
  <c r="Z63" i="13"/>
  <c r="X63" i="13"/>
  <c r="W63" i="13" s="1"/>
  <c r="Y63" i="13" s="1"/>
  <c r="X64" i="13" s="1"/>
  <c r="W64" i="13" s="1"/>
  <c r="Y64" i="13" s="1"/>
  <c r="W67" i="13"/>
  <c r="Y67" i="13" s="1"/>
  <c r="X68" i="13" s="1"/>
  <c r="W68" i="13" s="1"/>
  <c r="Y68" i="13" s="1"/>
  <c r="X69" i="13" s="1"/>
  <c r="W69" i="13" s="1"/>
  <c r="Y69" i="13" s="1"/>
  <c r="X70" i="13" s="1"/>
  <c r="W70" i="13" s="1"/>
  <c r="Y70" i="13" s="1"/>
  <c r="Z67" i="13"/>
  <c r="Z70" i="13"/>
  <c r="S32" i="13"/>
  <c r="T32" i="13"/>
  <c r="Z39" i="13"/>
  <c r="Z46" i="13"/>
  <c r="Z68" i="13"/>
  <c r="T33" i="13"/>
  <c r="S33" i="13"/>
  <c r="Z40" i="13"/>
  <c r="V28" i="13"/>
  <c r="W26" i="13"/>
  <c r="Y26" i="13" s="1"/>
  <c r="V27" i="13"/>
  <c r="V29" i="13"/>
  <c r="W18" i="13"/>
  <c r="Y18" i="13" s="1"/>
  <c r="V21" i="13"/>
  <c r="V19" i="13"/>
  <c r="V20" i="13"/>
  <c r="W30" i="13"/>
  <c r="Y30" i="13" s="1"/>
  <c r="V31" i="13"/>
  <c r="V32" i="13"/>
  <c r="V33" i="13"/>
  <c r="Y104" i="13"/>
  <c r="X104" i="13" s="1"/>
  <c r="Z104" i="13" s="1"/>
  <c r="Y105" i="13" s="1"/>
  <c r="X105" i="13" s="1"/>
  <c r="Z105" i="13" s="1"/>
  <c r="T31" i="13"/>
  <c r="S31" i="13"/>
  <c r="V52" i="13"/>
  <c r="V51" i="13"/>
  <c r="V50" i="13"/>
  <c r="V49" i="13"/>
  <c r="Z43" i="13"/>
  <c r="W43" i="13"/>
  <c r="Y43" i="13" s="1"/>
  <c r="E97" i="13"/>
  <c r="E111" i="13"/>
  <c r="E101" i="13"/>
  <c r="E105" i="13"/>
  <c r="E90" i="13"/>
  <c r="E94" i="13"/>
  <c r="E109" i="13"/>
  <c r="E113" i="13"/>
  <c r="E102" i="13"/>
  <c r="E106" i="13"/>
  <c r="E110" i="13"/>
  <c r="E95" i="13"/>
  <c r="E99" i="13"/>
  <c r="E92" i="13"/>
  <c r="E103" i="13"/>
  <c r="E112" i="13"/>
  <c r="E107" i="13"/>
  <c r="E96" i="13"/>
  <c r="E100" i="13"/>
  <c r="E104" i="13"/>
  <c r="E108" i="13"/>
  <c r="E91" i="13"/>
  <c r="E98" i="13"/>
  <c r="E93" i="13"/>
  <c r="S20" i="13"/>
  <c r="T20" i="13"/>
  <c r="S24" i="13"/>
  <c r="T24" i="13"/>
  <c r="S23" i="13"/>
  <c r="T23" i="13"/>
  <c r="V25" i="13"/>
  <c r="V24" i="13"/>
  <c r="V23" i="13"/>
  <c r="W22" i="13"/>
  <c r="Y22" i="13" s="1"/>
  <c r="AF42" i="11" a="1"/>
  <c r="AF42" i="11" s="1"/>
  <c r="V54" i="11"/>
  <c r="V56" i="11" s="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E32" i="11" a="1"/>
  <c r="AE32" i="11" s="1"/>
  <c r="AF29" i="11" a="1"/>
  <c r="AF29" i="11" s="1"/>
  <c r="AE31" i="11" a="1"/>
  <c r="AE31" i="11" s="1"/>
  <c r="AE42" i="11" a="1"/>
  <c r="AE42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E40" i="11" a="1"/>
  <c r="AE40" i="11" s="1"/>
  <c r="AF39" i="11" a="1"/>
  <c r="AF39" i="11" s="1"/>
  <c r="AE39" i="11" a="1"/>
  <c r="AE39" i="11" s="1"/>
  <c r="AF38" i="11" a="1"/>
  <c r="AF38" i="11" s="1"/>
  <c r="AE38" i="11" a="1"/>
  <c r="AE38" i="11" s="1"/>
  <c r="AF37" i="11" a="1"/>
  <c r="AF37" i="11" s="1"/>
  <c r="AE37" i="11" a="1"/>
  <c r="AE37" i="11" s="1"/>
  <c r="AF36" i="11" a="1"/>
  <c r="AF36" i="11" s="1"/>
  <c r="AE36" i="11" a="1"/>
  <c r="AE36" i="11" s="1"/>
  <c r="AF35" i="11" a="1"/>
  <c r="AF35" i="11" s="1"/>
  <c r="AE35" i="11" a="1"/>
  <c r="AE35" i="11" s="1"/>
  <c r="AF34" i="11" a="1"/>
  <c r="AF34" i="11" s="1"/>
  <c r="AE34" i="11" a="1"/>
  <c r="AE34" i="11" s="1"/>
  <c r="AF33" i="11" a="1"/>
  <c r="AF33" i="11" s="1"/>
  <c r="V18" i="11"/>
  <c r="V22" i="11"/>
  <c r="V26" i="11"/>
  <c r="AE41" i="11" a="1"/>
  <c r="AE41" i="11" s="1"/>
  <c r="AE33" i="11" a="1"/>
  <c r="AE33" i="11" s="1"/>
  <c r="AE30" i="11" a="1"/>
  <c r="AE30" i="11" s="1"/>
  <c r="AE13" i="11"/>
  <c r="AE28" i="11" s="1" a="1"/>
  <c r="AE28" i="11" s="1"/>
  <c r="AF13" i="11"/>
  <c r="AF28" i="11" s="1" a="1"/>
  <c r="AF28" i="11" s="1"/>
  <c r="AF43" i="11" s="1" a="1"/>
  <c r="AF43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W97" i="11"/>
  <c r="W95" i="11"/>
  <c r="X94" i="11"/>
  <c r="Z94" i="11" s="1"/>
  <c r="Z63" i="11"/>
  <c r="W86" i="11"/>
  <c r="W101" i="11"/>
  <c r="W99" i="11"/>
  <c r="X98" i="11"/>
  <c r="Z98" i="11" s="1"/>
  <c r="AH2" i="11"/>
  <c r="U18" i="11"/>
  <c r="W100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Z59" i="13" l="1"/>
  <c r="W92" i="11"/>
  <c r="W93" i="11"/>
  <c r="X90" i="11"/>
  <c r="Z90" i="11" s="1"/>
  <c r="Y91" i="11" s="1"/>
  <c r="X91" i="11" s="1"/>
  <c r="Z91" i="11" s="1"/>
  <c r="X31" i="13"/>
  <c r="W31" i="13" s="1"/>
  <c r="Y31" i="13" s="1"/>
  <c r="X32" i="13" s="1"/>
  <c r="W32" i="13" s="1"/>
  <c r="Y32" i="13" s="1"/>
  <c r="X33" i="13" s="1"/>
  <c r="W33" i="13" s="1"/>
  <c r="Y33" i="13" s="1"/>
  <c r="X19" i="13"/>
  <c r="W19" i="13" s="1"/>
  <c r="Y19" i="13" s="1"/>
  <c r="X20" i="13" s="1"/>
  <c r="W20" i="13" s="1"/>
  <c r="Y20" i="13" s="1"/>
  <c r="X21" i="13" s="1"/>
  <c r="W21" i="13" s="1"/>
  <c r="Y21" i="13" s="1"/>
  <c r="X27" i="13"/>
  <c r="W27" i="13" s="1"/>
  <c r="Y27" i="13" s="1"/>
  <c r="X28" i="13" s="1"/>
  <c r="W28" i="13" s="1"/>
  <c r="Y28" i="13" s="1"/>
  <c r="X29" i="13" s="1"/>
  <c r="W29" i="13" s="1"/>
  <c r="Y29" i="13" s="1"/>
  <c r="U14" i="13"/>
  <c r="V14" i="13" s="1"/>
  <c r="F28" i="13"/>
  <c r="G28" i="13" s="1"/>
  <c r="F26" i="13"/>
  <c r="G26" i="13" s="1"/>
  <c r="F27" i="13"/>
  <c r="F29" i="13"/>
  <c r="Z35" i="13"/>
  <c r="F91" i="13"/>
  <c r="H91" i="13"/>
  <c r="G91" i="13"/>
  <c r="H94" i="13"/>
  <c r="G94" i="13"/>
  <c r="F94" i="13"/>
  <c r="I94" i="13" a="1"/>
  <c r="I94" i="13" s="1"/>
  <c r="G105" i="13"/>
  <c r="F105" i="13"/>
  <c r="I105" i="13" a="1"/>
  <c r="I105" i="13" s="1"/>
  <c r="H105" i="13"/>
  <c r="I96" i="13" a="1"/>
  <c r="I96" i="13" s="1"/>
  <c r="H96" i="13"/>
  <c r="F96" i="13"/>
  <c r="G96" i="13"/>
  <c r="F111" i="13"/>
  <c r="I111" i="13" a="1"/>
  <c r="I111" i="13" s="1"/>
  <c r="H111" i="13"/>
  <c r="G111" i="13"/>
  <c r="I113" i="13" a="1"/>
  <c r="I113" i="13" s="1"/>
  <c r="H113" i="13"/>
  <c r="G113" i="13"/>
  <c r="F113" i="13"/>
  <c r="I98" i="13" a="1"/>
  <c r="I98" i="13" s="1"/>
  <c r="H98" i="13"/>
  <c r="G98" i="13"/>
  <c r="F98" i="13"/>
  <c r="I104" i="13" a="1"/>
  <c r="I104" i="13" s="1"/>
  <c r="H104" i="13"/>
  <c r="G104" i="13"/>
  <c r="F104" i="13"/>
  <c r="I107" i="13" a="1"/>
  <c r="I107" i="13" s="1"/>
  <c r="H107" i="13"/>
  <c r="G107" i="13"/>
  <c r="F107" i="13"/>
  <c r="I97" i="13" a="1"/>
  <c r="I97" i="13" s="1"/>
  <c r="G97" i="13"/>
  <c r="H97" i="13"/>
  <c r="F97" i="13"/>
  <c r="H93" i="13"/>
  <c r="F93" i="13"/>
  <c r="G93" i="13"/>
  <c r="H109" i="13"/>
  <c r="G109" i="13"/>
  <c r="F109" i="13"/>
  <c r="I109" i="13" a="1"/>
  <c r="I109" i="13" s="1"/>
  <c r="I112" i="13" a="1"/>
  <c r="I112" i="13" s="1"/>
  <c r="H112" i="13"/>
  <c r="G112" i="13"/>
  <c r="F112" i="13"/>
  <c r="E36" i="13"/>
  <c r="E35" i="13"/>
  <c r="E38" i="13"/>
  <c r="E33" i="13"/>
  <c r="E37" i="13"/>
  <c r="E28" i="13"/>
  <c r="F24" i="13"/>
  <c r="F23" i="13"/>
  <c r="E22" i="13"/>
  <c r="E31" i="13"/>
  <c r="E44" i="13"/>
  <c r="E30" i="13"/>
  <c r="E45" i="13"/>
  <c r="E29" i="13"/>
  <c r="E42" i="13"/>
  <c r="E26" i="13"/>
  <c r="E41" i="13"/>
  <c r="E39" i="13"/>
  <c r="U10" i="13"/>
  <c r="E27" i="13"/>
  <c r="F25" i="13"/>
  <c r="E25" i="13"/>
  <c r="E23" i="13"/>
  <c r="E43" i="13"/>
  <c r="E34" i="13"/>
  <c r="E32" i="13"/>
  <c r="E24" i="13"/>
  <c r="E40" i="13"/>
  <c r="F22" i="13"/>
  <c r="I103" i="13" a="1"/>
  <c r="I103" i="13" s="1"/>
  <c r="H103" i="13"/>
  <c r="G103" i="13"/>
  <c r="F103" i="13"/>
  <c r="H60" i="13"/>
  <c r="X44" i="13"/>
  <c r="W44" i="13" s="1"/>
  <c r="Y44" i="13" s="1"/>
  <c r="X39" i="13"/>
  <c r="W39" i="13" s="1"/>
  <c r="Y39" i="13" s="1"/>
  <c r="F101" i="13"/>
  <c r="I101" i="13" a="1"/>
  <c r="I101" i="13" s="1"/>
  <c r="H101" i="13"/>
  <c r="G101" i="13"/>
  <c r="H92" i="13"/>
  <c r="G92" i="13"/>
  <c r="F92" i="13"/>
  <c r="I108" i="13" a="1"/>
  <c r="I108" i="13" s="1"/>
  <c r="H108" i="13"/>
  <c r="G108" i="13"/>
  <c r="F108" i="13"/>
  <c r="I100" i="13" a="1"/>
  <c r="I100" i="13" s="1"/>
  <c r="H100" i="13"/>
  <c r="G100" i="13"/>
  <c r="F100" i="13"/>
  <c r="I99" i="13" a="1"/>
  <c r="I99" i="13" s="1"/>
  <c r="H99" i="13"/>
  <c r="F99" i="13"/>
  <c r="G99" i="13"/>
  <c r="Z49" i="13"/>
  <c r="W49" i="13"/>
  <c r="Y49" i="13" s="1"/>
  <c r="X50" i="13" s="1"/>
  <c r="W50" i="13" s="1"/>
  <c r="Y50" i="13" s="1"/>
  <c r="X51" i="13" s="1"/>
  <c r="W51" i="13" s="1"/>
  <c r="Y51" i="13" s="1"/>
  <c r="X52" i="13" s="1"/>
  <c r="W52" i="13" s="1"/>
  <c r="Y52" i="13" s="1"/>
  <c r="Z58" i="13"/>
  <c r="G90" i="13"/>
  <c r="F90" i="13"/>
  <c r="H90" i="13"/>
  <c r="X23" i="13"/>
  <c r="W23" i="13" s="1"/>
  <c r="Y23" i="13" s="1"/>
  <c r="X24" i="13" s="1"/>
  <c r="W24" i="13" s="1"/>
  <c r="Y24" i="13" s="1"/>
  <c r="X25" i="13" s="1"/>
  <c r="W25" i="13" s="1"/>
  <c r="Y25" i="13" s="1"/>
  <c r="Z41" i="13"/>
  <c r="G95" i="13"/>
  <c r="I95" i="13" a="1"/>
  <c r="I95" i="13" s="1"/>
  <c r="H95" i="13"/>
  <c r="F95" i="13"/>
  <c r="Z50" i="13"/>
  <c r="Z57" i="13"/>
  <c r="I110" i="13" a="1"/>
  <c r="I110" i="13" s="1"/>
  <c r="H110" i="13"/>
  <c r="G110" i="13"/>
  <c r="F110" i="13"/>
  <c r="Z51" i="13"/>
  <c r="Z55" i="13"/>
  <c r="W55" i="13"/>
  <c r="Y55" i="13" s="1"/>
  <c r="X56" i="13" s="1"/>
  <c r="W56" i="13" s="1"/>
  <c r="Y56" i="13" s="1"/>
  <c r="Y59" i="13"/>
  <c r="I106" i="13" a="1"/>
  <c r="I106" i="13" s="1"/>
  <c r="H106" i="13"/>
  <c r="G106" i="13"/>
  <c r="F106" i="13"/>
  <c r="Z52" i="13"/>
  <c r="Z65" i="13"/>
  <c r="Z56" i="13"/>
  <c r="I102" i="13" a="1"/>
  <c r="I102" i="13" s="1"/>
  <c r="H102" i="13"/>
  <c r="G102" i="13"/>
  <c r="F102" i="13"/>
  <c r="Y65" i="13"/>
  <c r="V57" i="11"/>
  <c r="Z57" i="11" s="1"/>
  <c r="V55" i="11"/>
  <c r="Z55" i="11" s="1"/>
  <c r="V58" i="11"/>
  <c r="Z58" i="11" s="1"/>
  <c r="H60" i="1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AE2" i="11" s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X62" i="11" s="1"/>
  <c r="W62" i="11" s="1"/>
  <c r="Y62" i="11" s="1"/>
  <c r="X63" i="11" s="1"/>
  <c r="W63" i="11" s="1"/>
  <c r="Y63" i="11" s="1"/>
  <c r="X64" i="11" s="1"/>
  <c r="W64" i="11" s="1"/>
  <c r="Y64" i="11" s="1"/>
  <c r="Z61" i="11"/>
  <c r="T32" i="11"/>
  <c r="S32" i="11"/>
  <c r="E106" i="11"/>
  <c r="E104" i="11"/>
  <c r="E102" i="11"/>
  <c r="E100" i="11"/>
  <c r="E98" i="11"/>
  <c r="E96" i="11"/>
  <c r="I96" i="11" s="1" a="1"/>
  <c r="E94" i="11"/>
  <c r="H94" i="11" s="1"/>
  <c r="E92" i="11"/>
  <c r="E90" i="11"/>
  <c r="E110" i="11"/>
  <c r="E108" i="11"/>
  <c r="E113" i="11"/>
  <c r="E112" i="11"/>
  <c r="E105" i="11"/>
  <c r="E103" i="11"/>
  <c r="E101" i="11"/>
  <c r="E99" i="11"/>
  <c r="E97" i="11"/>
  <c r="I97" i="11" s="1" a="1"/>
  <c r="E95" i="11"/>
  <c r="I95" i="11" s="1" a="1"/>
  <c r="E93" i="11"/>
  <c r="E91" i="11"/>
  <c r="E109" i="11"/>
  <c r="E107" i="11"/>
  <c r="E111" i="11"/>
  <c r="W89" i="11"/>
  <c r="W88" i="11"/>
  <c r="W87" i="11"/>
  <c r="X86" i="11"/>
  <c r="Z86" i="11" s="1"/>
  <c r="Z64" i="11"/>
  <c r="V27" i="11"/>
  <c r="V28" i="11"/>
  <c r="W26" i="11"/>
  <c r="Y26" i="11" s="1"/>
  <c r="V29" i="11"/>
  <c r="Y99" i="11"/>
  <c r="X99" i="11" s="1"/>
  <c r="Z99" i="11" s="1"/>
  <c r="Y100" i="11" s="1"/>
  <c r="X100" i="11" s="1"/>
  <c r="Z100" i="11" s="1"/>
  <c r="Y101" i="11" s="1"/>
  <c r="X101" i="11" s="1"/>
  <c r="Z101" i="11" s="1"/>
  <c r="Y95" i="11"/>
  <c r="X95" i="11" s="1"/>
  <c r="Z95" i="11" s="1"/>
  <c r="Y96" i="11" s="1"/>
  <c r="X96" i="11" s="1"/>
  <c r="Z96" i="11" s="1"/>
  <c r="Y97" i="11" s="1"/>
  <c r="X97" i="11" s="1"/>
  <c r="Z97" i="11" s="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U19" i="11"/>
  <c r="U20" i="11"/>
  <c r="T18" i="11"/>
  <c r="S18" i="11"/>
  <c r="U21" i="11"/>
  <c r="I90" i="13" a="1"/>
  <c r="J22" i="13"/>
  <c r="J27" i="13"/>
  <c r="I91" i="11" a="1"/>
  <c r="I93" i="11" a="1"/>
  <c r="I92" i="13" a="1"/>
  <c r="I92" i="11" a="1"/>
  <c r="J29" i="13"/>
  <c r="I90" i="11" a="1"/>
  <c r="J28" i="13"/>
  <c r="J26" i="13"/>
  <c r="J25" i="13"/>
  <c r="I91" i="13" a="1"/>
  <c r="J24" i="13"/>
  <c r="I93" i="13" a="1"/>
  <c r="J23" i="13"/>
  <c r="Y92" i="11" l="1"/>
  <c r="X92" i="11" s="1"/>
  <c r="Z92" i="11" s="1"/>
  <c r="Y93" i="11" s="1"/>
  <c r="X93" i="11" s="1"/>
  <c r="Z93" i="11" s="1"/>
  <c r="H90" i="11"/>
  <c r="B28" i="13"/>
  <c r="G27" i="13"/>
  <c r="C27" i="13" s="1"/>
  <c r="C28" i="13"/>
  <c r="U17" i="13"/>
  <c r="T17" i="13" s="1"/>
  <c r="G29" i="13"/>
  <c r="C29" i="13" s="1"/>
  <c r="S14" i="13"/>
  <c r="U16" i="13"/>
  <c r="S16" i="13" s="1"/>
  <c r="U15" i="13"/>
  <c r="T15" i="13" s="1"/>
  <c r="T14" i="13"/>
  <c r="C26" i="13"/>
  <c r="B26" i="13"/>
  <c r="H49" i="13"/>
  <c r="H67" i="13" s="1"/>
  <c r="X57" i="13"/>
  <c r="W57" i="13" s="1"/>
  <c r="Y57" i="13" s="1"/>
  <c r="H50" i="13" s="1"/>
  <c r="I90" i="13"/>
  <c r="I92" i="13"/>
  <c r="I93" i="13"/>
  <c r="I91" i="13"/>
  <c r="H42" i="13"/>
  <c r="B42" i="13"/>
  <c r="C42" i="13"/>
  <c r="B22" i="13"/>
  <c r="C22" i="13"/>
  <c r="G22" i="13"/>
  <c r="H45" i="13"/>
  <c r="B45" i="13"/>
  <c r="C45" i="13"/>
  <c r="H41" i="13"/>
  <c r="B41" i="13"/>
  <c r="C41" i="13"/>
  <c r="H40" i="13"/>
  <c r="C40" i="13"/>
  <c r="B40" i="13"/>
  <c r="H30" i="13"/>
  <c r="B30" i="13"/>
  <c r="C30" i="13"/>
  <c r="H32" i="13"/>
  <c r="B32" i="13"/>
  <c r="C32" i="13"/>
  <c r="H31" i="13"/>
  <c r="B31" i="13"/>
  <c r="C31" i="13"/>
  <c r="H34" i="13"/>
  <c r="B34" i="13"/>
  <c r="C34" i="13"/>
  <c r="H44" i="13"/>
  <c r="B44" i="13"/>
  <c r="C44" i="13"/>
  <c r="W14" i="13"/>
  <c r="Y14" i="13" s="1"/>
  <c r="V16" i="13"/>
  <c r="V17" i="13"/>
  <c r="V15" i="13"/>
  <c r="C24" i="13"/>
  <c r="B24" i="13"/>
  <c r="G24" i="13"/>
  <c r="Z47" i="13"/>
  <c r="H56" i="13"/>
  <c r="X40" i="13"/>
  <c r="W40" i="13" s="1"/>
  <c r="Y40" i="13" s="1"/>
  <c r="H57" i="13" s="1"/>
  <c r="H36" i="13"/>
  <c r="B36" i="13"/>
  <c r="C36" i="13"/>
  <c r="H61" i="13"/>
  <c r="X45" i="13"/>
  <c r="W45" i="13" s="1"/>
  <c r="Y45" i="13" s="1"/>
  <c r="G25" i="13"/>
  <c r="B25" i="13" s="1"/>
  <c r="C37" i="13"/>
  <c r="B37" i="13"/>
  <c r="H37" i="13"/>
  <c r="C23" i="13"/>
  <c r="G23" i="13"/>
  <c r="B23" i="13" s="1"/>
  <c r="Y47" i="13"/>
  <c r="H48" i="13"/>
  <c r="H33" i="13"/>
  <c r="B33" i="13"/>
  <c r="C33" i="13"/>
  <c r="H43" i="13"/>
  <c r="B43" i="13"/>
  <c r="C43" i="13"/>
  <c r="Z53" i="13"/>
  <c r="U12" i="13"/>
  <c r="T10" i="13"/>
  <c r="U13" i="13"/>
  <c r="U11" i="13"/>
  <c r="S10" i="13"/>
  <c r="V10" i="13"/>
  <c r="H38" i="13"/>
  <c r="C38" i="13"/>
  <c r="B38" i="13"/>
  <c r="H39" i="13"/>
  <c r="B39" i="13"/>
  <c r="C39" i="13"/>
  <c r="H35" i="13"/>
  <c r="C35" i="13"/>
  <c r="B35" i="13"/>
  <c r="I94" i="11" a="1"/>
  <c r="I94" i="11" s="1"/>
  <c r="W55" i="11"/>
  <c r="Y55" i="11" s="1"/>
  <c r="H48" i="11" s="1"/>
  <c r="E27" i="11"/>
  <c r="E43" i="11"/>
  <c r="E28" i="11"/>
  <c r="E44" i="11"/>
  <c r="E31" i="11"/>
  <c r="E29" i="11"/>
  <c r="E45" i="11"/>
  <c r="E30" i="11"/>
  <c r="E33" i="11"/>
  <c r="E36" i="11"/>
  <c r="E34" i="11"/>
  <c r="E23" i="11"/>
  <c r="E25" i="11"/>
  <c r="E26" i="11"/>
  <c r="E22" i="11"/>
  <c r="E35" i="11"/>
  <c r="E37" i="11"/>
  <c r="E38" i="11"/>
  <c r="E39" i="11"/>
  <c r="E24" i="11"/>
  <c r="E41" i="11"/>
  <c r="E40" i="11"/>
  <c r="E32" i="11"/>
  <c r="E42" i="11"/>
  <c r="I113" i="11" a="1"/>
  <c r="I113" i="11" s="1"/>
  <c r="H113" i="11"/>
  <c r="I104" i="11" a="1"/>
  <c r="I104" i="11" s="1"/>
  <c r="H104" i="11"/>
  <c r="I99" i="11" a="1"/>
  <c r="I99" i="11" s="1"/>
  <c r="H99" i="11"/>
  <c r="I106" i="11" a="1"/>
  <c r="I106" i="11" s="1"/>
  <c r="H106" i="11"/>
  <c r="I105" i="11" a="1"/>
  <c r="I105" i="11" s="1"/>
  <c r="H105" i="11"/>
  <c r="I101" i="11" a="1"/>
  <c r="I101" i="11" s="1"/>
  <c r="H101" i="11"/>
  <c r="I103" i="11" a="1"/>
  <c r="I103" i="11" s="1"/>
  <c r="H103" i="11"/>
  <c r="I108" i="11" a="1"/>
  <c r="I108" i="11" s="1"/>
  <c r="H108" i="11"/>
  <c r="I111" i="11" a="1"/>
  <c r="I111" i="11" s="1"/>
  <c r="H111" i="11"/>
  <c r="I112" i="11" a="1"/>
  <c r="I112" i="11" s="1"/>
  <c r="H112" i="11"/>
  <c r="H97" i="11"/>
  <c r="I110" i="11" a="1"/>
  <c r="I110" i="11" s="1"/>
  <c r="H110" i="11"/>
  <c r="I109" i="11" a="1"/>
  <c r="I109" i="11" s="1"/>
  <c r="H109" i="11"/>
  <c r="I107" i="11" a="1"/>
  <c r="I107" i="11" s="1"/>
  <c r="H107" i="11"/>
  <c r="I98" i="11" a="1"/>
  <c r="I98" i="11" s="1"/>
  <c r="H98" i="11"/>
  <c r="I100" i="11" a="1"/>
  <c r="I100" i="11" s="1"/>
  <c r="H100" i="11"/>
  <c r="I102" i="11" a="1"/>
  <c r="I102" i="11" s="1"/>
  <c r="H102" i="11"/>
  <c r="H95" i="11"/>
  <c r="H96" i="11"/>
  <c r="H61" i="11"/>
  <c r="I96" i="11"/>
  <c r="I95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Z53" i="11"/>
  <c r="Y87" i="11"/>
  <c r="X87" i="11" s="1"/>
  <c r="Z87" i="11" s="1"/>
  <c r="G99" i="11"/>
  <c r="F99" i="11"/>
  <c r="T21" i="11"/>
  <c r="S21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Y59" i="11"/>
  <c r="X45" i="11"/>
  <c r="W45" i="11" s="1"/>
  <c r="Y45" i="11" s="1"/>
  <c r="G90" i="11"/>
  <c r="F90" i="11"/>
  <c r="T19" i="11"/>
  <c r="S19" i="11"/>
  <c r="G112" i="11"/>
  <c r="F112" i="11"/>
  <c r="G96" i="11"/>
  <c r="F96" i="11"/>
  <c r="G106" i="11"/>
  <c r="F106" i="11"/>
  <c r="G91" i="11"/>
  <c r="F91" i="11"/>
  <c r="V19" i="11"/>
  <c r="W18" i="11"/>
  <c r="Y18" i="11" s="1"/>
  <c r="V20" i="11"/>
  <c r="V21" i="11"/>
  <c r="T20" i="11"/>
  <c r="S20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T16" i="13" l="1"/>
  <c r="C25" i="13"/>
  <c r="B29" i="13"/>
  <c r="K29" i="13" s="1"/>
  <c r="B27" i="13"/>
  <c r="K27" i="13" s="1"/>
  <c r="K28" i="13"/>
  <c r="S17" i="13"/>
  <c r="K26" i="13"/>
  <c r="K43" i="13"/>
  <c r="S15" i="13"/>
  <c r="X58" i="13"/>
  <c r="W58" i="13" s="1"/>
  <c r="Y58" i="13" s="1"/>
  <c r="H51" i="13" s="1"/>
  <c r="X15" i="13"/>
  <c r="W15" i="13" s="1"/>
  <c r="Y15" i="13" s="1"/>
  <c r="X16" i="13" s="1"/>
  <c r="W16" i="13" s="1"/>
  <c r="Y16" i="13" s="1"/>
  <c r="X17" i="13" s="1"/>
  <c r="W17" i="13" s="1"/>
  <c r="Y17" i="13" s="1"/>
  <c r="I29" i="13" s="1"/>
  <c r="H29" i="13" s="1"/>
  <c r="Y35" i="13"/>
  <c r="K41" i="13"/>
  <c r="K45" i="13"/>
  <c r="K36" i="13"/>
  <c r="K31" i="13"/>
  <c r="K37" i="13"/>
  <c r="K40" i="13"/>
  <c r="K32" i="13"/>
  <c r="I38" i="13"/>
  <c r="K34" i="13"/>
  <c r="H74" i="13"/>
  <c r="K23" i="13" s="1"/>
  <c r="H80" i="13"/>
  <c r="H85" i="13" s="1"/>
  <c r="S11" i="13"/>
  <c r="T11" i="13"/>
  <c r="I26" i="13"/>
  <c r="H66" i="13"/>
  <c r="S13" i="13"/>
  <c r="T13" i="13"/>
  <c r="V13" i="13"/>
  <c r="V12" i="13"/>
  <c r="V11" i="13"/>
  <c r="W10" i="13"/>
  <c r="Y10" i="13" s="1"/>
  <c r="I22" i="13" s="1"/>
  <c r="K35" i="13"/>
  <c r="H62" i="13"/>
  <c r="H68" i="13"/>
  <c r="X46" i="13"/>
  <c r="W46" i="13" s="1"/>
  <c r="Y46" i="13" s="1"/>
  <c r="K39" i="13"/>
  <c r="K44" i="13"/>
  <c r="K30" i="13"/>
  <c r="K42" i="13"/>
  <c r="S12" i="13"/>
  <c r="T12" i="13"/>
  <c r="I30" i="13"/>
  <c r="I34" i="13"/>
  <c r="I42" i="13"/>
  <c r="K33" i="13"/>
  <c r="K38" i="13"/>
  <c r="X56" i="11"/>
  <c r="W56" i="11" s="1"/>
  <c r="Y56" i="11" s="1"/>
  <c r="H49" i="11" s="1"/>
  <c r="Y88" i="11"/>
  <c r="X88" i="11" s="1"/>
  <c r="Z88" i="11" s="1"/>
  <c r="H92" i="11" s="1"/>
  <c r="H91" i="11"/>
  <c r="H62" i="11"/>
  <c r="H66" i="11"/>
  <c r="X38" i="11"/>
  <c r="W38" i="11" s="1"/>
  <c r="Y38" i="11" s="1"/>
  <c r="H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X19" i="11"/>
  <c r="W19" i="11" s="1"/>
  <c r="Y19" i="11" s="1"/>
  <c r="I35" i="13" l="1"/>
  <c r="I43" i="13"/>
  <c r="H26" i="13"/>
  <c r="I27" i="13"/>
  <c r="H27" i="13" s="1"/>
  <c r="Y53" i="13"/>
  <c r="H81" i="13"/>
  <c r="H84" i="13" s="1"/>
  <c r="H75" i="13"/>
  <c r="K22" i="13" s="1"/>
  <c r="H22" i="13" s="1"/>
  <c r="H69" i="13"/>
  <c r="H63" i="13"/>
  <c r="H79" i="13"/>
  <c r="H86" i="13" s="1"/>
  <c r="H73" i="13"/>
  <c r="K24" i="13" s="1"/>
  <c r="I28" i="13"/>
  <c r="H28" i="13" s="1"/>
  <c r="Y41" i="13"/>
  <c r="X11" i="13"/>
  <c r="W11" i="13" s="1"/>
  <c r="Y11" i="13" s="1"/>
  <c r="X57" i="11"/>
  <c r="W57" i="11" s="1"/>
  <c r="Y57" i="11" s="1"/>
  <c r="H50" i="11" s="1"/>
  <c r="Y89" i="11"/>
  <c r="X89" i="11" s="1"/>
  <c r="Z89" i="11" s="1"/>
  <c r="H93" i="11" s="1"/>
  <c r="H67" i="11"/>
  <c r="H74" i="11" s="1"/>
  <c r="H63" i="11"/>
  <c r="X39" i="11"/>
  <c r="W39" i="11" s="1"/>
  <c r="Y39" i="11" s="1"/>
  <c r="H56" i="11" s="1"/>
  <c r="V15" i="11"/>
  <c r="W14" i="11"/>
  <c r="Y14" i="11" s="1"/>
  <c r="V17" i="11"/>
  <c r="S15" i="11"/>
  <c r="S16" i="11"/>
  <c r="S17" i="11"/>
  <c r="T17" i="11"/>
  <c r="X20" i="11"/>
  <c r="W20" i="11" s="1"/>
  <c r="Y20" i="11" s="1"/>
  <c r="X25" i="11"/>
  <c r="W25" i="11" s="1"/>
  <c r="Y25" i="11" s="1"/>
  <c r="Y41" i="11"/>
  <c r="I23" i="13" l="1"/>
  <c r="H23" i="13" s="1"/>
  <c r="I31" i="13"/>
  <c r="I39" i="13"/>
  <c r="X12" i="13"/>
  <c r="W12" i="13" s="1"/>
  <c r="Y12" i="13" s="1"/>
  <c r="H72" i="13"/>
  <c r="K25" i="13" s="1"/>
  <c r="H78" i="13"/>
  <c r="H87" i="13" s="1"/>
  <c r="X58" i="11"/>
  <c r="W58" i="11" s="1"/>
  <c r="Y58" i="11" s="1"/>
  <c r="H51" i="11" s="1"/>
  <c r="H68" i="11"/>
  <c r="H79" i="11" s="1"/>
  <c r="H86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80" i="11"/>
  <c r="H85" i="11" s="1"/>
  <c r="X21" i="11"/>
  <c r="W21" i="11" s="1"/>
  <c r="Y21" i="11" s="1"/>
  <c r="I44" i="13" l="1"/>
  <c r="I36" i="13"/>
  <c r="I32" i="13"/>
  <c r="I40" i="13"/>
  <c r="I24" i="13"/>
  <c r="H24" i="13" s="1"/>
  <c r="X13" i="13"/>
  <c r="W13" i="13" s="1"/>
  <c r="Y13" i="13" s="1"/>
  <c r="Y53" i="11"/>
  <c r="Y35" i="11"/>
  <c r="H57" i="11"/>
  <c r="H69" i="11"/>
  <c r="H72" i="11" s="1"/>
  <c r="H73" i="11"/>
  <c r="I25" i="13" l="1"/>
  <c r="H25" i="13" s="1"/>
  <c r="I45" i="13"/>
  <c r="I33" i="13"/>
  <c r="I41" i="13"/>
  <c r="I37" i="13"/>
  <c r="H78" i="11"/>
  <c r="H87" i="11" s="1"/>
  <c r="U10" i="11" l="1"/>
  <c r="T10" i="11" l="1"/>
  <c r="V10" i="11"/>
  <c r="U11" i="11"/>
  <c r="U13" i="11"/>
  <c r="U12" i="11"/>
  <c r="S10" i="11"/>
  <c r="S12" i="11" l="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3" i="11" l="1"/>
  <c r="H31" i="11"/>
  <c r="H32" i="11"/>
  <c r="H38" i="11"/>
  <c r="H41" i="11"/>
  <c r="H30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9" i="11"/>
  <c r="J32" i="11"/>
  <c r="J38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B36" i="11" l="1"/>
  <c r="K36" i="11" s="1"/>
  <c r="B31" i="11"/>
  <c r="C31" i="11"/>
  <c r="F26" i="11"/>
  <c r="J26" i="11"/>
  <c r="K31" i="11" l="1"/>
  <c r="G26" i="11"/>
  <c r="I26" i="11" s="1"/>
  <c r="F34" i="11"/>
  <c r="F41" i="11"/>
  <c r="J34" i="11"/>
  <c r="J41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37" i="11"/>
  <c r="J29" i="11"/>
  <c r="J23" i="11"/>
  <c r="J25" i="11"/>
  <c r="H84" i="11" l="1"/>
  <c r="K30" i="11"/>
  <c r="K38" i="11"/>
  <c r="K26" i="11"/>
  <c r="H26" i="11" s="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s="1"/>
  <c r="H22" i="11" s="1"/>
  <c r="B23" i="11" l="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<sst xmlns="http://schemas.openxmlformats.org/spreadsheetml/2006/main" count="778" uniqueCount="123">
  <si>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</si>
  <si>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</si>
  <si>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</si>
  <si>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</si>
  <si>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</si>
  <si>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</si>
  <si>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</si>
  <si>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</si>
  <si>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</si>
  <si>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</si>
  <si>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</si>
  <si>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</si>
  <si>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</si>
  <si>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</si>
  <si>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</si>
  <si>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</si>
  <si>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</si>
  <si>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</si>
  <si>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</si>
  <si>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</si>
  <si>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</si>
  <si>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</si>
  <si>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</si>
  <si>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</si>
  <si>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</si>
  <si>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</si>
  <si>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</si>
  <si>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</si>
  <si>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</si>
  <si>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</si>
  <si>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</si>
  <si>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</si>
  <si>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</si>
  <si>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</si>
  <si>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</si>
  <si>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</si>
  <si>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</si>
  <si>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</si>
  <si>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</si>
  <si>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</si>
  <si>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</si>
  <si>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</si>
  <si>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</si>
  <si>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</si>
  <si>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</si>
  <si>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</si>
  <si>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</si>
  <si>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</si>
  <si>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</si>
  <si>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</si>
  <si>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</si>
  <si>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</si>
  <si>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</si>
  <si>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</si>
  <si>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</si>
  <si>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</si>
  <si>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</si>
  <si>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</si>
  <si>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</si>
  <si>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</si>
  <si>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</si>
  <si>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</si>
  <si>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</si>
  <si>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</si>
  <si>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</si>
  <si>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</si>
  <si>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</si>
  <si>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</si>
  <si>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</si>
  <si>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</si>
  <si>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</si>
  <si>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</si>
  <si>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</si>
  <si>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</si>
  <si>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</si>
  <si>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</si>
  <si>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</si>
  <si>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</si>
  <si>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</si>
  <si>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</si>
  <si>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</si>
  <si>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</si>
  <si>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</si>
  <si>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</si>
  <si>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</si>
  <si>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</si>
  <si>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</si>
  <si>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</si>
  <si>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</si>
  <si>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</si>
  <si>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</si>
  <si>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</si>
  <si>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</si>
  <si>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</si>
  <si>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</si>
  <si>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</si>
  <si>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</si>
  <si>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180000000000001000</t>
  </si>
  <si>
    <t>170000000000000201</t>
  </si>
  <si>
    <t>170000000000000101</t>
  </si>
  <si>
    <t>180000000000000001</t>
  </si>
  <si>
    <t>200000000000000001</t>
  </si>
  <si>
    <t>E18</t>
  </si>
  <si>
    <t>E20</t>
  </si>
  <si>
    <t>3000000000000</t>
  </si>
  <si>
    <t>skmp</t>
  </si>
  <si>
    <t>PT15M</t>
  </si>
  <si>
    <t>2000000000000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</si>
  <si>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</si>
  <si>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</si>
  <si>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</si>
  <si>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</si>
  <si>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</si>
  <si>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</si>
  <si>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170000000000000102</t>
  </si>
  <si>
    <t>170000000000000202</t>
  </si>
  <si>
    <t>3300000000000</t>
  </si>
  <si>
    <t>200000000000000002</t>
  </si>
  <si>
    <t>180000000000000002</t>
  </si>
  <si>
    <t>4000000000000</t>
  </si>
  <si>
    <t>4400000000000</t>
  </si>
  <si>
    <t>nonprofiled_consumption</t>
  </si>
  <si>
    <t>exchange_per_neighbor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</si>
</sst>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0" xfId="0" applyNumberFormat="1" applyFill="1"/>
  </cellXfs>
  <cellStyles count="1">
    <cellStyle name="Normal" xfId="0" builtinId="0"/>
  </cellStyles>
  <dxfs count="50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49" dataDxfId="48">
  <autoFilter ref="C1:Q19" xr:uid="{3814BBFA-A2E3-4A77-AAB1-6B1FF8D878B1}"/>
  <tableColumns count="15">
    <tableColumn id="1" xr3:uid="{2B69152A-55A7-4D2B-873F-7F3FB6F402A7}" name="mp id" dataDxfId="47"/>
    <tableColumn id="2" xr3:uid="{DA52C48F-158B-4538-B6A3-FC8044FE7DD3}" name="type" dataDxfId="46"/>
    <tableColumn id="3" xr3:uid="{EF0BDE38-1365-4FBC-9631-C5B606CA358B}" name="settlement_method" dataDxfId="45"/>
    <tableColumn id="4" xr3:uid="{B562A6FB-BEDA-4307-A449-0F2082B19BCA}" name="Quarter1" dataDxfId="44"/>
    <tableColumn id="5" xr3:uid="{6DA11D4D-F616-4050-A443-FB1A76B379F3}" name="Quarter2" dataDxfId="43"/>
    <tableColumn id="13" xr3:uid="{E2415720-F246-4A24-8E0D-1B0204263A5A}" name="Quarter3" dataDxfId="42"/>
    <tableColumn id="14" xr3:uid="{0EC1FA3B-BAAC-4F35-AAF5-67E6FD19CA93}" name="Quarter4" dataDxfId="41"/>
    <tableColumn id="15" xr3:uid="{5C23752B-DBE4-4FE9-BFE7-AC41B91886E5}" name="TotalHour" dataDxfId="40">
      <calculatedColumnFormula>IF(C2="","",SUM(F2:I2))</calculatedColumnFormula>
    </tableColumn>
    <tableColumn id="6" xr3:uid="{CD5BB13E-3854-4BA0-A8C2-7EB0351AE2FA}" name="resolution" dataDxfId="39"/>
    <tableColumn id="7" xr3:uid="{900BB657-25A0-4ECA-8FE6-633F1CAE8BD7}" name="es_id" dataDxfId="38"/>
    <tableColumn id="8" xr3:uid="{39625D12-7EE0-4C8F-8893-3E5902A7D039}" name="brp_id" dataDxfId="37"/>
    <tableColumn id="9" xr3:uid="{4035FFB8-60AE-4E2D-9CA8-C736A1B70CC6}" name="note" dataDxfId="36"/>
    <tableColumn id="10" xr3:uid="{F90F79EC-44B2-4BC6-8C23-82D64320CBD5}" name="ga_id" dataDxfId="35"/>
    <tableColumn id="11" xr3:uid="{CD53BB86-08E7-49A0-BC6E-CFD857B5FCB7}" name="from_ga" dataDxfId="34"/>
    <tableColumn id="12" xr3:uid="{75786D4A-9554-4C5E-B036-485331D1BE7F}" name="to_ga" dataDxfId="3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D88CED-613E-42A1-99FD-D45202656623}" name="TableDay2" displayName="TableDay2" ref="C1:Q19" totalsRowShown="0" headerRowDxfId="32" dataDxfId="31">
  <autoFilter ref="C1:Q19" xr:uid="{3814BBFA-A2E3-4A77-AAB1-6B1FF8D878B1}"/>
  <tableColumns count="15">
    <tableColumn id="1" xr3:uid="{3372243B-477A-45B4-845D-AB3D91DE90BB}" name="mp id" dataDxfId="30"/>
    <tableColumn id="2" xr3:uid="{F019AEDC-2E1C-413E-9E66-7B199F41A169}" name="type" dataDxfId="29"/>
    <tableColumn id="3" xr3:uid="{C60F03E2-5E76-4DF5-B03B-04718AE46EB2}" name="settlement_method" dataDxfId="28"/>
    <tableColumn id="4" xr3:uid="{94400A3E-F700-4AE5-9BB5-6ED4ED67F893}" name="Quarter1" dataDxfId="27"/>
    <tableColumn id="5" xr3:uid="{EAD7D3FF-367D-4BFF-ADDA-DA01943BA84C}" name="Quarter2" dataDxfId="26"/>
    <tableColumn id="13" xr3:uid="{A2072A66-4435-4892-AE1D-3D64CBED97C9}" name="Quarter3" dataDxfId="25"/>
    <tableColumn id="14" xr3:uid="{AFCC6C08-D5E6-4AFE-B9A3-3D206376482E}" name="Quarter4" dataDxfId="24"/>
    <tableColumn id="15" xr3:uid="{95843097-0963-43A3-ABA0-821A5ABEB0F1}" name="TotalHour" dataDxfId="23">
      <calculatedColumnFormula>IF(C2="","",SUM(F2:I2))</calculatedColumnFormula>
    </tableColumn>
    <tableColumn id="6" xr3:uid="{97505DAA-DF97-4815-AB2C-FF38F004338D}" name="resolution" dataDxfId="22"/>
    <tableColumn id="7" xr3:uid="{E76A548A-F646-4944-BCAC-3B5C4DDF4065}" name="es_id" dataDxfId="21"/>
    <tableColumn id="8" xr3:uid="{E0C32247-3F4D-41A1-BD1B-3F558A219CA4}" name="brp_id" dataDxfId="20"/>
    <tableColumn id="9" xr3:uid="{08F74D21-C0BE-4F6B-85C5-6DC8AD6659B3}" name="note" dataDxfId="19"/>
    <tableColumn id="10" xr3:uid="{809F2A92-0820-44A2-8C3C-C2F5D823FCEE}" name="ga_id" dataDxfId="18"/>
    <tableColumn id="11" xr3:uid="{D5183978-6FF2-496C-8AB5-C3D7360F9E4E}" name="from_ga" dataDxfId="17"/>
    <tableColumn id="12" xr3:uid="{FC21DC18-B464-4E9E-85BE-CB2F95A48D5A}" name="to_ga" dataDxfId="1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3" width="14.140625" style="1" bestFit="1" customWidth="1"/>
    <col min="14" max="14" width="8.140625" style="1" bestFit="1" customWidth="1"/>
    <col min="15" max="15" width="8.140625" style="1" customWidth="1"/>
    <col min="16" max="17" width="11.7109375" style="1" customWidth="1"/>
    <col min="18" max="18" width="8.85546875" style="1" bestFit="1" customWidth="1"/>
    <col min="19" max="19" width="32.28515625" style="1" bestFit="1" customWidth="1"/>
    <col min="20" max="20" width="14.140625" style="1" bestFit="1" customWidth="1"/>
    <col min="21" max="21" width="33.42578125" style="1" bestFit="1" customWidth="1"/>
    <col min="22" max="22" width="15.7109375" style="1" bestFit="1" customWidth="1"/>
    <col min="23" max="24" width="13.28515625" style="1" bestFit="1" customWidth="1"/>
    <col min="25" max="25" width="11.7109375" style="1" bestFit="1" customWidth="1"/>
    <col min="26" max="26" width="12.42578125" style="1" bestFit="1" customWidth="1"/>
    <col min="27" max="27" width="4.140625" style="1" bestFit="1" customWidth="1"/>
    <col min="28" max="28" width="2.85546875" style="1" bestFit="1" customWidth="1"/>
    <col min="29" max="29" width="1.85546875" style="1" bestFit="1" customWidth="1"/>
    <col min="30" max="30" width="9.5703125" style="1" bestFit="1" customWidth="1"/>
    <col min="31" max="31" width="27.42578125" style="1" bestFit="1" customWidth="1"/>
    <col min="32" max="32" width="19.85546875" style="1" bestFit="1" customWidth="1"/>
    <col min="33" max="33" width="21.85546875" style="1" bestFit="1" customWidth="1"/>
    <col min="34" max="34" width="11.7109375" style="1" bestFit="1" customWidth="1"/>
    <col min="35" max="40" width="8.7109375" style="1" customWidth="1"/>
    <col min="41" max="16384" width="8.7109375" style="1"/>
  </cols>
  <sheetData>
    <row r="1" spans="1:92" ht="21" x14ac:dyDescent="0.35">
      <c r="A1" s="18" t="s">
        <v>22</v>
      </c>
      <c r="B1" s="38" t="s">
        <v>87</v>
      </c>
      <c r="C1" s="14" t="s">
        <v>7</v>
      </c>
      <c r="D1" s="14" t="s">
        <v>11</v>
      </c>
      <c r="E1" s="14" t="s">
        <v>12</v>
      </c>
      <c r="F1" s="14" t="s">
        <v>73</v>
      </c>
      <c r="G1" s="14" t="s">
        <v>74</v>
      </c>
      <c r="H1" s="14" t="s">
        <v>75</v>
      </c>
      <c r="I1" s="14" t="s">
        <v>76</v>
      </c>
      <c r="J1" s="14" t="s">
        <v>113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80</v>
      </c>
      <c r="Q1" s="14" t="s">
        <v>81</v>
      </c>
      <c r="U1" s="15" t="s">
        <v>73</v>
      </c>
      <c r="V1" s="15" t="s">
        <v>74</v>
      </c>
      <c r="W1" s="15" t="s">
        <v>75</v>
      </c>
      <c r="X1" s="15" t="s">
        <v>76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112</v>
      </c>
      <c r="AH1" s="30" t="s">
        <v>82</v>
      </c>
      <c r="AI1" s="30"/>
      <c r="AJ1" s="24"/>
    </row>
    <row r="2" spans="1:92" ht="21" x14ac:dyDescent="0.35">
      <c r="A2" s="18" t="s">
        <v>25</v>
      </c>
      <c r="B2" s="17" t="s">
        <v>121</v>
      </c>
      <c r="C2" s="10" t="s">
        <v>88</v>
      </c>
      <c r="D2" s="10" t="s">
        <v>89</v>
      </c>
      <c r="E2" s="11" t="s">
        <v>90</v>
      </c>
      <c r="F2" s="12"/>
      <c r="G2" s="12"/>
      <c r="H2" s="41"/>
      <c r="I2" s="41"/>
      <c r="J2" s="43">
        <f>IF(C2="","",SUM(F2:I2))</f>
        <v>0</v>
      </c>
      <c r="K2" s="10" t="s">
        <v>106</v>
      </c>
      <c r="L2" s="10" t="s">
        <v>92</v>
      </c>
      <c r="M2" s="10" t="s">
        <v>93</v>
      </c>
      <c r="N2" s="10" t="s">
        <v>96</v>
      </c>
      <c r="O2" s="10" t="s">
        <v>94</v>
      </c>
      <c r="P2" s="29"/>
      <c r="Q2" s="29"/>
      <c r="R2" s="24"/>
      <c r="S2" s="7" t="s">
        <v>34</v>
      </c>
      <c r="T2" s="9">
        <f>SUMIFS(TableDay1[TotalHour],TableDay1[settlement_method],"D01",TableDay1[resolution],"PT15M")</f>
        <v>1</v>
      </c>
      <c r="U2" s="42">
        <f>SUMIFS(TableDay1[Quarter1],TableDay1[settlement_method],"D01",TableDay1[resolution],"PT15M")</f>
        <v>0.1</v>
      </c>
      <c r="V2" s="42">
        <f>SUMIFS(TableDay1[Quarter2],TableDay1[settlement_method],"D01",TableDay1[resolution],"PT15M")</f>
        <v>0.2</v>
      </c>
      <c r="W2" s="42">
        <f>SUMIFS(TableDay1[Quarter3],TableDay1[settlement_method],"D01",TableDay1[resolution],"PT15M")</f>
        <v>0.3</v>
      </c>
      <c r="X2" s="42">
        <f>SUMIFS(TableDay1[Quarter4],TableDay1[settlement_method],"D01",TableDay1[resolution],"PT15M")</f>
        <v>0.4</v>
      </c>
      <c r="Y2" s="24"/>
      <c r="Z2" s="24"/>
      <c r="AA2" s="24"/>
      <c r="AC2" s="24"/>
      <c r="AD2" s="27" t="str" cm="1">
        <f t="array" ref="AD2">_xlfn._xlws.SORT(_xlfn.UNIQUE(_xlfn._xlws.FILTER(TableDay1[ga_id],TableDay1[ga_id] &lt;&gt; "")))</f>
        <v>800</v>
      </c>
      <c r="AE2" s="27" t="str" cm="1">
        <f t="array" ref="AE2">_xlfn._xlws.SORT(_xlfn.UNIQUE(_xlfn._xlws.FILTER(AE28:AE41,AE28:AE41 &lt;&gt; "")))</f>
        <v>1000000000000</v>
      </c>
      <c r="AF2" s="27" t="str" cm="1">
        <f t="array" ref="AF2">_xlfn._xlws.SORT(_xlfn.UNIQUE(_xlfn._xlws.FILTER(AF28:AF40,AF28:AF40 &lt;&gt; "")))</f>
        <v>1100000000000</v>
      </c>
      <c r="AG2" s="27" t="str">
        <f>IF(B$2="production","E18",IF($B$2="flex_consumption","D01","E02"))</f>
        <v>E02</v>
      </c>
      <c r="AH2" s="27" t="str" cm="1">
        <f t="array" ref="AH2:AH3">_xlfn._xlws.SORT(_xlfn.UNIQUE(_xlfn.VSTACK(_xlfn._xlws.FILTER(TableDay1[from_ga],TableDay1[from_ga] &lt;&gt; ""),_xlfn._xlws.FILTER(TableDay1[to_ga],TableDay1[to_ga] &lt;&gt; ""))))</f>
        <v>800</v>
      </c>
      <c r="AI2" s="24"/>
      <c r="AJ2" s="24"/>
    </row>
    <row r="3" spans="1:92" x14ac:dyDescent="0.25">
      <c r="C3" s="10" t="s">
        <v>97</v>
      </c>
      <c r="D3" s="10" t="s">
        <v>102</v>
      </c>
      <c r="E3" s="11"/>
      <c r="F3" s="12"/>
      <c r="G3" s="12"/>
      <c r="H3" s="41"/>
      <c r="I3" s="41"/>
      <c r="J3" s="43">
        <f t="shared" ref="J3:J19" si="0">IF(C3="","",SUM(F3:I3))</f>
        <v>0</v>
      </c>
      <c r="K3" s="10" t="s">
        <v>106</v>
      </c>
      <c r="L3" s="10" t="s">
        <v>107</v>
      </c>
      <c r="M3" s="10" t="s">
        <v>108</v>
      </c>
      <c r="N3" s="10" t="s">
        <v>105</v>
      </c>
      <c r="O3" s="10" t="s">
        <v>94</v>
      </c>
      <c r="P3" s="29"/>
      <c r="Q3" s="29"/>
      <c r="R3" s="24"/>
      <c r="S3" s="7" t="s">
        <v>38</v>
      </c>
      <c r="T3" s="9">
        <f>SUMIFS(TableDay1[TotalHour],TableDay1[settlement_method],"E02",TableDay1[resolution],"PT15M")</f>
        <v>26</v>
      </c>
      <c r="U3" s="42">
        <f>SUMIFS(TableDay1[Quarter1],TableDay1[settlement_method],"E02",TableDay1[resolution],"PT15M")</f>
        <v>1</v>
      </c>
      <c r="V3" s="42">
        <f>SUMIFS(TableDay1[Quarter2],TableDay1[settlement_method],"E02",TableDay1[resolution],"PT15M")</f>
        <v>2</v>
      </c>
      <c r="W3" s="42">
        <f>SUMIFS(TableDay1[Quarter3],TableDay1[settlement_method],"E02",TableDay1[resolution],"PT15M")</f>
        <v>3</v>
      </c>
      <c r="X3" s="42">
        <f>SUMIFS(TableDay1[Quarter4],TableDay1[settlement_method],"E02",TableDay1[resolution],"PT15M")</f>
        <v>20</v>
      </c>
      <c r="Y3" s="24"/>
      <c r="Z3" s="24"/>
      <c r="AA3" s="24"/>
      <c r="AC3" s="24"/>
      <c r="AD3" s="24"/>
      <c r="AE3" s="24"/>
      <c r="AF3" s="24"/>
      <c r="AG3" s="24"/>
      <c r="AH3" s="24" t="str">
        <v>801</v>
      </c>
      <c r="AI3" s="24"/>
      <c r="AJ3" s="24"/>
    </row>
    <row r="4" spans="1:92" x14ac:dyDescent="0.25">
      <c r="C4" s="10" t="s">
        <v>99</v>
      </c>
      <c r="D4" s="10" t="s">
        <v>89</v>
      </c>
      <c r="E4" s="11" t="s">
        <v>109</v>
      </c>
      <c r="F4" s="12">
        <v>1</v>
      </c>
      <c r="G4" s="12">
        <v>2</v>
      </c>
      <c r="H4" s="41">
        <v>3</v>
      </c>
      <c r="I4" s="41">
        <v>20</v>
      </c>
      <c r="J4" s="43">
        <f t="shared" si="0"/>
        <v>26</v>
      </c>
      <c r="K4" s="10" t="s">
        <v>106</v>
      </c>
      <c r="L4" s="10" t="s">
        <v>92</v>
      </c>
      <c r="M4" s="10" t="s">
        <v>93</v>
      </c>
      <c r="N4" s="10"/>
      <c r="O4" s="10" t="s">
        <v>94</v>
      </c>
      <c r="P4" s="29"/>
      <c r="Q4" s="29"/>
      <c r="R4" s="24"/>
      <c r="S4" s="7" t="s">
        <v>28</v>
      </c>
      <c r="T4" s="9">
        <f>SUMIFS(TableDay1[TotalHour],TableDay1[type],"E18",TableDay1[resolution],"PT15M")</f>
        <v>11</v>
      </c>
      <c r="U4" s="42">
        <f>SUMIFS(TableDay1[Quarter1],TableDay1[type],"E18",TableDay1[resolution],"PT15M")</f>
        <v>1</v>
      </c>
      <c r="V4" s="42">
        <f>SUMIFS(TableDay1[Quarter2],TableDay1[type],"E18",TableDay1[resolution],"PT15M")</f>
        <v>2</v>
      </c>
      <c r="W4" s="42">
        <f>SUMIFS(TableDay1[Quarter3],TableDay1[type],"E18",TableDay1[resolution],"PT15M")</f>
        <v>3</v>
      </c>
      <c r="X4" s="42">
        <f>SUMIFS(TableDay1[Quarter4],TableDay1[type],"E18",TableDay1[resolution],"PT15M")</f>
        <v>5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/>
    </row>
    <row r="5" spans="1:92" x14ac:dyDescent="0.25">
      <c r="C5" s="10"/>
      <c r="D5" s="10"/>
      <c r="E5" s="11"/>
      <c r="F5" s="12"/>
      <c r="G5" s="12"/>
      <c r="H5" s="41"/>
      <c r="I5" s="41"/>
      <c r="J5" s="43" t="str">
        <f t="shared" si="0"/>
        <v/>
      </c>
      <c r="K5" s="10"/>
      <c r="L5" s="10"/>
      <c r="M5" s="10"/>
      <c r="N5" s="10"/>
      <c r="O5" s="10"/>
      <c r="P5" s="29"/>
      <c r="Q5" s="29"/>
      <c r="R5" s="24"/>
      <c r="S5" s="7" t="s">
        <v>26</v>
      </c>
      <c r="T5" s="9">
        <f>SUMIFS(TableDay1[TotalHour],TableDay1[type],"E17",TableDay1[resolution],"PT15M")</f>
        <v>27</v>
      </c>
      <c r="U5" s="42">
        <f>SUMIFS(TableDay1[Quarter1],TableDay1[type],"E17",TableDay1[resolution],"PT15M")</f>
        <v>1.1000000000000001</v>
      </c>
      <c r="V5" s="42">
        <f>SUMIFS(TableDay1[Quarter2],TableDay1[type],"E17",TableDay1[resolution],"PT15M")</f>
        <v>2.2000000000000002</v>
      </c>
      <c r="W5" s="42">
        <f>SUMIFS(TableDay1[Quarter3],TableDay1[type],"E17",TableDay1[resolution],"PT15M")</f>
        <v>3.3</v>
      </c>
      <c r="X5" s="42">
        <f>SUMIFS(TableDay1[Quarter4],TableDay1[type],"E17",TableDay1[resolution],"PT15M")</f>
        <v>20.399999999999999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/>
    </row>
    <row r="6" spans="1:92" x14ac:dyDescent="0.25">
      <c r="C6" s="10" t="s">
        <v>98</v>
      </c>
      <c r="D6" s="10" t="s">
        <v>89</v>
      </c>
      <c r="E6" s="11" t="s">
        <v>90</v>
      </c>
      <c r="F6" s="12">
        <v>0.1</v>
      </c>
      <c r="G6" s="12">
        <v>0.2</v>
      </c>
      <c r="H6" s="12">
        <v>0.3</v>
      </c>
      <c r="I6" s="12">
        <v>0.4</v>
      </c>
      <c r="J6" s="43">
        <f t="shared" si="0"/>
        <v>1</v>
      </c>
      <c r="K6" s="10" t="s">
        <v>106</v>
      </c>
      <c r="L6" s="10" t="s">
        <v>92</v>
      </c>
      <c r="M6" s="10" t="s">
        <v>93</v>
      </c>
      <c r="N6" s="10"/>
      <c r="O6" s="10" t="s">
        <v>94</v>
      </c>
      <c r="P6" s="29"/>
      <c r="Q6" s="29"/>
      <c r="R6" s="24"/>
      <c r="S6" s="6" t="s">
        <v>31</v>
      </c>
      <c r="T6" s="9">
        <f>SUMIFS(TableDay1[TotalHour],TableDay1[type],"E20",TableDay1[resolution],"PT15M",TableDay1[to_ga],"800")</f>
        <v>0</v>
      </c>
      <c r="U6" s="42">
        <f>SUMIFS(TableDay1[Quarter1],TableDay1[type],"E20",TableDay1[resolution],"PT15M",TableDay1[to_ga],"800")</f>
        <v>0</v>
      </c>
      <c r="V6" s="42">
        <f>SUMIFS(TableDay1[Quarter2],TableDay1[type],"E20",TableDay1[resolution],"PT15M",TableDay1[to_ga],"800")</f>
        <v>0</v>
      </c>
      <c r="W6" s="42">
        <f>SUMIFS(TableDay1[Quarter3],TableDay1[type],"E20",TableDay1[resolution],"PT15M",TableDay1[to_ga],"800")</f>
        <v>0</v>
      </c>
      <c r="X6" s="42">
        <f>SUMIFS(TableDay1[Quarter4],TableDay1[type],"E20",TableDay1[resolution],"PT15M",TableDay1[to_ga],"800")</f>
        <v>0</v>
      </c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/>
    </row>
    <row r="7" spans="1:92" x14ac:dyDescent="0.25">
      <c r="C7" s="10"/>
      <c r="D7" s="10"/>
      <c r="E7" s="11"/>
      <c r="F7" s="12"/>
      <c r="G7" s="12"/>
      <c r="H7" s="41"/>
      <c r="I7" s="41"/>
      <c r="J7" s="43" t="str">
        <f t="shared" si="0"/>
        <v/>
      </c>
      <c r="K7" s="10"/>
      <c r="L7" s="10"/>
      <c r="M7" s="10"/>
      <c r="N7" s="10"/>
      <c r="O7" s="10"/>
      <c r="P7" s="29"/>
      <c r="Q7" s="29"/>
      <c r="R7" s="24"/>
      <c r="S7" s="6" t="s">
        <v>41</v>
      </c>
      <c r="T7" s="9">
        <f>SUMIFS(TableDay1[TotalHour],TableDay1[type],"E20",TableDay1[resolution],"PT15M",TableDay1[from_ga],"800")</f>
        <v>0</v>
      </c>
      <c r="U7" s="42">
        <f>SUMIFS(TableDay1[Quarter1],TableDay1[type],"E20",TableDay1[resolution],"PT15M",TableDay1[from_ga],"800")</f>
        <v>0</v>
      </c>
      <c r="V7" s="42">
        <f>SUMIFS(TableDay1[Quarter2],TableDay1[type],"E20",TableDay1[resolution],"PT15M",TableDay1[from_ga],"800")</f>
        <v>0</v>
      </c>
      <c r="W7" s="42">
        <f>SUMIFS(TableDay1[Quarter3],TableDay1[type],"E20",TableDay1[resolution],"PT15M",TableDay1[from_ga],"800")</f>
        <v>0</v>
      </c>
      <c r="X7" s="42">
        <f>SUMIFS(TableDay1[Quarter4],TableDay1[type],"E20",TableDay1[resolution],"PT15M",TableDay1[from_ga],"800")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25">
      <c r="C8" s="10" t="s">
        <v>100</v>
      </c>
      <c r="D8" s="10" t="s">
        <v>102</v>
      </c>
      <c r="E8" s="11"/>
      <c r="F8" s="12">
        <v>1</v>
      </c>
      <c r="G8" s="12">
        <v>2</v>
      </c>
      <c r="H8" s="41">
        <v>3</v>
      </c>
      <c r="I8" s="41">
        <v>5</v>
      </c>
      <c r="J8" s="43">
        <f t="shared" si="0"/>
        <v>11</v>
      </c>
      <c r="K8" s="10" t="s">
        <v>106</v>
      </c>
      <c r="L8" s="10" t="s">
        <v>107</v>
      </c>
      <c r="M8" s="10" t="s">
        <v>108</v>
      </c>
      <c r="N8" s="10"/>
      <c r="O8" s="10" t="s">
        <v>94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25">
      <c r="C9" s="10"/>
      <c r="D9" s="10"/>
      <c r="E9" s="11"/>
      <c r="F9" s="12"/>
      <c r="G9" s="12"/>
      <c r="H9" s="41"/>
      <c r="I9" s="41"/>
      <c r="J9" s="43" t="str">
        <f t="shared" si="0"/>
        <v/>
      </c>
      <c r="K9" s="10"/>
      <c r="L9" s="10"/>
      <c r="M9" s="10"/>
      <c r="N9" s="10"/>
      <c r="O9" s="10"/>
      <c r="P9" s="29"/>
      <c r="Q9" s="29"/>
      <c r="R9" s="24"/>
      <c r="S9" s="25"/>
      <c r="T9" s="7" t="s">
        <v>10</v>
      </c>
      <c r="U9" s="7" t="s">
        <v>9</v>
      </c>
      <c r="V9" s="7" t="s">
        <v>84</v>
      </c>
      <c r="W9" s="7" t="s">
        <v>44</v>
      </c>
      <c r="X9" s="7" t="s">
        <v>45</v>
      </c>
      <c r="Y9" s="7" t="s">
        <v>46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25">
      <c r="C10" s="10" t="s">
        <v>101</v>
      </c>
      <c r="D10" s="10" t="s">
        <v>103</v>
      </c>
      <c r="E10" s="11"/>
      <c r="F10" s="12">
        <v>30.501000000000001</v>
      </c>
      <c r="G10" s="12"/>
      <c r="H10" s="41"/>
      <c r="I10" s="41"/>
      <c r="J10" s="43">
        <f t="shared" si="0"/>
        <v>30.501000000000001</v>
      </c>
      <c r="K10" s="10" t="s">
        <v>91</v>
      </c>
      <c r="L10" s="10"/>
      <c r="M10" s="10"/>
      <c r="N10" s="10"/>
      <c r="O10" s="10" t="s">
        <v>94</v>
      </c>
      <c r="P10" s="29" t="s">
        <v>95</v>
      </c>
      <c r="Q10" s="29" t="s">
        <v>94</v>
      </c>
      <c r="R10" s="15" t="s">
        <v>73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1100000000000</v>
      </c>
      <c r="U10" s="26" t="str">
        <f>IF(AE$2=0,"",AE$2)</f>
        <v>1000000000000</v>
      </c>
      <c r="V10" s="20">
        <f>SUMIFS(TableDay1[TotalHour],TableDay1[es_id],U10,IF(B$2="production",TableDay1[type],TableDay1[settlement_method]),AG$2,TableDay1[resolution],"PT1H")/4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25">
      <c r="C11" s="10"/>
      <c r="D11" s="10"/>
      <c r="E11" s="11"/>
      <c r="F11" s="12"/>
      <c r="G11" s="12"/>
      <c r="H11" s="41"/>
      <c r="I11" s="41"/>
      <c r="J11" s="43"/>
      <c r="K11" s="10"/>
      <c r="L11" s="10"/>
      <c r="M11" s="10"/>
      <c r="N11" s="10"/>
      <c r="O11" s="10"/>
      <c r="P11" s="29"/>
      <c r="Q11" s="29"/>
      <c r="R11" s="15" t="s">
        <v>74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1100000000000</v>
      </c>
      <c r="U11" s="26" t="str">
        <f t="shared" ref="U11:V13" si="2">U$10</f>
        <v>1000000000000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25">
      <c r="C12" s="10"/>
      <c r="D12" s="10"/>
      <c r="E12" s="11"/>
      <c r="F12" s="12"/>
      <c r="G12" s="12"/>
      <c r="H12" s="41"/>
      <c r="I12" s="41"/>
      <c r="J12" s="43" t="str">
        <f t="shared" si="0"/>
        <v/>
      </c>
      <c r="K12" s="10"/>
      <c r="L12" s="10"/>
      <c r="M12" s="10"/>
      <c r="N12" s="10"/>
      <c r="O12" s="10"/>
      <c r="P12" s="29"/>
      <c r="Q12" s="29"/>
      <c r="R12" s="15" t="s">
        <v>75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1100000000000</v>
      </c>
      <c r="U12" s="26" t="str">
        <f t="shared" si="2"/>
        <v>1000000000000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110</v>
      </c>
      <c r="AF12" s="36" t="s">
        <v>111</v>
      </c>
      <c r="AG12" s="36"/>
      <c r="AH12" s="35"/>
      <c r="AI12" s="24"/>
      <c r="AJ12" s="24"/>
    </row>
    <row r="13" spans="1:92" x14ac:dyDescent="0.25">
      <c r="C13" s="10"/>
      <c r="D13" s="10"/>
      <c r="E13" s="11"/>
      <c r="F13" s="12"/>
      <c r="G13" s="12"/>
      <c r="H13" s="41"/>
      <c r="I13" s="41"/>
      <c r="J13" s="43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76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1100000000000</v>
      </c>
      <c r="U13" s="26" t="str">
        <f t="shared" si="2"/>
        <v>1000000000000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4">_xlfn._xlws.SORT(_xlfn.UNIQUE(_xlfn._xlws.FILTER(TableDay1[es_id],TableDay1[es_id] &lt;&gt; "")))</f>
        <v>1000000000000</v>
      </c>
      <c r="AF13" s="36" t="str" cm="1">
        <f t="array" ref="AF13:AF14">_xlfn._xlws.SORT(_xlfn.UNIQUE(_xlfn._xlws.FILTER(TableDay1[brp_id],TableDay1[brp_id] &lt;&gt; "")))</f>
        <v>1100000000000</v>
      </c>
      <c r="AG13" s="36"/>
      <c r="AH13" s="35"/>
    </row>
    <row r="14" spans="1:92" x14ac:dyDescent="0.25">
      <c r="C14" s="10"/>
      <c r="D14" s="10"/>
      <c r="E14" s="11"/>
      <c r="F14" s="12"/>
      <c r="G14" s="12"/>
      <c r="H14" s="41"/>
      <c r="I14" s="41"/>
      <c r="J14" s="43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73</v>
      </c>
      <c r="S14" s="26" t="str">
        <f>_xlfn.IFNA(INDEX(TableDay1[ga_id],MATCH(U14,TableDay1[es_id],0)),"")</f>
        <v/>
      </c>
      <c r="T14" s="26" t="str">
        <f>_xlfn.IFNA(INDEX(TableDay1[brp_id],MATCH(U14,TableDay1[es_id],0)),"")</f>
        <v/>
      </c>
      <c r="U14" s="26" t="str">
        <f>IF(AE$3=0,"",AE$3)</f>
        <v/>
      </c>
      <c r="V14" s="20">
        <f>SUMIFS(TableDay1[TotalHour],TableDay1[es_id],U14,IF(B$2="production",TableDay1[type],TableDay1[settlement_method]),AG$2,TableDay1[resolution],"PT1H")/4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25">
      <c r="C15" s="13"/>
      <c r="D15" s="10"/>
      <c r="E15" s="11"/>
      <c r="F15" s="12"/>
      <c r="G15" s="12"/>
      <c r="H15" s="41"/>
      <c r="I15" s="41"/>
      <c r="J15" s="43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74</v>
      </c>
      <c r="S15" s="26" t="str">
        <f>_xlfn.IFNA(INDEX(TableDay1[ga_id],MATCH(U15,TableDay1[es_id],0)),"")</f>
        <v/>
      </c>
      <c r="T15" s="26" t="str">
        <f>_xlfn.IFNA(INDEX(TableDay1[brp_id],MATCH(U15,TableDay1[es_id],0)),"")</f>
        <v/>
      </c>
      <c r="U15" s="26" t="str">
        <f t="shared" ref="U15:V17" si="3">U$14</f>
        <v/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/>
      <c r="AF15" s="36"/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25">
      <c r="C16" s="13"/>
      <c r="D16" s="10"/>
      <c r="E16" s="11"/>
      <c r="F16" s="12"/>
      <c r="G16" s="12"/>
      <c r="H16" s="41"/>
      <c r="I16" s="41"/>
      <c r="J16" s="43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75</v>
      </c>
      <c r="S16" s="26" t="str">
        <f>_xlfn.IFNA(INDEX(TableDay1[ga_id],MATCH(U16,TableDay1[es_id],0)),"")</f>
        <v/>
      </c>
      <c r="T16" s="26" t="str">
        <f>_xlfn.IFNA(INDEX(TableDay1[brp_id],MATCH(U16,TableDay1[es_id],0)),"")</f>
        <v/>
      </c>
      <c r="U16" s="26" t="str">
        <f t="shared" si="3"/>
        <v/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2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76</v>
      </c>
      <c r="S17" s="26" t="str">
        <f>_xlfn.IFNA(INDEX(TableDay1[ga_id],MATCH(U17,TableDay1[es_id],0)),"")</f>
        <v/>
      </c>
      <c r="T17" s="26" t="str">
        <f>_xlfn.IFNA(INDEX(TableDay1[brp_id],MATCH(U17,TableDay1[es_id],0)),"")</f>
        <v/>
      </c>
      <c r="U17" s="26" t="str">
        <f t="shared" si="3"/>
        <v/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2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73</v>
      </c>
      <c r="S18" s="26" t="str">
        <f>_xlfn.IFNA(INDEX(TableDay1[ga_id],MATCH(U18,TableDay1[es_id],0)),"")</f>
        <v/>
      </c>
      <c r="T18" s="26" t="str">
        <f>_xlfn.IFNA(INDEX(TableDay1[brp_id],MATCH(U18,TableDay1[es_id],0)),"")</f>
        <v/>
      </c>
      <c r="U18" s="26" t="str">
        <f>IF(AE$4=0,"",AE$4)</f>
        <v/>
      </c>
      <c r="V18" s="20">
        <f>SUMIFS(TableDay1[TotalHour],TableDay1[es_id],U18,IF(B$2="production",TableDay1[type],TableDay1[settlement_method]),AG$2,TableDay1[resolution],"PT1H")/4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2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74</v>
      </c>
      <c r="S19" s="26" t="str">
        <f>_xlfn.IFNA(INDEX(TableDay1[ga_id],MATCH(U19,TableDay1[es_id],0)),"")</f>
        <v/>
      </c>
      <c r="T19" s="26" t="str">
        <f>_xlfn.IFNA(INDEX(TableDay1[brp_id],MATCH(U19,TableDay1[es_id],0)),"")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25" x14ac:dyDescent="0.35">
      <c r="E20" s="44" t="str">
        <f>CONCATENATE(B2,"_per_",B1)</f>
        <v>nonprofiled_consumption_per_ga_brp_es</v>
      </c>
      <c r="F20" s="44"/>
      <c r="G20" s="44"/>
      <c r="H20" s="44"/>
      <c r="I20" s="45" t="s">
        <v>21</v>
      </c>
      <c r="J20" s="46"/>
      <c r="K20" s="47"/>
      <c r="R20" s="15" t="s">
        <v>75</v>
      </c>
      <c r="S20" s="26" t="str">
        <f>_xlfn.IFNA(INDEX(TableDay1[ga_id],MATCH(U20,TableDay1[es_id],0)),"")</f>
        <v/>
      </c>
      <c r="T20" s="26" t="str">
        <f>_xlfn.IFNA(INDEX(TableDay1[brp_id],MATCH(U20,TableDay1[es_id],0)),"")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75" x14ac:dyDescent="0.3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77</v>
      </c>
      <c r="L21" s="2"/>
      <c r="M21" s="2"/>
      <c r="N21" s="2"/>
      <c r="O21" s="2"/>
      <c r="P21" s="2"/>
      <c r="Q21" s="2"/>
      <c r="R21" s="15" t="s">
        <v>76</v>
      </c>
      <c r="S21" s="26" t="str">
        <f>_xlfn.IFNA(INDEX(TableDay1[ga_id],MATCH(U21,TableDay1[es_id],0)),"")</f>
        <v/>
      </c>
      <c r="T21" s="26" t="str">
        <f>_xlfn.IFNA(INDEX(TableDay1[brp_id],MATCH(U21,TableDay1[es_id],0)),"")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2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5" t="s">
        <v>73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IF(B$1="ga",IF(E22="","","null"),IF(B$1="ga_es",IF(F22="","","null"),IF(B$1="ga_brp",IF(AF$2=0,"",AF$2),IF(F22="","",INDEX(TableDay1[brp_id],MATCH(F22,TableDay1[es_id],0),1)))))</f>
        <v>1100000000000</v>
      </c>
      <c r="H22" s="33" t="str">
        <f t="shared" ref="H22:H45" ca="1" si="5">SUBSTITUTE(IF(E22="","",I22+J22+K22),",",".")</f>
        <v>1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1</v>
      </c>
      <c r="K22" s="9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73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2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5" t="s">
        <v>74</v>
      </c>
      <c r="E23" s="31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IF(B$1="ga",IF(E23="","","null"),IF(B$1="ga_es",IF(F23="","","null"),IF(B$1="ga_brp",IF(AF$2=0,"",AF$2),IF(F23="","",INDEX(TableDay1[brp_id],MATCH(F23,TableDay1[es_id],0),1)))))</f>
        <v>1100000000000</v>
      </c>
      <c r="H23" s="33" t="str">
        <f t="shared" ca="1" si="5"/>
        <v>2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2</v>
      </c>
      <c r="K23" s="9">
        <f t="shared" si="6"/>
        <v>0</v>
      </c>
      <c r="L23" s="2"/>
      <c r="M23" s="2"/>
      <c r="N23" s="2"/>
      <c r="O23" s="2"/>
      <c r="P23" s="2"/>
      <c r="Q23" s="2"/>
      <c r="R23" s="15" t="s">
        <v>74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2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5" t="s">
        <v>75</v>
      </c>
      <c r="E24" s="31" t="str">
        <f t="shared" si="7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IF(B$1="ga",IF(E24="","","null"),IF(B$1="ga_es",IF(F24="","","null"),IF(B$1="ga_brp",IF(AF$2=0,"",AF$2),IF(F24="","",INDEX(TableDay1[brp_id],MATCH(F24,TableDay1[es_id],0),1)))))</f>
        <v>1100000000000</v>
      </c>
      <c r="H24" s="33" t="str">
        <f t="shared" ca="1" si="5"/>
        <v>3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3</v>
      </c>
      <c r="K24" s="9">
        <f t="shared" si="6"/>
        <v>0</v>
      </c>
      <c r="L24" s="2"/>
      <c r="M24" s="2"/>
      <c r="N24" s="2"/>
      <c r="O24" s="2"/>
      <c r="P24" s="2"/>
      <c r="Q24" s="2"/>
      <c r="R24" s="15" t="s">
        <v>75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2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5" t="s">
        <v>76</v>
      </c>
      <c r="E25" s="31" t="str">
        <f t="shared" si="7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IF(B$1="ga",IF(E25="","","null"),IF(B$1="ga_es",IF(F25="","","null"),IF(B$1="ga_brp",IF(AF$2=0,"",AF$2),IF(F25="","",INDEX(TableDay1[brp_id],MATCH(F25,TableDay1[es_id],0),1)))))</f>
        <v>1100000000000</v>
      </c>
      <c r="H25" s="33" t="str">
        <f t="shared" ca="1" si="5"/>
        <v>20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20</v>
      </c>
      <c r="K25" s="9">
        <f t="shared" si="6"/>
        <v>0</v>
      </c>
      <c r="L25" s="37"/>
      <c r="M25" s="2"/>
      <c r="N25" s="2"/>
      <c r="O25" s="2"/>
      <c r="P25" s="2"/>
      <c r="Q25" s="2"/>
      <c r="R25" s="15" t="s">
        <v>76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2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73</v>
      </c>
      <c r="E26" s="31" t="str">
        <f t="shared" si="7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IF(B$1="ga",IF(E26="","","null"),IF(B$1="ga_es",IF(F26="","","null"),IF(B$1="ga_brp",IF(AF$3=0,"",AF$3),IF(F26="","",INDEX(TableDay1[brp_id],MATCH(F26,TableDay1[es_id],0),1)))))</f>
        <v/>
      </c>
      <c r="H26" s="33" t="str">
        <f t="shared" si="5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6"/>
        <v>0</v>
      </c>
      <c r="L26" s="2"/>
      <c r="M26" s="2"/>
      <c r="N26" s="2"/>
      <c r="O26" s="2"/>
      <c r="P26" s="2"/>
      <c r="Q26" s="2"/>
      <c r="R26" s="15" t="s">
        <v>73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2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74</v>
      </c>
      <c r="E27" s="31" t="str">
        <f t="shared" si="7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IF(B$1="ga",IF(E27="","","null"),IF(B$1="ga_es",IF(F27="","","null"),IF(B$1="ga_brp",IF(AF$3=0,"",AF$3),IF(F27="","",INDEX(TableDay1[brp_id],MATCH(F27,TableDay1[es_id],0),1)))))</f>
        <v/>
      </c>
      <c r="H27" s="33" t="str">
        <f t="shared" si="5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6"/>
        <v>0</v>
      </c>
      <c r="L27" s="2"/>
      <c r="M27" s="2"/>
      <c r="N27" s="2"/>
      <c r="O27" s="2"/>
      <c r="P27" s="2"/>
      <c r="Q27" s="2"/>
      <c r="R27" s="15" t="s">
        <v>74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nonprofiled_consumption</v>
      </c>
      <c r="AF27" s="36" t="str">
        <f>_xlfn.CONCAT("Balance responsibles for "&amp;B2)</f>
        <v>Balance responsibles for nonprofiled_consumption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2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75</v>
      </c>
      <c r="E28" s="31" t="str">
        <f t="shared" si="7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IF(B$1="ga",IF(E28="","","null"),IF(B$1="ga_es",IF(F28="","","null"),IF(B$1="ga_brp",IF(AF$3=0,"",AF$3),IF(F28="","",INDEX(TableDay1[brp_id],MATCH(F28,TableDay1[es_id],0),1)))))</f>
        <v/>
      </c>
      <c r="H28" s="33" t="str">
        <f t="shared" si="5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6"/>
        <v>0</v>
      </c>
      <c r="L28" s="2"/>
      <c r="M28" s="2"/>
      <c r="N28" s="2"/>
      <c r="O28" s="2"/>
      <c r="P28" s="2"/>
      <c r="Q28" s="2"/>
      <c r="R28" s="15" t="s">
        <v>75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IFERROR(IF($B$2="production",INDEX(_xlfn._xlws.FILTER(TableDay1[[type]:[brp_id]],(TableDay1[es_id]=AE13)*(TableDay1[type]="E18"),""),,9),INDEX(_xlfn._xlws.FILTER(TableDay1[[type]:[brp_id]],(TableDay1[es_id]=AE13)*(TableDay1[settlement_method]=AG$2),""),,9)),"")</f>
        <v>1000000000000</v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2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76</v>
      </c>
      <c r="E29" s="31" t="str">
        <f t="shared" si="7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IF(B$1="ga",IF(E29="","","null"),IF(B$1="ga_es",IF(F29="","","null"),IF(B$1="ga_brp",IF(AF$3=0,"",AF$3),IF(F29="","",INDEX(TableDay1[brp_id],MATCH(F29,TableDay1[es_id],0),1)))))</f>
        <v/>
      </c>
      <c r="H29" s="33" t="str">
        <f t="shared" si="5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6"/>
        <v>0</v>
      </c>
      <c r="L29" s="2"/>
      <c r="R29" s="15" t="s">
        <v>76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/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2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/>
      </c>
      <c r="D30" s="15" t="s">
        <v>73</v>
      </c>
      <c r="E30" s="31" t="str">
        <f t="shared" si="7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IF(B$1="ga",IF(E30="","","null"),IF(B$1="ga_es",IF(F30="","","null"),IF(B$1="ga_brp",IF(AF$4=0,"",AF$4),IF(F30="","",INDEX(TableDay1[brp_id],MATCH(F30,TableDay1[es_id],0),1)))))</f>
        <v/>
      </c>
      <c r="H30" s="33" t="str">
        <f t="shared" si="5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6"/>
        <v>0</v>
      </c>
      <c r="L30" s="2"/>
      <c r="R30" s="15" t="s">
        <v>73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/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2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/>
      </c>
      <c r="D31" s="15" t="s">
        <v>74</v>
      </c>
      <c r="E31" s="31" t="str">
        <f t="shared" si="7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IF(B$1="ga",IF(E31="","","null"),IF(B$1="ga_es",IF(F31="","","null"),IF(B$1="ga_brp",IF(AF$4=0,"",AF$4),IF(F31="","",INDEX(TableDay1[brp_id],MATCH(F31,TableDay1[es_id],0),1)))))</f>
        <v/>
      </c>
      <c r="H31" s="33" t="str">
        <f t="shared" si="5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6"/>
        <v>0</v>
      </c>
      <c r="L31" s="2"/>
      <c r="R31" s="15" t="s">
        <v>74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2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/>
      </c>
      <c r="D32" s="15" t="s">
        <v>75</v>
      </c>
      <c r="E32" s="31" t="str">
        <f t="shared" si="7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IF(B$1="ga",IF(E32="","","null"),IF(B$1="ga_es",IF(F32="","","null"),IF(B$1="ga_brp",IF(AF$4=0,"",AF$4),IF(F32="","",INDEX(TableDay1[brp_id],MATCH(F32,TableDay1[es_id],0),1)))))</f>
        <v/>
      </c>
      <c r="H32" s="33" t="str">
        <f t="shared" si="5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6"/>
        <v>0</v>
      </c>
      <c r="L32" s="2"/>
      <c r="R32" s="15" t="s">
        <v>75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2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/>
      </c>
      <c r="D33" s="15" t="s">
        <v>76</v>
      </c>
      <c r="E33" s="31" t="str">
        <f t="shared" si="7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IF(B$1="ga",IF(E33="","","null"),IF(B$1="ga_es",IF(F33="","","null"),IF(B$1="ga_brp",IF(AF$4=0,"",AF$4),IF(F33="","",INDEX(TableDay1[brp_id],MATCH(F33,TableDay1[es_id],0),1)))))</f>
        <v/>
      </c>
      <c r="H33" s="33" t="str">
        <f t="shared" si="5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6"/>
        <v>0</v>
      </c>
      <c r="L33" s="2"/>
      <c r="R33" s="15" t="s">
        <v>76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3" s="36" t="str" cm="1">
        <f t="array" ref="AF33">IFERROR(IF($B$2="production",_xlfn.UNIQUE(INDEX(_xlfn._xlws.FILTER(TableDay1[[type]:[brp_id]],(TableDay1[brp_id]=AF18)*(TableDay1[type]=$AG$2),""),,10)),_xlfn.UNIQUE(INDEX(_xlfn._xlws.FILTER(TableDay1[[type]:[brp_id]],(TableDay1[brp_id]=AF18)*(TableDay1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2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73</v>
      </c>
      <c r="E34" s="31" t="str">
        <f t="shared" si="7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 t="shared" si="5"/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6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1[[type]:[brp_id]],(TableDay1[es_id]=AE18)*(TableDay1[type]="E18"),""),,9)),_xlfn.UNIQUE(INDEX(_xlfn._xlws.FILTER(TableDay1[[type]:[brp_id]],(TableDay1[es_id]=AE18)*(TableDay1[settlement_method]=AG$2),""),,9))),"")</f>
        <v/>
      </c>
      <c r="AF34" s="36" t="str" cm="1">
        <f t="array" ref="AF34">IFERROR(IF($B$2="production",_xlfn.UNIQUE(INDEX(_xlfn._xlws.FILTER(TableDay1[[type]:[brp_id]],(TableDay1[brp_id]=AF19)*(TableDay1[type]=$AG$2),""),,10)),_xlfn.UNIQUE(INDEX(_xlfn._xlws.FILTER(TableDay1[[type]:[brp_id]],(TableDay1[brp_id]=AF19)*(TableDay1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2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74</v>
      </c>
      <c r="E35" s="31" t="str">
        <f t="shared" si="7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5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6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0</v>
      </c>
      <c r="W35" s="16" t="s">
        <v>48</v>
      </c>
      <c r="X35" s="16"/>
      <c r="Y35" s="28">
        <f>SUM(Y37:Y40)</f>
        <v>0</v>
      </c>
      <c r="Z35" s="21">
        <f>SUM(Z37:Z40)</f>
        <v>0</v>
      </c>
      <c r="AA35" s="27"/>
      <c r="AB35" s="2"/>
      <c r="AC35" s="2"/>
      <c r="AD35" s="36"/>
      <c r="AE35" s="36" t="str" cm="1">
        <f t="array" ref="AE35">IFERROR(IF($B$2="production",_xlfn.UNIQUE(INDEX(_xlfn._xlws.FILTER(TableDay1[[type]:[brp_id]],(TableDay1[es_id]=AE19)*(TableDay1[type]="E18"),""),,9)),_xlfn.UNIQUE(INDEX(_xlfn._xlws.FILTER(TableDay1[[type]:[brp_id]],(TableDay1[es_id]=AE19)*(TableDay1[settlement_method]=AG$2),""),,9))),"")</f>
        <v/>
      </c>
      <c r="AF35" s="36" t="str" cm="1">
        <f t="array" ref="AF35">IFERROR(IF($B$2="production",_xlfn.UNIQUE(INDEX(_xlfn._xlws.FILTER(TableDay1[[type]:[brp_id]],(TableDay1[brp_id]=AF20)*(TableDay1[type]=$AG$2),""),,10)),_xlfn.UNIQUE(INDEX(_xlfn._xlws.FILTER(TableDay1[[type]:[brp_id]],(TableDay1[brp_id]=AF20)*(TableDay1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2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75</v>
      </c>
      <c r="E36" s="31" t="str">
        <f t="shared" si="7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5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6"/>
        <v>0</v>
      </c>
      <c r="L36" s="2"/>
      <c r="R36" s="24"/>
      <c r="S36" s="24"/>
      <c r="T36" s="24"/>
      <c r="U36" s="7" t="s">
        <v>42</v>
      </c>
      <c r="V36" s="20">
        <f>SUMIFS(TableDay1[TotalHour],TableDay1[settlement_method],"D01",TableDay1[resolution],"PT1H")/4</f>
        <v>0</v>
      </c>
      <c r="W36" s="7" t="s">
        <v>44</v>
      </c>
      <c r="X36" s="7" t="s">
        <v>45</v>
      </c>
      <c r="Y36" s="7" t="s">
        <v>46</v>
      </c>
      <c r="Z36" s="7" t="s">
        <v>47</v>
      </c>
      <c r="AA36" s="27"/>
      <c r="AB36" s="2"/>
      <c r="AC36" s="2"/>
      <c r="AD36" s="36"/>
      <c r="AE36" s="36" t="str" cm="1">
        <f t="array" ref="AE36">IFERROR(IF($B$2="production",_xlfn.UNIQUE(INDEX(_xlfn._xlws.FILTER(TableDay1[[type]:[brp_id]],(TableDay1[es_id]=AE20)*(TableDay1[type]="E18"),""),,9)),_xlfn.UNIQUE(INDEX(_xlfn._xlws.FILTER(TableDay1[[type]:[brp_id]],(TableDay1[es_id]=AE20)*(TableDay1[settlement_method]=AG$2),""),,9))),"")</f>
        <v/>
      </c>
      <c r="AF36" s="36" t="str" cm="1">
        <f t="array" ref="AF36">IFERROR(IF($B$2="production",_xlfn.UNIQUE(INDEX(_xlfn._xlws.FILTER(TableDay1[[type]:[brp_id]],(TableDay1[brp_id]=AF21)*(TableDay1[type]=$AG$2),""),,10)),_xlfn.UNIQUE(INDEX(_xlfn._xlws.FILTER(TableDay1[[type]:[brp_id]],(TableDay1[brp_id]=AF21)*(TableDay1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2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76</v>
      </c>
      <c r="E37" s="31" t="str">
        <f t="shared" si="7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5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6"/>
        <v>0</v>
      </c>
      <c r="L37" s="2"/>
      <c r="R37" s="24"/>
      <c r="S37" s="24"/>
      <c r="T37" s="24"/>
      <c r="U37" s="15" t="s">
        <v>53</v>
      </c>
      <c r="V37" s="19">
        <f>V$36</f>
        <v>0</v>
      </c>
      <c r="W37" s="19">
        <f>V37</f>
        <v>0</v>
      </c>
      <c r="X37" s="19"/>
      <c r="Y37" s="23">
        <f>ROUND(W37, 3)</f>
        <v>0</v>
      </c>
      <c r="Z37" s="23">
        <f>ROUND(V37,3)</f>
        <v>0</v>
      </c>
      <c r="AA37" s="27"/>
      <c r="AB37" s="2"/>
      <c r="AC37" s="2"/>
      <c r="AD37" s="36"/>
      <c r="AE37" s="36" t="str" cm="1">
        <f t="array" ref="AE37">IFERROR(IF($B$2="production",_xlfn.UNIQUE(INDEX(_xlfn._xlws.FILTER(TableDay1[[type]:[brp_id]],(TableDay1[es_id]=AE21)*(TableDay1[type]="E18"),""),,9)),_xlfn.UNIQUE(INDEX(_xlfn._xlws.FILTER(TableDay1[[type]:[brp_id]],(TableDay1[es_id]=AE21)*(TableDay1[settlement_method]=AG$2),""),,9))),"")</f>
        <v/>
      </c>
      <c r="AF37" s="36" t="str" cm="1">
        <f t="array" ref="AF37">IFERROR(IF($B$2="production",_xlfn.UNIQUE(INDEX(_xlfn._xlws.FILTER(TableDay1[[type]:[brp_id]],(TableDay1[brp_id]=AF22)*(TableDay1[type]=$AG$2),""),,10)),_xlfn.UNIQUE(INDEX(_xlfn._xlws.FILTER(TableDay1[[type]:[brp_id]],(TableDay1[brp_id]=AF22)*(TableDay1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2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73</v>
      </c>
      <c r="E38" s="31" t="str">
        <f t="shared" si="7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5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6"/>
        <v>0</v>
      </c>
      <c r="L38" s="2"/>
      <c r="R38" s="24"/>
      <c r="S38" s="24"/>
      <c r="T38" s="24"/>
      <c r="U38" s="15" t="s">
        <v>54</v>
      </c>
      <c r="V38" s="19">
        <f>V$36</f>
        <v>0</v>
      </c>
      <c r="W38" s="19">
        <f>X38+W37</f>
        <v>0</v>
      </c>
      <c r="X38" s="19">
        <f>V38-Y37</f>
        <v>0</v>
      </c>
      <c r="Y38" s="23">
        <f>ROUND(W38, 3)</f>
        <v>0</v>
      </c>
      <c r="Z38" s="23">
        <f>ROUND(V38,3)</f>
        <v>0</v>
      </c>
      <c r="AA38" s="27"/>
      <c r="AB38" s="2"/>
      <c r="AC38" s="2"/>
      <c r="AD38" s="36"/>
      <c r="AE38" s="36" t="str" cm="1">
        <f t="array" ref="AE38">IFERROR(IF($B$2="production",_xlfn.UNIQUE(INDEX(_xlfn._xlws.FILTER(TableDay1[[type]:[brp_id]],(TableDay1[es_id]=AE22)*(TableDay1[type]="E18"),""),,9)),_xlfn.UNIQUE(INDEX(_xlfn._xlws.FILTER(TableDay1[[type]:[brp_id]],(TableDay1[es_id]=AE22)*(TableDay1[settlement_method]=AG$2),""),,9))),"")</f>
        <v/>
      </c>
      <c r="AF38" s="36" t="str" cm="1">
        <f t="array" ref="AF38">IFERROR(IF($B$2="production",_xlfn.UNIQUE(INDEX(_xlfn._xlws.FILTER(TableDay1[[type]:[brp_id]],(TableDay1[brp_id]=AF23)*(TableDay1[type]=$AG$2),""),,10)),_xlfn.UNIQUE(INDEX(_xlfn._xlws.FILTER(TableDay1[[type]:[brp_id]],(TableDay1[brp_id]=AF23)*(TableDay1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2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74</v>
      </c>
      <c r="E39" s="31" t="str">
        <f t="shared" si="7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5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6"/>
        <v>0</v>
      </c>
      <c r="L39" s="2"/>
      <c r="R39" s="24"/>
      <c r="S39" s="24"/>
      <c r="T39" s="24"/>
      <c r="U39" s="15" t="s">
        <v>55</v>
      </c>
      <c r="V39" s="19">
        <f>V$36</f>
        <v>0</v>
      </c>
      <c r="W39" s="19">
        <f>X39+W38</f>
        <v>0</v>
      </c>
      <c r="X39" s="19">
        <f>V39-Y38</f>
        <v>0</v>
      </c>
      <c r="Y39" s="23">
        <f>ROUND(W39, 3)</f>
        <v>0</v>
      </c>
      <c r="Z39" s="23">
        <f>ROUND(V39,3)</f>
        <v>0</v>
      </c>
      <c r="AA39" s="27"/>
      <c r="AB39" s="2"/>
      <c r="AC39" s="2"/>
      <c r="AD39" s="36"/>
      <c r="AE39" s="36" t="str" cm="1">
        <f t="array" ref="AE39">IFERROR(IF($B$2="production",_xlfn.UNIQUE(INDEX(_xlfn._xlws.FILTER(TableDay1[[type]:[brp_id]],(TableDay1[es_id]=AE23)*(TableDay1[type]="E18"),""),,9)),_xlfn.UNIQUE(INDEX(_xlfn._xlws.FILTER(TableDay1[[type]:[brp_id]],(TableDay1[es_id]=AE23)*(TableDay1[settlement_method]=AG$2),""),,9))),"")</f>
        <v/>
      </c>
      <c r="AF39" s="36" t="str" cm="1">
        <f t="array" ref="AF39">IFERROR(IF($B$2="production",_xlfn.UNIQUE(INDEX(_xlfn._xlws.FILTER(TableDay1[[type]:[brp_id]],(TableDay1[brp_id]=AF24)*(TableDay1[type]=$AG$2),""),,10)),_xlfn.UNIQUE(INDEX(_xlfn._xlws.FILTER(TableDay1[[type]:[brp_id]],(TableDay1[brp_id]=AF24)*(TableDay1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2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75</v>
      </c>
      <c r="E40" s="31" t="str">
        <f t="shared" si="7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5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6"/>
        <v>0</v>
      </c>
      <c r="L40" s="2"/>
      <c r="R40" s="24"/>
      <c r="S40" s="24"/>
      <c r="T40" s="24"/>
      <c r="U40" s="15" t="s">
        <v>56</v>
      </c>
      <c r="V40" s="19">
        <f>V$36</f>
        <v>0</v>
      </c>
      <c r="W40" s="19">
        <f>X40+W39</f>
        <v>0</v>
      </c>
      <c r="X40" s="19">
        <f>V40-Y39</f>
        <v>0</v>
      </c>
      <c r="Y40" s="23">
        <f>ROUND(W40, 3)</f>
        <v>0</v>
      </c>
      <c r="Z40" s="23">
        <f>ROUND(V40,3)</f>
        <v>0</v>
      </c>
      <c r="AA40" s="27"/>
      <c r="AB40" s="2"/>
      <c r="AC40" s="2"/>
      <c r="AD40" s="36"/>
      <c r="AE40" s="36" t="str" cm="1">
        <f t="array" ref="AE40">IFERROR(IF($B$2="production",_xlfn.UNIQUE(INDEX(_xlfn._xlws.FILTER(TableDay1[[type]:[brp_id]],(TableDay1[es_id]=AE24)*(TableDay1[type]="E18"),""),,9)),_xlfn.UNIQUE(INDEX(_xlfn._xlws.FILTER(TableDay1[[type]:[brp_id]],(TableDay1[es_id]=AE24)*(TableDay1[settlement_method]=AG$2),""),,9))),"")</f>
        <v/>
      </c>
      <c r="AF40" s="36" t="str" cm="1">
        <f t="array" ref="AF40">IFERROR(IF($B$2="production",_xlfn.UNIQUE(INDEX(_xlfn._xlws.FILTER(TableDay1[[type]:[brp_id]],(TableDay1[brp_id]=AF25)*(TableDay1[type]=$AG$2),""),,10)),_xlfn.UNIQUE(INDEX(_xlfn._xlws.FILTER(TableDay1[[type]:[brp_id]],(TableDay1[brp_id]=AF25)*(TableDay1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2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76</v>
      </c>
      <c r="E41" s="31" t="str">
        <f t="shared" si="7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5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6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0</v>
      </c>
      <c r="W41" s="39" t="s">
        <v>48</v>
      </c>
      <c r="X41" s="40"/>
      <c r="Y41" s="28">
        <f>SUM(Y43:Y46)</f>
        <v>0</v>
      </c>
      <c r="Z41" s="21">
        <f>SUM(Z43:Z46)</f>
        <v>0</v>
      </c>
      <c r="AA41" s="27"/>
      <c r="AB41" s="2"/>
      <c r="AC41" s="2"/>
      <c r="AD41" s="36"/>
      <c r="AE41" s="36" t="str" cm="1">
        <f t="array" ref="AE41">IFERROR(IF($B$2="production",_xlfn.UNIQUE(INDEX(_xlfn._xlws.FILTER(TableDay1[[type]:[brp_id]],(TableDay1[es_id]=AE25)*(TableDay1[type]="E18"),""),,9)),_xlfn.UNIQUE(INDEX(_xlfn._xlws.FILTER(TableDay1[[type]:[brp_id]],(TableDay1[es_id]=AE25)*(TableDay1[settlement_method]=AG$2),""),,9))),"")</f>
        <v/>
      </c>
      <c r="AF41" s="36" t="str" cm="1">
        <f t="array" ref="AF41">IFERROR(IF($B$2="production",_xlfn.UNIQUE(INDEX(_xlfn._xlws.FILTER(TableDay1[[type]:[brp_id]],(TableDay1[brp_id]=AF26)*(TableDay1[type]=$AG$2),""),,10)),_xlfn.UNIQUE(INDEX(_xlfn._xlws.FILTER(TableDay1[[type]:[brp_id]],(TableDay1[brp_id]=AF26)*(TableDay1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2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73</v>
      </c>
      <c r="E42" s="31" t="str">
        <f t="shared" si="7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5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6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0</v>
      </c>
      <c r="W42" s="7" t="s">
        <v>44</v>
      </c>
      <c r="X42" s="7" t="s">
        <v>45</v>
      </c>
      <c r="Y42" s="7" t="s">
        <v>46</v>
      </c>
      <c r="Z42" s="7" t="s">
        <v>47</v>
      </c>
      <c r="AA42" s="27"/>
      <c r="AB42" s="2"/>
      <c r="AC42" s="2"/>
      <c r="AD42" s="36"/>
      <c r="AE42" s="36" t="str" cm="1">
        <f t="array" ref="AE42">IFERROR(IF($B$2="production",_xlfn.UNIQUE(INDEX(_xlfn._xlws.FILTER(TableDay1[[type]:[brp_id]],(TableDay1[es_id]=AE26)*(TableDay1[type]="E18"),""),,9)),_xlfn.UNIQUE(INDEX(_xlfn._xlws.FILTER(TableDay1[[type]:[brp_id]],(TableDay1[es_id]=AE26)*(TableDay1[settlement_method]=AG$2),""),,9))),"")</f>
        <v/>
      </c>
      <c r="AF42" s="36" t="str" cm="1">
        <f t="array" ref="AF42">IFERROR(IF($B$2="production",_xlfn.UNIQUE(INDEX(_xlfn._xlws.FILTER(TableDay1[[type]:[brp_id]],(TableDay1[brp_id]=AF27)*(TableDay1[type]=$AG$2),""),,10)),_xlfn.UNIQUE(INDEX(_xlfn._xlws.FILTER(TableDay1[[type]:[brp_id]],(TableDay1[brp_id]=AF27)*(TableDay1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2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74</v>
      </c>
      <c r="E43" s="31" t="str">
        <f t="shared" si="7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5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6"/>
        <v>0</v>
      </c>
      <c r="L43" s="2"/>
      <c r="R43" s="24"/>
      <c r="S43" s="24"/>
      <c r="T43" s="24"/>
      <c r="U43" s="15" t="s">
        <v>49</v>
      </c>
      <c r="V43" s="19">
        <f>V$42</f>
        <v>0</v>
      </c>
      <c r="W43" s="19">
        <f>V43</f>
        <v>0</v>
      </c>
      <c r="X43" s="19"/>
      <c r="Y43" s="23">
        <f>ROUND(W43, 3)</f>
        <v>0</v>
      </c>
      <c r="Z43" s="23">
        <f>ROUND(V43,3)</f>
        <v>0</v>
      </c>
      <c r="AA43" s="27"/>
      <c r="AB43" s="2"/>
      <c r="AC43" s="2"/>
      <c r="AD43" s="36"/>
      <c r="AE43" s="36" t="str" cm="1">
        <f t="array" ref="AE43">IFERROR(IF($B$2="production",_xlfn.UNIQUE(INDEX(_xlfn._xlws.FILTER(TableDay1[[type]:[brp_id]],(TableDay1[es_id]=AE27)*(TableDay1[type]="E18"),""),,9)),_xlfn.UNIQUE(INDEX(_xlfn._xlws.FILTER(TableDay1[[type]:[brp_id]],(TableDay1[es_id]=AE27)*(TableDay1[settlement_method]=AG$2),""),,9))),"")</f>
        <v/>
      </c>
      <c r="AF43" s="36" t="str" cm="1">
        <f t="array" ref="AF43">IFERROR(IF($B$2="production",_xlfn.UNIQUE(INDEX(_xlfn._xlws.FILTER(TableDay1[[type]:[brp_id]],(TableDay1[brp_id]=AF28)*(TableDay1[type]=$AG$2),""),,10)),_xlfn.UNIQUE(INDEX(_xlfn._xlws.FILTER(TableDay1[[type]:[brp_id]],(TableDay1[brp_id]=AF28)*(TableDay1[settlement_method]=AG$2),""),,10))),"")</f>
        <v>1100000000000</v>
      </c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2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75</v>
      </c>
      <c r="E44" s="31" t="str">
        <f t="shared" si="7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5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6"/>
        <v>0</v>
      </c>
      <c r="L44" s="2"/>
      <c r="R44" s="24"/>
      <c r="S44" s="24"/>
      <c r="T44" s="24"/>
      <c r="U44" s="15" t="s">
        <v>50</v>
      </c>
      <c r="V44" s="19">
        <f>V$42</f>
        <v>0</v>
      </c>
      <c r="W44" s="19">
        <f>X44+W43</f>
        <v>0</v>
      </c>
      <c r="X44" s="19">
        <f>V44-Y43</f>
        <v>0</v>
      </c>
      <c r="Y44" s="23">
        <f>ROUND(W44, 3)</f>
        <v>0</v>
      </c>
      <c r="Z44" s="23">
        <f>ROUND(V44,3)</f>
        <v>0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2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76</v>
      </c>
      <c r="E45" s="31" t="str">
        <f t="shared" si="7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5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6"/>
        <v>0</v>
      </c>
      <c r="L45" s="2"/>
      <c r="R45" s="24"/>
      <c r="S45" s="24"/>
      <c r="T45" s="24"/>
      <c r="U45" s="15" t="s">
        <v>51</v>
      </c>
      <c r="V45" s="19">
        <f>V$42</f>
        <v>0</v>
      </c>
      <c r="W45" s="19">
        <f>X45+W44</f>
        <v>0</v>
      </c>
      <c r="X45" s="19">
        <f>V45-Y44</f>
        <v>0</v>
      </c>
      <c r="Y45" s="23">
        <f>ROUND(W45, 3)</f>
        <v>0</v>
      </c>
      <c r="Z45" s="23">
        <f>ROUND(V45,3)</f>
        <v>0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25" x14ac:dyDescent="0.35">
      <c r="C46" s="2"/>
      <c r="E46" s="44" t="s">
        <v>122</v>
      </c>
      <c r="F46" s="44"/>
      <c r="G46" s="44"/>
      <c r="H46" s="44"/>
      <c r="R46" s="24"/>
      <c r="S46" s="24"/>
      <c r="T46" s="24"/>
      <c r="U46" s="15" t="s">
        <v>52</v>
      </c>
      <c r="V46" s="19">
        <f>V$42</f>
        <v>0</v>
      </c>
      <c r="W46" s="19">
        <f>X46+W45</f>
        <v>0</v>
      </c>
      <c r="X46" s="19">
        <f>V46-Y45</f>
        <v>0</v>
      </c>
      <c r="Y46" s="23">
        <f>ROUND(W46, 3)</f>
        <v>0</v>
      </c>
      <c r="Z46" s="23">
        <f>ROUND(V46,3)</f>
        <v>0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75" x14ac:dyDescent="0.3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0</v>
      </c>
      <c r="W47" s="39" t="s">
        <v>48</v>
      </c>
      <c r="X47" s="40"/>
      <c r="Y47" s="28">
        <f>SUM(Y49:Y52)</f>
        <v>0</v>
      </c>
      <c r="Z47" s="21">
        <f>SUM(Z49:Z52)</f>
        <v>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25">
      <c r="A48" s="2"/>
      <c r="B48" s="2"/>
      <c r="C48" s="2"/>
      <c r="D48" s="8" t="s">
        <v>73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7.625</v>
      </c>
      <c r="I48" s="54" t="str">
        <f>SUBSTITUTE(H48,",",".")</f>
        <v>7.625</v>
      </c>
      <c r="R48" s="24"/>
      <c r="S48" s="24"/>
      <c r="T48" s="24"/>
      <c r="U48" s="7" t="s">
        <v>43</v>
      </c>
      <c r="V48" s="9">
        <f>SUMIFS(TableDay1[TotalHour],TableDay1[settlement_method],"E02",TableDay1[resolution],"PT1H")/4</f>
        <v>0</v>
      </c>
      <c r="W48" s="7" t="s">
        <v>44</v>
      </c>
      <c r="X48" s="7" t="s">
        <v>45</v>
      </c>
      <c r="Y48" s="7" t="s">
        <v>46</v>
      </c>
      <c r="Z48" s="7" t="s">
        <v>47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25">
      <c r="A49" s="2"/>
      <c r="B49" s="2"/>
      <c r="C49" s="2"/>
      <c r="D49" s="8" t="s">
        <v>74</v>
      </c>
      <c r="E49" s="31" t="str">
        <f t="shared" ref="E49:E51" si="12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7.6260000000000003</v>
      </c>
      <c r="I49" s="54" t="str">
        <f t="shared" ref="I49:I51" si="13">SUBSTITUTE(H49,",",".")</f>
        <v>7.626</v>
      </c>
      <c r="R49" s="24"/>
      <c r="S49" s="24"/>
      <c r="T49" s="24"/>
      <c r="U49" s="15" t="s">
        <v>57</v>
      </c>
      <c r="V49" s="19">
        <f>V$48</f>
        <v>0</v>
      </c>
      <c r="W49" s="19">
        <f>V49</f>
        <v>0</v>
      </c>
      <c r="X49" s="19"/>
      <c r="Y49" s="23">
        <f>ROUND(W49, 3)</f>
        <v>0</v>
      </c>
      <c r="Z49" s="23">
        <f>ROUND(V49,3)</f>
        <v>0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25">
      <c r="A50" s="2"/>
      <c r="B50" s="2"/>
      <c r="C50" s="2"/>
      <c r="D50" s="8" t="s">
        <v>75</v>
      </c>
      <c r="E50" s="31" t="str">
        <f t="shared" si="12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7.625</v>
      </c>
      <c r="I50" s="54" t="str">
        <f t="shared" si="13"/>
        <v>7.625</v>
      </c>
      <c r="R50" s="24"/>
      <c r="S50" s="24"/>
      <c r="T50" s="24"/>
      <c r="U50" s="15" t="s">
        <v>58</v>
      </c>
      <c r="V50" s="19">
        <f>V$48</f>
        <v>0</v>
      </c>
      <c r="W50" s="19">
        <f>X50+W49</f>
        <v>0</v>
      </c>
      <c r="X50" s="19">
        <f>V50-Y49</f>
        <v>0</v>
      </c>
      <c r="Y50" s="23">
        <f>ROUND(W50, 3)</f>
        <v>0</v>
      </c>
      <c r="Z50" s="23">
        <f>ROUND(V50,3)</f>
        <v>0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25">
      <c r="A51" s="2"/>
      <c r="B51" s="2"/>
      <c r="C51" s="2"/>
      <c r="D51" s="8" t="s">
        <v>76</v>
      </c>
      <c r="E51" s="31" t="str">
        <f t="shared" si="12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7.625</v>
      </c>
      <c r="I51" s="54" t="str">
        <f t="shared" si="13"/>
        <v>7.625</v>
      </c>
      <c r="R51" s="24"/>
      <c r="S51" s="24"/>
      <c r="T51" s="24"/>
      <c r="U51" s="15" t="s">
        <v>59</v>
      </c>
      <c r="V51" s="19">
        <f>V$48</f>
        <v>0</v>
      </c>
      <c r="W51" s="19">
        <f>X51+W50</f>
        <v>0</v>
      </c>
      <c r="X51" s="19">
        <f>V51-Y50</f>
        <v>0</v>
      </c>
      <c r="Y51" s="23">
        <f>ROUND(W51, 3)</f>
        <v>0</v>
      </c>
      <c r="Z51" s="23">
        <f>ROUND(V51,3)</f>
        <v>0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25" x14ac:dyDescent="0.35">
      <c r="A52" s="2"/>
      <c r="B52" s="2"/>
      <c r="C52" s="2"/>
      <c r="E52" s="48" t="s">
        <v>35</v>
      </c>
      <c r="F52" s="49"/>
      <c r="G52" s="49"/>
      <c r="H52" s="50"/>
      <c r="R52" s="24"/>
      <c r="S52" s="24"/>
      <c r="T52" s="24"/>
      <c r="U52" s="15" t="s">
        <v>60</v>
      </c>
      <c r="V52" s="19">
        <f>V$48</f>
        <v>0</v>
      </c>
      <c r="W52" s="19">
        <f>X52+W51</f>
        <v>0</v>
      </c>
      <c r="X52" s="19">
        <f>V52-Y51</f>
        <v>0</v>
      </c>
      <c r="Y52" s="23">
        <f>ROUND(W52, 3)</f>
        <v>0</v>
      </c>
      <c r="Z52" s="23">
        <f>ROUND(V52,3)</f>
        <v>0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75" x14ac:dyDescent="0.3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30.501000000000001</v>
      </c>
      <c r="W53" s="39" t="s">
        <v>48</v>
      </c>
      <c r="X53" s="40"/>
      <c r="Y53" s="28">
        <f>ROUND(SUM(Y55:Y58),3)</f>
        <v>30.501000000000001</v>
      </c>
      <c r="Z53" s="21">
        <f>SUM(Z55:Z58)</f>
        <v>30.5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2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0.1</v>
      </c>
      <c r="I54" s="54" t="str">
        <f>SUBSTITUTE(H54,",",".")</f>
        <v>0.1</v>
      </c>
      <c r="R54" s="24"/>
      <c r="S54" s="24"/>
      <c r="T54" s="24"/>
      <c r="U54" s="6" t="s">
        <v>30</v>
      </c>
      <c r="V54" s="9">
        <f>SUMIFS(TableDay1[TotalHour],TableDay1[type],"E20",TableDay1[resolution],"PT1H",TableDay1[to_ga],$AD$2)/4</f>
        <v>7.6252500000000003</v>
      </c>
      <c r="W54" s="7" t="s">
        <v>44</v>
      </c>
      <c r="X54" s="7" t="s">
        <v>45</v>
      </c>
      <c r="Y54" s="7" t="s">
        <v>46</v>
      </c>
      <c r="Z54" s="7" t="s">
        <v>47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25">
      <c r="A55" s="2"/>
      <c r="B55" s="2"/>
      <c r="C55" s="2"/>
      <c r="D55" s="8" t="s">
        <v>4</v>
      </c>
      <c r="E55" s="31" t="str">
        <f t="shared" ref="E55:E57" si="14">$AD$2</f>
        <v>800</v>
      </c>
      <c r="F55" s="31" t="s">
        <v>33</v>
      </c>
      <c r="G55" s="31" t="s">
        <v>33</v>
      </c>
      <c r="H55" s="32">
        <f>totalFlex1H_quarter2+totalFlex15M_quarter2</f>
        <v>0.2</v>
      </c>
      <c r="I55" s="54" t="str">
        <f t="shared" ref="I55:I57" si="15">SUBSTITUTE(H55,",",".")</f>
        <v>0.2</v>
      </c>
      <c r="R55" s="24"/>
      <c r="S55" s="24"/>
      <c r="T55" s="24"/>
      <c r="U55" s="15" t="s">
        <v>61</v>
      </c>
      <c r="V55" s="19">
        <f>V$54</f>
        <v>7.6252500000000003</v>
      </c>
      <c r="W55" s="19">
        <f>V55</f>
        <v>7.6252500000000003</v>
      </c>
      <c r="X55" s="19"/>
      <c r="Y55" s="23">
        <f>ROUND(W55, 3)</f>
        <v>7.625</v>
      </c>
      <c r="Z55" s="23">
        <f>ROUND(V55,3)</f>
        <v>7.625</v>
      </c>
      <c r="AA55" s="24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25">
      <c r="A56" s="2"/>
      <c r="B56" s="2"/>
      <c r="C56" s="2"/>
      <c r="D56" s="8" t="s">
        <v>5</v>
      </c>
      <c r="E56" s="31" t="str">
        <f t="shared" si="14"/>
        <v>800</v>
      </c>
      <c r="F56" s="31" t="s">
        <v>33</v>
      </c>
      <c r="G56" s="31" t="s">
        <v>33</v>
      </c>
      <c r="H56" s="32">
        <f>totalFlex1H_quarter3+totalFlex15M_quarter3</f>
        <v>0.3</v>
      </c>
      <c r="I56" s="54" t="str">
        <f t="shared" si="15"/>
        <v>0.3</v>
      </c>
      <c r="R56" s="24"/>
      <c r="S56" s="24"/>
      <c r="T56" s="24"/>
      <c r="U56" s="15" t="s">
        <v>62</v>
      </c>
      <c r="V56" s="19">
        <f>V$54</f>
        <v>7.6252500000000003</v>
      </c>
      <c r="W56" s="19">
        <f>X56+W55</f>
        <v>7.6255000000000006</v>
      </c>
      <c r="X56" s="19">
        <f>V56-Y55</f>
        <v>2.5000000000030553E-4</v>
      </c>
      <c r="Y56" s="23">
        <f>ROUND(W56, 3)</f>
        <v>7.6260000000000003</v>
      </c>
      <c r="Z56" s="23">
        <f>ROUND(V56,3)</f>
        <v>7.625</v>
      </c>
      <c r="AA56" s="24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25">
      <c r="A57" s="2"/>
      <c r="B57" s="2"/>
      <c r="C57" s="2"/>
      <c r="D57" s="8" t="s">
        <v>6</v>
      </c>
      <c r="E57" s="31" t="str">
        <f t="shared" si="14"/>
        <v>800</v>
      </c>
      <c r="F57" s="31" t="s">
        <v>33</v>
      </c>
      <c r="G57" s="31" t="s">
        <v>33</v>
      </c>
      <c r="H57" s="32">
        <f>totalFlex1H_quarter4+totalFlex15M_quarter4</f>
        <v>0.4</v>
      </c>
      <c r="I57" s="54" t="str">
        <f t="shared" si="15"/>
        <v>0.4</v>
      </c>
      <c r="R57" s="24"/>
      <c r="S57" s="24"/>
      <c r="T57" s="24"/>
      <c r="U57" s="15" t="s">
        <v>63</v>
      </c>
      <c r="V57" s="19">
        <f>V$54</f>
        <v>7.6252500000000003</v>
      </c>
      <c r="W57" s="19">
        <f>X57+W56</f>
        <v>7.6247500000000006</v>
      </c>
      <c r="X57" s="19">
        <f>V57-Y56</f>
        <v>-7.5000000000002842E-4</v>
      </c>
      <c r="Y57" s="23">
        <f>ROUND(W57, 3)</f>
        <v>7.625</v>
      </c>
      <c r="Z57" s="23">
        <f>ROUND(V57,3)</f>
        <v>7.625</v>
      </c>
      <c r="AA57" s="27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25" x14ac:dyDescent="0.35">
      <c r="A58" s="2"/>
      <c r="B58" s="2"/>
      <c r="C58" s="2"/>
      <c r="E58" s="48" t="s">
        <v>36</v>
      </c>
      <c r="F58" s="49"/>
      <c r="G58" s="49"/>
      <c r="H58" s="50"/>
      <c r="R58" s="24"/>
      <c r="S58" s="24"/>
      <c r="T58" s="24"/>
      <c r="U58" s="15" t="s">
        <v>64</v>
      </c>
      <c r="V58" s="19">
        <f>V$54</f>
        <v>7.6252500000000003</v>
      </c>
      <c r="W58" s="19">
        <f>X58+W57</f>
        <v>7.6250000000000009</v>
      </c>
      <c r="X58" s="19">
        <f>V58-Y57</f>
        <v>2.5000000000030553E-4</v>
      </c>
      <c r="Y58" s="23">
        <f>ROUND(W58, 3)</f>
        <v>7.625</v>
      </c>
      <c r="Z58" s="23">
        <f>ROUND(V58,3)</f>
        <v>7.625</v>
      </c>
      <c r="AA58" s="27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75" x14ac:dyDescent="0.3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0</v>
      </c>
      <c r="W59" s="39" t="s">
        <v>48</v>
      </c>
      <c r="X59" s="40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2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1</v>
      </c>
      <c r="I60" s="54" t="str">
        <f>SUBSTITUTE(H60,",",".")</f>
        <v>1</v>
      </c>
      <c r="R60" s="24"/>
      <c r="S60" s="24"/>
      <c r="T60" s="24"/>
      <c r="U60" s="6" t="s">
        <v>32</v>
      </c>
      <c r="V60" s="9">
        <f>SUMIFS(TableDay1[TotalHour],TableDay1[type],"E20",TableDay1[resolution],"PT1H",TableDay1[from_ga],"800")/4</f>
        <v>0</v>
      </c>
      <c r="W60" s="7" t="s">
        <v>44</v>
      </c>
      <c r="X60" s="7" t="s">
        <v>45</v>
      </c>
      <c r="Y60" s="7" t="s">
        <v>46</v>
      </c>
      <c r="Z60" s="7" t="s">
        <v>47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25">
      <c r="C61" s="2"/>
      <c r="D61" s="8" t="s">
        <v>4</v>
      </c>
      <c r="E61" s="31" t="str">
        <f t="shared" ref="E61:E63" si="16">$AD$2</f>
        <v>800</v>
      </c>
      <c r="F61" s="31" t="s">
        <v>33</v>
      </c>
      <c r="G61" s="31" t="s">
        <v>33</v>
      </c>
      <c r="H61" s="32">
        <f>totalProduction1H_quarter2+totalProduction15M_quarter2</f>
        <v>2</v>
      </c>
      <c r="I61" s="54" t="str">
        <f t="shared" ref="I61:I63" si="17">SUBSTITUTE(H61,",",".")</f>
        <v>2</v>
      </c>
      <c r="R61" s="24"/>
      <c r="S61" s="24"/>
      <c r="T61" s="24"/>
      <c r="U61" s="15" t="s">
        <v>65</v>
      </c>
      <c r="V61" s="19">
        <f>V$60</f>
        <v>0</v>
      </c>
      <c r="W61" s="19">
        <f>V61</f>
        <v>0</v>
      </c>
      <c r="X61" s="19"/>
      <c r="Y61" s="23">
        <f>ROUND(W61, 3)</f>
        <v>0</v>
      </c>
      <c r="Z61" s="23">
        <f>ROUND(V61,3)</f>
        <v>0</v>
      </c>
      <c r="AA61" s="27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25">
      <c r="C62" s="2"/>
      <c r="D62" s="8" t="s">
        <v>5</v>
      </c>
      <c r="E62" s="31" t="str">
        <f t="shared" si="16"/>
        <v>800</v>
      </c>
      <c r="F62" s="31" t="s">
        <v>33</v>
      </c>
      <c r="G62" s="31" t="s">
        <v>33</v>
      </c>
      <c r="H62" s="32">
        <f>totalProduction1H_quarter3+totalProduction15M_quarter3</f>
        <v>3</v>
      </c>
      <c r="I62" s="54" t="str">
        <f t="shared" si="17"/>
        <v>3</v>
      </c>
      <c r="R62" s="24"/>
      <c r="S62" s="24"/>
      <c r="T62" s="24"/>
      <c r="U62" s="15" t="s">
        <v>66</v>
      </c>
      <c r="V62" s="19">
        <f>V$60</f>
        <v>0</v>
      </c>
      <c r="W62" s="19">
        <f>X62+W61</f>
        <v>0</v>
      </c>
      <c r="X62" s="19">
        <f>V62-Y61</f>
        <v>0</v>
      </c>
      <c r="Y62" s="23">
        <f>ROUND(W62, 3)</f>
        <v>0</v>
      </c>
      <c r="Z62" s="23">
        <f>ROUND(V62,3)</f>
        <v>0</v>
      </c>
      <c r="AA62" s="27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25">
      <c r="C63" s="2"/>
      <c r="D63" s="8" t="s">
        <v>6</v>
      </c>
      <c r="E63" s="31" t="str">
        <f t="shared" si="16"/>
        <v>800</v>
      </c>
      <c r="F63" s="31" t="s">
        <v>33</v>
      </c>
      <c r="G63" s="31" t="s">
        <v>33</v>
      </c>
      <c r="H63" s="32">
        <f>totalProduction1H_quarter4+totalProduction15M_quarter4</f>
        <v>5</v>
      </c>
      <c r="I63" s="54" t="str">
        <f t="shared" si="17"/>
        <v>5</v>
      </c>
      <c r="R63" s="24"/>
      <c r="S63" s="24"/>
      <c r="T63" s="24"/>
      <c r="U63" s="15" t="s">
        <v>67</v>
      </c>
      <c r="V63" s="19">
        <f>V$60</f>
        <v>0</v>
      </c>
      <c r="W63" s="19">
        <f>X63+W62</f>
        <v>0</v>
      </c>
      <c r="X63" s="19">
        <f>V63-Y62</f>
        <v>0</v>
      </c>
      <c r="Y63" s="23">
        <f>ROUND(W63, 3)</f>
        <v>0</v>
      </c>
      <c r="Z63" s="23">
        <f>ROUND(V63,3)</f>
        <v>0</v>
      </c>
      <c r="AA63" s="27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25" x14ac:dyDescent="0.35">
      <c r="C64" s="2"/>
      <c r="E64" s="48" t="s">
        <v>37</v>
      </c>
      <c r="F64" s="49"/>
      <c r="G64" s="49"/>
      <c r="H64" s="50"/>
      <c r="R64" s="24"/>
      <c r="S64" s="24"/>
      <c r="T64" s="24"/>
      <c r="U64" s="15" t="s">
        <v>68</v>
      </c>
      <c r="V64" s="19">
        <f>V$60</f>
        <v>0</v>
      </c>
      <c r="W64" s="19">
        <f>X64+W63</f>
        <v>0</v>
      </c>
      <c r="X64" s="19">
        <f>V64-Y63</f>
        <v>0</v>
      </c>
      <c r="Y64" s="23">
        <f>ROUND(W64, 3)</f>
        <v>0</v>
      </c>
      <c r="Z64" s="23">
        <f>ROUND(V64,3)</f>
        <v>0</v>
      </c>
      <c r="AA64" s="27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75" x14ac:dyDescent="0.3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0</v>
      </c>
      <c r="W65" s="52" t="s">
        <v>48</v>
      </c>
      <c r="X65" s="53"/>
      <c r="Y65" s="28">
        <f>ROUND(SUM(Y67:Y70),3)</f>
        <v>0</v>
      </c>
      <c r="Z65" s="21">
        <f>SUM(Z67:Z70)</f>
        <v>0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2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7.5250000000000004</v>
      </c>
      <c r="I66" s="54" t="str">
        <f>SUBSTITUTE(H66,",",".")</f>
        <v>7.525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0</v>
      </c>
      <c r="W66" s="7" t="s">
        <v>44</v>
      </c>
      <c r="X66" s="7" t="s">
        <v>45</v>
      </c>
      <c r="Y66" s="7" t="s">
        <v>46</v>
      </c>
      <c r="Z66" s="7" t="s">
        <v>47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25">
      <c r="C67" s="2"/>
      <c r="D67" s="8" t="s">
        <v>4</v>
      </c>
      <c r="E67" s="31" t="str">
        <f t="shared" ref="E67:E69" si="18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7.4260000000000019</v>
      </c>
      <c r="I67" s="54" t="str">
        <f t="shared" ref="I67:I69" si="19">SUBSTITUTE(H67,",",".")</f>
        <v>7.426</v>
      </c>
      <c r="R67" s="24"/>
      <c r="S67" s="24"/>
      <c r="T67" s="24"/>
      <c r="U67" s="15" t="s">
        <v>69</v>
      </c>
      <c r="V67" s="19">
        <f>V$66</f>
        <v>0</v>
      </c>
      <c r="W67" s="19">
        <f>V67</f>
        <v>0</v>
      </c>
      <c r="X67" s="19"/>
      <c r="Y67" s="23">
        <f>ROUND(W67, 3)</f>
        <v>0</v>
      </c>
      <c r="Z67" s="23">
        <f>ROUND(V67,3)</f>
        <v>0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25">
      <c r="C68" s="2"/>
      <c r="D68" s="8" t="s">
        <v>5</v>
      </c>
      <c r="E68" s="31" t="str">
        <f t="shared" si="18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7.3249999999999993</v>
      </c>
      <c r="I68" s="54" t="str">
        <f t="shared" si="19"/>
        <v>7.325</v>
      </c>
      <c r="R68" s="24"/>
      <c r="S68" s="24"/>
      <c r="T68" s="24"/>
      <c r="U68" s="15" t="s">
        <v>70</v>
      </c>
      <c r="V68" s="19">
        <f>V$66</f>
        <v>0</v>
      </c>
      <c r="W68" s="19">
        <f>X68+W67</f>
        <v>0</v>
      </c>
      <c r="X68" s="19">
        <f>V68-Y67</f>
        <v>0</v>
      </c>
      <c r="Y68" s="23">
        <f>ROUND(W68, 3)</f>
        <v>0</v>
      </c>
      <c r="Z68" s="23">
        <f>ROUND(V68,3)</f>
        <v>0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25">
      <c r="C69" s="2"/>
      <c r="D69" s="8" t="s">
        <v>6</v>
      </c>
      <c r="E69" s="31" t="str">
        <f t="shared" si="18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-7.7750000000000004</v>
      </c>
      <c r="I69" s="54" t="str">
        <f t="shared" si="19"/>
        <v>-7.775</v>
      </c>
      <c r="J69" s="2"/>
      <c r="R69" s="24"/>
      <c r="S69" s="24"/>
      <c r="T69" s="24"/>
      <c r="U69" s="15" t="s">
        <v>71</v>
      </c>
      <c r="V69" s="19">
        <f>V$66</f>
        <v>0</v>
      </c>
      <c r="W69" s="19">
        <f>X69+W68</f>
        <v>0</v>
      </c>
      <c r="X69" s="19">
        <f>V69-Y68</f>
        <v>0</v>
      </c>
      <c r="Y69" s="23">
        <f>ROUND(W69, 3)</f>
        <v>0</v>
      </c>
      <c r="Z69" s="23">
        <f>ROUND(V69,3)</f>
        <v>0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25" x14ac:dyDescent="0.35">
      <c r="C70" s="2"/>
      <c r="E70" s="48" t="s">
        <v>39</v>
      </c>
      <c r="F70" s="49"/>
      <c r="G70" s="49"/>
      <c r="H70" s="50"/>
      <c r="R70" s="24"/>
      <c r="S70" s="24"/>
      <c r="T70" s="27"/>
      <c r="U70" s="15" t="s">
        <v>72</v>
      </c>
      <c r="V70" s="19">
        <f>V$66</f>
        <v>0</v>
      </c>
      <c r="W70" s="19">
        <f>X70+W69</f>
        <v>0</v>
      </c>
      <c r="X70" s="19">
        <f>V70-Y69</f>
        <v>0</v>
      </c>
      <c r="Y70" s="23">
        <f>ROUND(W70, 3)</f>
        <v>0</v>
      </c>
      <c r="Z70" s="23">
        <f>ROUND(V70,3)</f>
        <v>0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75" x14ac:dyDescent="0.3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25">
      <c r="C72" s="2"/>
      <c r="D72" s="15" t="s">
        <v>76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0</v>
      </c>
      <c r="I72" s="54" t="str">
        <f>SUBSTITUTE(H72,",",".")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25">
      <c r="C73" s="2"/>
      <c r="D73" s="15" t="s">
        <v>75</v>
      </c>
      <c r="E73" s="31" t="str">
        <f t="shared" ref="E73:E75" si="20">$AD$2</f>
        <v>800</v>
      </c>
      <c r="F73" s="31" t="s">
        <v>33</v>
      </c>
      <c r="G73" s="31" t="s">
        <v>33</v>
      </c>
      <c r="H73" s="32">
        <f>IF(gridLoss1H_quarter3&gt;0,gridLoss1H_quarter3,0)</f>
        <v>7.3249999999999993</v>
      </c>
      <c r="I73" s="54" t="str">
        <f t="shared" ref="I73:I75" si="21">SUBSTITUTE(H73,",",".")</f>
        <v>7.325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25">
      <c r="C74" s="2"/>
      <c r="D74" s="15" t="s">
        <v>74</v>
      </c>
      <c r="E74" s="31" t="str">
        <f t="shared" si="20"/>
        <v>800</v>
      </c>
      <c r="F74" s="31" t="s">
        <v>33</v>
      </c>
      <c r="G74" s="31" t="s">
        <v>33</v>
      </c>
      <c r="H74" s="32">
        <f>IF(gridLoss1H_quarter2&gt;0,gridLoss1H_quarter2,0)</f>
        <v>7.4260000000000019</v>
      </c>
      <c r="I74" s="54" t="str">
        <f t="shared" si="21"/>
        <v>7.426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25">
      <c r="C75" s="2"/>
      <c r="D75" s="15" t="s">
        <v>73</v>
      </c>
      <c r="E75" s="31" t="str">
        <f t="shared" si="20"/>
        <v>800</v>
      </c>
      <c r="F75" s="31" t="s">
        <v>33</v>
      </c>
      <c r="G75" s="31" t="s">
        <v>33</v>
      </c>
      <c r="H75" s="32">
        <f>IF(gridLoss1H_quarter1&gt;0,gridLoss1H_quarter1,0)</f>
        <v>7.5250000000000004</v>
      </c>
      <c r="I75" s="54" t="str">
        <f t="shared" si="21"/>
        <v>7.525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25" x14ac:dyDescent="0.35">
      <c r="C76" s="2"/>
      <c r="E76" s="48" t="s">
        <v>40</v>
      </c>
      <c r="F76" s="49"/>
      <c r="G76" s="49"/>
      <c r="H76" s="5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75" x14ac:dyDescent="0.3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25">
      <c r="C78" s="2"/>
      <c r="D78" s="15" t="s">
        <v>76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7.7750000000000004</v>
      </c>
      <c r="I78" s="54" t="str">
        <f>SUBSTITUTE(H78,",",".")</f>
        <v>7.775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25">
      <c r="C79" s="2"/>
      <c r="D79" s="15" t="s">
        <v>75</v>
      </c>
      <c r="E79" s="31" t="str">
        <f t="shared" ref="E79:E81" si="22">$AD$2</f>
        <v>800</v>
      </c>
      <c r="F79" s="31" t="s">
        <v>33</v>
      </c>
      <c r="G79" s="31" t="s">
        <v>33</v>
      </c>
      <c r="H79" s="32">
        <f>IF(gridLoss1H_quarter3&lt;0,gridLoss1H_quarter3*-1,0)</f>
        <v>0</v>
      </c>
      <c r="I79" s="54" t="str">
        <f t="shared" ref="I79:I81" si="23">SUBSTITUTE(H79,",",".")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25">
      <c r="C80" s="2"/>
      <c r="D80" s="15" t="s">
        <v>74</v>
      </c>
      <c r="E80" s="31" t="str">
        <f t="shared" si="22"/>
        <v>800</v>
      </c>
      <c r="F80" s="31" t="s">
        <v>33</v>
      </c>
      <c r="G80" s="31" t="s">
        <v>33</v>
      </c>
      <c r="H80" s="32">
        <f>IF(gridLoss1H_quarter2&lt;0,gridLoss1H_quarter2*-1,0)</f>
        <v>0</v>
      </c>
      <c r="I80" s="54" t="str">
        <f t="shared" si="23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25">
      <c r="C81" s="2"/>
      <c r="D81" s="15" t="s">
        <v>73</v>
      </c>
      <c r="E81" s="31" t="str">
        <f t="shared" si="22"/>
        <v>800</v>
      </c>
      <c r="F81" s="31" t="s">
        <v>33</v>
      </c>
      <c r="G81" s="31" t="s">
        <v>33</v>
      </c>
      <c r="H81" s="32">
        <f>IF(gridLoss1H_quarter1&lt;0,(gridLoss1H_quarter1)*-1,0)</f>
        <v>0</v>
      </c>
      <c r="I81" s="54" t="str">
        <f t="shared" si="23"/>
        <v>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25" x14ac:dyDescent="0.35">
      <c r="C82" s="2"/>
      <c r="E82" s="48" t="s">
        <v>78</v>
      </c>
      <c r="F82" s="49"/>
      <c r="G82" s="49"/>
      <c r="H82" s="5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75" x14ac:dyDescent="0.3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25">
      <c r="C84" s="2"/>
      <c r="D84" s="15" t="s">
        <v>73</v>
      </c>
      <c r="E84" s="31" t="str">
        <f>$AD$2</f>
        <v>800</v>
      </c>
      <c r="F84" s="31" t="s">
        <v>33</v>
      </c>
      <c r="G84" s="31" t="s">
        <v>33</v>
      </c>
      <c r="H84" s="32" t="str">
        <f>SUBSTITUTE(netEx_quarter1+totalProduction1H_quarter1+totalProduction15M_quarter1+negGridLossQuarter1,",",".")</f>
        <v>8.625</v>
      </c>
      <c r="I84" s="37"/>
      <c r="J84" s="2"/>
      <c r="U84" s="2"/>
      <c r="V84" s="51" t="s">
        <v>83</v>
      </c>
      <c r="W84" s="51"/>
      <c r="X84" s="51"/>
      <c r="Y84" s="51"/>
      <c r="Z84" s="51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25">
      <c r="C85" s="2"/>
      <c r="D85" s="15" t="s">
        <v>74</v>
      </c>
      <c r="E85" s="31" t="str">
        <f t="shared" ref="E85:E87" si="24">$AD$2</f>
        <v>800</v>
      </c>
      <c r="F85" s="31" t="s">
        <v>33</v>
      </c>
      <c r="G85" s="31" t="s">
        <v>33</v>
      </c>
      <c r="H85" s="32" t="str">
        <f>SUBSTITUTE(netEx_quarter2+totalProduction1H_quarter2+totalProduction15M_quarter2+negGridLossQuarter2,",",".")</f>
        <v>9.626</v>
      </c>
      <c r="I85" s="2"/>
      <c r="J85" s="2"/>
      <c r="K85" s="2"/>
      <c r="U85" s="2"/>
      <c r="V85" s="6" t="s">
        <v>14</v>
      </c>
      <c r="W85" s="6" t="s">
        <v>85</v>
      </c>
      <c r="X85" s="6" t="s">
        <v>44</v>
      </c>
      <c r="Y85" s="6" t="s">
        <v>45</v>
      </c>
      <c r="Z85" s="6" t="s">
        <v>46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25">
      <c r="C86" s="2"/>
      <c r="D86" s="15" t="s">
        <v>75</v>
      </c>
      <c r="E86" s="31" t="str">
        <f t="shared" si="24"/>
        <v>800</v>
      </c>
      <c r="F86" s="31" t="s">
        <v>33</v>
      </c>
      <c r="G86" s="31" t="s">
        <v>33</v>
      </c>
      <c r="H86" s="32" t="str">
        <f>SUBSTITUTE(netEx_quarter3+totalProduction1H_quarter3+totalProduction15M_quarter3+negGridLossQuarter3,",",".")</f>
        <v>10.625</v>
      </c>
      <c r="I86" s="2"/>
      <c r="J86" s="2"/>
      <c r="R86" s="37"/>
      <c r="S86" s="2"/>
      <c r="U86" s="15" t="s">
        <v>73</v>
      </c>
      <c r="V86" s="26" cm="1">
        <f t="array" aca="1" ref="V86" ca="1">SUMIFS(INDIRECT("TableDay1["&amp;U86&amp;"]"),TableDay1[resolution],"PT15M",TableDay1[from_ga],INDIRECT("AH"&amp;ROUND(ROW()*0.25-19,0)))-SUMIFS(INDIRECT("TableDay1["&amp;U86&amp;"]"),TableDay1[resolution],"PT15M",TableDay1[to_ga],INDIRECT("AH"&amp;ROUND(ROW()*0.25-19,0)))</f>
        <v>0</v>
      </c>
      <c r="W86" s="6">
        <f>(SUMIFS(TableDay1[Quarter1],TableDay1[resolution],"PT1H",TableDay1[from_ga],AH$3)-SUMIFS(TableDay1[Quarter1],TableDay1[resolution],"PT1H",TableDay1[to_ga],AH$3))/4</f>
        <v>7.6252500000000003</v>
      </c>
      <c r="X86" s="16">
        <f>W86</f>
        <v>7.6252500000000003</v>
      </c>
      <c r="Y86" s="16"/>
      <c r="Z86" s="16">
        <f t="shared" ref="Z86:Z109" si="25">ROUND(X86, 3)</f>
        <v>7.625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25">
      <c r="C87" s="2"/>
      <c r="D87" s="15" t="s">
        <v>76</v>
      </c>
      <c r="E87" s="31" t="str">
        <f t="shared" si="24"/>
        <v>800</v>
      </c>
      <c r="F87" s="34" t="s">
        <v>33</v>
      </c>
      <c r="G87" s="34" t="s">
        <v>33</v>
      </c>
      <c r="H87" s="32" t="str">
        <f>SUBSTITUTE(netEx_quarter4+totalProduction1H_quarter4+totalProduction15M_quarter4+negGridLossQuarter4,",",".")</f>
        <v>20.4</v>
      </c>
      <c r="I87" s="2"/>
      <c r="J87" s="2"/>
      <c r="R87" s="2"/>
      <c r="S87" s="2"/>
      <c r="U87" s="15" t="s">
        <v>74</v>
      </c>
      <c r="V87" s="26" cm="1">
        <f t="array" aca="1" ref="V87" ca="1">SUMIFS(INDIRECT("TableDay1["&amp;U87&amp;"]"),TableDay1[resolution],"PT15M",TableDay1[from_ga],INDIRECT("AH"&amp;ROUND(ROW()*0.25-19,0)))-SUMIFS(INDIRECT("TableDay1["&amp;U87&amp;"]"),TableDay1[resolution],"PT15M",TableDay1[to_ga],INDIRECT("AH"&amp;ROUND(ROW()*0.25-19,0)))</f>
        <v>0</v>
      </c>
      <c r="W87" s="16">
        <f>W$86</f>
        <v>7.6252500000000003</v>
      </c>
      <c r="X87" s="16">
        <f>Y87+X86</f>
        <v>7.6255000000000006</v>
      </c>
      <c r="Y87" s="16">
        <f>W87-Z86</f>
        <v>2.5000000000030553E-4</v>
      </c>
      <c r="Z87" s="16">
        <f t="shared" si="25"/>
        <v>7.6260000000000003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25" x14ac:dyDescent="0.35">
      <c r="C88" s="2"/>
      <c r="E88" s="48" t="s">
        <v>79</v>
      </c>
      <c r="F88" s="49"/>
      <c r="G88" s="49"/>
      <c r="H88" s="49"/>
      <c r="I88" s="50"/>
      <c r="J88" s="2"/>
      <c r="R88" s="2"/>
      <c r="S88" s="2"/>
      <c r="U88" s="15" t="s">
        <v>75</v>
      </c>
      <c r="V88" s="26" cm="1">
        <f t="array" aca="1" ref="V88" ca="1">SUMIFS(INDIRECT("TableDay1["&amp;U88&amp;"]"),TableDay1[resolution],"PT15M",TableDay1[from_ga],INDIRECT("AH"&amp;ROUND(ROW()*0.25-19,0)))-SUMIFS(INDIRECT("TableDay1["&amp;U88&amp;"]"),TableDay1[resolution],"PT15M",TableDay1[to_ga],INDIRECT("AH"&amp;ROUND(ROW()*0.25-19,0)))</f>
        <v>0</v>
      </c>
      <c r="W88" s="16">
        <f>W$86</f>
        <v>7.6252500000000003</v>
      </c>
      <c r="X88" s="16">
        <f>Y88+X87</f>
        <v>7.6247500000000006</v>
      </c>
      <c r="Y88" s="16">
        <f>W88-Z87</f>
        <v>-7.5000000000002842E-4</v>
      </c>
      <c r="Z88" s="16">
        <f t="shared" si="25"/>
        <v>7.625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75" x14ac:dyDescent="0.3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86</v>
      </c>
      <c r="J89" s="2"/>
      <c r="R89" s="2"/>
      <c r="S89" s="2"/>
      <c r="U89" s="15" t="s">
        <v>76</v>
      </c>
      <c r="V89" s="26" cm="1">
        <f t="array" aca="1" ref="V89" ca="1">SUMIFS(INDIRECT("TableDay1["&amp;U89&amp;"]"),TableDay1[resolution],"PT15M",TableDay1[from_ga],INDIRECT("AH"&amp;ROUND(ROW()*0.25-19,0)))-SUMIFS(INDIRECT("TableDay1["&amp;U89&amp;"]"),TableDay1[resolution],"PT15M",TableDay1[to_ga],INDIRECT("AH"&amp;ROUND(ROW()*0.25-19,0)))</f>
        <v>0</v>
      </c>
      <c r="W89" s="16">
        <f>W$86</f>
        <v>7.6252500000000003</v>
      </c>
      <c r="X89" s="16">
        <f>Y89+X88</f>
        <v>7.6250000000000009</v>
      </c>
      <c r="Y89" s="16">
        <f>W89-Z88</f>
        <v>2.5000000000030553E-4</v>
      </c>
      <c r="Z89" s="16">
        <f t="shared" si="25"/>
        <v>7.625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25">
      <c r="C90" s="2"/>
      <c r="D90" s="15" t="s">
        <v>73</v>
      </c>
      <c r="E90" s="31" t="str">
        <f t="shared" ref="E90:E113" si="26">IF(AND(ROW()&lt;86+(COUNTA(AH$2:AH$21)*4),ROW()&gt;89),$AH$2,"")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 t="shared" ref="H90:H112" ca="1" si="27">SUBSTITUTE(IF(E90="","",V86+Z86),",",".")</f>
        <v>7.625</v>
      </c>
      <c r="I90" s="32" t="str" cm="1">
        <f t="array" aca="1" ref="I90" ca="1">IF(E90="","",INDIRECT("AH"&amp;ROUND((ROW()-80)*0.25,0)))</f>
        <v>801</v>
      </c>
      <c r="J90" s="2"/>
      <c r="R90" s="2"/>
      <c r="S90" s="2"/>
      <c r="U90" s="15" t="s">
        <v>73</v>
      </c>
      <c r="V90" s="26" cm="1">
        <f t="array" aca="1" ref="V90" ca="1">SUMIFS(INDIRECT("TableDay1["&amp;U90&amp;"]"),TableDay1[resolution],"PT15M",TableDay1[from_ga],INDIRECT("AH"&amp;ROUND(ROW()*0.25-19,0)))-SUMIFS(INDIRECT("TableDay1["&amp;U90&amp;"]"),TableDay1[resolution],"PT15M",TableDay1[to_ga],INDIRECT("AH"&amp;ROUND(ROW()*0.25-19,0)))</f>
        <v>0</v>
      </c>
      <c r="W90" s="6">
        <f>(SUMIFS(TableDay1[Quarter1],TableDay1[resolution],"PT1H",TableDay1[from_ga],AH$4)-SUMIFS(TableDay1[Quarter1],TableDay1[resolution],"PT1H",TableDay1[to_ga],AH$4))/4</f>
        <v>0</v>
      </c>
      <c r="X90" s="16">
        <f>W90</f>
        <v>0</v>
      </c>
      <c r="Y90" s="16"/>
      <c r="Z90" s="16">
        <f t="shared" si="25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25">
      <c r="C91" s="2"/>
      <c r="D91" s="15" t="s">
        <v>74</v>
      </c>
      <c r="E91" s="31" t="str">
        <f t="shared" si="26"/>
        <v>800</v>
      </c>
      <c r="F91" s="31" t="str">
        <f t="shared" ref="F91:F113" si="28">IF(E91&lt;&gt;"","null","")</f>
        <v>null</v>
      </c>
      <c r="G91" s="31" t="str">
        <f t="shared" ref="G91:G113" si="29">IF(E91&lt;&gt;"","null","")</f>
        <v>null</v>
      </c>
      <c r="H91" s="32" t="str">
        <f t="shared" ca="1" si="27"/>
        <v>7.626</v>
      </c>
      <c r="I91" s="32" t="str" cm="1">
        <f t="array" aca="1" ref="I91" ca="1">IF(E91="","",INDIRECT("AH"&amp;ROUND((ROW()-80)*0.25,0)))</f>
        <v>801</v>
      </c>
      <c r="J91" s="2"/>
      <c r="R91" s="2"/>
      <c r="U91" s="15" t="s">
        <v>74</v>
      </c>
      <c r="V91" s="26" cm="1">
        <f t="array" aca="1" ref="V91" ca="1">SUMIFS(INDIRECT("TableDay1["&amp;U91&amp;"]"),TableDay1[resolution],"PT15M",TableDay1[from_ga],INDIRECT("AH"&amp;ROUND(ROW()*0.25-19,0)))-SUMIFS(INDIRECT("TableDay1["&amp;U91&amp;"]"),TableDay1[resolution],"PT15M",TableDay1[to_ga],INDIRECT("AH"&amp;ROUND(ROW()*0.25-19,0)))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5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25">
      <c r="C92" s="2"/>
      <c r="D92" s="15" t="s">
        <v>75</v>
      </c>
      <c r="E92" s="31" t="str">
        <f t="shared" si="26"/>
        <v>800</v>
      </c>
      <c r="F92" s="31" t="str">
        <f t="shared" si="28"/>
        <v>null</v>
      </c>
      <c r="G92" s="31" t="str">
        <f t="shared" si="29"/>
        <v>null</v>
      </c>
      <c r="H92" s="32" t="str">
        <f t="shared" ca="1" si="27"/>
        <v>7.625</v>
      </c>
      <c r="I92" s="32" t="str" cm="1">
        <f t="array" aca="1" ref="I92" ca="1">IF(E92="","",INDIRECT("AH"&amp;ROUND((ROW()-80)*0.25,0)))</f>
        <v>801</v>
      </c>
      <c r="J92" s="2"/>
      <c r="U92" s="15" t="s">
        <v>75</v>
      </c>
      <c r="V92" s="26" cm="1">
        <f t="array" aca="1" ref="V92" ca="1">SUMIFS(INDIRECT("TableDay1["&amp;U92&amp;"]"),TableDay1[resolution],"PT15M",TableDay1[from_ga],INDIRECT("AH"&amp;ROUND(ROW()*0.25-19,0)))-SUMIFS(INDIRECT("TableDay1["&amp;U92&amp;"]"),TableDay1[resolution],"PT15M",TableDay1[to_ga],INDIRECT("AH"&amp;ROUND(ROW()*0.25-19,0)))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5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25">
      <c r="C93" s="2"/>
      <c r="D93" s="15" t="s">
        <v>76</v>
      </c>
      <c r="E93" s="31" t="str">
        <f t="shared" si="26"/>
        <v>800</v>
      </c>
      <c r="F93" s="31" t="str">
        <f t="shared" si="28"/>
        <v>null</v>
      </c>
      <c r="G93" s="31" t="str">
        <f t="shared" si="29"/>
        <v>null</v>
      </c>
      <c r="H93" s="32" t="str">
        <f t="shared" ca="1" si="27"/>
        <v>7.625</v>
      </c>
      <c r="I93" s="32" t="str" cm="1">
        <f t="array" aca="1" ref="I93" ca="1">IF(E93="","",INDIRECT("AH"&amp;ROUND((ROW()-80)*0.25,0)))</f>
        <v>801</v>
      </c>
      <c r="J93" s="2"/>
      <c r="U93" s="15" t="s">
        <v>76</v>
      </c>
      <c r="V93" s="26" cm="1">
        <f t="array" aca="1" ref="V93" ca="1">SUMIFS(INDIRECT("TableDay1["&amp;U93&amp;"]"),TableDay1[resolution],"PT15M",TableDay1[from_ga],INDIRECT("AH"&amp;ROUND(ROW()*0.25-19,0)))-SUMIFS(INDIRECT("TableDay1["&amp;U93&amp;"]"),TableDay1[resolution],"PT15M",TableDay1[to_ga],INDIRECT("AH"&amp;ROUND(ROW()*0.25-19,0)))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5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25">
      <c r="C94" s="2"/>
      <c r="D94" s="15" t="s">
        <v>73</v>
      </c>
      <c r="E94" s="31" t="str">
        <f t="shared" si="26"/>
        <v/>
      </c>
      <c r="F94" s="31" t="str">
        <f t="shared" si="28"/>
        <v/>
      </c>
      <c r="G94" s="31" t="str">
        <f t="shared" si="29"/>
        <v/>
      </c>
      <c r="H94" s="32" t="str">
        <f t="shared" si="27"/>
        <v/>
      </c>
      <c r="I94" s="32" t="str" cm="1">
        <f t="array" aca="1" ref="I94" ca="1">IF(E94="","",INDIRECT("AH"&amp;ROUND((ROW()-80)*0.25,0)))</f>
        <v/>
      </c>
      <c r="J94" s="2"/>
      <c r="U94" s="15" t="s">
        <v>73</v>
      </c>
      <c r="V94" s="26" cm="1">
        <f t="array" aca="1" ref="V94" ca="1">SUMIFS(INDIRECT("TableDay1["&amp;U94&amp;"]"),TableDay1[resolution],"PT15M",TableDay1[from_ga],INDIRECT("AH"&amp;ROUND(ROW()*0.25-19,0)))-SUMIFS(INDIRECT("TableDay1["&amp;U94&amp;"]"),TableDay1[resolution],"PT15M",TableDay1[to_ga],INDIRECT("AH"&amp;ROUND(ROW()*0.25-19,0)))</f>
        <v>0</v>
      </c>
      <c r="W94" s="6">
        <f>SUMIFS(TableDay1[Quarter1],TableDay1[resolution],"PT1H",TableDay1[from_ga],AH$5)-SUMIFS(TableDay1[Quarter1],TableDay1[resolution],"PT1H",TableDay1[to_ga],AH$5)/4</f>
        <v>0</v>
      </c>
      <c r="X94" s="16">
        <f>W94</f>
        <v>0</v>
      </c>
      <c r="Y94" s="16"/>
      <c r="Z94" s="16">
        <f t="shared" si="25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25">
      <c r="C95" s="2"/>
      <c r="D95" s="15" t="s">
        <v>74</v>
      </c>
      <c r="E95" s="31" t="str">
        <f t="shared" si="26"/>
        <v/>
      </c>
      <c r="F95" s="31" t="str">
        <f t="shared" si="28"/>
        <v/>
      </c>
      <c r="G95" s="31" t="str">
        <f t="shared" si="29"/>
        <v/>
      </c>
      <c r="H95" s="32" t="str">
        <f t="shared" si="27"/>
        <v/>
      </c>
      <c r="I95" s="32" t="str" cm="1">
        <f t="array" aca="1" ref="I95" ca="1">IF(E95="","",INDIRECT("AH"&amp;ROUND((ROW()-80)*0.25,0)))</f>
        <v/>
      </c>
      <c r="J95" s="2"/>
      <c r="U95" s="15" t="s">
        <v>74</v>
      </c>
      <c r="V95" s="26" cm="1">
        <f t="array" aca="1" ref="V95" ca="1">SUMIFS(INDIRECT("TableDay1["&amp;U95&amp;"]"),TableDay1[resolution],"PT15M",TableDay1[from_ga],INDIRECT("AH"&amp;ROUND(ROW()*0.25-19,0)))-SUMIFS(INDIRECT("TableDay1["&amp;U95&amp;"]"),TableDay1[resolution],"PT15M",TableDay1[to_ga],INDIRECT("AH"&amp;ROUND(ROW()*0.25-19,0)))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5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25">
      <c r="C96" s="2"/>
      <c r="D96" s="15" t="s">
        <v>75</v>
      </c>
      <c r="E96" s="31" t="str">
        <f t="shared" si="26"/>
        <v/>
      </c>
      <c r="F96" s="31" t="str">
        <f t="shared" si="28"/>
        <v/>
      </c>
      <c r="G96" s="31" t="str">
        <f t="shared" si="29"/>
        <v/>
      </c>
      <c r="H96" s="32" t="str">
        <f t="shared" si="27"/>
        <v/>
      </c>
      <c r="I96" s="32" t="str" cm="1">
        <f t="array" aca="1" ref="I96" ca="1">IF(E96="","",INDIRECT("AH"&amp;ROUND((ROW()-80)*0.25,0)))</f>
        <v/>
      </c>
      <c r="J96" s="2"/>
      <c r="U96" s="15" t="s">
        <v>75</v>
      </c>
      <c r="V96" s="26" cm="1">
        <f t="array" aca="1" ref="V96" ca="1">SUMIFS(INDIRECT("TableDay1["&amp;U96&amp;"]"),TableDay1[resolution],"PT15M",TableDay1[from_ga],INDIRECT("AH"&amp;ROUND(ROW()*0.25-19,0)))-SUMIFS(INDIRECT("TableDay1["&amp;U96&amp;"]"),TableDay1[resolution],"PT15M",TableDay1[to_ga],INDIRECT("AH"&amp;ROUND(ROW()*0.25-19,0)))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5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25">
      <c r="C97" s="2"/>
      <c r="D97" s="15" t="s">
        <v>76</v>
      </c>
      <c r="E97" s="31" t="str">
        <f t="shared" si="26"/>
        <v/>
      </c>
      <c r="F97" s="31" t="str">
        <f t="shared" si="28"/>
        <v/>
      </c>
      <c r="G97" s="31" t="str">
        <f t="shared" si="29"/>
        <v/>
      </c>
      <c r="H97" s="32" t="str">
        <f t="shared" si="27"/>
        <v/>
      </c>
      <c r="I97" s="32" t="str" cm="1">
        <f t="array" aca="1" ref="I97" ca="1">IF(E97="","",INDIRECT("AH"&amp;ROUND((ROW()-80)*0.25,0)))</f>
        <v/>
      </c>
      <c r="J97" s="2"/>
      <c r="U97" s="15" t="s">
        <v>76</v>
      </c>
      <c r="V97" s="26" cm="1">
        <f t="array" aca="1" ref="V97" ca="1">SUMIFS(INDIRECT("TableDay1["&amp;U97&amp;"]"),TableDay1[resolution],"PT15M",TableDay1[from_ga],INDIRECT("AH"&amp;ROUND(ROW()*0.25-19,0)))-SUMIFS(INDIRECT("TableDay1["&amp;U97&amp;"]"),TableDay1[resolution],"PT15M",TableDay1[to_ga],INDIRECT("AH"&amp;ROUND(ROW()*0.25-19,0)))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5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25">
      <c r="C98" s="2"/>
      <c r="D98" s="15" t="s">
        <v>73</v>
      </c>
      <c r="E98" s="31" t="str">
        <f t="shared" si="26"/>
        <v/>
      </c>
      <c r="F98" s="31" t="str">
        <f t="shared" si="28"/>
        <v/>
      </c>
      <c r="G98" s="31" t="str">
        <f t="shared" si="29"/>
        <v/>
      </c>
      <c r="H98" s="32" t="str">
        <f t="shared" si="27"/>
        <v/>
      </c>
      <c r="I98" s="32" t="str" cm="1">
        <f t="array" aca="1" ref="I98" ca="1">IF(E98="","",INDIRECT("AH"&amp;ROUND((ROW()-80)*0.25,0)))</f>
        <v/>
      </c>
      <c r="J98" s="2"/>
      <c r="U98" s="15" t="s">
        <v>73</v>
      </c>
      <c r="V98" s="26" cm="1">
        <f t="array" aca="1" ref="V98" ca="1">SUMIFS(INDIRECT("TableDay1["&amp;U98&amp;"]"),TableDay1[resolution],"PT15M",TableDay1[from_ga],INDIRECT("AH"&amp;ROUND(ROW()*0.25-19,0)))-SUMIFS(INDIRECT("TableDay1["&amp;U98&amp;"]"),TableDay1[resolution],"PT15M",TableDay1[to_ga],INDIRECT("AH"&amp;ROUND(ROW()*0.25-19,0)))</f>
        <v>0</v>
      </c>
      <c r="W98" s="6">
        <f>(SUMIFS(TableDay1[Quarter1],TableDay1[resolution],"PT1H",TableDay1[from_ga],AH$6)-SUMIFS(TableDay1[Quarter1],TableDay1[resolution],"PT1H",TableDay1[to_ga],AH$6))/4</f>
        <v>0</v>
      </c>
      <c r="X98" s="16">
        <f>W98</f>
        <v>0</v>
      </c>
      <c r="Y98" s="16"/>
      <c r="Z98" s="16">
        <f t="shared" si="25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25">
      <c r="C99" s="2"/>
      <c r="D99" s="15" t="s">
        <v>74</v>
      </c>
      <c r="E99" s="31" t="str">
        <f t="shared" si="26"/>
        <v/>
      </c>
      <c r="F99" s="31" t="str">
        <f t="shared" si="28"/>
        <v/>
      </c>
      <c r="G99" s="31" t="str">
        <f t="shared" si="29"/>
        <v/>
      </c>
      <c r="H99" s="32" t="str">
        <f t="shared" si="27"/>
        <v/>
      </c>
      <c r="I99" s="32" t="str" cm="1">
        <f t="array" aca="1" ref="I99" ca="1">IF(E99="","",INDIRECT("AH"&amp;ROUND((ROW()-80)*0.25,0)))</f>
        <v/>
      </c>
      <c r="J99" s="2"/>
      <c r="U99" s="15" t="s">
        <v>74</v>
      </c>
      <c r="V99" s="26" cm="1">
        <f t="array" aca="1" ref="V99" ca="1">SUMIFS(INDIRECT("TableDay1["&amp;U99&amp;"]"),TableDay1[resolution],"PT15M",TableDay1[from_ga],INDIRECT("AH"&amp;ROUND(ROW()*0.25-19,0)))-SUMIFS(INDIRECT("TableDay1["&amp;U99&amp;"]"),TableDay1[resolution],"PT15M",TableDay1[to_ga],INDIRECT("AH"&amp;ROUND(ROW()*0.25-19,0)))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5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25">
      <c r="C100" s="2"/>
      <c r="D100" s="15" t="s">
        <v>75</v>
      </c>
      <c r="E100" s="31" t="str">
        <f t="shared" si="26"/>
        <v/>
      </c>
      <c r="F100" s="31" t="str">
        <f t="shared" si="28"/>
        <v/>
      </c>
      <c r="G100" s="31" t="str">
        <f t="shared" si="29"/>
        <v/>
      </c>
      <c r="H100" s="32" t="str">
        <f t="shared" si="27"/>
        <v/>
      </c>
      <c r="I100" s="32" t="str" cm="1">
        <f t="array" aca="1" ref="I100" ca="1">IF(E100="","",INDIRECT("AH"&amp;ROUND((ROW()-80)*0.25,0)))</f>
        <v/>
      </c>
      <c r="J100" s="2"/>
      <c r="U100" s="15" t="s">
        <v>75</v>
      </c>
      <c r="V100" s="26" cm="1">
        <f t="array" aca="1" ref="V100" ca="1">SUMIFS(INDIRECT("TableDay1["&amp;U100&amp;"]"),TableDay1[resolution],"PT15M",TableDay1[from_ga],INDIRECT("AH"&amp;ROUND(ROW()*0.25-19,0)))-SUMIFS(INDIRECT("TableDay1["&amp;U100&amp;"]"),TableDay1[resolution],"PT15M",TableDay1[to_ga],INDIRECT("AH"&amp;ROUND(ROW()*0.25-19,0)))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5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25">
      <c r="C101" s="2"/>
      <c r="D101" s="15" t="s">
        <v>76</v>
      </c>
      <c r="E101" s="31" t="str">
        <f t="shared" si="26"/>
        <v/>
      </c>
      <c r="F101" s="31" t="str">
        <f t="shared" si="28"/>
        <v/>
      </c>
      <c r="G101" s="31" t="str">
        <f t="shared" si="29"/>
        <v/>
      </c>
      <c r="H101" s="32" t="str">
        <f t="shared" si="27"/>
        <v/>
      </c>
      <c r="I101" s="32" t="str" cm="1">
        <f t="array" aca="1" ref="I101" ca="1">IF(E101="","",INDIRECT("AH"&amp;ROUND((ROW()-80)*0.25,0)))</f>
        <v/>
      </c>
      <c r="J101" s="2"/>
      <c r="U101" s="15" t="s">
        <v>76</v>
      </c>
      <c r="V101" s="26" cm="1">
        <f t="array" aca="1" ref="V101" ca="1">SUMIFS(INDIRECT("TableDay1["&amp;U101&amp;"]"),TableDay1[resolution],"PT15M",TableDay1[from_ga],INDIRECT("AH"&amp;ROUND(ROW()*0.25-19,0)))-SUMIFS(INDIRECT("TableDay1["&amp;U101&amp;"]"),TableDay1[resolution],"PT15M",TableDay1[to_ga],INDIRECT("AH"&amp;ROUND(ROW()*0.25-19,0)))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5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25">
      <c r="C102" s="2"/>
      <c r="D102" s="15" t="s">
        <v>73</v>
      </c>
      <c r="E102" s="31" t="str">
        <f t="shared" si="26"/>
        <v/>
      </c>
      <c r="F102" s="31" t="str">
        <f t="shared" si="28"/>
        <v/>
      </c>
      <c r="G102" s="31" t="str">
        <f t="shared" si="29"/>
        <v/>
      </c>
      <c r="H102" s="32" t="str">
        <f t="shared" si="27"/>
        <v/>
      </c>
      <c r="I102" s="32" t="str" cm="1">
        <f t="array" aca="1" ref="I102" ca="1">IF(E102="","",INDIRECT("AH"&amp;ROUND((ROW()-80)*0.25,0)))</f>
        <v/>
      </c>
      <c r="J102" s="2"/>
      <c r="U102" s="15" t="s">
        <v>73</v>
      </c>
      <c r="V102" s="26" cm="1">
        <f t="array" aca="1" ref="V102" ca="1">SUMIFS(INDIRECT("TableDay1["&amp;U102&amp;"]"),TableDay1[resolution],"PT15M",TableDay1[from_ga],INDIRECT("AH"&amp;ROUND(ROW()*0.25-19,0)))-SUMIFS(INDIRECT("TableDay1["&amp;U102&amp;"]"),TableDay1[resolution],"PT15M",TableDay1[to_ga],INDIRECT("AH"&amp;ROUND(ROW()*0.25-19,0)))</f>
        <v>0</v>
      </c>
      <c r="W102" s="6">
        <f>(SUMIFS(TableDay1[Quarter1],TableDay1[resolution],"PT1H",TableDay1[from_ga],AH$7)-SUMIFS(TableDay1[Quarter1],TableDay1[resolution],"PT1H",TableDay1[to_ga],AH$7))/4</f>
        <v>0</v>
      </c>
      <c r="X102" s="16">
        <f>W102</f>
        <v>0</v>
      </c>
      <c r="Y102" s="16"/>
      <c r="Z102" s="16">
        <f t="shared" si="25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25">
      <c r="C103" s="2"/>
      <c r="D103" s="15" t="s">
        <v>74</v>
      </c>
      <c r="E103" s="31" t="str">
        <f t="shared" si="26"/>
        <v/>
      </c>
      <c r="F103" s="31" t="str">
        <f t="shared" si="28"/>
        <v/>
      </c>
      <c r="G103" s="31" t="str">
        <f t="shared" si="29"/>
        <v/>
      </c>
      <c r="H103" s="32" t="str">
        <f t="shared" si="27"/>
        <v/>
      </c>
      <c r="I103" s="32" t="str" cm="1">
        <f t="array" aca="1" ref="I103" ca="1">IF(E103="","",INDIRECT("AH"&amp;ROUND((ROW()-80)*0.25,0)))</f>
        <v/>
      </c>
      <c r="J103" s="2"/>
      <c r="U103" s="15" t="s">
        <v>74</v>
      </c>
      <c r="V103" s="26" cm="1">
        <f t="array" aca="1" ref="V103" ca="1">SUMIFS(INDIRECT("TableDay1["&amp;U103&amp;"]"),TableDay1[resolution],"PT15M",TableDay1[from_ga],INDIRECT("AH"&amp;ROUND(ROW()*0.25-19,0)))-SUMIFS(INDIRECT("TableDay1["&amp;U103&amp;"]"),TableDay1[resolution],"PT15M",TableDay1[to_ga],INDIRECT("AH"&amp;ROUND(ROW()*0.25-19,0)))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5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25">
      <c r="C104" s="2"/>
      <c r="D104" s="15" t="s">
        <v>75</v>
      </c>
      <c r="E104" s="31" t="str">
        <f t="shared" si="26"/>
        <v/>
      </c>
      <c r="F104" s="31" t="str">
        <f t="shared" si="28"/>
        <v/>
      </c>
      <c r="G104" s="31" t="str">
        <f t="shared" si="29"/>
        <v/>
      </c>
      <c r="H104" s="32" t="str">
        <f t="shared" si="27"/>
        <v/>
      </c>
      <c r="I104" s="32" t="str" cm="1">
        <f t="array" aca="1" ref="I104" ca="1">IF(E104="","",INDIRECT("AH"&amp;ROUND((ROW()-80)*0.25,0)))</f>
        <v/>
      </c>
      <c r="J104" s="2"/>
      <c r="U104" s="15" t="s">
        <v>75</v>
      </c>
      <c r="V104" s="26" cm="1">
        <f t="array" aca="1" ref="V104" ca="1">SUMIFS(INDIRECT("TableDay1["&amp;U104&amp;"]"),TableDay1[resolution],"PT15M",TableDay1[from_ga],INDIRECT("AH"&amp;ROUND(ROW()*0.25-19,0)))-SUMIFS(INDIRECT("TableDay1["&amp;U104&amp;"]"),TableDay1[resolution],"PT15M",TableDay1[to_ga],INDIRECT("AH"&amp;ROUND(ROW()*0.25-19,0)))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5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25">
      <c r="C105" s="2"/>
      <c r="D105" s="15" t="s">
        <v>76</v>
      </c>
      <c r="E105" s="31" t="str">
        <f t="shared" si="26"/>
        <v/>
      </c>
      <c r="F105" s="31" t="str">
        <f t="shared" si="28"/>
        <v/>
      </c>
      <c r="G105" s="31" t="str">
        <f t="shared" si="29"/>
        <v/>
      </c>
      <c r="H105" s="32" t="str">
        <f t="shared" si="27"/>
        <v/>
      </c>
      <c r="I105" s="32" t="str" cm="1">
        <f t="array" aca="1" ref="I105" ca="1">IF(E105="","",INDIRECT("AH"&amp;ROUND((ROW()-80)*0.25,0)))</f>
        <v/>
      </c>
      <c r="J105" s="2"/>
      <c r="U105" s="15" t="s">
        <v>76</v>
      </c>
      <c r="V105" s="26" cm="1">
        <f t="array" aca="1" ref="V105" ca="1">SUMIFS(INDIRECT("TableDay1["&amp;U105&amp;"]"),TableDay1[resolution],"PT15M",TableDay1[from_ga],INDIRECT("AH"&amp;ROUND(ROW()*0.25-19,0)))-SUMIFS(INDIRECT("TableDay1["&amp;U105&amp;"]"),TableDay1[resolution],"PT15M",TableDay1[to_ga],INDIRECT("AH"&amp;ROUND(ROW()*0.25-19,0)))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5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25">
      <c r="C106" s="2"/>
      <c r="D106" s="15" t="s">
        <v>73</v>
      </c>
      <c r="E106" s="31" t="str">
        <f t="shared" si="26"/>
        <v/>
      </c>
      <c r="F106" s="31" t="str">
        <f t="shared" si="28"/>
        <v/>
      </c>
      <c r="G106" s="31" t="str">
        <f t="shared" si="29"/>
        <v/>
      </c>
      <c r="H106" s="32" t="str">
        <f t="shared" si="27"/>
        <v/>
      </c>
      <c r="I106" s="32" t="str" cm="1">
        <f t="array" aca="1" ref="I106" ca="1">IF(E106="","",INDIRECT("AH"&amp;ROUND((ROW()-80)*0.25,0)))</f>
        <v/>
      </c>
      <c r="J106" s="2"/>
      <c r="U106" s="15" t="s">
        <v>73</v>
      </c>
      <c r="V106" s="26" cm="1">
        <f t="array" aca="1" ref="V106" ca="1">SUMIFS(INDIRECT("TableDay1["&amp;U106&amp;"]"),TableDay1[resolution],"PT15M",TableDay1[from_ga],INDIRECT("AH"&amp;ROUND(ROW()*0.25-19,0)))-SUMIFS(INDIRECT("TableDay1["&amp;U106&amp;"]"),TableDay1[resolution],"PT15M",TableDay1[to_ga],INDIRECT("AH"&amp;ROUND(ROW()*0.25-19,0)))</f>
        <v>0</v>
      </c>
      <c r="W106" s="6">
        <f>(SUMIFS(TableDay1[Quarter1],TableDay1[resolution],"PT1H",TableDay1[from_ga],AH$8)-SUMIFS(TableDay1[Quarter1],TableDay1[resolution],"PT1H",TableDay1[to_ga],AH$8))/4</f>
        <v>0</v>
      </c>
      <c r="X106" s="16">
        <f>W106</f>
        <v>0</v>
      </c>
      <c r="Y106" s="16"/>
      <c r="Z106" s="16">
        <f t="shared" si="25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25">
      <c r="C107" s="2"/>
      <c r="D107" s="15" t="s">
        <v>74</v>
      </c>
      <c r="E107" s="31" t="str">
        <f t="shared" si="26"/>
        <v/>
      </c>
      <c r="F107" s="31" t="str">
        <f t="shared" si="28"/>
        <v/>
      </c>
      <c r="G107" s="31" t="str">
        <f t="shared" si="29"/>
        <v/>
      </c>
      <c r="H107" s="32" t="str">
        <f t="shared" si="27"/>
        <v/>
      </c>
      <c r="I107" s="32" t="str" cm="1">
        <f t="array" aca="1" ref="I107" ca="1">IF(E107="","",INDIRECT("AH"&amp;ROUND((ROW()-80)*0.25,0)))</f>
        <v/>
      </c>
      <c r="J107" s="2"/>
      <c r="U107" s="15" t="s">
        <v>74</v>
      </c>
      <c r="V107" s="26" cm="1">
        <f t="array" aca="1" ref="V107" ca="1">SUMIFS(INDIRECT("TableDay1["&amp;U107&amp;"]"),TableDay1[resolution],"PT15M",TableDay1[from_ga],INDIRECT("AH"&amp;ROUND(ROW()*0.25-19,0)))-SUMIFS(INDIRECT("TableDay1["&amp;U107&amp;"]"),TableDay1[resolution],"PT15M",TableDay1[to_ga],INDIRECT("AH"&amp;ROUND(ROW()*0.25-19,0)))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5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25">
      <c r="C108" s="2"/>
      <c r="D108" s="15" t="s">
        <v>75</v>
      </c>
      <c r="E108" s="31" t="str">
        <f t="shared" si="26"/>
        <v/>
      </c>
      <c r="F108" s="31" t="str">
        <f t="shared" si="28"/>
        <v/>
      </c>
      <c r="G108" s="31" t="str">
        <f t="shared" si="29"/>
        <v/>
      </c>
      <c r="H108" s="32" t="str">
        <f t="shared" si="27"/>
        <v/>
      </c>
      <c r="I108" s="32" t="str" cm="1">
        <f t="array" aca="1" ref="I108" ca="1">IF(E108="","",INDIRECT("AH"&amp;ROUND((ROW()-80)*0.25,0)))</f>
        <v/>
      </c>
      <c r="J108" s="2"/>
      <c r="U108" s="15" t="s">
        <v>75</v>
      </c>
      <c r="V108" s="26" cm="1">
        <f t="array" aca="1" ref="V108" ca="1">SUMIFS(INDIRECT("TableDay1["&amp;U108&amp;"]"),TableDay1[resolution],"PT15M",TableDay1[from_ga],INDIRECT("AH"&amp;ROUND(ROW()*0.25-19,0)))-SUMIFS(INDIRECT("TableDay1["&amp;U108&amp;"]"),TableDay1[resolution],"PT15M",TableDay1[to_ga],INDIRECT("AH"&amp;ROUND(ROW()*0.25-19,0)))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5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25">
      <c r="C109" s="2"/>
      <c r="D109" s="15" t="s">
        <v>76</v>
      </c>
      <c r="E109" s="31" t="str">
        <f t="shared" si="26"/>
        <v/>
      </c>
      <c r="F109" s="31" t="str">
        <f t="shared" si="28"/>
        <v/>
      </c>
      <c r="G109" s="31" t="str">
        <f t="shared" si="29"/>
        <v/>
      </c>
      <c r="H109" s="32" t="str">
        <f t="shared" si="27"/>
        <v/>
      </c>
      <c r="I109" s="32" t="str" cm="1">
        <f t="array" aca="1" ref="I109" ca="1">IF(E109="","",INDIRECT("AH"&amp;ROUND((ROW()-80)*0.25,0)))</f>
        <v/>
      </c>
      <c r="J109" s="2"/>
      <c r="U109" s="15" t="s">
        <v>76</v>
      </c>
      <c r="V109" s="26" cm="1">
        <f t="array" aca="1" ref="V109" ca="1">SUMIFS(INDIRECT("TableDay1["&amp;U109&amp;"]"),TableDay1[resolution],"PT15M",TableDay1[from_ga],INDIRECT("AH"&amp;ROUND(ROW()*0.25-19,0)))-SUMIFS(INDIRECT("TableDay1["&amp;U109&amp;"]"),TableDay1[resolution],"PT15M",TableDay1[to_ga],INDIRECT("AH"&amp;ROUND(ROW()*0.25-19,0)))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5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25">
      <c r="C110" s="2"/>
      <c r="D110" s="15" t="s">
        <v>73</v>
      </c>
      <c r="E110" s="31" t="str">
        <f t="shared" si="26"/>
        <v/>
      </c>
      <c r="F110" s="31" t="str">
        <f t="shared" si="28"/>
        <v/>
      </c>
      <c r="G110" s="31" t="str">
        <f t="shared" si="29"/>
        <v/>
      </c>
      <c r="H110" s="32" t="str">
        <f t="shared" si="27"/>
        <v/>
      </c>
      <c r="I110" s="32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25">
      <c r="C111" s="2"/>
      <c r="D111" s="15" t="s">
        <v>74</v>
      </c>
      <c r="E111" s="31" t="str">
        <f t="shared" si="26"/>
        <v/>
      </c>
      <c r="F111" s="31" t="str">
        <f t="shared" si="28"/>
        <v/>
      </c>
      <c r="G111" s="31" t="str">
        <f t="shared" si="29"/>
        <v/>
      </c>
      <c r="H111" s="32" t="str">
        <f t="shared" si="27"/>
        <v/>
      </c>
      <c r="I111" s="32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25">
      <c r="C112" s="2"/>
      <c r="D112" s="15" t="s">
        <v>75</v>
      </c>
      <c r="E112" s="31" t="str">
        <f t="shared" si="26"/>
        <v/>
      </c>
      <c r="F112" s="31" t="str">
        <f t="shared" si="28"/>
        <v/>
      </c>
      <c r="G112" s="31" t="str">
        <f t="shared" si="29"/>
        <v/>
      </c>
      <c r="H112" s="32" t="str">
        <f t="shared" si="27"/>
        <v/>
      </c>
      <c r="I112" s="32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25">
      <c r="C113" s="2"/>
      <c r="D113" s="15" t="s">
        <v>76</v>
      </c>
      <c r="E113" s="31" t="str">
        <f t="shared" si="26"/>
        <v/>
      </c>
      <c r="F113" s="31" t="str">
        <f t="shared" si="28"/>
        <v/>
      </c>
      <c r="G113" s="31" t="str">
        <f t="shared" si="29"/>
        <v/>
      </c>
      <c r="H113" s="32" t="str">
        <f>SUBSTITUTE(IF(E113="","",V109+Z109),",",".")</f>
        <v/>
      </c>
      <c r="I113" s="32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15" priority="1">
      <formula>OR($N2="glmp",$N2="skmp")</formula>
    </cfRule>
  </conditionalFormatting>
  <conditionalFormatting sqref="G2:I19">
    <cfRule type="expression" dxfId="14" priority="2">
      <formula>$K2="PT1H"</formula>
    </cfRule>
  </conditionalFormatting>
  <conditionalFormatting sqref="V35 Y35">
    <cfRule type="expression" dxfId="13" priority="10">
      <formula>$V$35=$Y$35</formula>
    </cfRule>
  </conditionalFormatting>
  <conditionalFormatting sqref="V41 Y41">
    <cfRule type="expression" dxfId="12" priority="9">
      <formula>$V$41=$Y$41</formula>
    </cfRule>
  </conditionalFormatting>
  <conditionalFormatting sqref="V47 Y47">
    <cfRule type="expression" dxfId="11" priority="8">
      <formula>$V$47=$Y$47</formula>
    </cfRule>
  </conditionalFormatting>
  <conditionalFormatting sqref="V53 Y53">
    <cfRule type="expression" dxfId="10" priority="7">
      <formula>$V$53=$Y$53</formula>
    </cfRule>
  </conditionalFormatting>
  <conditionalFormatting sqref="V59 Y59">
    <cfRule type="expression" dxfId="9" priority="6">
      <formula>$V$59=$Y$59</formula>
    </cfRule>
  </conditionalFormatting>
  <conditionalFormatting sqref="V65 Y65">
    <cfRule type="expression" dxfId="8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C5A9-30C2-4625-9F19-DECD91FCECA2}">
  <sheetPr>
    <tabColor rgb="FF92D050"/>
  </sheetPr>
  <dimension ref="A1:CN400"/>
  <sheetViews>
    <sheetView tabSelected="1" zoomScaleNormal="100" workbookViewId="0">
      <selection activeCell="B2" sqref="B2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3" width="14.140625" style="1" bestFit="1" customWidth="1"/>
    <col min="14" max="14" width="8.140625" style="1" bestFit="1" customWidth="1"/>
    <col min="15" max="15" width="8.140625" style="1" customWidth="1"/>
    <col min="16" max="17" width="11.7109375" style="1" customWidth="1"/>
    <col min="18" max="18" width="8.85546875" style="1" bestFit="1" customWidth="1"/>
    <col min="19" max="19" width="32.28515625" style="1" bestFit="1" customWidth="1"/>
    <col min="20" max="20" width="14.140625" style="1" bestFit="1" customWidth="1"/>
    <col min="21" max="21" width="33.42578125" style="1" bestFit="1" customWidth="1"/>
    <col min="22" max="22" width="15.7109375" style="1" bestFit="1" customWidth="1"/>
    <col min="23" max="24" width="13.28515625" style="1" bestFit="1" customWidth="1"/>
    <col min="25" max="25" width="11.7109375" style="1" bestFit="1" customWidth="1"/>
    <col min="26" max="26" width="12.42578125" style="1" bestFit="1" customWidth="1"/>
    <col min="27" max="27" width="4.140625" style="1" bestFit="1" customWidth="1"/>
    <col min="28" max="28" width="2.85546875" style="1" bestFit="1" customWidth="1"/>
    <col min="29" max="29" width="1.85546875" style="1" bestFit="1" customWidth="1"/>
    <col min="30" max="30" width="9.5703125" style="1" bestFit="1" customWidth="1"/>
    <col min="31" max="31" width="27.42578125" style="1" bestFit="1" customWidth="1"/>
    <col min="32" max="32" width="19.85546875" style="1" bestFit="1" customWidth="1"/>
    <col min="33" max="33" width="21.85546875" style="1" bestFit="1" customWidth="1"/>
    <col min="34" max="34" width="11.7109375" style="1" bestFit="1" customWidth="1"/>
    <col min="35" max="40" width="8.7109375" style="1" customWidth="1"/>
    <col min="41" max="16384" width="8.7109375" style="1"/>
  </cols>
  <sheetData>
    <row r="1" spans="1:92" ht="21" x14ac:dyDescent="0.35">
      <c r="A1" s="18" t="s">
        <v>22</v>
      </c>
      <c r="B1" s="38" t="s">
        <v>87</v>
      </c>
      <c r="C1" s="14" t="s">
        <v>7</v>
      </c>
      <c r="D1" s="14" t="s">
        <v>11</v>
      </c>
      <c r="E1" s="14" t="s">
        <v>12</v>
      </c>
      <c r="F1" s="14" t="s">
        <v>73</v>
      </c>
      <c r="G1" s="14" t="s">
        <v>74</v>
      </c>
      <c r="H1" s="14" t="s">
        <v>75</v>
      </c>
      <c r="I1" s="14" t="s">
        <v>76</v>
      </c>
      <c r="J1" s="14" t="s">
        <v>113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80</v>
      </c>
      <c r="Q1" s="14" t="s">
        <v>81</v>
      </c>
      <c r="U1" s="15" t="s">
        <v>73</v>
      </c>
      <c r="V1" s="15" t="s">
        <v>74</v>
      </c>
      <c r="W1" s="15" t="s">
        <v>75</v>
      </c>
      <c r="X1" s="15" t="s">
        <v>76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112</v>
      </c>
      <c r="AH1" s="30" t="s">
        <v>82</v>
      </c>
      <c r="AI1" s="30"/>
      <c r="AJ1" s="24"/>
    </row>
    <row r="2" spans="1:92" ht="21" x14ac:dyDescent="0.35">
      <c r="A2" s="18" t="s">
        <v>25</v>
      </c>
      <c r="B2" s="17" t="s">
        <v>121</v>
      </c>
      <c r="C2" s="10" t="s">
        <v>88</v>
      </c>
      <c r="D2" s="10" t="s">
        <v>89</v>
      </c>
      <c r="E2" s="11" t="s">
        <v>90</v>
      </c>
      <c r="F2" s="12"/>
      <c r="G2" s="12"/>
      <c r="H2" s="41"/>
      <c r="I2" s="41"/>
      <c r="J2" s="43">
        <f>IF(C2="","",SUM(F2:I2))</f>
        <v>0</v>
      </c>
      <c r="K2" s="10" t="s">
        <v>106</v>
      </c>
      <c r="L2" s="10" t="s">
        <v>92</v>
      </c>
      <c r="M2" s="10" t="s">
        <v>93</v>
      </c>
      <c r="N2" s="10" t="s">
        <v>96</v>
      </c>
      <c r="O2" s="10" t="s">
        <v>94</v>
      </c>
      <c r="P2" s="29"/>
      <c r="Q2" s="29"/>
      <c r="R2" s="24"/>
      <c r="S2" s="7" t="s">
        <v>34</v>
      </c>
      <c r="T2" s="9">
        <f>SUMIFS(TableDay2[TotalHour],TableDay2[settlement_method],"D01",TableDay2[resolution],"PT15M")</f>
        <v>0</v>
      </c>
      <c r="U2" s="42">
        <f>SUMIFS(TableDay2[Quarter1],TableDay2[settlement_method],"D01",TableDay2[resolution],"PT15M")</f>
        <v>0</v>
      </c>
      <c r="V2" s="42">
        <f>SUMIFS(TableDay2[Quarter2],TableDay2[settlement_method],"D01",TableDay2[resolution],"PT15M")</f>
        <v>0</v>
      </c>
      <c r="W2" s="42">
        <f>SUMIFS(TableDay2[Quarter3],TableDay2[settlement_method],"D01",TableDay2[resolution],"PT15M")</f>
        <v>0</v>
      </c>
      <c r="X2" s="42">
        <f>SUMIFS(TableDay2[Quarter4],TableDay2[settlement_method],"D01",TableDay2[resolution],"PT15M")</f>
        <v>0</v>
      </c>
      <c r="Y2" s="24"/>
      <c r="Z2" s="24"/>
      <c r="AA2" s="24"/>
      <c r="AC2" s="24"/>
      <c r="AD2" s="27" t="str" cm="1">
        <f t="array" ref="AD2:AD3">_xlfn._xlws.SORT(_xlfn.UNIQUE(_xlfn._xlws.FILTER(TableDay2[ga_id],TableDay2[ga_id] &lt;&gt; "")))</f>
        <v>800</v>
      </c>
      <c r="AE2" s="27" t="str" cm="1">
        <f t="array" ref="AE2">_xlfn._xlws.SORT(_xlfn.UNIQUE(_xlfn._xlws.FILTER(AE28:AE41,AE28:AE41 &lt;&gt; "")))</f>
        <v>3000000000000</v>
      </c>
      <c r="AF2" s="27" t="str" cm="1">
        <f t="array" ref="AF2">_xlfn._xlws.SORT(_xlfn.UNIQUE(_xlfn._xlws.FILTER(AF28:AF40,AF28:AF40 &lt;&gt; "")))</f>
        <v>3300000000000</v>
      </c>
      <c r="AG2" s="27" t="str">
        <f>IF(B$2="production","E18",IF($B$2="flex_consumption","D01","E02"))</f>
        <v>E02</v>
      </c>
      <c r="AH2" s="27" t="str" cm="1">
        <f t="array" ref="AH2:AH3">_xlfn._xlws.SORT(_xlfn.UNIQUE(_xlfn.VSTACK(_xlfn._xlws.FILTER(TableDay2[from_ga],TableDay2[from_ga] &lt;&gt; ""),_xlfn._xlws.FILTER(TableDay2[to_ga],TableDay2[to_ga] &lt;&gt; ""))))</f>
        <v>800</v>
      </c>
      <c r="AI2" s="24"/>
      <c r="AJ2" s="24"/>
    </row>
    <row r="3" spans="1:92" x14ac:dyDescent="0.25">
      <c r="C3" s="10" t="s">
        <v>97</v>
      </c>
      <c r="D3" s="10" t="s">
        <v>102</v>
      </c>
      <c r="E3" s="11"/>
      <c r="F3" s="12"/>
      <c r="G3" s="12"/>
      <c r="H3" s="41"/>
      <c r="I3" s="41"/>
      <c r="J3" s="43">
        <f t="shared" ref="J3:J19" si="0">IF(C3="","",SUM(F3:I3))</f>
        <v>0</v>
      </c>
      <c r="K3" s="10" t="s">
        <v>106</v>
      </c>
      <c r="L3" s="10" t="s">
        <v>107</v>
      </c>
      <c r="M3" s="10" t="s">
        <v>108</v>
      </c>
      <c r="N3" s="10" t="s">
        <v>105</v>
      </c>
      <c r="O3" s="10" t="s">
        <v>94</v>
      </c>
      <c r="P3" s="29"/>
      <c r="Q3" s="29"/>
      <c r="R3" s="24"/>
      <c r="S3" s="7" t="s">
        <v>38</v>
      </c>
      <c r="T3" s="9">
        <f>SUMIFS(TableDay2[TotalHour],TableDay2[settlement_method],"E02",TableDay2[resolution],"PT15M")</f>
        <v>0</v>
      </c>
      <c r="U3" s="42">
        <f>SUMIFS(TableDay2[Quarter1],TableDay2[settlement_method],"E02",TableDay2[resolution],"PT15M")</f>
        <v>0</v>
      </c>
      <c r="V3" s="42">
        <f>SUMIFS(TableDay2[Quarter2],TableDay2[settlement_method],"E02",TableDay2[resolution],"PT15M")</f>
        <v>0</v>
      </c>
      <c r="W3" s="42">
        <f>SUMIFS(TableDay2[Quarter3],TableDay2[settlement_method],"E02",TableDay2[resolution],"PT15M")</f>
        <v>0</v>
      </c>
      <c r="X3" s="42">
        <f>SUMIFS(TableDay2[Quarter4],TableDay2[settlement_method],"E02",TableDay2[resolution],"PT15M")</f>
        <v>0</v>
      </c>
      <c r="Y3" s="24"/>
      <c r="Z3" s="24"/>
      <c r="AA3" s="24"/>
      <c r="AC3" s="24"/>
      <c r="AD3" s="24" t="str">
        <v>801</v>
      </c>
      <c r="AE3" s="24"/>
      <c r="AF3" s="24"/>
      <c r="AG3" s="24"/>
      <c r="AH3" s="24" t="str">
        <v>801</v>
      </c>
      <c r="AI3" s="24"/>
      <c r="AJ3" s="24"/>
    </row>
    <row r="4" spans="1:92" x14ac:dyDescent="0.25">
      <c r="C4" s="10"/>
      <c r="D4" s="10"/>
      <c r="E4" s="11"/>
      <c r="F4" s="12"/>
      <c r="G4" s="12"/>
      <c r="H4" s="41"/>
      <c r="I4" s="41"/>
      <c r="J4" s="43" t="str">
        <f t="shared" si="0"/>
        <v/>
      </c>
      <c r="K4" s="10"/>
      <c r="L4" s="10"/>
      <c r="M4" s="10"/>
      <c r="N4" s="10"/>
      <c r="O4" s="10"/>
      <c r="P4" s="29"/>
      <c r="Q4" s="29"/>
      <c r="R4" s="24"/>
      <c r="S4" s="7" t="s">
        <v>28</v>
      </c>
      <c r="T4" s="9">
        <f>SUMIFS(TableDay2[TotalHour],TableDay2[type],"E18",TableDay2[resolution],"PT15M")</f>
        <v>0</v>
      </c>
      <c r="U4" s="42">
        <f>SUMIFS(TableDay2[Quarter1],TableDay2[type],"E18",TableDay2[resolution],"PT15M")</f>
        <v>0</v>
      </c>
      <c r="V4" s="42">
        <f>SUMIFS(TableDay2[Quarter2],TableDay2[type],"E18",TableDay2[resolution],"PT15M")</f>
        <v>0</v>
      </c>
      <c r="W4" s="42">
        <f>SUMIFS(TableDay2[Quarter3],TableDay2[type],"E18",TableDay2[resolution],"PT15M")</f>
        <v>0</v>
      </c>
      <c r="X4" s="42">
        <f>SUMIFS(TableDay2[Quarter4],TableDay2[type],"E18",TableDay2[resolution],"PT15M")</f>
        <v>0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/>
    </row>
    <row r="5" spans="1:92" x14ac:dyDescent="0.25">
      <c r="C5" s="10" t="s">
        <v>114</v>
      </c>
      <c r="D5" s="10" t="s">
        <v>89</v>
      </c>
      <c r="E5" s="11" t="s">
        <v>109</v>
      </c>
      <c r="F5" s="12">
        <v>5.0110000000000001</v>
      </c>
      <c r="G5" s="12"/>
      <c r="H5" s="41"/>
      <c r="I5" s="41"/>
      <c r="J5" s="43">
        <f t="shared" si="0"/>
        <v>5.0110000000000001</v>
      </c>
      <c r="K5" s="10" t="s">
        <v>91</v>
      </c>
      <c r="L5" s="10" t="s">
        <v>104</v>
      </c>
      <c r="M5" s="10" t="s">
        <v>116</v>
      </c>
      <c r="N5" s="10"/>
      <c r="O5" s="10" t="s">
        <v>94</v>
      </c>
      <c r="P5" s="29"/>
      <c r="Q5" s="29"/>
      <c r="R5" s="24"/>
      <c r="S5" s="7" t="s">
        <v>26</v>
      </c>
      <c r="T5" s="9">
        <f>SUMIFS(TableDay2[TotalHour],TableDay2[type],"E17",TableDay2[resolution],"PT15M")</f>
        <v>0</v>
      </c>
      <c r="U5" s="42">
        <f>SUMIFS(TableDay2[Quarter1],TableDay2[type],"E17",TableDay2[resolution],"PT15M")</f>
        <v>0</v>
      </c>
      <c r="V5" s="42">
        <f>SUMIFS(TableDay2[Quarter2],TableDay2[type],"E17",TableDay2[resolution],"PT15M")</f>
        <v>0</v>
      </c>
      <c r="W5" s="42">
        <f>SUMIFS(TableDay2[Quarter3],TableDay2[type],"E17",TableDay2[resolution],"PT15M")</f>
        <v>0</v>
      </c>
      <c r="X5" s="42">
        <f>SUMIFS(TableDay2[Quarter4],TableDay2[type],"E17",TableDay2[resolution],"PT15M")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/>
    </row>
    <row r="6" spans="1:92" x14ac:dyDescent="0.25">
      <c r="C6" s="10"/>
      <c r="D6" s="10"/>
      <c r="E6" s="11"/>
      <c r="F6" s="12"/>
      <c r="G6" s="12"/>
      <c r="H6" s="12"/>
      <c r="I6" s="12"/>
      <c r="J6" s="43" t="str">
        <f t="shared" si="0"/>
        <v/>
      </c>
      <c r="K6" s="10"/>
      <c r="L6" s="10"/>
      <c r="M6" s="10"/>
      <c r="N6" s="10"/>
      <c r="O6" s="10"/>
      <c r="P6" s="29"/>
      <c r="Q6" s="29"/>
      <c r="R6" s="24"/>
      <c r="S6" s="6" t="s">
        <v>31</v>
      </c>
      <c r="T6" s="9">
        <f>SUMIFS(TableDay2[TotalHour],TableDay2[type],"E20",TableDay2[resolution],"PT15M",TableDay2[to_ga],"800")</f>
        <v>9</v>
      </c>
      <c r="U6" s="42">
        <f>SUMIFS(TableDay2[Quarter1],TableDay2[type],"E20",TableDay2[resolution],"PT15M",TableDay2[to_ga],"800")</f>
        <v>2.1</v>
      </c>
      <c r="V6" s="42">
        <f>SUMIFS(TableDay2[Quarter2],TableDay2[type],"E20",TableDay2[resolution],"PT15M",TableDay2[to_ga],"800")</f>
        <v>2.2000000000000002</v>
      </c>
      <c r="W6" s="42">
        <f>SUMIFS(TableDay2[Quarter3],TableDay2[type],"E20",TableDay2[resolution],"PT15M",TableDay2[to_ga],"800")</f>
        <v>2.2999999999999998</v>
      </c>
      <c r="X6" s="42">
        <f>SUMIFS(TableDay2[Quarter4],TableDay2[type],"E20",TableDay2[resolution],"PT15M",TableDay2[to_ga],"800")</f>
        <v>2.4</v>
      </c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/>
    </row>
    <row r="7" spans="1:92" x14ac:dyDescent="0.25">
      <c r="C7" s="10" t="s">
        <v>115</v>
      </c>
      <c r="D7" s="10" t="s">
        <v>89</v>
      </c>
      <c r="E7" s="11" t="s">
        <v>90</v>
      </c>
      <c r="F7" s="12">
        <v>4.0110000000000001</v>
      </c>
      <c r="G7" s="12"/>
      <c r="H7" s="41"/>
      <c r="I7" s="41"/>
      <c r="J7" s="43">
        <f t="shared" si="0"/>
        <v>4.0110000000000001</v>
      </c>
      <c r="K7" s="10" t="s">
        <v>91</v>
      </c>
      <c r="L7" s="10" t="s">
        <v>104</v>
      </c>
      <c r="M7" s="10" t="s">
        <v>116</v>
      </c>
      <c r="N7" s="10"/>
      <c r="O7" s="10" t="s">
        <v>94</v>
      </c>
      <c r="P7" s="29"/>
      <c r="Q7" s="29"/>
      <c r="R7" s="24"/>
      <c r="S7" s="6" t="s">
        <v>41</v>
      </c>
      <c r="T7" s="9">
        <f>SUMIFS(TableDay2[TotalHour],TableDay2[type],"E20",TableDay2[resolution],"PT15M",TableDay2[from_ga],"800")</f>
        <v>0</v>
      </c>
      <c r="U7" s="42">
        <f>SUMIFS(TableDay2[Quarter1],TableDay2[type],"E20",TableDay2[resolution],"PT15M",TableDay2[from_ga],"800")</f>
        <v>0</v>
      </c>
      <c r="V7" s="42">
        <f>SUMIFS(TableDay2[Quarter2],TableDay2[type],"E20",TableDay2[resolution],"PT15M",TableDay2[from_ga],"800")</f>
        <v>0</v>
      </c>
      <c r="W7" s="42">
        <f>SUMIFS(TableDay2[Quarter3],TableDay2[type],"E20",TableDay2[resolution],"PT15M",TableDay2[from_ga],"800")</f>
        <v>0</v>
      </c>
      <c r="X7" s="42">
        <f>SUMIFS(TableDay2[Quarter4],TableDay2[type],"E20",TableDay2[resolution],"PT15M",TableDay2[from_ga],"800")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25">
      <c r="C8" s="10"/>
      <c r="D8" s="10"/>
      <c r="E8" s="11"/>
      <c r="F8" s="12"/>
      <c r="G8" s="12"/>
      <c r="H8" s="41"/>
      <c r="I8" s="41"/>
      <c r="J8" s="43" t="str">
        <f t="shared" si="0"/>
        <v/>
      </c>
      <c r="K8" s="10"/>
      <c r="L8" s="10"/>
      <c r="M8" s="10"/>
      <c r="N8" s="10"/>
      <c r="O8" s="10"/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25">
      <c r="C9" s="10" t="s">
        <v>118</v>
      </c>
      <c r="D9" s="10" t="s">
        <v>102</v>
      </c>
      <c r="E9" s="11"/>
      <c r="F9" s="12">
        <v>3.0110000000000001</v>
      </c>
      <c r="G9" s="12"/>
      <c r="H9" s="41"/>
      <c r="I9" s="41"/>
      <c r="J9" s="43">
        <f t="shared" si="0"/>
        <v>3.0110000000000001</v>
      </c>
      <c r="K9" s="10" t="s">
        <v>91</v>
      </c>
      <c r="L9" s="10" t="s">
        <v>119</v>
      </c>
      <c r="M9" s="10" t="s">
        <v>120</v>
      </c>
      <c r="N9" s="10"/>
      <c r="O9" s="10" t="s">
        <v>94</v>
      </c>
      <c r="P9" s="29"/>
      <c r="Q9" s="29"/>
      <c r="R9" s="24"/>
      <c r="S9" s="25"/>
      <c r="T9" s="7" t="s">
        <v>10</v>
      </c>
      <c r="U9" s="7" t="s">
        <v>9</v>
      </c>
      <c r="V9" s="7" t="s">
        <v>84</v>
      </c>
      <c r="W9" s="7" t="s">
        <v>44</v>
      </c>
      <c r="X9" s="7" t="s">
        <v>45</v>
      </c>
      <c r="Y9" s="7" t="s">
        <v>46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25">
      <c r="C10" s="10"/>
      <c r="D10" s="10"/>
      <c r="E10" s="11"/>
      <c r="F10" s="12"/>
      <c r="G10" s="12"/>
      <c r="H10" s="41"/>
      <c r="I10" s="41"/>
      <c r="J10" s="43" t="str">
        <f t="shared" si="0"/>
        <v/>
      </c>
      <c r="K10" s="10"/>
      <c r="L10" s="10"/>
      <c r="M10" s="10"/>
      <c r="N10" s="10"/>
      <c r="O10" s="10"/>
      <c r="P10" s="29"/>
      <c r="Q10" s="29"/>
      <c r="R10" s="15" t="s">
        <v>73</v>
      </c>
      <c r="S10" s="26" t="str">
        <f>_xlfn.IFNA(INDEX(TableDay2[ga_id],MATCH(U10,TableDay2[es_id],0)),"")</f>
        <v>800</v>
      </c>
      <c r="T10" s="26" t="str">
        <f>_xlfn.IFNA(INDEX(TableDay2[brp_id],MATCH(U10,TableDay2[es_id],0)),"")</f>
        <v>3300000000000</v>
      </c>
      <c r="U10" s="26" t="str">
        <f>IF(AE$2=0,"",AE$2)</f>
        <v>3000000000000</v>
      </c>
      <c r="V10" s="20">
        <f>SUMIFS(TableDay2[TotalHour],TableDay2[es_id],U10,IF(B$2="production",TableDay2[type],TableDay2[settlement_method]),AG$2,TableDay2[resolution],"PT1H")/4</f>
        <v>1.25275</v>
      </c>
      <c r="W10" s="19">
        <f>V10</f>
        <v>1.25275</v>
      </c>
      <c r="X10" s="19"/>
      <c r="Y10" s="23">
        <f t="shared" ref="Y10:Y33" si="1">ROUND(W10, 3)</f>
        <v>1.2529999999999999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25">
      <c r="C11" s="10" t="s">
        <v>117</v>
      </c>
      <c r="D11" s="10" t="s">
        <v>103</v>
      </c>
      <c r="E11" s="11"/>
      <c r="F11" s="12">
        <v>2.1</v>
      </c>
      <c r="G11" s="12">
        <v>2.2000000000000002</v>
      </c>
      <c r="H11" s="41">
        <v>2.2999999999999998</v>
      </c>
      <c r="I11" s="41">
        <v>2.4</v>
      </c>
      <c r="J11" s="43">
        <f t="shared" si="0"/>
        <v>9</v>
      </c>
      <c r="K11" s="10" t="s">
        <v>106</v>
      </c>
      <c r="L11" s="10"/>
      <c r="M11" s="10"/>
      <c r="N11" s="10"/>
      <c r="O11" s="10" t="s">
        <v>95</v>
      </c>
      <c r="P11" s="29" t="s">
        <v>95</v>
      </c>
      <c r="Q11" s="29" t="s">
        <v>94</v>
      </c>
      <c r="R11" s="15" t="s">
        <v>74</v>
      </c>
      <c r="S11" s="26" t="str">
        <f>_xlfn.IFNA(INDEX(TableDay2[ga_id],MATCH(U11,TableDay2[es_id],0)),"")</f>
        <v>800</v>
      </c>
      <c r="T11" s="26" t="str">
        <f>_xlfn.IFNA(INDEX(TableDay2[brp_id],MATCH(U11,TableDay2[es_id],0)),"")</f>
        <v>3300000000000</v>
      </c>
      <c r="U11" s="26" t="str">
        <f t="shared" ref="U11:V13" si="2">U$10</f>
        <v>3000000000000</v>
      </c>
      <c r="V11" s="19">
        <f t="shared" si="2"/>
        <v>1.25275</v>
      </c>
      <c r="W11" s="19">
        <f>X11+W10</f>
        <v>1.2525000000000002</v>
      </c>
      <c r="X11" s="19">
        <f>V11-Y10</f>
        <v>-2.4999999999986144E-4</v>
      </c>
      <c r="Y11" s="23">
        <f t="shared" si="1"/>
        <v>1.2529999999999999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25">
      <c r="C12" s="10"/>
      <c r="D12" s="10"/>
      <c r="E12" s="11"/>
      <c r="F12" s="12"/>
      <c r="G12" s="12"/>
      <c r="H12" s="41"/>
      <c r="I12" s="41"/>
      <c r="J12" s="43" t="str">
        <f t="shared" si="0"/>
        <v/>
      </c>
      <c r="K12" s="10"/>
      <c r="L12" s="10"/>
      <c r="M12" s="10"/>
      <c r="N12" s="10"/>
      <c r="O12" s="10"/>
      <c r="P12" s="29"/>
      <c r="Q12" s="29"/>
      <c r="R12" s="15" t="s">
        <v>75</v>
      </c>
      <c r="S12" s="26" t="str">
        <f>_xlfn.IFNA(INDEX(TableDay2[ga_id],MATCH(U12,TableDay2[es_id],0)),"")</f>
        <v>800</v>
      </c>
      <c r="T12" s="26" t="str">
        <f>_xlfn.IFNA(INDEX(TableDay2[brp_id],MATCH(U12,TableDay2[es_id],0)),"")</f>
        <v>3300000000000</v>
      </c>
      <c r="U12" s="26" t="str">
        <f t="shared" si="2"/>
        <v>3000000000000</v>
      </c>
      <c r="V12" s="19">
        <f t="shared" si="2"/>
        <v>1.25275</v>
      </c>
      <c r="W12" s="19">
        <f>X12+W11</f>
        <v>1.2522500000000003</v>
      </c>
      <c r="X12" s="19">
        <f>V12-Y11</f>
        <v>-2.4999999999986144E-4</v>
      </c>
      <c r="Y12" s="23">
        <f t="shared" si="1"/>
        <v>1.252</v>
      </c>
      <c r="Z12" s="27"/>
      <c r="AA12" s="24"/>
      <c r="AC12" s="27"/>
      <c r="AD12" s="36"/>
      <c r="AE12" s="36" t="s">
        <v>110</v>
      </c>
      <c r="AF12" s="36" t="s">
        <v>111</v>
      </c>
      <c r="AG12" s="36"/>
      <c r="AH12" s="35"/>
      <c r="AI12" s="24"/>
      <c r="AJ12" s="24"/>
    </row>
    <row r="13" spans="1:92" x14ac:dyDescent="0.25">
      <c r="C13" s="10"/>
      <c r="D13" s="10"/>
      <c r="E13" s="11"/>
      <c r="F13" s="12"/>
      <c r="G13" s="12"/>
      <c r="H13" s="41"/>
      <c r="I13" s="41"/>
      <c r="J13" s="43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76</v>
      </c>
      <c r="S13" s="26" t="str">
        <f>_xlfn.IFNA(INDEX(TableDay2[ga_id],MATCH(U13,TableDay2[es_id],0)),"")</f>
        <v>800</v>
      </c>
      <c r="T13" s="26" t="str">
        <f>_xlfn.IFNA(INDEX(TableDay2[brp_id],MATCH(U13,TableDay2[es_id],0)),"")</f>
        <v>3300000000000</v>
      </c>
      <c r="U13" s="26" t="str">
        <f t="shared" si="2"/>
        <v>3000000000000</v>
      </c>
      <c r="V13" s="19">
        <f t="shared" si="2"/>
        <v>1.25275</v>
      </c>
      <c r="W13" s="19">
        <f>X13+W12</f>
        <v>1.2530000000000003</v>
      </c>
      <c r="X13" s="19">
        <f>V13-Y12</f>
        <v>7.5000000000002842E-4</v>
      </c>
      <c r="Y13" s="23">
        <f t="shared" si="1"/>
        <v>1.2529999999999999</v>
      </c>
      <c r="Z13" s="27"/>
      <c r="AA13" s="24"/>
      <c r="AC13" s="2"/>
      <c r="AD13" s="36"/>
      <c r="AE13" s="36" t="str" cm="1">
        <f t="array" ref="AE13:AE16">_xlfn._xlws.SORT(_xlfn.UNIQUE(_xlfn._xlws.FILTER(TableDay2[es_id],TableDay2[es_id] &lt;&gt; "")))</f>
        <v>1000000000000</v>
      </c>
      <c r="AF13" s="36" t="str" cm="1">
        <f t="array" ref="AF13:AF16">_xlfn._xlws.SORT(_xlfn.UNIQUE(_xlfn._xlws.FILTER(TableDay2[brp_id],TableDay2[brp_id] &lt;&gt; "")))</f>
        <v>1100000000000</v>
      </c>
      <c r="AG13" s="36"/>
      <c r="AH13" s="35"/>
    </row>
    <row r="14" spans="1:92" x14ac:dyDescent="0.25">
      <c r="C14" s="10"/>
      <c r="D14" s="10"/>
      <c r="E14" s="11"/>
      <c r="F14" s="12"/>
      <c r="G14" s="12"/>
      <c r="H14" s="41"/>
      <c r="I14" s="41"/>
      <c r="J14" s="43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73</v>
      </c>
      <c r="S14" s="26" t="str">
        <f>_xlfn.IFNA(INDEX(TableDay2[ga_id],MATCH(U14,TableDay2[es_id],0)),"")</f>
        <v/>
      </c>
      <c r="T14" s="26" t="str">
        <f>_xlfn.IFNA(INDEX(TableDay2[brp_id],MATCH(U14,TableDay2[es_id],0)),"")</f>
        <v/>
      </c>
      <c r="U14" s="26" t="str">
        <f>IF(AE$3=0,"",AE$3)</f>
        <v/>
      </c>
      <c r="V14" s="20">
        <f>SUMIFS(TableDay2[TotalHour],TableDay2[es_id],U14,IF(B$2="production",TableDay2[type],TableDay2[settlement_method]),AG$2,TableDay2[resolution],"PT1H")/4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25">
      <c r="C15" s="13"/>
      <c r="D15" s="10"/>
      <c r="E15" s="11"/>
      <c r="F15" s="12"/>
      <c r="G15" s="12"/>
      <c r="H15" s="41"/>
      <c r="I15" s="41"/>
      <c r="J15" s="43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74</v>
      </c>
      <c r="S15" s="26" t="str">
        <f>_xlfn.IFNA(INDEX(TableDay2[ga_id],MATCH(U15,TableDay2[es_id],0)),"")</f>
        <v/>
      </c>
      <c r="T15" s="26" t="str">
        <f>_xlfn.IFNA(INDEX(TableDay2[brp_id],MATCH(U15,TableDay2[es_id],0)),"")</f>
        <v/>
      </c>
      <c r="U15" s="26" t="str">
        <f t="shared" ref="U15:V17" si="3">U$14</f>
        <v/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 t="str">
        <v>3000000000000</v>
      </c>
      <c r="AF15" s="36" t="str">
        <v>3300000000000</v>
      </c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25">
      <c r="C16" s="13"/>
      <c r="D16" s="10"/>
      <c r="E16" s="11"/>
      <c r="F16" s="12"/>
      <c r="G16" s="12"/>
      <c r="H16" s="41"/>
      <c r="I16" s="41"/>
      <c r="J16" s="43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75</v>
      </c>
      <c r="S16" s="26" t="str">
        <f>_xlfn.IFNA(INDEX(TableDay2[ga_id],MATCH(U16,TableDay2[es_id],0)),"")</f>
        <v/>
      </c>
      <c r="T16" s="26" t="str">
        <f>_xlfn.IFNA(INDEX(TableDay2[brp_id],MATCH(U16,TableDay2[es_id],0)),"")</f>
        <v/>
      </c>
      <c r="U16" s="26" t="str">
        <f t="shared" si="3"/>
        <v/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 t="str">
        <v>4000000000000</v>
      </c>
      <c r="AF16" s="36" t="str">
        <v>4400000000000</v>
      </c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2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76</v>
      </c>
      <c r="S17" s="26" t="str">
        <f>_xlfn.IFNA(INDEX(TableDay2[ga_id],MATCH(U17,TableDay2[es_id],0)),"")</f>
        <v/>
      </c>
      <c r="T17" s="26" t="str">
        <f>_xlfn.IFNA(INDEX(TableDay2[brp_id],MATCH(U17,TableDay2[es_id],0)),"")</f>
        <v/>
      </c>
      <c r="U17" s="26" t="str">
        <f t="shared" si="3"/>
        <v/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2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73</v>
      </c>
      <c r="S18" s="26" t="str">
        <f>_xlfn.IFNA(INDEX(TableDay2[ga_id],MATCH(U18,TableDay2[es_id],0)),"")</f>
        <v/>
      </c>
      <c r="T18" s="26" t="str">
        <f>_xlfn.IFNA(INDEX(TableDay2[brp_id],MATCH(U18,TableDay2[es_id],0)),"")</f>
        <v/>
      </c>
      <c r="U18" s="26" t="str">
        <f>IF(AE$4=0,"",AE$4)</f>
        <v/>
      </c>
      <c r="V18" s="20">
        <f>SUMIFS(TableDay2[TotalHour],TableDay2[es_id],U18,IF(B$2="production",TableDay2[type],TableDay2[settlement_method]),AG$2,TableDay2[resolution],"PT1H")/4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2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74</v>
      </c>
      <c r="S19" s="26" t="str">
        <f>_xlfn.IFNA(INDEX(TableDay2[ga_id],MATCH(U19,TableDay2[es_id],0)),"")</f>
        <v/>
      </c>
      <c r="T19" s="26" t="str">
        <f>_xlfn.IFNA(INDEX(TableDay2[brp_id],MATCH(U19,TableDay2[es_id],0)),"")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25" x14ac:dyDescent="0.35">
      <c r="E20" s="44" t="str">
        <f>CONCATENATE(B2,"_per_",B1)</f>
        <v>nonprofiled_consumption_per_ga_brp_es</v>
      </c>
      <c r="F20" s="44"/>
      <c r="G20" s="44"/>
      <c r="H20" s="44"/>
      <c r="I20" s="45" t="s">
        <v>21</v>
      </c>
      <c r="J20" s="46"/>
      <c r="K20" s="47"/>
      <c r="R20" s="15" t="s">
        <v>75</v>
      </c>
      <c r="S20" s="26" t="str">
        <f>_xlfn.IFNA(INDEX(TableDay2[ga_id],MATCH(U20,TableDay2[es_id],0)),"")</f>
        <v/>
      </c>
      <c r="T20" s="26" t="str">
        <f>_xlfn.IFNA(INDEX(TableDay2[brp_id],MATCH(U20,TableDay2[es_id],0)),"")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75" x14ac:dyDescent="0.3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77</v>
      </c>
      <c r="L21" s="2"/>
      <c r="M21" s="2"/>
      <c r="N21" s="2"/>
      <c r="O21" s="2"/>
      <c r="P21" s="2"/>
      <c r="Q21" s="2"/>
      <c r="R21" s="15" t="s">
        <v>76</v>
      </c>
      <c r="S21" s="26" t="str">
        <f>_xlfn.IFNA(INDEX(TableDay2[ga_id],MATCH(U21,TableDay2[es_id],0)),"")</f>
        <v/>
      </c>
      <c r="T21" s="26" t="str">
        <f>_xlfn.IFNA(INDEX(TableDay2[brp_id],MATCH(U21,TableDay2[es_id],0)),"")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25">
      <c r="A22" s="2"/>
      <c r="B22" s="16" t="str">
        <f>IF(AND(F22&lt;&gt;"null",F22&lt;&gt;""),IF(F22=INDEX(TableDay2[es_id],MATCH("GLMP",TableDay2[note],0),1),"glmp",""),IF(AND(G22&lt;&gt;"null",G22&lt;&gt;""),IF(G22=INDEX(TableDay2[brp_id],MATCH("GLMP",TableDay2[note],0),1),"glmp",""),IF(E22=INDEX(TableDay2[ga_id],MATCH("GLMP",TableDay2[note],0),1),"glmp","")))</f>
        <v/>
      </c>
      <c r="C22" s="16" t="str">
        <f>IF(AND(F22&lt;&gt;"null",F22&lt;&gt;""),IF(F22=INDEX(TableDay2[es_id],MATCH("SKMP",TableDay2[note],0),1),"skmp",""),IF(AND(G22&lt;&gt;"null",G22&lt;&gt;""),IF(G22=INDEX(TableDay2[brp_id],MATCH("SKMP",TableDay2[note],0),1),"skmp",""),IF(E22=INDEX(TableDay2[ga_id],MATCH("SKMP",TableDay2[note],0),1),"skmp","")))</f>
        <v/>
      </c>
      <c r="D22" s="15" t="s">
        <v>73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3000000000000</v>
      </c>
      <c r="G22" s="31" t="str">
        <f>IF(B$1="ga",IF(E22="","","null"),IF(B$1="ga_es",IF(F22="","","null"),IF(B$1="ga_brp",IF(AF$2=0,"",AF$2),IF(F22="","",INDEX(TableDay2[brp_id],MATCH(F22,TableDay2[es_id],0),1)))))</f>
        <v>3300000000000</v>
      </c>
      <c r="H22" s="33" t="str">
        <f t="shared" ref="H22:H45" ca="1" si="5">SUBSTITUTE(IF(E22="","",I22+J22+K22),",",".")</f>
        <v>1.253</v>
      </c>
      <c r="I22" s="9">
        <f>SUMIFS(Y$10:Y$33,IF(OR(B$1="ga_es",B$1="ga_brp_es"),U$10:U$33,IF(B$1="ga_brp",T$10:T$33,S$10:S$33)),IF(OR(B$1="ga_es",B$1="ga_brp_es"),F22,IF(B$1="ga_brp",G22,E22)),R$10:R$33,D22)</f>
        <v>1.2529999999999999</v>
      </c>
      <c r="J22" s="9">
        <f ca="1">SUMIFS(INDIRECT(ADDRESS(2,MATCH(D22,$1:$1,0),4,1)&amp;":"&amp;ADDRESS(19,MATCH(D22,$1:$1,0),4,1)),IF(OR(B$1="ga_es",B$1="ga_brp_es"),TableDay2[es_id],IF(B$1="ga_brp",TableDay2[brp_id],TableDay2[ga_id])),IF(OR(B$1="ga_es",B$1="ga_brp_es"),F22,IF(B$1="ga_brp",G22,E22)),IF(B$2="production",TableDay2[type],TableDay2[settlement_method]),AG$2,TableDay2[resolution],"PT15M")</f>
        <v>0</v>
      </c>
      <c r="K22" s="9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73</v>
      </c>
      <c r="S22" s="26" t="str">
        <f>_xlfn.IFNA(INDEX(TableDay2[ga_id],MATCH(U22,TableDay2[es_id],0)),"")</f>
        <v/>
      </c>
      <c r="T22" s="26" t="str">
        <f>_xlfn.IFNA(INDEX(TableDay2[brp_id],MATCH(U22,TableDay2[es_id],0)),"")</f>
        <v/>
      </c>
      <c r="U22" s="26" t="str">
        <f>IF(AE$5=0,"",AE$5)</f>
        <v/>
      </c>
      <c r="V22" s="20">
        <f>SUMIFS(TableDay2[TotalHour],TableDay2[es_id],U22,IF(B$2="production",TableDay2[type],TableDay2[settlement_method]),AG$2,TableDay2[resolution],"PT1H")/4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25">
      <c r="B23" s="16" t="str">
        <f>IF(AND(F23&lt;&gt;"null",F23&lt;&gt;""),IF(F23=INDEX(TableDay2[es_id],MATCH("GLMP",TableDay2[note],0),1),"glmp",""),IF(AND(G23&lt;&gt;"null",G23&lt;&gt;""),IF(G23=INDEX(TableDay2[brp_id],MATCH("GLMP",TableDay2[note],0),1),"glmp",""),IF(E23=INDEX(TableDay2[ga_id],MATCH("GLMP",TableDay2[note],0),1),"glmp","")))</f>
        <v/>
      </c>
      <c r="C23" s="16" t="str">
        <f>IF(AND(F23&lt;&gt;"null",F23&lt;&gt;""),IF(F23=INDEX(TableDay2[es_id],MATCH("SKMP",TableDay2[note],0),1),"skmp",""),IF(AND(G23&lt;&gt;"null",G23&lt;&gt;""),IF(G23=INDEX(TableDay2[brp_id],MATCH("SKMP",TableDay2[note],0),1),"skmp",""),IF(E23=INDEX(TableDay2[ga_id],MATCH("SKMP",TableDay2[note],0),1),"skmp","")))</f>
        <v/>
      </c>
      <c r="D23" s="15" t="s">
        <v>74</v>
      </c>
      <c r="E23" s="31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3000000000000</v>
      </c>
      <c r="G23" s="31" t="str">
        <f>IF(B$1="ga",IF(E23="","","null"),IF(B$1="ga_es",IF(F23="","","null"),IF(B$1="ga_brp",IF(AF$2=0,"",AF$2),IF(F23="","",INDEX(TableDay2[brp_id],MATCH(F23,TableDay2[es_id],0),1)))))</f>
        <v>3300000000000</v>
      </c>
      <c r="H23" s="33" t="str">
        <f t="shared" ca="1" si="5"/>
        <v>1.253</v>
      </c>
      <c r="I23" s="9">
        <f t="shared" ref="I23:I45" si="8">SUMIFS(Y$10:Y$33,IF(OR(B$1="ga_es",B$1="ga_brp_es"),U$10:U$33,IF(B$1="ga_brp",T$10:T$33,S$10:S$33)),IF(OR(B$1="ga_es",B$1="ga_brp_es"),F23,IF(B$1="ga_brp",G23,E23)),R$10:R$33,D23)</f>
        <v>1.2529999999999999</v>
      </c>
      <c r="J23" s="9">
        <f ca="1">SUMIFS(INDIRECT(ADDRESS(2,MATCH(D23,$1:$1,0),4,1)&amp;":"&amp;ADDRESS(19,MATCH(D23,$1:$1,0),4,1)),IF(OR(B$1="ga_es",B$1="ga_brp_es"),TableDay2[es_id],IF(B$1="ga_brp",TableDay2[brp_id],TableDay2[ga_id])),IF(OR(B$1="ga_es",B$1="ga_brp_es"),F23,IF(B$1="ga_brp",G23,E23)),IF(B$2="production",TableDay2[type],TableDay2[settlement_method]),AG$2,TableDay2[resolution],"PT15M")</f>
        <v>0</v>
      </c>
      <c r="K23" s="9">
        <f t="shared" si="6"/>
        <v>0</v>
      </c>
      <c r="L23" s="2"/>
      <c r="M23" s="2"/>
      <c r="N23" s="2"/>
      <c r="O23" s="2"/>
      <c r="P23" s="2"/>
      <c r="Q23" s="2"/>
      <c r="R23" s="15" t="s">
        <v>74</v>
      </c>
      <c r="S23" s="26" t="str">
        <f>_xlfn.IFNA(INDEX(TableDay2[ga_id],MATCH(U23,TableDay2[es_id],0)),"")</f>
        <v/>
      </c>
      <c r="T23" s="26" t="str">
        <f>_xlfn.IFNA(INDEX(TableDay2[brp_id],MATCH(U23,TableDay2[es_id],0)),"")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25">
      <c r="B24" s="16" t="str">
        <f>IF(AND(F24&lt;&gt;"null",F24&lt;&gt;""),IF(F24=INDEX(TableDay2[es_id],MATCH("GLMP",TableDay2[note],0),1),"glmp",""),IF(AND(G24&lt;&gt;"null",G24&lt;&gt;""),IF(G24=INDEX(TableDay2[brp_id],MATCH("GLMP",TableDay2[note],0),1),"glmp",""),IF(E24=INDEX(TableDay2[ga_id],MATCH("GLMP",TableDay2[note],0),1),"glmp","")))</f>
        <v/>
      </c>
      <c r="C24" s="16" t="str">
        <f>IF(AND(F24&lt;&gt;"null",F24&lt;&gt;""),IF(F24=INDEX(TableDay2[es_id],MATCH("SKMP",TableDay2[note],0),1),"skmp",""),IF(AND(G24&lt;&gt;"null",G24&lt;&gt;""),IF(G24=INDEX(TableDay2[brp_id],MATCH("SKMP",TableDay2[note],0),1),"skmp",""),IF(E24=INDEX(TableDay2[ga_id],MATCH("SKMP",TableDay2[note],0),1),"skmp","")))</f>
        <v/>
      </c>
      <c r="D24" s="15" t="s">
        <v>75</v>
      </c>
      <c r="E24" s="31" t="str">
        <f t="shared" si="7"/>
        <v>800</v>
      </c>
      <c r="F24" s="31" t="str">
        <f>IF(B$1="ga",IF(E24="","","null"),IF(OR(B$1="ga_es",B$1="ga_brp_es"),IF(AE$2=0,"",AE$2),IF(B$1="ga_brp",IF(G24="","","null"))))</f>
        <v>3000000000000</v>
      </c>
      <c r="G24" s="31" t="str">
        <f>IF(B$1="ga",IF(E24="","","null"),IF(B$1="ga_es",IF(F24="","","null"),IF(B$1="ga_brp",IF(AF$2=0,"",AF$2),IF(F24="","",INDEX(TableDay2[brp_id],MATCH(F24,TableDay2[es_id],0),1)))))</f>
        <v>3300000000000</v>
      </c>
      <c r="H24" s="33" t="str">
        <f t="shared" ca="1" si="5"/>
        <v>1.252</v>
      </c>
      <c r="I24" s="9">
        <f t="shared" si="8"/>
        <v>1.252</v>
      </c>
      <c r="J24" s="9">
        <f ca="1">SUMIFS(INDIRECT(ADDRESS(2,MATCH(D24,$1:$1,0),4,1)&amp;":"&amp;ADDRESS(19,MATCH(D24,$1:$1,0),4,1)),IF(OR(B$1="ga_es",B$1="ga_brp_es"),TableDay2[es_id],IF(B$1="ga_brp",TableDay2[brp_id],TableDay2[ga_id])),IF(OR(B$1="ga_es",B$1="ga_brp_es"),F24,IF(B$1="ga_brp",G24,E24)),IF(B$2="production",TableDay2[type],TableDay2[settlement_method]),AG$2,TableDay2[resolution],"PT15M")</f>
        <v>0</v>
      </c>
      <c r="K24" s="9">
        <f t="shared" si="6"/>
        <v>0</v>
      </c>
      <c r="L24" s="2"/>
      <c r="M24" s="2"/>
      <c r="N24" s="2"/>
      <c r="O24" s="2"/>
      <c r="P24" s="2"/>
      <c r="Q24" s="2"/>
      <c r="R24" s="15" t="s">
        <v>75</v>
      </c>
      <c r="S24" s="26" t="str">
        <f>_xlfn.IFNA(INDEX(TableDay2[ga_id],MATCH(U24,TableDay2[es_id],0)),"")</f>
        <v/>
      </c>
      <c r="T24" s="26" t="str">
        <f>_xlfn.IFNA(INDEX(TableDay2[brp_id],MATCH(U24,TableDay2[es_id],0)),"")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_xlfn._xlws.SORT(_xlfn.UNIQUE(IFERROR(INDEX(_xlfn._xlws.FILTER(TableDay2[[type]:[brp_id]],(TableDay2[es_id]=AE6)*(TableDay2[settlement_method]="D01"),""),,6),"")))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25">
      <c r="B25" s="16" t="str">
        <f>IF(AND(F25&lt;&gt;"null",F25&lt;&gt;""),IF(F25=INDEX(TableDay2[es_id],MATCH("GLMP",TableDay2[note],0),1),"glmp",""),IF(AND(G25&lt;&gt;"null",G25&lt;&gt;""),IF(G25=INDEX(TableDay2[brp_id],MATCH("GLMP",TableDay2[note],0),1),"glmp",""),IF(E25=INDEX(TableDay2[ga_id],MATCH("GLMP",TableDay2[note],0),1),"glmp","")))</f>
        <v/>
      </c>
      <c r="C25" s="16" t="str">
        <f>IF(AND(F25&lt;&gt;"null",F25&lt;&gt;""),IF(F25=INDEX(TableDay2[es_id],MATCH("SKMP",TableDay2[note],0),1),"skmp",""),IF(AND(G25&lt;&gt;"null",G25&lt;&gt;""),IF(G25=INDEX(TableDay2[brp_id],MATCH("SKMP",TableDay2[note],0),1),"skmp",""),IF(E25=INDEX(TableDay2[ga_id],MATCH("SKMP",TableDay2[note],0),1),"skmp","")))</f>
        <v/>
      </c>
      <c r="D25" s="15" t="s">
        <v>76</v>
      </c>
      <c r="E25" s="31" t="str">
        <f t="shared" si="7"/>
        <v>800</v>
      </c>
      <c r="F25" s="31" t="str">
        <f>IF(B$1="ga",IF(E25="","","null"),IF(OR(B$1="ga_es",B$1="ga_brp_es"),IF(AE$2=0,"",AE$2),IF(B$1="ga_brp",IF(G25="","","null"))))</f>
        <v>3000000000000</v>
      </c>
      <c r="G25" s="31" t="str">
        <f>IF(B$1="ga",IF(E25="","","null"),IF(B$1="ga_es",IF(F25="","","null"),IF(B$1="ga_brp",IF(AF$2=0,"",AF$2),IF(F25="","",INDEX(TableDay2[brp_id],MATCH(F25,TableDay2[es_id],0),1)))))</f>
        <v>3300000000000</v>
      </c>
      <c r="H25" s="33" t="str">
        <f t="shared" ca="1" si="5"/>
        <v>1.253</v>
      </c>
      <c r="I25" s="9">
        <f t="shared" si="8"/>
        <v>1.2529999999999999</v>
      </c>
      <c r="J25" s="9">
        <f ca="1">SUMIFS(INDIRECT(ADDRESS(2,MATCH(D25,$1:$1,0),4,1)&amp;":"&amp;ADDRESS(19,MATCH(D25,$1:$1,0),4,1)),IF(OR(B$1="ga_es",B$1="ga_brp_es"),TableDay2[es_id],IF(B$1="ga_brp",TableDay2[brp_id],TableDay2[ga_id])),IF(OR(B$1="ga_es",B$1="ga_brp_es"),F25,IF(B$1="ga_brp",G25,E25)),IF(B$2="production",TableDay2[type],TableDay2[settlement_method]),AG$2,TableDay2[resolution],"PT15M")</f>
        <v>0</v>
      </c>
      <c r="K25" s="9">
        <f t="shared" si="6"/>
        <v>0</v>
      </c>
      <c r="L25" s="37"/>
      <c r="M25" s="2"/>
      <c r="N25" s="2"/>
      <c r="O25" s="2"/>
      <c r="P25" s="2"/>
      <c r="Q25" s="2"/>
      <c r="R25" s="15" t="s">
        <v>76</v>
      </c>
      <c r="S25" s="26" t="str">
        <f>_xlfn.IFNA(INDEX(TableDay2[ga_id],MATCH(U25,TableDay2[es_id],0)),"")</f>
        <v/>
      </c>
      <c r="T25" s="26" t="str">
        <f>_xlfn.IFNA(INDEX(TableDay2[brp_id],MATCH(U25,TableDay2[es_id],0)),"")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_xlfn._xlws.SORT(_xlfn.UNIQUE(IFERROR(INDEX(_xlfn._xlws.FILTER(TableDay2[[type]:[brp_id]],(TableDay2[es_id]=AE7)*(TableDay2[settlement_method]="D01"),""),,6),"")))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25">
      <c r="B26" s="16" t="str">
        <f>IF(AND(F26&lt;&gt;"null",F26&lt;&gt;""),IF(F26=INDEX(TableDay2[es_id],MATCH("GLMP",TableDay2[note],0),1),"glmp",""),IF(AND(G26&lt;&gt;"null",G26&lt;&gt;""),IF(G26=INDEX(TableDay2[brp_id],MATCH("GLMP",TableDay2[note],0),1),"glmp",""),IF(E26=INDEX(TableDay2[ga_id],MATCH("GLMP",TableDay2[note],0),1),"glmp","")))</f>
        <v/>
      </c>
      <c r="C26" s="16" t="str">
        <f>IF(AND(F26&lt;&gt;"null",F26&lt;&gt;""),IF(F26=INDEX(TableDay2[es_id],MATCH("SKMP",TableDay2[note],0),1),"skmp",""),IF(AND(G26&lt;&gt;"null",G26&lt;&gt;""),IF(G26=INDEX(TableDay2[brp_id],MATCH("SKMP",TableDay2[note],0),1),"skmp",""),IF(E26=INDEX(TableDay2[ga_id],MATCH("SKMP",TableDay2[note],0),1),"skmp","")))</f>
        <v/>
      </c>
      <c r="D26" s="15" t="s">
        <v>73</v>
      </c>
      <c r="E26" s="31" t="str">
        <f t="shared" si="7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IF(B$1="ga",IF(E26="","","null"),IF(B$1="ga_es",IF(F26="","","null"),IF(B$1="ga_brp",IF(AF$3=0,"",AF$3),IF(F26="","",INDEX(TableDay2[brp_id],MATCH(F26,TableDay2[es_id],0),1)))))</f>
        <v/>
      </c>
      <c r="H26" s="33" t="str">
        <f t="shared" si="5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leDay2[es_id],IF(B$1="ga_brp",TableDay2[brp_id],TableDay2[ga_id])),IF(OR(B$1="ga_es",B$1="ga_brp_es"),F26,IF(B$1="ga_brp",G26,E26)),IF(B$2="production",TableDay2[type],TableDay2[settlement_method]),AG$2,TableDay2[resolution],"PT15M")</f>
        <v>0</v>
      </c>
      <c r="K26" s="9">
        <f t="shared" si="6"/>
        <v>0</v>
      </c>
      <c r="L26" s="2"/>
      <c r="M26" s="2"/>
      <c r="N26" s="2"/>
      <c r="O26" s="2"/>
      <c r="P26" s="2"/>
      <c r="Q26" s="2"/>
      <c r="R26" s="15" t="s">
        <v>73</v>
      </c>
      <c r="S26" s="26" t="str">
        <f>_xlfn.IFNA(INDEX(TableDay2[ga_id],MATCH(U26,TableDay2[es_id],0)),"")</f>
        <v/>
      </c>
      <c r="T26" s="26" t="str">
        <f>_xlfn.IFNA(INDEX(TableDay2[brp_id],MATCH(U26,TableDay2[es_id],0)),"")</f>
        <v/>
      </c>
      <c r="U26" s="26" t="str">
        <f>IF(AE$6=0,"",AE$6)</f>
        <v/>
      </c>
      <c r="V26" s="20">
        <f>SUMIFS(TableDay2[TotalHour],TableDay2[es_id],U26,IF(B$2="production",TableDay2[type],TableDay2[settlement_method]),AG$2,TableDay2[resolution],"PT1H")/4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25">
      <c r="B27" s="16" t="str">
        <f>IF(AND(F27&lt;&gt;"null",F27&lt;&gt;""),IF(F27=INDEX(TableDay2[es_id],MATCH("GLMP",TableDay2[note],0),1),"glmp",""),IF(AND(G27&lt;&gt;"null",G27&lt;&gt;""),IF(G27=INDEX(TableDay2[brp_id],MATCH("GLMP",TableDay2[note],0),1),"glmp",""),IF(E27=INDEX(TableDay2[ga_id],MATCH("GLMP",TableDay2[note],0),1),"glmp","")))</f>
        <v/>
      </c>
      <c r="C27" s="16" t="str">
        <f>IF(AND(F27&lt;&gt;"null",F27&lt;&gt;""),IF(F27=INDEX(TableDay2[es_id],MATCH("SKMP",TableDay2[note],0),1),"skmp",""),IF(AND(G27&lt;&gt;"null",G27&lt;&gt;""),IF(G27=INDEX(TableDay2[brp_id],MATCH("SKMP",TableDay2[note],0),1),"skmp",""),IF(E27=INDEX(TableDay2[ga_id],MATCH("SKMP",TableDay2[note],0),1),"skmp","")))</f>
        <v/>
      </c>
      <c r="D27" s="15" t="s">
        <v>74</v>
      </c>
      <c r="E27" s="31" t="str">
        <f t="shared" si="7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IF(B$1="ga",IF(E27="","","null"),IF(B$1="ga_es",IF(F27="","","null"),IF(B$1="ga_brp",IF(AF$3=0,"",AF$3),IF(F27="","",INDEX(TableDay2[brp_id],MATCH(F27,TableDay2[es_id],0),1)))))</f>
        <v/>
      </c>
      <c r="H27" s="33" t="str">
        <f t="shared" si="5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leDay2[es_id],IF(B$1="ga_brp",TableDay2[brp_id],TableDay2[ga_id])),IF(OR(B$1="ga_es",B$1="ga_brp_es"),F27,IF(B$1="ga_brp",G27,E27)),IF(B$2="production",TableDay2[type],TableDay2[settlement_method]),AG$2,TableDay2[resolution],"PT15M")</f>
        <v>0</v>
      </c>
      <c r="K27" s="9">
        <f t="shared" si="6"/>
        <v>0</v>
      </c>
      <c r="L27" s="2"/>
      <c r="M27" s="2"/>
      <c r="N27" s="2"/>
      <c r="O27" s="2"/>
      <c r="P27" s="2"/>
      <c r="Q27" s="2"/>
      <c r="R27" s="15" t="s">
        <v>74</v>
      </c>
      <c r="S27" s="26" t="str">
        <f>_xlfn.IFNA(INDEX(TableDay2[ga_id],MATCH(U27,TableDay2[es_id],0)),"")</f>
        <v/>
      </c>
      <c r="T27" s="26" t="str">
        <f>_xlfn.IFNA(INDEX(TableDay2[brp_id],MATCH(U27,TableDay2[es_id],0)),"")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nonprofiled_consumption</v>
      </c>
      <c r="AF27" s="36" t="str">
        <f>_xlfn.CONCAT("Balance responsibles for "&amp;B2)</f>
        <v>Balance responsibles for nonprofiled_consumption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25">
      <c r="B28" s="16" t="str">
        <f>IF(AND(F28&lt;&gt;"null",F28&lt;&gt;""),IF(F28=INDEX(TableDay2[es_id],MATCH("GLMP",TableDay2[note],0),1),"glmp",""),IF(AND(G28&lt;&gt;"null",G28&lt;&gt;""),IF(G28=INDEX(TableDay2[brp_id],MATCH("GLMP",TableDay2[note],0),1),"glmp",""),IF(E28=INDEX(TableDay2[ga_id],MATCH("GLMP",TableDay2[note],0),1),"glmp","")))</f>
        <v/>
      </c>
      <c r="C28" s="16" t="str">
        <f>IF(AND(F28&lt;&gt;"null",F28&lt;&gt;""),IF(F28=INDEX(TableDay2[es_id],MATCH("SKMP",TableDay2[note],0),1),"skmp",""),IF(AND(G28&lt;&gt;"null",G28&lt;&gt;""),IF(G28=INDEX(TableDay2[brp_id],MATCH("SKMP",TableDay2[note],0),1),"skmp",""),IF(E28=INDEX(TableDay2[ga_id],MATCH("SKMP",TableDay2[note],0),1),"skmp","")))</f>
        <v/>
      </c>
      <c r="D28" s="15" t="s">
        <v>75</v>
      </c>
      <c r="E28" s="31" t="str">
        <f t="shared" si="7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IF(B$1="ga",IF(E28="","","null"),IF(B$1="ga_es",IF(F28="","","null"),IF(B$1="ga_brp",IF(AF$3=0,"",AF$3),IF(F28="","",INDEX(TableDay2[brp_id],MATCH(F28,TableDay2[es_id],0),1)))))</f>
        <v/>
      </c>
      <c r="H28" s="33" t="str">
        <f t="shared" si="5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leDay2[es_id],IF(B$1="ga_brp",TableDay2[brp_id],TableDay2[ga_id])),IF(OR(B$1="ga_es",B$1="ga_brp_es"),F28,IF(B$1="ga_brp",G28,E28)),IF(B$2="production",TableDay2[type],TableDay2[settlement_method]),AG$2,TableDay2[resolution],"PT15M")</f>
        <v>0</v>
      </c>
      <c r="K28" s="9">
        <f t="shared" si="6"/>
        <v>0</v>
      </c>
      <c r="L28" s="2"/>
      <c r="M28" s="2"/>
      <c r="N28" s="2"/>
      <c r="O28" s="2"/>
      <c r="P28" s="2"/>
      <c r="Q28" s="2"/>
      <c r="R28" s="15" t="s">
        <v>75</v>
      </c>
      <c r="S28" s="26" t="str">
        <f>_xlfn.IFNA(INDEX(TableDay2[ga_id],MATCH(U28,TableDay2[es_id],0)),"")</f>
        <v/>
      </c>
      <c r="T28" s="26" t="str">
        <f>_xlfn.IFNA(INDEX(TableDay2[brp_id],MATCH(U28,TableDay2[es_id],0)),"")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IFERROR(IF($B$2="production",INDEX(_xlfn._xlws.FILTER(TableDay2[[type]:[brp_id]],(TableDay2[es_id]=AE13)*(TableDay2[type]="E18"),""),,9),INDEX(_xlfn._xlws.FILTER(TableDay2[[type]:[brp_id]],(TableDay2[es_id]=AE13)*(TableDay2[settlement_method]=AG$2),""),,9)),"")</f>
        <v/>
      </c>
      <c r="AF28" s="36" t="str" cm="1">
        <f t="array" ref="AF28">IFERROR(IF($B$2="production",_xlfn.UNIQUE(INDEX(_xlfn._xlws.FILTER(TableDay2[[type]:[brp_id]],(TableDay2[brp_id]=AF13)*(TableDay2[type]=$AG$2),""),,10)),_xlfn.UNIQUE(INDEX(_xlfn._xlws.FILTER(TableDay2[[type]:[brp_id]],(TableDay2[brp_id]=AF13)*(TableDay2[settlement_method]=AG$2),""),,10))),"")</f>
        <v/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25">
      <c r="B29" s="16" t="str">
        <f>IF(AND(F29&lt;&gt;"null",F29&lt;&gt;""),IF(F29=INDEX(TableDay2[es_id],MATCH("GLMP",TableDay2[note],0),1),"glmp",""),IF(AND(G29&lt;&gt;"null",G29&lt;&gt;""),IF(G29=INDEX(TableDay2[brp_id],MATCH("GLMP",TableDay2[note],0),1),"glmp",""),IF(E29=INDEX(TableDay2[ga_id],MATCH("GLMP",TableDay2[note],0),1),"glmp","")))</f>
        <v/>
      </c>
      <c r="C29" s="16" t="str">
        <f>IF(AND(F29&lt;&gt;"null",F29&lt;&gt;""),IF(F29=INDEX(TableDay2[es_id],MATCH("SKMP",TableDay2[note],0),1),"skmp",""),IF(AND(G29&lt;&gt;"null",G29&lt;&gt;""),IF(G29=INDEX(TableDay2[brp_id],MATCH("SKMP",TableDay2[note],0),1),"skmp",""),IF(E29=INDEX(TableDay2[ga_id],MATCH("SKMP",TableDay2[note],0),1),"skmp","")))</f>
        <v/>
      </c>
      <c r="D29" s="15" t="s">
        <v>76</v>
      </c>
      <c r="E29" s="31" t="str">
        <f t="shared" si="7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IF(B$1="ga",IF(E29="","","null"),IF(B$1="ga_es",IF(F29="","","null"),IF(B$1="ga_brp",IF(AF$3=0,"",AF$3),IF(F29="","",INDEX(TableDay2[brp_id],MATCH(F29,TableDay2[es_id],0),1)))))</f>
        <v/>
      </c>
      <c r="H29" s="33" t="str">
        <f t="shared" si="5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leDay2[es_id],IF(B$1="ga_brp",TableDay2[brp_id],TableDay2[ga_id])),IF(OR(B$1="ga_es",B$1="ga_brp_es"),F29,IF(B$1="ga_brp",G29,E29)),IF(B$2="production",TableDay2[type],TableDay2[settlement_method]),AG$2,TableDay2[resolution],"PT15M")</f>
        <v>0</v>
      </c>
      <c r="K29" s="9">
        <f t="shared" si="6"/>
        <v>0</v>
      </c>
      <c r="L29" s="2"/>
      <c r="R29" s="15" t="s">
        <v>76</v>
      </c>
      <c r="S29" s="26" t="str">
        <f>_xlfn.IFNA(INDEX(TableDay2[ga_id],MATCH(U29,TableDay2[es_id],0)),"")</f>
        <v/>
      </c>
      <c r="T29" s="26" t="str">
        <f>_xlfn.IFNA(INDEX(TableDay2[brp_id],MATCH(U29,TableDay2[es_id],0)),"")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F29" s="36" t="str" cm="1">
        <f t="array" ref="AF29">IFERROR(IF($B$2="production",_xlfn.UNIQUE(INDEX(_xlfn._xlws.FILTER(TableDay2[[type]:[brp_id]],(TableDay2[brp_id]=AF14)*(TableDay2[type]=$AG$2),""),,10)),_xlfn.UNIQUE(INDEX(_xlfn._xlws.FILTER(TableDay2[[type]:[brp_id]],(TableDay2[brp_id]=AF14)*(TableDay2[settlement_method]=AG$2),""),,10))),"")</f>
        <v/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25">
      <c r="B30" s="16" t="str">
        <f>IF(AND(F30&lt;&gt;"null",F30&lt;&gt;""),IF(F30=INDEX(TableDay2[es_id],MATCH("GLMP",TableDay2[note],0),1),"glmp",""),IF(AND(G30&lt;&gt;"null",G30&lt;&gt;""),IF(G30=INDEX(TableDay2[brp_id],MATCH("GLMP",TableDay2[note],0),1),"glmp",""),IF(E30=INDEX(TableDay2[ga_id],MATCH("GLMP",TableDay2[note],0),1),"glmp","")))</f>
        <v/>
      </c>
      <c r="C30" s="16" t="str">
        <f>IF(AND(F30&lt;&gt;"null",F30&lt;&gt;""),IF(F30=INDEX(TableDay2[es_id],MATCH("SKMP",TableDay2[note],0),1),"skmp",""),IF(AND(G30&lt;&gt;"null",G30&lt;&gt;""),IF(G30=INDEX(TableDay2[brp_id],MATCH("SKMP",TableDay2[note],0),1),"skmp",""),IF(E30=INDEX(TableDay2[ga_id],MATCH("SKMP",TableDay2[note],0),1),"skmp","")))</f>
        <v/>
      </c>
      <c r="D30" s="15" t="s">
        <v>73</v>
      </c>
      <c r="E30" s="31" t="str">
        <f t="shared" si="7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IF(B$1="ga",IF(E30="","","null"),IF(B$1="ga_es",IF(F30="","","null"),IF(B$1="ga_brp",IF(AF$4=0,"",AF$4),IF(F30="","",INDEX(TableDay2[brp_id],MATCH(F30,TableDay2[es_id],0),1)))))</f>
        <v/>
      </c>
      <c r="H30" s="33" t="str">
        <f t="shared" si="5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2[es_id],IF(B$1="ga_brp",TableDay2[brp_id],TableDay2[ga_id])),IF(OR(B$1="ga_es",B$1="ga_brp_es"),F30,IF(B$1="ga_brp",G30,E30)),IF(B$2="production",TableDay2[type],TableDay2[settlement_method]),AG$2,TableDay2[resolution],"PT15M")</f>
        <v>0</v>
      </c>
      <c r="K30" s="9">
        <f t="shared" si="6"/>
        <v>0</v>
      </c>
      <c r="L30" s="2"/>
      <c r="R30" s="15" t="s">
        <v>73</v>
      </c>
      <c r="S30" s="26" t="str">
        <f>_xlfn.IFNA(INDEX(TableDay2[ga_id],MATCH(U30,TableDay2[es_id],0)),"")</f>
        <v/>
      </c>
      <c r="T30" s="26" t="str">
        <f>_xlfn.IFNA(INDEX(TableDay2[brp_id],MATCH(U30,TableDay2[es_id],0)),"")</f>
        <v/>
      </c>
      <c r="U30" s="26" t="str">
        <f>IF(AE$7=0,"",AE$7)</f>
        <v/>
      </c>
      <c r="V30" s="20">
        <f>SUMIFS(TableDay2[TotalHour],TableDay2[es_id],U30,IF(B$2="production",TableDay2[type],TableDay2[settlement_method]),AG$2,TableDay2[resolution],"PT1H")/4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2[[type]:[brp_id]],(TableDay2[es_id]=AE14)*(TableDay2[type]="E18"),""),,9)),_xlfn.UNIQUE(INDEX(_xlfn._xlws.FILTER(TableDay2[[type]:[brp_id]],(TableDay2[es_id]=AE14)*(TableDay2[settlement_method]=AG$2),""),,9))),"")</f>
        <v/>
      </c>
      <c r="AF30" s="36" t="str" cm="1">
        <f t="array" ref="AF30">IFERROR(IF($B$2="production",_xlfn.UNIQUE(INDEX(_xlfn._xlws.FILTER(TableDay2[[type]:[brp_id]],(TableDay2[brp_id]=AF15)*(TableDay2[type]=$AG$2),""),,10)),_xlfn.UNIQUE(INDEX(_xlfn._xlws.FILTER(TableDay2[[type]:[brp_id]],(TableDay2[brp_id]=AF15)*(TableDay2[settlement_method]=AG$2),""),,10))),"")</f>
        <v>3300000000000</v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25">
      <c r="B31" s="16" t="str">
        <f>IF(AND(F31&lt;&gt;"null",F31&lt;&gt;""),IF(F31=INDEX(TableDay2[es_id],MATCH("GLMP",TableDay2[note],0),1),"glmp",""),IF(AND(G31&lt;&gt;"null",G31&lt;&gt;""),IF(G31=INDEX(TableDay2[brp_id],MATCH("GLMP",TableDay2[note],0),1),"glmp",""),IF(E31=INDEX(TableDay2[ga_id],MATCH("GLMP",TableDay2[note],0),1),"glmp","")))</f>
        <v/>
      </c>
      <c r="C31" s="16" t="str">
        <f>IF(AND(F31&lt;&gt;"null",F31&lt;&gt;""),IF(F31=INDEX(TableDay2[es_id],MATCH("SKMP",TableDay2[note],0),1),"skmp",""),IF(AND(G31&lt;&gt;"null",G31&lt;&gt;""),IF(G31=INDEX(TableDay2[brp_id],MATCH("SKMP",TableDay2[note],0),1),"skmp",""),IF(E31=INDEX(TableDay2[ga_id],MATCH("SKMP",TableDay2[note],0),1),"skmp","")))</f>
        <v/>
      </c>
      <c r="D31" s="15" t="s">
        <v>74</v>
      </c>
      <c r="E31" s="31" t="str">
        <f t="shared" si="7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IF(B$1="ga",IF(E31="","","null"),IF(B$1="ga_es",IF(F31="","","null"),IF(B$1="ga_brp",IF(AF$4=0,"",AF$4),IF(F31="","",INDEX(TableDay2[brp_id],MATCH(F31,TableDay2[es_id],0),1)))))</f>
        <v/>
      </c>
      <c r="H31" s="33" t="str">
        <f t="shared" si="5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2[es_id],IF(B$1="ga_brp",TableDay2[brp_id],TableDay2[ga_id])),IF(OR(B$1="ga_es",B$1="ga_brp_es"),F31,IF(B$1="ga_brp",G31,E31)),IF(B$2="production",TableDay2[type],TableDay2[settlement_method]),AG$2,TableDay2[resolution],"PT15M")</f>
        <v>0</v>
      </c>
      <c r="K31" s="9">
        <f t="shared" si="6"/>
        <v>0</v>
      </c>
      <c r="L31" s="2"/>
      <c r="R31" s="15" t="s">
        <v>74</v>
      </c>
      <c r="S31" s="26" t="str">
        <f>_xlfn.IFNA(INDEX(TableDay2[ga_id],MATCH(U31,TableDay2[es_id],0)),"")</f>
        <v/>
      </c>
      <c r="T31" s="26" t="str">
        <f>_xlfn.IFNA(INDEX(TableDay2[brp_id],MATCH(U31,TableDay2[es_id],0)),"")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2[[type]:[brp_id]],(TableDay2[es_id]=AE15)*(TableDay2[type]="E18"),""),,9)),_xlfn.UNIQUE(INDEX(_xlfn._xlws.FILTER(TableDay2[[type]:[brp_id]],(TableDay2[es_id]=AE15)*(TableDay2[settlement_method]=AG$2),""),,9))),"")</f>
        <v>3000000000000</v>
      </c>
      <c r="AF31" s="36" t="str" cm="1">
        <f t="array" ref="AF31">IFERROR(IF($B$2="production",_xlfn.UNIQUE(INDEX(_xlfn._xlws.FILTER(TableDay2[[type]:[brp_id]],(TableDay2[brp_id]=AF16)*(TableDay2[type]=$AG$2),""),,10)),_xlfn.UNIQUE(INDEX(_xlfn._xlws.FILTER(TableDay2[[type]:[brp_id]],(TableDay2[brp_id]=AF16)*(TableDay2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25">
      <c r="B32" s="16" t="str">
        <f>IF(AND(F32&lt;&gt;"null",F32&lt;&gt;""),IF(F32=INDEX(TableDay2[es_id],MATCH("GLMP",TableDay2[note],0),1),"glmp",""),IF(AND(G32&lt;&gt;"null",G32&lt;&gt;""),IF(G32=INDEX(TableDay2[brp_id],MATCH("GLMP",TableDay2[note],0),1),"glmp",""),IF(E32=INDEX(TableDay2[ga_id],MATCH("GLMP",TableDay2[note],0),1),"glmp","")))</f>
        <v/>
      </c>
      <c r="C32" s="16" t="str">
        <f>IF(AND(F32&lt;&gt;"null",F32&lt;&gt;""),IF(F32=INDEX(TableDay2[es_id],MATCH("SKMP",TableDay2[note],0),1),"skmp",""),IF(AND(G32&lt;&gt;"null",G32&lt;&gt;""),IF(G32=INDEX(TableDay2[brp_id],MATCH("SKMP",TableDay2[note],0),1),"skmp",""),IF(E32=INDEX(TableDay2[ga_id],MATCH("SKMP",TableDay2[note],0),1),"skmp","")))</f>
        <v/>
      </c>
      <c r="D32" s="15" t="s">
        <v>75</v>
      </c>
      <c r="E32" s="31" t="str">
        <f t="shared" si="7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IF(B$1="ga",IF(E32="","","null"),IF(B$1="ga_es",IF(F32="","","null"),IF(B$1="ga_brp",IF(AF$4=0,"",AF$4),IF(F32="","",INDEX(TableDay2[brp_id],MATCH(F32,TableDay2[es_id],0),1)))))</f>
        <v/>
      </c>
      <c r="H32" s="33" t="str">
        <f t="shared" si="5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2[es_id],IF(B$1="ga_brp",TableDay2[brp_id],TableDay2[ga_id])),IF(OR(B$1="ga_es",B$1="ga_brp_es"),F32,IF(B$1="ga_brp",G32,E32)),IF(B$2="production",TableDay2[type],TableDay2[settlement_method]),AG$2,TableDay2[resolution],"PT15M")</f>
        <v>0</v>
      </c>
      <c r="K32" s="9">
        <f t="shared" si="6"/>
        <v>0</v>
      </c>
      <c r="L32" s="2"/>
      <c r="R32" s="15" t="s">
        <v>75</v>
      </c>
      <c r="S32" s="26" t="str">
        <f>_xlfn.IFNA(INDEX(TableDay2[ga_id],MATCH(U32,TableDay2[es_id],0)),"")</f>
        <v/>
      </c>
      <c r="T32" s="26" t="str">
        <f>_xlfn.IFNA(INDEX(TableDay2[brp_id],MATCH(U32,TableDay2[es_id],0)),"")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2[[type]:[brp_id]],(TableDay2[es_id]=AE16)*(TableDay2[type]="E18"),""),,9)),_xlfn.UNIQUE(INDEX(_xlfn._xlws.FILTER(TableDay2[[type]:[brp_id]],(TableDay2[es_id]=AE16)*(TableDay2[settlement_method]=AG$2),""),,9))),"")</f>
        <v/>
      </c>
      <c r="AF32" s="36" t="str" cm="1">
        <f t="array" ref="AF32">IFERROR(IF($B$2="production",_xlfn.UNIQUE(INDEX(_xlfn._xlws.FILTER(TableDay2[[type]:[brp_id]],(TableDay2[brp_id]=AF17)*(TableDay2[type]=$AG$2),""),,10)),_xlfn.UNIQUE(INDEX(_xlfn._xlws.FILTER(TableDay2[[type]:[brp_id]],(TableDay2[brp_id]=AF17)*(TableDay2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25">
      <c r="B33" s="16" t="str">
        <f>IF(AND(F33&lt;&gt;"null",F33&lt;&gt;""),IF(F33=INDEX(TableDay2[es_id],MATCH("GLMP",TableDay2[note],0),1),"glmp",""),IF(AND(G33&lt;&gt;"null",G33&lt;&gt;""),IF(G33=INDEX(TableDay2[brp_id],MATCH("GLMP",TableDay2[note],0),1),"glmp",""),IF(E33=INDEX(TableDay2[ga_id],MATCH("GLMP",TableDay2[note],0),1),"glmp","")))</f>
        <v/>
      </c>
      <c r="C33" s="16" t="str">
        <f>IF(AND(F33&lt;&gt;"null",F33&lt;&gt;""),IF(F33=INDEX(TableDay2[es_id],MATCH("SKMP",TableDay2[note],0),1),"skmp",""),IF(AND(G33&lt;&gt;"null",G33&lt;&gt;""),IF(G33=INDEX(TableDay2[brp_id],MATCH("SKMP",TableDay2[note],0),1),"skmp",""),IF(E33=INDEX(TableDay2[ga_id],MATCH("SKMP",TableDay2[note],0),1),"skmp","")))</f>
        <v/>
      </c>
      <c r="D33" s="15" t="s">
        <v>76</v>
      </c>
      <c r="E33" s="31" t="str">
        <f t="shared" si="7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IF(B$1="ga",IF(E33="","","null"),IF(B$1="ga_es",IF(F33="","","null"),IF(B$1="ga_brp",IF(AF$4=0,"",AF$4),IF(F33="","",INDEX(TableDay2[brp_id],MATCH(F33,TableDay2[es_id],0),1)))))</f>
        <v/>
      </c>
      <c r="H33" s="33" t="str">
        <f t="shared" si="5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2[es_id],IF(B$1="ga_brp",TableDay2[brp_id],TableDay2[ga_id])),IF(OR(B$1="ga_es",B$1="ga_brp_es"),F33,IF(B$1="ga_brp",G33,E33)),IF(B$2="production",TableDay2[type],TableDay2[settlement_method]),AG$2,TableDay2[resolution],"PT15M")</f>
        <v>0</v>
      </c>
      <c r="K33" s="9">
        <f t="shared" si="6"/>
        <v>0</v>
      </c>
      <c r="L33" s="2"/>
      <c r="R33" s="15" t="s">
        <v>76</v>
      </c>
      <c r="S33" s="26" t="str">
        <f>_xlfn.IFNA(INDEX(TableDay2[ga_id],MATCH(U33,TableDay2[es_id],0)),"")</f>
        <v/>
      </c>
      <c r="T33" s="26" t="str">
        <f>_xlfn.IFNA(INDEX(TableDay2[brp_id],MATCH(U33,TableDay2[es_id],0)),"")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2[[type]:[brp_id]],(TableDay2[es_id]=AE17)*(TableDay2[type]="E18"),""),,9)),_xlfn.UNIQUE(INDEX(_xlfn._xlws.FILTER(TableDay2[[type]:[brp_id]],(TableDay2[es_id]=AE17)*(TableDay2[settlement_method]=AG$2),""),,9))),"")</f>
        <v/>
      </c>
      <c r="AF33" s="36" t="str" cm="1">
        <f t="array" ref="AF33">IFERROR(IF($B$2="production",_xlfn.UNIQUE(INDEX(_xlfn._xlws.FILTER(TableDay2[[type]:[brp_id]],(TableDay2[brp_id]=AF18)*(TableDay2[type]=$AG$2),""),,10)),_xlfn.UNIQUE(INDEX(_xlfn._xlws.FILTER(TableDay2[[type]:[brp_id]],(TableDay2[brp_id]=AF18)*(TableDay2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25">
      <c r="B34" s="16" t="str">
        <f>IF(AND(F34&lt;&gt;"null",F34&lt;&gt;""),IF(F34=INDEX(TableDay2[es_id],MATCH("GLMP",TableDay2[note],0),1),"glmp",""),IF(AND(G34&lt;&gt;"null",G34&lt;&gt;""),IF(G34=INDEX(TableDay2[brp_id],MATCH("GLMP",TableDay2[note],0),1),"glmp",""),IF(E34=INDEX(TableDay2[ga_id],MATCH("GLMP",TableDay2[note],0),1),"glmp","")))</f>
        <v/>
      </c>
      <c r="C34" s="16" t="str">
        <f>IF(AND(F34&lt;&gt;"null",F34&lt;&gt;""),IF(F34=INDEX(TableDay2[es_id],MATCH("SKMP",TableDay2[note],0),1),"skmp",""),IF(AND(G34&lt;&gt;"null",G34&lt;&gt;""),IF(G34=INDEX(TableDay2[brp_id],MATCH("SKMP",TableDay2[note],0),1),"skmp",""),IF(E34=INDEX(TableDay2[ga_id],MATCH("SKMP",TableDay2[note],0),1),"skmp","")))</f>
        <v/>
      </c>
      <c r="D34" s="15" t="s">
        <v>73</v>
      </c>
      <c r="E34" s="31" t="str">
        <f t="shared" si="7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IF(B$1="ga",IF(E34="","","null"),IF(B$1="ga_es",IF(F34="","","null"),IF(B$1="ga_brp",IF(AF$5=0,"",AF$5),IF(F34="","",INDEX(TableDay2[brp_id],MATCH(F34,TableDay2[es_id],0),1)))))</f>
        <v/>
      </c>
      <c r="H34" s="33" t="str">
        <f t="shared" si="5"/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2[es_id],IF(B$1="ga_brp",TableDay2[brp_id],TableDay2[ga_id])),IF(OR(B$1="ga_es",B$1="ga_brp_es"),F34,IF(B$1="ga_brp",G34,E34)),IF(B$2="production",TableDay2[type],TableDay2[settlement_method]),AG$2,TableDay2[resolution],"PT15M")</f>
        <v>0</v>
      </c>
      <c r="K34" s="9">
        <f t="shared" si="6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2[[type]:[brp_id]],(TableDay2[es_id]=AE18)*(TableDay2[type]="E18"),""),,9)),_xlfn.UNIQUE(INDEX(_xlfn._xlws.FILTER(TableDay2[[type]:[brp_id]],(TableDay2[es_id]=AE18)*(TableDay2[settlement_method]=AG$2),""),,9))),"")</f>
        <v/>
      </c>
      <c r="AF34" s="36" t="str" cm="1">
        <f t="array" ref="AF34">IFERROR(IF($B$2="production",_xlfn.UNIQUE(INDEX(_xlfn._xlws.FILTER(TableDay2[[type]:[brp_id]],(TableDay2[brp_id]=AF19)*(TableDay2[type]=$AG$2),""),,10)),_xlfn.UNIQUE(INDEX(_xlfn._xlws.FILTER(TableDay2[[type]:[brp_id]],(TableDay2[brp_id]=AF19)*(TableDay2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25">
      <c r="B35" s="16" t="str">
        <f>IF(AND(F35&lt;&gt;"null",F35&lt;&gt;""),IF(F35=INDEX(TableDay2[es_id],MATCH("GLMP",TableDay2[note],0),1),"glmp",""),IF(AND(G35&lt;&gt;"null",G35&lt;&gt;""),IF(G35=INDEX(TableDay2[brp_id],MATCH("GLMP",TableDay2[note],0),1),"glmp",""),IF(E35=INDEX(TableDay2[ga_id],MATCH("GLMP",TableDay2[note],0),1),"glmp","")))</f>
        <v/>
      </c>
      <c r="C35" s="16" t="str">
        <f>IF(AND(F35&lt;&gt;"null",F35&lt;&gt;""),IF(F35=INDEX(TableDay2[es_id],MATCH("SKMP",TableDay2[note],0),1),"skmp",""),IF(AND(G35&lt;&gt;"null",G35&lt;&gt;""),IF(G35=INDEX(TableDay2[brp_id],MATCH("SKMP",TableDay2[note],0),1),"skmp",""),IF(E35=INDEX(TableDay2[ga_id],MATCH("SKMP",TableDay2[note],0),1),"skmp","")))</f>
        <v/>
      </c>
      <c r="D35" s="15" t="s">
        <v>74</v>
      </c>
      <c r="E35" s="31" t="str">
        <f t="shared" si="7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IF(B$1="ga",IF(E35="","","null"),IF(B$1="ga_es",IF(F35="","","null"),IF(B$1="ga_brp",IF(AF$5=0,"",AF$5),IF(F35="","",INDEX(TableDay2[brp_id],MATCH(F35,TableDay2[es_id],0),1)))))</f>
        <v/>
      </c>
      <c r="H35" s="33" t="str">
        <f t="shared" si="5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2[es_id],IF(B$1="ga_brp",TableDay2[brp_id],TableDay2[ga_id])),IF(OR(B$1="ga_es",B$1="ga_brp_es"),F35,IF(B$1="ga_brp",G35,E35)),IF(B$2="production",TableDay2[type],TableDay2[settlement_method]),AG$2,TableDay2[resolution],"PT15M")</f>
        <v>0</v>
      </c>
      <c r="K35" s="9">
        <f t="shared" si="6"/>
        <v>0</v>
      </c>
      <c r="L35" s="2"/>
      <c r="R35" s="24"/>
      <c r="S35" s="24"/>
      <c r="T35" s="24"/>
      <c r="U35" s="24"/>
      <c r="V35" s="28">
        <f>SUMIFS(TableDay2[TotalHour],TableDay2[settlement_method],"D01",TableDay2[resolution],"PT1H")</f>
        <v>4.0110000000000001</v>
      </c>
      <c r="W35" s="16" t="s">
        <v>48</v>
      </c>
      <c r="X35" s="16"/>
      <c r="Y35" s="28">
        <f>SUM(Y37:Y40)</f>
        <v>4.0110000000000001</v>
      </c>
      <c r="Z35" s="21">
        <f>SUM(Z37:Z40)</f>
        <v>4.0119999999999996</v>
      </c>
      <c r="AA35" s="27"/>
      <c r="AB35" s="2"/>
      <c r="AC35" s="2"/>
      <c r="AD35" s="36"/>
      <c r="AE35" s="36" t="str" cm="1">
        <f t="array" ref="AE35">IFERROR(IF($B$2="production",_xlfn.UNIQUE(INDEX(_xlfn._xlws.FILTER(TableDay2[[type]:[brp_id]],(TableDay2[es_id]=AE19)*(TableDay2[type]="E18"),""),,9)),_xlfn.UNIQUE(INDEX(_xlfn._xlws.FILTER(TableDay2[[type]:[brp_id]],(TableDay2[es_id]=AE19)*(TableDay2[settlement_method]=AG$2),""),,9))),"")</f>
        <v/>
      </c>
      <c r="AF35" s="36" t="str" cm="1">
        <f t="array" ref="AF35">IFERROR(IF($B$2="production",_xlfn.UNIQUE(INDEX(_xlfn._xlws.FILTER(TableDay2[[type]:[brp_id]],(TableDay2[brp_id]=AF20)*(TableDay2[type]=$AG$2),""),,10)),_xlfn.UNIQUE(INDEX(_xlfn._xlws.FILTER(TableDay2[[type]:[brp_id]],(TableDay2[brp_id]=AF20)*(TableDay2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25">
      <c r="B36" s="16" t="str">
        <f>IF(AND(F36&lt;&gt;"null",F36&lt;&gt;""),IF(F36=INDEX(TableDay2[es_id],MATCH("GLMP",TableDay2[note],0),1),"glmp",""),IF(AND(G36&lt;&gt;"null",G36&lt;&gt;""),IF(G36=INDEX(TableDay2[brp_id],MATCH("GLMP",TableDay2[note],0),1),"glmp",""),IF(E36=INDEX(TableDay2[ga_id],MATCH("GLMP",TableDay2[note],0),1),"glmp","")))</f>
        <v/>
      </c>
      <c r="C36" s="16" t="str">
        <f>IF(AND(F36&lt;&gt;"null",F36&lt;&gt;""),IF(F36=INDEX(TableDay2[es_id],MATCH("SKMP",TableDay2[note],0),1),"skmp",""),IF(AND(G36&lt;&gt;"null",G36&lt;&gt;""),IF(G36=INDEX(TableDay2[brp_id],MATCH("SKMP",TableDay2[note],0),1),"skmp",""),IF(E36=INDEX(TableDay2[ga_id],MATCH("SKMP",TableDay2[note],0),1),"skmp","")))</f>
        <v/>
      </c>
      <c r="D36" s="15" t="s">
        <v>75</v>
      </c>
      <c r="E36" s="31" t="str">
        <f t="shared" si="7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IF(B$1="ga",IF(E36="","","null"),IF(B$1="ga_es",IF(F36="","","null"),IF(B$1="ga_brp",IF(AF$5=0,"",AF$5),IF(F36="","",INDEX(TableDay2[brp_id],MATCH(F36,TableDay2[es_id],0),1)))))</f>
        <v/>
      </c>
      <c r="H36" s="33" t="str">
        <f t="shared" si="5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2[es_id],IF(B$1="ga_brp",TableDay2[brp_id],TableDay2[ga_id])),IF(OR(B$1="ga_es",B$1="ga_brp_es"),F36,IF(B$1="ga_brp",G36,E36)),IF(B$2="production",TableDay2[type],TableDay2[settlement_method]),AG$2,TableDay2[resolution],"PT15M")</f>
        <v>0</v>
      </c>
      <c r="K36" s="9">
        <f t="shared" si="6"/>
        <v>0</v>
      </c>
      <c r="L36" s="2"/>
      <c r="R36" s="24"/>
      <c r="S36" s="24"/>
      <c r="T36" s="24"/>
      <c r="U36" s="7" t="s">
        <v>42</v>
      </c>
      <c r="V36" s="20">
        <f>SUMIFS(TableDay2[TotalHour],TableDay2[settlement_method],"D01",TableDay2[resolution],"PT1H")/4</f>
        <v>1.00275</v>
      </c>
      <c r="W36" s="7" t="s">
        <v>44</v>
      </c>
      <c r="X36" s="7" t="s">
        <v>45</v>
      </c>
      <c r="Y36" s="7" t="s">
        <v>46</v>
      </c>
      <c r="Z36" s="7" t="s">
        <v>47</v>
      </c>
      <c r="AA36" s="27"/>
      <c r="AB36" s="2"/>
      <c r="AC36" s="2"/>
      <c r="AD36" s="36"/>
      <c r="AE36" s="36" t="str" cm="1">
        <f t="array" ref="AE36">IFERROR(IF($B$2="production",_xlfn.UNIQUE(INDEX(_xlfn._xlws.FILTER(TableDay2[[type]:[brp_id]],(TableDay2[es_id]=AE20)*(TableDay2[type]="E18"),""),,9)),_xlfn.UNIQUE(INDEX(_xlfn._xlws.FILTER(TableDay2[[type]:[brp_id]],(TableDay2[es_id]=AE20)*(TableDay2[settlement_method]=AG$2),""),,9))),"")</f>
        <v/>
      </c>
      <c r="AF36" s="36" t="str" cm="1">
        <f t="array" ref="AF36">IFERROR(IF($B$2="production",_xlfn.UNIQUE(INDEX(_xlfn._xlws.FILTER(TableDay2[[type]:[brp_id]],(TableDay2[brp_id]=AF21)*(TableDay2[type]=$AG$2),""),,10)),_xlfn.UNIQUE(INDEX(_xlfn._xlws.FILTER(TableDay2[[type]:[brp_id]],(TableDay2[brp_id]=AF21)*(TableDay2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25">
      <c r="B37" s="16" t="str">
        <f>IF(AND(F37&lt;&gt;"null",F37&lt;&gt;""),IF(F37=INDEX(TableDay2[es_id],MATCH("GLMP",TableDay2[note],0),1),"glmp",""),IF(AND(G37&lt;&gt;"null",G37&lt;&gt;""),IF(G37=INDEX(TableDay2[brp_id],MATCH("GLMP",TableDay2[note],0),1),"glmp",""),IF(E37=INDEX(TableDay2[ga_id],MATCH("GLMP",TableDay2[note],0),1),"glmp","")))</f>
        <v/>
      </c>
      <c r="C37" s="16" t="str">
        <f>IF(AND(F37&lt;&gt;"null",F37&lt;&gt;""),IF(F37=INDEX(TableDay2[es_id],MATCH("SKMP",TableDay2[note],0),1),"skmp",""),IF(AND(G37&lt;&gt;"null",G37&lt;&gt;""),IF(G37=INDEX(TableDay2[brp_id],MATCH("SKMP",TableDay2[note],0),1),"skmp",""),IF(E37=INDEX(TableDay2[ga_id],MATCH("SKMP",TableDay2[note],0),1),"skmp","")))</f>
        <v/>
      </c>
      <c r="D37" s="15" t="s">
        <v>76</v>
      </c>
      <c r="E37" s="31" t="str">
        <f t="shared" si="7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IF(B$1="ga",IF(E37="","","null"),IF(B$1="ga_es",IF(F37="","","null"),IF(B$1="ga_brp",IF(AF$5=0,"",AF$5),IF(F37="","",INDEX(TableDay2[brp_id],MATCH(F37,TableDay2[es_id],0),1)))))</f>
        <v/>
      </c>
      <c r="H37" s="33" t="str">
        <f t="shared" si="5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2[es_id],IF(B$1="ga_brp",TableDay2[brp_id],TableDay2[ga_id])),IF(OR(B$1="ga_es",B$1="ga_brp_es"),F37,IF(B$1="ga_brp",G37,E37)),IF(B$2="production",TableDay2[type],TableDay2[settlement_method]),AG$2,TableDay2[resolution],"PT15M")</f>
        <v>0</v>
      </c>
      <c r="K37" s="9">
        <f t="shared" si="6"/>
        <v>0</v>
      </c>
      <c r="L37" s="2"/>
      <c r="R37" s="24"/>
      <c r="S37" s="24"/>
      <c r="T37" s="24"/>
      <c r="U37" s="15" t="s">
        <v>53</v>
      </c>
      <c r="V37" s="19">
        <f>V$36</f>
        <v>1.00275</v>
      </c>
      <c r="W37" s="19">
        <f>V37</f>
        <v>1.00275</v>
      </c>
      <c r="X37" s="19"/>
      <c r="Y37" s="23">
        <f>ROUND(W37, 3)</f>
        <v>1.0029999999999999</v>
      </c>
      <c r="Z37" s="23">
        <f>ROUND(V37,3)</f>
        <v>1.0029999999999999</v>
      </c>
      <c r="AA37" s="27"/>
      <c r="AB37" s="2"/>
      <c r="AC37" s="2"/>
      <c r="AD37" s="36"/>
      <c r="AE37" s="36" t="str" cm="1">
        <f t="array" ref="AE37">IFERROR(IF($B$2="production",_xlfn.UNIQUE(INDEX(_xlfn._xlws.FILTER(TableDay2[[type]:[brp_id]],(TableDay2[es_id]=AE21)*(TableDay2[type]="E18"),""),,9)),_xlfn.UNIQUE(INDEX(_xlfn._xlws.FILTER(TableDay2[[type]:[brp_id]],(TableDay2[es_id]=AE21)*(TableDay2[settlement_method]=AG$2),""),,9))),"")</f>
        <v/>
      </c>
      <c r="AF37" s="36" t="str" cm="1">
        <f t="array" ref="AF37">IFERROR(IF($B$2="production",_xlfn.UNIQUE(INDEX(_xlfn._xlws.FILTER(TableDay2[[type]:[brp_id]],(TableDay2[brp_id]=AF22)*(TableDay2[type]=$AG$2),""),,10)),_xlfn.UNIQUE(INDEX(_xlfn._xlws.FILTER(TableDay2[[type]:[brp_id]],(TableDay2[brp_id]=AF22)*(TableDay2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25">
      <c r="B38" s="16" t="str">
        <f>IF(AND(F38&lt;&gt;"null",F38&lt;&gt;""),IF(F38=INDEX(TableDay2[es_id],MATCH("GLMP",TableDay2[note],0),1),"glmp",""),IF(AND(G38&lt;&gt;"null",G38&lt;&gt;""),IF(G38=INDEX(TableDay2[brp_id],MATCH("GLMP",TableDay2[note],0),1),"glmp",""),IF(E38=INDEX(TableDay2[ga_id],MATCH("GLMP",TableDay2[note],0),1),"glmp","")))</f>
        <v/>
      </c>
      <c r="C38" s="16" t="str">
        <f>IF(AND(F38&lt;&gt;"null",F38&lt;&gt;""),IF(F38=INDEX(TableDay2[es_id],MATCH("SKMP",TableDay2[note],0),1),"skmp",""),IF(AND(G38&lt;&gt;"null",G38&lt;&gt;""),IF(G38=INDEX(TableDay2[brp_id],MATCH("SKMP",TableDay2[note],0),1),"skmp",""),IF(E38=INDEX(TableDay2[ga_id],MATCH("SKMP",TableDay2[note],0),1),"skmp","")))</f>
        <v/>
      </c>
      <c r="D38" s="15" t="s">
        <v>73</v>
      </c>
      <c r="E38" s="31" t="str">
        <f t="shared" si="7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IF(B$1="ga",IF(E38="","","null"),IF(B$1="ga_es",IF(F38="","","null"),IF(B$1="ga_brp",IF(AF$5=0,"",AF$5),IF(F38="","",INDEX(TableDay2[brp_id],MATCH(F38,TableDay2[es_id],0),1)))))</f>
        <v/>
      </c>
      <c r="H38" s="33" t="str">
        <f t="shared" si="5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2[es_id],IF(B$1="ga_brp",TableDay2[brp_id],TableDay2[ga_id])),IF(OR(B$1="ga_es",B$1="ga_brp_es"),F38,IF(B$1="ga_brp",G38,E38)),IF(B$2="production",TableDay2[type],TableDay2[settlement_method]),AG$2,TableDay2[resolution],"PT15M")</f>
        <v>0</v>
      </c>
      <c r="K38" s="9">
        <f t="shared" si="6"/>
        <v>0</v>
      </c>
      <c r="L38" s="2"/>
      <c r="R38" s="24"/>
      <c r="S38" s="24"/>
      <c r="T38" s="24"/>
      <c r="U38" s="15" t="s">
        <v>54</v>
      </c>
      <c r="V38" s="19">
        <f>V$36</f>
        <v>1.00275</v>
      </c>
      <c r="W38" s="19">
        <f>X38+W37</f>
        <v>1.0025000000000002</v>
      </c>
      <c r="X38" s="19">
        <f>V38-Y37</f>
        <v>-2.4999999999986144E-4</v>
      </c>
      <c r="Y38" s="23">
        <f>ROUND(W38, 3)</f>
        <v>1.0029999999999999</v>
      </c>
      <c r="Z38" s="23">
        <f>ROUND(V38,3)</f>
        <v>1.0029999999999999</v>
      </c>
      <c r="AA38" s="27"/>
      <c r="AB38" s="2"/>
      <c r="AC38" s="2"/>
      <c r="AD38" s="36"/>
      <c r="AE38" s="36" t="str" cm="1">
        <f t="array" ref="AE38">IFERROR(IF($B$2="production",_xlfn.UNIQUE(INDEX(_xlfn._xlws.FILTER(TableDay2[[type]:[brp_id]],(TableDay2[es_id]=AE22)*(TableDay2[type]="E18"),""),,9)),_xlfn.UNIQUE(INDEX(_xlfn._xlws.FILTER(TableDay2[[type]:[brp_id]],(TableDay2[es_id]=AE22)*(TableDay2[settlement_method]=AG$2),""),,9))),"")</f>
        <v/>
      </c>
      <c r="AF38" s="36" t="str" cm="1">
        <f t="array" ref="AF38">IFERROR(IF($B$2="production",_xlfn.UNIQUE(INDEX(_xlfn._xlws.FILTER(TableDay2[[type]:[brp_id]],(TableDay2[brp_id]=AF23)*(TableDay2[type]=$AG$2),""),,10)),_xlfn.UNIQUE(INDEX(_xlfn._xlws.FILTER(TableDay2[[type]:[brp_id]],(TableDay2[brp_id]=AF23)*(TableDay2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25">
      <c r="B39" s="16" t="str">
        <f>IF(AND(F39&lt;&gt;"null",F39&lt;&gt;""),IF(F39=INDEX(TableDay2[es_id],MATCH("GLMP",TableDay2[note],0),1),"glmp",""),IF(AND(G39&lt;&gt;"null",G39&lt;&gt;""),IF(G39=INDEX(TableDay2[brp_id],MATCH("GLMP",TableDay2[note],0),1),"glmp",""),IF(E39=INDEX(TableDay2[ga_id],MATCH("GLMP",TableDay2[note],0),1),"glmp","")))</f>
        <v/>
      </c>
      <c r="C39" s="16" t="str">
        <f>IF(AND(F39&lt;&gt;"null",F39&lt;&gt;""),IF(F39=INDEX(TableDay2[es_id],MATCH("SKMP",TableDay2[note],0),1),"skmp",""),IF(AND(G39&lt;&gt;"null",G39&lt;&gt;""),IF(G39=INDEX(TableDay2[brp_id],MATCH("SKMP",TableDay2[note],0),1),"skmp",""),IF(E39=INDEX(TableDay2[ga_id],MATCH("SKMP",TableDay2[note],0),1),"skmp","")))</f>
        <v/>
      </c>
      <c r="D39" s="15" t="s">
        <v>74</v>
      </c>
      <c r="E39" s="31" t="str">
        <f t="shared" si="7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IF(B$1="ga",IF(E39="","","null"),IF(B$1="ga_es",IF(F39="","","null"),IF(B$1="ga_brp",IF(AF$5=0,"",AF$5),IF(F39="","",INDEX(TableDay2[brp_id],MATCH(F39,TableDay2[es_id],0),1)))))</f>
        <v/>
      </c>
      <c r="H39" s="33" t="str">
        <f t="shared" si="5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2[es_id],IF(B$1="ga_brp",TableDay2[brp_id],TableDay2[ga_id])),IF(OR(B$1="ga_es",B$1="ga_brp_es"),F39,IF(B$1="ga_brp",G39,E39)),IF(B$2="production",TableDay2[type],TableDay2[settlement_method]),AG$2,TableDay2[resolution],"PT15M")</f>
        <v>0</v>
      </c>
      <c r="K39" s="9">
        <f t="shared" si="6"/>
        <v>0</v>
      </c>
      <c r="L39" s="2"/>
      <c r="R39" s="24"/>
      <c r="S39" s="24"/>
      <c r="T39" s="24"/>
      <c r="U39" s="15" t="s">
        <v>55</v>
      </c>
      <c r="V39" s="19">
        <f>V$36</f>
        <v>1.00275</v>
      </c>
      <c r="W39" s="19">
        <f>X39+W38</f>
        <v>1.0022500000000003</v>
      </c>
      <c r="X39" s="19">
        <f>V39-Y38</f>
        <v>-2.4999999999986144E-4</v>
      </c>
      <c r="Y39" s="23">
        <f>ROUND(W39, 3)</f>
        <v>1.002</v>
      </c>
      <c r="Z39" s="23">
        <f>ROUND(V39,3)</f>
        <v>1.0029999999999999</v>
      </c>
      <c r="AA39" s="27"/>
      <c r="AB39" s="2"/>
      <c r="AC39" s="2"/>
      <c r="AD39" s="36"/>
      <c r="AE39" s="36" t="str" cm="1">
        <f t="array" ref="AE39">IFERROR(IF($B$2="production",_xlfn.UNIQUE(INDEX(_xlfn._xlws.FILTER(TableDay2[[type]:[brp_id]],(TableDay2[es_id]=AE23)*(TableDay2[type]="E18"),""),,9)),_xlfn.UNIQUE(INDEX(_xlfn._xlws.FILTER(TableDay2[[type]:[brp_id]],(TableDay2[es_id]=AE23)*(TableDay2[settlement_method]=AG$2),""),,9))),"")</f>
        <v/>
      </c>
      <c r="AF39" s="36" t="str" cm="1">
        <f t="array" ref="AF39">IFERROR(IF($B$2="production",_xlfn.UNIQUE(INDEX(_xlfn._xlws.FILTER(TableDay2[[type]:[brp_id]],(TableDay2[brp_id]=AF24)*(TableDay2[type]=$AG$2),""),,10)),_xlfn.UNIQUE(INDEX(_xlfn._xlws.FILTER(TableDay2[[type]:[brp_id]],(TableDay2[brp_id]=AF24)*(TableDay2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25">
      <c r="B40" s="16" t="str">
        <f>IF(AND(F40&lt;&gt;"null",F40&lt;&gt;""),IF(F40=INDEX(TableDay2[es_id],MATCH("GLMP",TableDay2[note],0),1),"glmp",""),IF(AND(G40&lt;&gt;"null",G40&lt;&gt;""),IF(G40=INDEX(TableDay2[brp_id],MATCH("GLMP",TableDay2[note],0),1),"glmp",""),IF(E40=INDEX(TableDay2[ga_id],MATCH("GLMP",TableDay2[note],0),1),"glmp","")))</f>
        <v/>
      </c>
      <c r="C40" s="16" t="str">
        <f>IF(AND(F40&lt;&gt;"null",F40&lt;&gt;""),IF(F40=INDEX(TableDay2[es_id],MATCH("SKMP",TableDay2[note],0),1),"skmp",""),IF(AND(G40&lt;&gt;"null",G40&lt;&gt;""),IF(G40=INDEX(TableDay2[brp_id],MATCH("SKMP",TableDay2[note],0),1),"skmp",""),IF(E40=INDEX(TableDay2[ga_id],MATCH("SKMP",TableDay2[note],0),1),"skmp","")))</f>
        <v/>
      </c>
      <c r="D40" s="15" t="s">
        <v>75</v>
      </c>
      <c r="E40" s="31" t="str">
        <f t="shared" si="7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IF(B$1="ga",IF(E40="","","null"),IF(B$1="ga_es",IF(F40="","","null"),IF(B$1="ga_brp",IF(AF$5=0,"",AF$5),IF(F40="","",INDEX(TableDay2[brp_id],MATCH(F40,TableDay2[es_id],0),1)))))</f>
        <v/>
      </c>
      <c r="H40" s="33" t="str">
        <f t="shared" si="5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2[es_id],IF(B$1="ga_brp",TableDay2[brp_id],TableDay2[ga_id])),IF(OR(B$1="ga_es",B$1="ga_brp_es"),F40,IF(B$1="ga_brp",G40,E40)),IF(B$2="production",TableDay2[type],TableDay2[settlement_method]),AG$2,TableDay2[resolution],"PT15M")</f>
        <v>0</v>
      </c>
      <c r="K40" s="9">
        <f t="shared" si="6"/>
        <v>0</v>
      </c>
      <c r="L40" s="2"/>
      <c r="R40" s="24"/>
      <c r="S40" s="24"/>
      <c r="T40" s="24"/>
      <c r="U40" s="15" t="s">
        <v>56</v>
      </c>
      <c r="V40" s="19">
        <f>V$36</f>
        <v>1.00275</v>
      </c>
      <c r="W40" s="19">
        <f>X40+W39</f>
        <v>1.0030000000000003</v>
      </c>
      <c r="X40" s="19">
        <f>V40-Y39</f>
        <v>7.5000000000002842E-4</v>
      </c>
      <c r="Y40" s="23">
        <f>ROUND(W40, 3)</f>
        <v>1.0029999999999999</v>
      </c>
      <c r="Z40" s="23">
        <f>ROUND(V40,3)</f>
        <v>1.0029999999999999</v>
      </c>
      <c r="AA40" s="27"/>
      <c r="AB40" s="2"/>
      <c r="AC40" s="2"/>
      <c r="AD40" s="36"/>
      <c r="AE40" s="36" t="str" cm="1">
        <f t="array" ref="AE40">IFERROR(IF($B$2="production",_xlfn.UNIQUE(INDEX(_xlfn._xlws.FILTER(TableDay2[[type]:[brp_id]],(TableDay2[es_id]=AE24)*(TableDay2[type]="E18"),""),,9)),_xlfn.UNIQUE(INDEX(_xlfn._xlws.FILTER(TableDay2[[type]:[brp_id]],(TableDay2[es_id]=AE24)*(TableDay2[settlement_method]=AG$2),""),,9))),"")</f>
        <v/>
      </c>
      <c r="AF40" s="36" t="str" cm="1">
        <f t="array" ref="AF40">IFERROR(IF($B$2="production",_xlfn.UNIQUE(INDEX(_xlfn._xlws.FILTER(TableDay2[[type]:[brp_id]],(TableDay2[brp_id]=AF25)*(TableDay2[type]=$AG$2),""),,10)),_xlfn.UNIQUE(INDEX(_xlfn._xlws.FILTER(TableDay2[[type]:[brp_id]],(TableDay2[brp_id]=AF25)*(TableDay2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25">
      <c r="B41" s="16" t="str">
        <f>IF(AND(F41&lt;&gt;"null",F41&lt;&gt;""),IF(F41=INDEX(TableDay2[es_id],MATCH("GLMP",TableDay2[note],0),1),"glmp",""),IF(AND(G41&lt;&gt;"null",G41&lt;&gt;""),IF(G41=INDEX(TableDay2[brp_id],MATCH("GLMP",TableDay2[note],0),1),"glmp",""),IF(E41=INDEX(TableDay2[ga_id],MATCH("GLMP",TableDay2[note],0),1),"glmp","")))</f>
        <v/>
      </c>
      <c r="C41" s="16" t="str">
        <f>IF(AND(F41&lt;&gt;"null",F41&lt;&gt;""),IF(F41=INDEX(TableDay2[es_id],MATCH("SKMP",TableDay2[note],0),1),"skmp",""),IF(AND(G41&lt;&gt;"null",G41&lt;&gt;""),IF(G41=INDEX(TableDay2[brp_id],MATCH("SKMP",TableDay2[note],0),1),"skmp",""),IF(E41=INDEX(TableDay2[ga_id],MATCH("SKMP",TableDay2[note],0),1),"skmp","")))</f>
        <v/>
      </c>
      <c r="D41" s="15" t="s">
        <v>76</v>
      </c>
      <c r="E41" s="31" t="str">
        <f t="shared" si="7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IF(B$1="ga",IF(E41="","","null"),IF(B$1="ga_es",IF(F41="","","null"),IF(B$1="ga_brp",IF(AF$5=0,"",AF$5),IF(F41="","",INDEX(TableDay2[brp_id],MATCH(F41,TableDay2[es_id],0),1)))))</f>
        <v/>
      </c>
      <c r="H41" s="33" t="str">
        <f t="shared" si="5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2[es_id],IF(B$1="ga_brp",TableDay2[brp_id],TableDay2[ga_id])),IF(OR(B$1="ga_es",B$1="ga_brp_es"),F41,IF(B$1="ga_brp",G41,E41)),IF(B$2="production",TableDay2[type],TableDay2[settlement_method]),AG$2,TableDay2[resolution],"PT15M")</f>
        <v>0</v>
      </c>
      <c r="K41" s="9">
        <f t="shared" si="6"/>
        <v>0</v>
      </c>
      <c r="L41" s="2"/>
      <c r="R41" s="24"/>
      <c r="S41" s="24"/>
      <c r="T41" s="24"/>
      <c r="U41" s="24"/>
      <c r="V41" s="28">
        <f>SUMIFS(TableDay2[TotalHour],TableDay2[type],"E18",TableDay2[resolution],"PT1H")</f>
        <v>3.0110000000000001</v>
      </c>
      <c r="W41" s="39" t="s">
        <v>48</v>
      </c>
      <c r="X41" s="40"/>
      <c r="Y41" s="28">
        <f>SUM(Y43:Y46)</f>
        <v>3.0110000000000001</v>
      </c>
      <c r="Z41" s="21">
        <f>SUM(Z43:Z46)</f>
        <v>3.012</v>
      </c>
      <c r="AA41" s="27"/>
      <c r="AB41" s="2"/>
      <c r="AC41" s="2"/>
      <c r="AD41" s="36"/>
      <c r="AE41" s="36" t="str" cm="1">
        <f t="array" ref="AE41">IFERROR(IF($B$2="production",_xlfn.UNIQUE(INDEX(_xlfn._xlws.FILTER(TableDay2[[type]:[brp_id]],(TableDay2[es_id]=AE25)*(TableDay2[type]="E18"),""),,9)),_xlfn.UNIQUE(INDEX(_xlfn._xlws.FILTER(TableDay2[[type]:[brp_id]],(TableDay2[es_id]=AE25)*(TableDay2[settlement_method]=AG$2),""),,9))),"")</f>
        <v/>
      </c>
      <c r="AF41" s="36" t="str" cm="1">
        <f t="array" ref="AF41">IFERROR(IF($B$2="production",_xlfn.UNIQUE(INDEX(_xlfn._xlws.FILTER(TableDay2[[type]:[brp_id]],(TableDay2[brp_id]=AF26)*(TableDay2[type]=$AG$2),""),,10)),_xlfn.UNIQUE(INDEX(_xlfn._xlws.FILTER(TableDay2[[type]:[brp_id]],(TableDay2[brp_id]=AF26)*(TableDay2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25">
      <c r="B42" s="16" t="str">
        <f>IF(AND(F42&lt;&gt;"null",F42&lt;&gt;""),IF(F42=INDEX(TableDay2[es_id],MATCH("GLMP",TableDay2[note],0),1),"glmp",""),IF(AND(G42&lt;&gt;"null",G42&lt;&gt;""),IF(G42=INDEX(TableDay2[brp_id],MATCH("GLMP",TableDay2[note],0),1),"glmp",""),IF(E42=INDEX(TableDay2[ga_id],MATCH("GLMP",TableDay2[note],0),1),"glmp","")))</f>
        <v/>
      </c>
      <c r="C42" s="16" t="str">
        <f>IF(AND(F42&lt;&gt;"null",F42&lt;&gt;""),IF(F42=INDEX(TableDay2[es_id],MATCH("SKMP",TableDay2[note],0),1),"skmp",""),IF(AND(G42&lt;&gt;"null",G42&lt;&gt;""),IF(G42=INDEX(TableDay2[brp_id],MATCH("SKMP",TableDay2[note],0),1),"skmp",""),IF(E42=INDEX(TableDay2[ga_id],MATCH("SKMP",TableDay2[note],0),1),"skmp","")))</f>
        <v/>
      </c>
      <c r="D42" s="15" t="s">
        <v>73</v>
      </c>
      <c r="E42" s="31" t="str">
        <f t="shared" si="7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IF(B$1="ga",IF(E42="","","null"),IF(B$1="ga_es",IF(F42="","","null"),IF(B$1="ga_brp",IF(AF$5=0,"",AF$5),IF(F42="","",INDEX(TableDay2[brp_id],MATCH(F42,TableDay2[es_id],0),1)))))</f>
        <v/>
      </c>
      <c r="H42" s="33" t="str">
        <f t="shared" si="5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2[es_id],IF(B$1="ga_brp",TableDay2[brp_id],TableDay2[ga_id])),IF(OR(B$1="ga_es",B$1="ga_brp_es"),F42,IF(B$1="ga_brp",G42,E42)),IF(B$2="production",TableDay2[type],TableDay2[settlement_method]),AG$2,TableDay2[resolution],"PT15M")</f>
        <v>0</v>
      </c>
      <c r="K42" s="9">
        <f t="shared" si="6"/>
        <v>0</v>
      </c>
      <c r="L42" s="2"/>
      <c r="R42" s="24"/>
      <c r="S42" s="24"/>
      <c r="T42" s="24"/>
      <c r="U42" s="7" t="s">
        <v>29</v>
      </c>
      <c r="V42" s="22">
        <f>SUMIFS(TableDay2[TotalHour],TableDay2[type],"E18",TableDay2[resolution],"PT1H")/4</f>
        <v>0.75275000000000003</v>
      </c>
      <c r="W42" s="7" t="s">
        <v>44</v>
      </c>
      <c r="X42" s="7" t="s">
        <v>45</v>
      </c>
      <c r="Y42" s="7" t="s">
        <v>46</v>
      </c>
      <c r="Z42" s="7" t="s">
        <v>47</v>
      </c>
      <c r="AA42" s="27"/>
      <c r="AB42" s="2"/>
      <c r="AC42" s="2"/>
      <c r="AD42" s="36"/>
      <c r="AE42" s="36" t="str" cm="1">
        <f t="array" ref="AE42">IFERROR(IF($B$2="production",_xlfn.UNIQUE(INDEX(_xlfn._xlws.FILTER(TableDay2[[type]:[brp_id]],(TableDay2[es_id]=AE26)*(TableDay2[type]="E18"),""),,9)),_xlfn.UNIQUE(INDEX(_xlfn._xlws.FILTER(TableDay2[[type]:[brp_id]],(TableDay2[es_id]=AE26)*(TableDay2[settlement_method]=AG$2),""),,9))),"")</f>
        <v/>
      </c>
      <c r="AF42" s="36" t="str" cm="1">
        <f t="array" ref="AF42">IFERROR(IF($B$2="production",_xlfn.UNIQUE(INDEX(_xlfn._xlws.FILTER(TableDay2[[type]:[brp_id]],(TableDay2[brp_id]=AF27)*(TableDay2[type]=$AG$2),""),,10)),_xlfn.UNIQUE(INDEX(_xlfn._xlws.FILTER(TableDay2[[type]:[brp_id]],(TableDay2[brp_id]=AF27)*(TableDay2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25">
      <c r="B43" s="16" t="str">
        <f>IF(AND(F43&lt;&gt;"null",F43&lt;&gt;""),IF(F43=INDEX(TableDay2[es_id],MATCH("GLMP",TableDay2[note],0),1),"glmp",""),IF(AND(G43&lt;&gt;"null",G43&lt;&gt;""),IF(G43=INDEX(TableDay2[brp_id],MATCH("GLMP",TableDay2[note],0),1),"glmp",""),IF(E43=INDEX(TableDay2[ga_id],MATCH("GLMP",TableDay2[note],0),1),"glmp","")))</f>
        <v/>
      </c>
      <c r="C43" s="16" t="str">
        <f>IF(AND(F43&lt;&gt;"null",F43&lt;&gt;""),IF(F43=INDEX(TableDay2[es_id],MATCH("SKMP",TableDay2[note],0),1),"skmp",""),IF(AND(G43&lt;&gt;"null",G43&lt;&gt;""),IF(G43=INDEX(TableDay2[brp_id],MATCH("SKMP",TableDay2[note],0),1),"skmp",""),IF(E43=INDEX(TableDay2[ga_id],MATCH("SKMP",TableDay2[note],0),1),"skmp","")))</f>
        <v/>
      </c>
      <c r="D43" s="15" t="s">
        <v>74</v>
      </c>
      <c r="E43" s="31" t="str">
        <f t="shared" si="7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IF(B$1="ga",IF(E43="","","null"),IF(B$1="ga_es",IF(F43="","","null"),IF(B$1="ga_brp",IF(AF$5=0,"",AF$5),IF(F43="","",INDEX(TableDay2[brp_id],MATCH(F43,TableDay2[es_id],0),1)))))</f>
        <v/>
      </c>
      <c r="H43" s="33" t="str">
        <f t="shared" si="5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2[es_id],IF(B$1="ga_brp",TableDay2[brp_id],TableDay2[ga_id])),IF(OR(B$1="ga_es",B$1="ga_brp_es"),F43,IF(B$1="ga_brp",G43,E43)),IF(B$2="production",TableDay2[type],TableDay2[settlement_method]),AG$2,TableDay2[resolution],"PT15M")</f>
        <v>0</v>
      </c>
      <c r="K43" s="9">
        <f t="shared" si="6"/>
        <v>0</v>
      </c>
      <c r="L43" s="2"/>
      <c r="R43" s="24"/>
      <c r="S43" s="24"/>
      <c r="T43" s="24"/>
      <c r="U43" s="15" t="s">
        <v>49</v>
      </c>
      <c r="V43" s="19">
        <f>V$42</f>
        <v>0.75275000000000003</v>
      </c>
      <c r="W43" s="19">
        <f>V43</f>
        <v>0.75275000000000003</v>
      </c>
      <c r="X43" s="19"/>
      <c r="Y43" s="23">
        <f>ROUND(W43, 3)</f>
        <v>0.753</v>
      </c>
      <c r="Z43" s="23">
        <f>ROUND(V43,3)</f>
        <v>0.753</v>
      </c>
      <c r="AA43" s="27"/>
      <c r="AB43" s="2"/>
      <c r="AC43" s="2"/>
      <c r="AD43" s="36"/>
      <c r="AE43" s="36" t="str" cm="1">
        <f t="array" ref="AE43">IFERROR(IF($B$2="production",_xlfn.UNIQUE(INDEX(_xlfn._xlws.FILTER(TableDay2[[type]:[brp_id]],(TableDay2[es_id]=AE27)*(TableDay2[type]="E18"),""),,9)),_xlfn.UNIQUE(INDEX(_xlfn._xlws.FILTER(TableDay2[[type]:[brp_id]],(TableDay2[es_id]=AE27)*(TableDay2[settlement_method]=AG$2),""),,9))),"")</f>
        <v/>
      </c>
      <c r="AF43" s="36" t="str" cm="1">
        <f t="array" ref="AF43">IFERROR(IF($B$2="production",_xlfn.UNIQUE(INDEX(_xlfn._xlws.FILTER(TableDay2[[type]:[brp_id]],(TableDay2[brp_id]=AF28)*(TableDay2[type]=$AG$2),""),,10)),_xlfn.UNIQUE(INDEX(_xlfn._xlws.FILTER(TableDay2[[type]:[brp_id]],(TableDay2[brp_id]=AF28)*(TableDay2[settlement_method]=AG$2),""),,10))),"")</f>
        <v/>
      </c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25">
      <c r="B44" s="16" t="str">
        <f>IF(AND(F44&lt;&gt;"null",F44&lt;&gt;""),IF(F44=INDEX(TableDay2[es_id],MATCH("GLMP",TableDay2[note],0),1),"glmp",""),IF(AND(G44&lt;&gt;"null",G44&lt;&gt;""),IF(G44=INDEX(TableDay2[brp_id],MATCH("GLMP",TableDay2[note],0),1),"glmp",""),IF(E44=INDEX(TableDay2[ga_id],MATCH("GLMP",TableDay2[note],0),1),"glmp","")))</f>
        <v/>
      </c>
      <c r="C44" s="16" t="str">
        <f>IF(AND(F44&lt;&gt;"null",F44&lt;&gt;""),IF(F44=INDEX(TableDay2[es_id],MATCH("SKMP",TableDay2[note],0),1),"skmp",""),IF(AND(G44&lt;&gt;"null",G44&lt;&gt;""),IF(G44=INDEX(TableDay2[brp_id],MATCH("SKMP",TableDay2[note],0),1),"skmp",""),IF(E44=INDEX(TableDay2[ga_id],MATCH("SKMP",TableDay2[note],0),1),"skmp","")))</f>
        <v/>
      </c>
      <c r="D44" s="15" t="s">
        <v>75</v>
      </c>
      <c r="E44" s="31" t="str">
        <f t="shared" si="7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IF(B$1="ga",IF(E44="","","null"),IF(B$1="ga_es",IF(F44="","","null"),IF(B$1="ga_brp",IF(AF$5=0,"",AF$5),IF(F44="","",INDEX(TableDay2[brp_id],MATCH(F44,TableDay2[es_id],0),1)))))</f>
        <v/>
      </c>
      <c r="H44" s="33" t="str">
        <f t="shared" si="5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2[es_id],IF(B$1="ga_brp",TableDay2[brp_id],TableDay2[ga_id])),IF(OR(B$1="ga_es",B$1="ga_brp_es"),F44,IF(B$1="ga_brp",G44,E44)),IF(B$2="production",TableDay2[type],TableDay2[settlement_method]),AG$2,TableDay2[resolution],"PT15M")</f>
        <v>0</v>
      </c>
      <c r="K44" s="9">
        <f t="shared" si="6"/>
        <v>0</v>
      </c>
      <c r="L44" s="2"/>
      <c r="R44" s="24"/>
      <c r="S44" s="24"/>
      <c r="T44" s="24"/>
      <c r="U44" s="15" t="s">
        <v>50</v>
      </c>
      <c r="V44" s="19">
        <f>V$42</f>
        <v>0.75275000000000003</v>
      </c>
      <c r="W44" s="19">
        <f>X44+W43</f>
        <v>0.75250000000000006</v>
      </c>
      <c r="X44" s="19">
        <f>V44-Y43</f>
        <v>-2.4999999999997247E-4</v>
      </c>
      <c r="Y44" s="23">
        <f>ROUND(W44, 3)</f>
        <v>0.753</v>
      </c>
      <c r="Z44" s="23">
        <f>ROUND(V44,3)</f>
        <v>0.753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25">
      <c r="B45" s="16" t="str">
        <f>IF(AND(F45&lt;&gt;"null",F45&lt;&gt;""),IF(F45=INDEX(TableDay2[es_id],MATCH("GLMP",TableDay2[note],0),1),"glmp",""),IF(AND(G45&lt;&gt;"null",G45&lt;&gt;""),IF(G45=INDEX(TableDay2[brp_id],MATCH("GLMP",TableDay2[note],0),1),"glmp",""),IF(E45=INDEX(TableDay2[ga_id],MATCH("GLMP",TableDay2[note],0),1),"glmp","")))</f>
        <v/>
      </c>
      <c r="C45" s="16" t="str">
        <f>IF(AND(F45&lt;&gt;"null",F45&lt;&gt;""),IF(F45=INDEX(TableDay2[es_id],MATCH("SKMP",TableDay2[note],0),1),"skmp",""),IF(AND(G45&lt;&gt;"null",G45&lt;&gt;""),IF(G45=INDEX(TableDay2[brp_id],MATCH("SKMP",TableDay2[note],0),1),"skmp",""),IF(E45=INDEX(TableDay2[ga_id],MATCH("SKMP",TableDay2[note],0),1),"skmp","")))</f>
        <v/>
      </c>
      <c r="D45" s="15" t="s">
        <v>76</v>
      </c>
      <c r="E45" s="31" t="str">
        <f t="shared" si="7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IF(B$1="ga",IF(E45="","","null"),IF(B$1="ga_es",IF(F45="","","null"),IF(B$1="ga_brp",IF(AF$5=0,"",AF$5),IF(F45="","",INDEX(TableDay2[brp_id],MATCH(F45,TableDay2[es_id],0),1)))))</f>
        <v/>
      </c>
      <c r="H45" s="33" t="str">
        <f t="shared" si="5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2[es_id],IF(B$1="ga_brp",TableDay2[brp_id],TableDay2[ga_id])),IF(OR(B$1="ga_es",B$1="ga_brp_es"),F45,IF(B$1="ga_brp",G45,E45)),IF(B$2="production",TableDay2[type],TableDay2[settlement_method]),AG$2,TableDay2[resolution],"PT15M")</f>
        <v>0</v>
      </c>
      <c r="K45" s="9">
        <f t="shared" si="6"/>
        <v>0</v>
      </c>
      <c r="L45" s="2"/>
      <c r="R45" s="24"/>
      <c r="S45" s="24"/>
      <c r="T45" s="24"/>
      <c r="U45" s="15" t="s">
        <v>51</v>
      </c>
      <c r="V45" s="19">
        <f>V$42</f>
        <v>0.75275000000000003</v>
      </c>
      <c r="W45" s="19">
        <f>X45+W44</f>
        <v>0.75225000000000009</v>
      </c>
      <c r="X45" s="19">
        <f>V45-Y44</f>
        <v>-2.4999999999997247E-4</v>
      </c>
      <c r="Y45" s="23">
        <f>ROUND(W45, 3)</f>
        <v>0.752</v>
      </c>
      <c r="Z45" s="23">
        <f>ROUND(V45,3)</f>
        <v>0.753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25" x14ac:dyDescent="0.35">
      <c r="C46" s="2"/>
      <c r="E46" s="44" t="s">
        <v>122</v>
      </c>
      <c r="F46" s="44"/>
      <c r="G46" s="44"/>
      <c r="H46" s="44"/>
      <c r="R46" s="24"/>
      <c r="S46" s="24"/>
      <c r="T46" s="24"/>
      <c r="U46" s="15" t="s">
        <v>52</v>
      </c>
      <c r="V46" s="19">
        <f>V$42</f>
        <v>0.75275000000000003</v>
      </c>
      <c r="W46" s="19">
        <f>X46+W45</f>
        <v>0.75300000000000011</v>
      </c>
      <c r="X46" s="19">
        <f>V46-Y45</f>
        <v>7.5000000000002842E-4</v>
      </c>
      <c r="Y46" s="23">
        <f>ROUND(W46, 3)</f>
        <v>0.753</v>
      </c>
      <c r="Z46" s="23">
        <f>ROUND(V46,3)</f>
        <v>0.753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75" x14ac:dyDescent="0.3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SUMIFS(TableDay2[TotalHour],TableDay2[settlement_method],"E02",TableDay2[resolution],"PT1H")</f>
        <v>5.0110000000000001</v>
      </c>
      <c r="W47" s="39" t="s">
        <v>48</v>
      </c>
      <c r="X47" s="40"/>
      <c r="Y47" s="28">
        <f>SUM(Y49:Y52)</f>
        <v>5.0110000000000001</v>
      </c>
      <c r="Z47" s="21">
        <f>SUM(Z49:Z52)</f>
        <v>5.0119999999999996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25">
      <c r="A48" s="2"/>
      <c r="B48" s="2"/>
      <c r="C48" s="2"/>
      <c r="D48" s="8" t="s">
        <v>73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2.1</v>
      </c>
      <c r="I48" s="54" t="str">
        <f>SUBSTITUTE(H48,",",".")</f>
        <v>2.1</v>
      </c>
      <c r="R48" s="24"/>
      <c r="S48" s="24"/>
      <c r="T48" s="24"/>
      <c r="U48" s="7" t="s">
        <v>43</v>
      </c>
      <c r="V48" s="9">
        <f>SUMIFS(TableDay2[TotalHour],TableDay2[settlement_method],"E02",TableDay2[resolution],"PT1H")/4</f>
        <v>1.25275</v>
      </c>
      <c r="W48" s="7" t="s">
        <v>44</v>
      </c>
      <c r="X48" s="7" t="s">
        <v>45</v>
      </c>
      <c r="Y48" s="7" t="s">
        <v>46</v>
      </c>
      <c r="Z48" s="7" t="s">
        <v>47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25">
      <c r="A49" s="2"/>
      <c r="B49" s="2"/>
      <c r="C49" s="2"/>
      <c r="D49" s="8" t="s">
        <v>74</v>
      </c>
      <c r="E49" s="31" t="str">
        <f t="shared" ref="E49:E51" si="12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2.2000000000000002</v>
      </c>
      <c r="I49" s="54" t="str">
        <f t="shared" ref="I49:I51" si="13">SUBSTITUTE(H49,",",".")</f>
        <v>2.2</v>
      </c>
      <c r="R49" s="24"/>
      <c r="S49" s="24"/>
      <c r="T49" s="24"/>
      <c r="U49" s="15" t="s">
        <v>57</v>
      </c>
      <c r="V49" s="19">
        <f>V$48</f>
        <v>1.25275</v>
      </c>
      <c r="W49" s="19">
        <f>V49</f>
        <v>1.25275</v>
      </c>
      <c r="X49" s="19"/>
      <c r="Y49" s="23">
        <f>ROUND(W49, 3)</f>
        <v>1.2529999999999999</v>
      </c>
      <c r="Z49" s="23">
        <f>ROUND(V49,3)</f>
        <v>1.2529999999999999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25">
      <c r="A50" s="2"/>
      <c r="B50" s="2"/>
      <c r="C50" s="2"/>
      <c r="D50" s="8" t="s">
        <v>75</v>
      </c>
      <c r="E50" s="31" t="str">
        <f t="shared" si="12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2.2999999999999998</v>
      </c>
      <c r="I50" s="54" t="str">
        <f t="shared" si="13"/>
        <v>2.3</v>
      </c>
      <c r="R50" s="24"/>
      <c r="S50" s="24"/>
      <c r="T50" s="24"/>
      <c r="U50" s="15" t="s">
        <v>58</v>
      </c>
      <c r="V50" s="19">
        <f>V$48</f>
        <v>1.25275</v>
      </c>
      <c r="W50" s="19">
        <f>X50+W49</f>
        <v>1.2525000000000002</v>
      </c>
      <c r="X50" s="19">
        <f>V50-Y49</f>
        <v>-2.4999999999986144E-4</v>
      </c>
      <c r="Y50" s="23">
        <f>ROUND(W50, 3)</f>
        <v>1.2529999999999999</v>
      </c>
      <c r="Z50" s="23">
        <f>ROUND(V50,3)</f>
        <v>1.2529999999999999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25">
      <c r="A51" s="2"/>
      <c r="B51" s="2"/>
      <c r="C51" s="2"/>
      <c r="D51" s="8" t="s">
        <v>76</v>
      </c>
      <c r="E51" s="31" t="str">
        <f t="shared" si="12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2.4</v>
      </c>
      <c r="I51" s="54" t="str">
        <f t="shared" si="13"/>
        <v>2.4</v>
      </c>
      <c r="R51" s="24"/>
      <c r="S51" s="24"/>
      <c r="T51" s="24"/>
      <c r="U51" s="15" t="s">
        <v>59</v>
      </c>
      <c r="V51" s="19">
        <f>V$48</f>
        <v>1.25275</v>
      </c>
      <c r="W51" s="19">
        <f>X51+W50</f>
        <v>1.2522500000000003</v>
      </c>
      <c r="X51" s="19">
        <f>V51-Y50</f>
        <v>-2.4999999999986144E-4</v>
      </c>
      <c r="Y51" s="23">
        <f>ROUND(W51, 3)</f>
        <v>1.252</v>
      </c>
      <c r="Z51" s="23">
        <f>ROUND(V51,3)</f>
        <v>1.2529999999999999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25" x14ac:dyDescent="0.35">
      <c r="A52" s="2"/>
      <c r="B52" s="2"/>
      <c r="C52" s="2"/>
      <c r="E52" s="48" t="s">
        <v>35</v>
      </c>
      <c r="F52" s="49"/>
      <c r="G52" s="49"/>
      <c r="H52" s="50"/>
      <c r="R52" s="24"/>
      <c r="S52" s="24"/>
      <c r="T52" s="24"/>
      <c r="U52" s="15" t="s">
        <v>60</v>
      </c>
      <c r="V52" s="19">
        <f>V$48</f>
        <v>1.25275</v>
      </c>
      <c r="W52" s="19">
        <f>X52+W51</f>
        <v>1.2530000000000003</v>
      </c>
      <c r="X52" s="19">
        <f>V52-Y51</f>
        <v>7.5000000000002842E-4</v>
      </c>
      <c r="Y52" s="23">
        <f>ROUND(W52, 3)</f>
        <v>1.2529999999999999</v>
      </c>
      <c r="Z52" s="23">
        <f>ROUND(V52,3)</f>
        <v>1.2529999999999999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75" x14ac:dyDescent="0.3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ROUND(SUMIFS(TableDay2[TotalHour],TableDay2[type],"E20",TableDay2[resolution],"PT1H",TableDay2[to_ga],$AD$2),3)</f>
        <v>0</v>
      </c>
      <c r="W53" s="39" t="s">
        <v>48</v>
      </c>
      <c r="X53" s="40"/>
      <c r="Y53" s="28">
        <f>ROUND(SUM(Y55:Y58),3)</f>
        <v>0</v>
      </c>
      <c r="Z53" s="21">
        <f>SUM(Z55:Z58)</f>
        <v>0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2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1.0029999999999999</v>
      </c>
      <c r="I54" s="54" t="str">
        <f>SUBSTITUTE(H54,",",".")</f>
        <v>1.003</v>
      </c>
      <c r="R54" s="24"/>
      <c r="S54" s="24"/>
      <c r="T54" s="24"/>
      <c r="U54" s="6" t="s">
        <v>30</v>
      </c>
      <c r="V54" s="9">
        <f>SUMIFS(TableDay2[TotalHour],TableDay2[type],"E20",TableDay2[resolution],"PT1H",TableDay2[to_ga],$AD$2)/4</f>
        <v>0</v>
      </c>
      <c r="W54" s="7" t="s">
        <v>44</v>
      </c>
      <c r="X54" s="7" t="s">
        <v>45</v>
      </c>
      <c r="Y54" s="7" t="s">
        <v>46</v>
      </c>
      <c r="Z54" s="7" t="s">
        <v>47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25">
      <c r="A55" s="2"/>
      <c r="B55" s="2"/>
      <c r="C55" s="2"/>
      <c r="D55" s="8" t="s">
        <v>4</v>
      </c>
      <c r="E55" s="31" t="str">
        <f t="shared" ref="E55:E57" si="14">$AD$2</f>
        <v>800</v>
      </c>
      <c r="F55" s="31" t="s">
        <v>33</v>
      </c>
      <c r="G55" s="31" t="s">
        <v>33</v>
      </c>
      <c r="H55" s="32">
        <f>totalFlex1H_quarter2+totalFlex15M_quarter2</f>
        <v>1.0029999999999999</v>
      </c>
      <c r="I55" s="54" t="str">
        <f t="shared" ref="I55:I57" si="15">SUBSTITUTE(H55,",",".")</f>
        <v>1.003</v>
      </c>
      <c r="R55" s="24"/>
      <c r="S55" s="24"/>
      <c r="T55" s="24"/>
      <c r="U55" s="15" t="s">
        <v>61</v>
      </c>
      <c r="V55" s="19">
        <f>V$54</f>
        <v>0</v>
      </c>
      <c r="W55" s="19">
        <f>V55</f>
        <v>0</v>
      </c>
      <c r="X55" s="19"/>
      <c r="Y55" s="23">
        <f>ROUND(W55, 3)</f>
        <v>0</v>
      </c>
      <c r="Z55" s="23">
        <f>ROUND(V55,3)</f>
        <v>0</v>
      </c>
      <c r="AA55" s="24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25">
      <c r="A56" s="2"/>
      <c r="B56" s="2"/>
      <c r="C56" s="2"/>
      <c r="D56" s="8" t="s">
        <v>5</v>
      </c>
      <c r="E56" s="31" t="str">
        <f t="shared" si="14"/>
        <v>800</v>
      </c>
      <c r="F56" s="31" t="s">
        <v>33</v>
      </c>
      <c r="G56" s="31" t="s">
        <v>33</v>
      </c>
      <c r="H56" s="32">
        <f>totalFlex1H_quarter3+totalFlex15M_quarter3</f>
        <v>1.002</v>
      </c>
      <c r="I56" s="54" t="str">
        <f t="shared" si="15"/>
        <v>1.002</v>
      </c>
      <c r="R56" s="24"/>
      <c r="S56" s="24"/>
      <c r="T56" s="24"/>
      <c r="U56" s="15" t="s">
        <v>62</v>
      </c>
      <c r="V56" s="19">
        <f>V$54</f>
        <v>0</v>
      </c>
      <c r="W56" s="19">
        <f>X56+W55</f>
        <v>0</v>
      </c>
      <c r="X56" s="19">
        <f>V56-Y55</f>
        <v>0</v>
      </c>
      <c r="Y56" s="23">
        <f>ROUND(W56, 3)</f>
        <v>0</v>
      </c>
      <c r="Z56" s="23">
        <f>ROUND(V56,3)</f>
        <v>0</v>
      </c>
      <c r="AA56" s="24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25">
      <c r="A57" s="2"/>
      <c r="B57" s="2"/>
      <c r="C57" s="2"/>
      <c r="D57" s="8" t="s">
        <v>6</v>
      </c>
      <c r="E57" s="31" t="str">
        <f t="shared" si="14"/>
        <v>800</v>
      </c>
      <c r="F57" s="31" t="s">
        <v>33</v>
      </c>
      <c r="G57" s="31" t="s">
        <v>33</v>
      </c>
      <c r="H57" s="32">
        <f>totalFlex1H_quarter4+totalFlex15M_quarter4</f>
        <v>1.0029999999999999</v>
      </c>
      <c r="I57" s="54" t="str">
        <f t="shared" si="15"/>
        <v>1.003</v>
      </c>
      <c r="R57" s="24"/>
      <c r="S57" s="24"/>
      <c r="T57" s="24"/>
      <c r="U57" s="15" t="s">
        <v>63</v>
      </c>
      <c r="V57" s="19">
        <f>V$54</f>
        <v>0</v>
      </c>
      <c r="W57" s="19">
        <f>X57+W56</f>
        <v>0</v>
      </c>
      <c r="X57" s="19">
        <f>V57-Y56</f>
        <v>0</v>
      </c>
      <c r="Y57" s="23">
        <f>ROUND(W57, 3)</f>
        <v>0</v>
      </c>
      <c r="Z57" s="23">
        <f>ROUND(V57,3)</f>
        <v>0</v>
      </c>
      <c r="AA57" s="27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25" x14ac:dyDescent="0.35">
      <c r="A58" s="2"/>
      <c r="B58" s="2"/>
      <c r="C58" s="2"/>
      <c r="E58" s="48" t="s">
        <v>36</v>
      </c>
      <c r="F58" s="49"/>
      <c r="G58" s="49"/>
      <c r="H58" s="50"/>
      <c r="R58" s="24"/>
      <c r="S58" s="24"/>
      <c r="T58" s="24"/>
      <c r="U58" s="15" t="s">
        <v>64</v>
      </c>
      <c r="V58" s="19">
        <f>V$54</f>
        <v>0</v>
      </c>
      <c r="W58" s="19">
        <f>X58+W57</f>
        <v>0</v>
      </c>
      <c r="X58" s="19">
        <f>V58-Y57</f>
        <v>0</v>
      </c>
      <c r="Y58" s="23">
        <f>ROUND(W58, 3)</f>
        <v>0</v>
      </c>
      <c r="Z58" s="23">
        <f>ROUND(V58,3)</f>
        <v>0</v>
      </c>
      <c r="AA58" s="27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75" x14ac:dyDescent="0.3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ROUND(SUMIFS(TableDay2[TotalHour],TableDay2[type],"E20",TableDay2[resolution],"PT1H",TableDay2[from_ga],"800"),3)</f>
        <v>0</v>
      </c>
      <c r="W59" s="39" t="s">
        <v>48</v>
      </c>
      <c r="X59" s="40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2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0.753</v>
      </c>
      <c r="I60" s="54" t="str">
        <f>SUBSTITUTE(H60,",",".")</f>
        <v>0.753</v>
      </c>
      <c r="R60" s="24"/>
      <c r="S60" s="24"/>
      <c r="T60" s="24"/>
      <c r="U60" s="6" t="s">
        <v>32</v>
      </c>
      <c r="V60" s="9">
        <f>SUMIFS(TableDay2[TotalHour],TableDay2[type],"E20",TableDay2[resolution],"PT1H",TableDay2[from_ga],"800")/4</f>
        <v>0</v>
      </c>
      <c r="W60" s="7" t="s">
        <v>44</v>
      </c>
      <c r="X60" s="7" t="s">
        <v>45</v>
      </c>
      <c r="Y60" s="7" t="s">
        <v>46</v>
      </c>
      <c r="Z60" s="7" t="s">
        <v>47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25">
      <c r="C61" s="2"/>
      <c r="D61" s="8" t="s">
        <v>4</v>
      </c>
      <c r="E61" s="31" t="str">
        <f t="shared" ref="E61:E63" si="16">$AD$2</f>
        <v>800</v>
      </c>
      <c r="F61" s="31" t="s">
        <v>33</v>
      </c>
      <c r="G61" s="31" t="s">
        <v>33</v>
      </c>
      <c r="H61" s="32">
        <f>totalProduction1H_quarter2+totalProduction15M_quarter2</f>
        <v>0.753</v>
      </c>
      <c r="I61" s="54" t="str">
        <f t="shared" ref="I61:I63" si="17">SUBSTITUTE(H61,",",".")</f>
        <v>0.753</v>
      </c>
      <c r="R61" s="24"/>
      <c r="S61" s="24"/>
      <c r="T61" s="24"/>
      <c r="U61" s="15" t="s">
        <v>65</v>
      </c>
      <c r="V61" s="19">
        <f>V$60</f>
        <v>0</v>
      </c>
      <c r="W61" s="19">
        <f>V61</f>
        <v>0</v>
      </c>
      <c r="X61" s="19"/>
      <c r="Y61" s="23">
        <f>ROUND(W61, 3)</f>
        <v>0</v>
      </c>
      <c r="Z61" s="23">
        <f>ROUND(V61,3)</f>
        <v>0</v>
      </c>
      <c r="AA61" s="27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25">
      <c r="C62" s="2"/>
      <c r="D62" s="8" t="s">
        <v>5</v>
      </c>
      <c r="E62" s="31" t="str">
        <f t="shared" si="16"/>
        <v>800</v>
      </c>
      <c r="F62" s="31" t="s">
        <v>33</v>
      </c>
      <c r="G62" s="31" t="s">
        <v>33</v>
      </c>
      <c r="H62" s="32">
        <f>totalProduction1H_quarter3+totalProduction15M_quarter3</f>
        <v>0.752</v>
      </c>
      <c r="I62" s="54" t="str">
        <f t="shared" si="17"/>
        <v>0.752</v>
      </c>
      <c r="R62" s="24"/>
      <c r="S62" s="24"/>
      <c r="T62" s="24"/>
      <c r="U62" s="15" t="s">
        <v>66</v>
      </c>
      <c r="V62" s="19">
        <f>V$60</f>
        <v>0</v>
      </c>
      <c r="W62" s="19">
        <f>X62+W61</f>
        <v>0</v>
      </c>
      <c r="X62" s="19">
        <f>V62-Y61</f>
        <v>0</v>
      </c>
      <c r="Y62" s="23">
        <f>ROUND(W62, 3)</f>
        <v>0</v>
      </c>
      <c r="Z62" s="23">
        <f>ROUND(V62,3)</f>
        <v>0</v>
      </c>
      <c r="AA62" s="27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25">
      <c r="C63" s="2"/>
      <c r="D63" s="8" t="s">
        <v>6</v>
      </c>
      <c r="E63" s="31" t="str">
        <f t="shared" si="16"/>
        <v>800</v>
      </c>
      <c r="F63" s="31" t="s">
        <v>33</v>
      </c>
      <c r="G63" s="31" t="s">
        <v>33</v>
      </c>
      <c r="H63" s="32">
        <f>totalProduction1H_quarter4+totalProduction15M_quarter4</f>
        <v>0.753</v>
      </c>
      <c r="I63" s="54" t="str">
        <f t="shared" si="17"/>
        <v>0.753</v>
      </c>
      <c r="R63" s="24"/>
      <c r="S63" s="24"/>
      <c r="T63" s="24"/>
      <c r="U63" s="15" t="s">
        <v>67</v>
      </c>
      <c r="V63" s="19">
        <f>V$60</f>
        <v>0</v>
      </c>
      <c r="W63" s="19">
        <f>X63+W62</f>
        <v>0</v>
      </c>
      <c r="X63" s="19">
        <f>V63-Y62</f>
        <v>0</v>
      </c>
      <c r="Y63" s="23">
        <f>ROUND(W63, 3)</f>
        <v>0</v>
      </c>
      <c r="Z63" s="23">
        <f>ROUND(V63,3)</f>
        <v>0</v>
      </c>
      <c r="AA63" s="27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25" x14ac:dyDescent="0.35">
      <c r="C64" s="2"/>
      <c r="E64" s="48" t="s">
        <v>37</v>
      </c>
      <c r="F64" s="49"/>
      <c r="G64" s="49"/>
      <c r="H64" s="50"/>
      <c r="R64" s="24"/>
      <c r="S64" s="24"/>
      <c r="T64" s="24"/>
      <c r="U64" s="15" t="s">
        <v>68</v>
      </c>
      <c r="V64" s="19">
        <f>V$60</f>
        <v>0</v>
      </c>
      <c r="W64" s="19">
        <f>X64+W63</f>
        <v>0</v>
      </c>
      <c r="X64" s="19">
        <f>V64-Y63</f>
        <v>0</v>
      </c>
      <c r="Y64" s="23">
        <f>ROUND(W64, 3)</f>
        <v>0</v>
      </c>
      <c r="Z64" s="23">
        <f>ROUND(V64,3)</f>
        <v>0</v>
      </c>
      <c r="AA64" s="27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75" x14ac:dyDescent="0.3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ROUND(SUMIFS(TableDay2[TotalHour],TableDay2[type],"E17",TableDay2[resolution],"PT1H"),3)</f>
        <v>9.0220000000000002</v>
      </c>
      <c r="W65" s="52" t="s">
        <v>48</v>
      </c>
      <c r="X65" s="53"/>
      <c r="Y65" s="28">
        <f>ROUND(SUM(Y67:Y70),3)</f>
        <v>9.0220000000000002</v>
      </c>
      <c r="Z65" s="21">
        <f>SUM(Z67:Z70)</f>
        <v>9.0239999999999991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2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0.59700000000000042</v>
      </c>
      <c r="I66" s="54" t="str">
        <f>SUBSTITUTE(H66,",",".")</f>
        <v>0.597</v>
      </c>
      <c r="R66" s="24"/>
      <c r="S66" s="24"/>
      <c r="T66" s="24"/>
      <c r="U66" s="7" t="s">
        <v>27</v>
      </c>
      <c r="V66" s="9">
        <f>SUMIFS(TableDay2[TotalHour],TableDay2[type],"E17",TableDay2[resolution],"PT1H")/4</f>
        <v>2.2555000000000001</v>
      </c>
      <c r="W66" s="7" t="s">
        <v>44</v>
      </c>
      <c r="X66" s="7" t="s">
        <v>45</v>
      </c>
      <c r="Y66" s="7" t="s">
        <v>46</v>
      </c>
      <c r="Z66" s="7" t="s">
        <v>47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25">
      <c r="C67" s="2"/>
      <c r="D67" s="8" t="s">
        <v>4</v>
      </c>
      <c r="E67" s="31" t="str">
        <f t="shared" ref="E67:E69" si="18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0.69700000000000051</v>
      </c>
      <c r="I67" s="54" t="str">
        <f t="shared" ref="I67:I69" si="19">SUBSTITUTE(H67,",",".")</f>
        <v>0.697000000000001</v>
      </c>
      <c r="R67" s="24"/>
      <c r="S67" s="24"/>
      <c r="T67" s="24"/>
      <c r="U67" s="15" t="s">
        <v>69</v>
      </c>
      <c r="V67" s="19">
        <f>V$66</f>
        <v>2.2555000000000001</v>
      </c>
      <c r="W67" s="19">
        <f>V67</f>
        <v>2.2555000000000001</v>
      </c>
      <c r="X67" s="19"/>
      <c r="Y67" s="23">
        <f>ROUND(W67, 3)</f>
        <v>2.2559999999999998</v>
      </c>
      <c r="Z67" s="23">
        <f>ROUND(V67,3)</f>
        <v>2.2559999999999998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25">
      <c r="C68" s="2"/>
      <c r="D68" s="8" t="s">
        <v>5</v>
      </c>
      <c r="E68" s="31" t="str">
        <f t="shared" si="18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0.79799999999999982</v>
      </c>
      <c r="I68" s="54" t="str">
        <f t="shared" si="19"/>
        <v>0.798</v>
      </c>
      <c r="R68" s="24"/>
      <c r="S68" s="24"/>
      <c r="T68" s="24"/>
      <c r="U68" s="15" t="s">
        <v>70</v>
      </c>
      <c r="V68" s="19">
        <f>V$66</f>
        <v>2.2555000000000001</v>
      </c>
      <c r="W68" s="19">
        <f>X68+W67</f>
        <v>2.2550000000000003</v>
      </c>
      <c r="X68" s="19">
        <f>V68-Y67</f>
        <v>-4.9999999999972289E-4</v>
      </c>
      <c r="Y68" s="23">
        <f>ROUND(W68, 3)</f>
        <v>2.2549999999999999</v>
      </c>
      <c r="Z68" s="23">
        <f>ROUND(V68,3)</f>
        <v>2.2559999999999998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25">
      <c r="C69" s="2"/>
      <c r="D69" s="8" t="s">
        <v>6</v>
      </c>
      <c r="E69" s="31" t="str">
        <f t="shared" si="18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0.89700000000000046</v>
      </c>
      <c r="I69" s="54" t="str">
        <f t="shared" si="19"/>
        <v>0.897</v>
      </c>
      <c r="J69" s="2"/>
      <c r="R69" s="24"/>
      <c r="S69" s="24"/>
      <c r="T69" s="24"/>
      <c r="U69" s="15" t="s">
        <v>71</v>
      </c>
      <c r="V69" s="19">
        <f>V$66</f>
        <v>2.2555000000000001</v>
      </c>
      <c r="W69" s="19">
        <f>X69+W68</f>
        <v>2.2555000000000005</v>
      </c>
      <c r="X69" s="19">
        <f>V69-Y68</f>
        <v>5.0000000000016698E-4</v>
      </c>
      <c r="Y69" s="23">
        <f>ROUND(W69, 3)</f>
        <v>2.2559999999999998</v>
      </c>
      <c r="Z69" s="23">
        <f>ROUND(V69,3)</f>
        <v>2.2559999999999998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25" x14ac:dyDescent="0.35">
      <c r="C70" s="2"/>
      <c r="E70" s="48" t="s">
        <v>39</v>
      </c>
      <c r="F70" s="49"/>
      <c r="G70" s="49"/>
      <c r="H70" s="50"/>
      <c r="R70" s="24"/>
      <c r="S70" s="24"/>
      <c r="T70" s="27"/>
      <c r="U70" s="15" t="s">
        <v>72</v>
      </c>
      <c r="V70" s="19">
        <f>V$66</f>
        <v>2.2555000000000001</v>
      </c>
      <c r="W70" s="19">
        <f>X70+W69</f>
        <v>2.2550000000000008</v>
      </c>
      <c r="X70" s="19">
        <f>V70-Y69</f>
        <v>-4.9999999999972289E-4</v>
      </c>
      <c r="Y70" s="23">
        <f>ROUND(W70, 3)</f>
        <v>2.2549999999999999</v>
      </c>
      <c r="Z70" s="23">
        <f>ROUND(V70,3)</f>
        <v>2.2559999999999998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75" x14ac:dyDescent="0.3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25">
      <c r="C72" s="2"/>
      <c r="D72" s="15" t="s">
        <v>76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0.89700000000000046</v>
      </c>
      <c r="I72" s="54" t="str">
        <f>SUBSTITUTE(H72,",",".")</f>
        <v>0.897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25">
      <c r="C73" s="2"/>
      <c r="D73" s="15" t="s">
        <v>75</v>
      </c>
      <c r="E73" s="31" t="str">
        <f t="shared" ref="E73:E75" si="20">$AD$2</f>
        <v>800</v>
      </c>
      <c r="F73" s="31" t="s">
        <v>33</v>
      </c>
      <c r="G73" s="31" t="s">
        <v>33</v>
      </c>
      <c r="H73" s="32">
        <f>IF(gridLoss1H_quarter3&gt;0,gridLoss1H_quarter3,0)</f>
        <v>0.79799999999999982</v>
      </c>
      <c r="I73" s="54" t="str">
        <f t="shared" ref="I73:I75" si="21">SUBSTITUTE(H73,",",".")</f>
        <v>0.798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25">
      <c r="C74" s="2"/>
      <c r="D74" s="15" t="s">
        <v>74</v>
      </c>
      <c r="E74" s="31" t="str">
        <f t="shared" si="20"/>
        <v>800</v>
      </c>
      <c r="F74" s="31" t="s">
        <v>33</v>
      </c>
      <c r="G74" s="31" t="s">
        <v>33</v>
      </c>
      <c r="H74" s="32">
        <f>IF(gridLoss1H_quarter2&gt;0,gridLoss1H_quarter2,0)</f>
        <v>0.69700000000000051</v>
      </c>
      <c r="I74" s="54" t="str">
        <f t="shared" si="21"/>
        <v>0.697000000000001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25">
      <c r="C75" s="2"/>
      <c r="D75" s="15" t="s">
        <v>73</v>
      </c>
      <c r="E75" s="31" t="str">
        <f t="shared" si="20"/>
        <v>800</v>
      </c>
      <c r="F75" s="31" t="s">
        <v>33</v>
      </c>
      <c r="G75" s="31" t="s">
        <v>33</v>
      </c>
      <c r="H75" s="32">
        <f>IF(gridLoss1H_quarter1&gt;0,gridLoss1H_quarter1,0)</f>
        <v>0.59700000000000042</v>
      </c>
      <c r="I75" s="54" t="str">
        <f t="shared" si="21"/>
        <v>0.597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25" x14ac:dyDescent="0.35">
      <c r="C76" s="2"/>
      <c r="E76" s="48" t="s">
        <v>40</v>
      </c>
      <c r="F76" s="49"/>
      <c r="G76" s="49"/>
      <c r="H76" s="5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75" x14ac:dyDescent="0.3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25">
      <c r="C78" s="2"/>
      <c r="D78" s="15" t="s">
        <v>76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0</v>
      </c>
      <c r="I78" s="54" t="str">
        <f>SUBSTITUTE(H78,",",".")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25">
      <c r="C79" s="2"/>
      <c r="D79" s="15" t="s">
        <v>75</v>
      </c>
      <c r="E79" s="31" t="str">
        <f t="shared" ref="E79:E81" si="22">$AD$2</f>
        <v>800</v>
      </c>
      <c r="F79" s="31" t="s">
        <v>33</v>
      </c>
      <c r="G79" s="31" t="s">
        <v>33</v>
      </c>
      <c r="H79" s="32">
        <f>IF(gridLoss1H_quarter3&lt;0,gridLoss1H_quarter3*-1,0)</f>
        <v>0</v>
      </c>
      <c r="I79" s="54" t="str">
        <f t="shared" ref="I79:I81" si="23">SUBSTITUTE(H79,",",".")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25">
      <c r="C80" s="2"/>
      <c r="D80" s="15" t="s">
        <v>74</v>
      </c>
      <c r="E80" s="31" t="str">
        <f t="shared" si="22"/>
        <v>800</v>
      </c>
      <c r="F80" s="31" t="s">
        <v>33</v>
      </c>
      <c r="G80" s="31" t="s">
        <v>33</v>
      </c>
      <c r="H80" s="32">
        <f>IF(gridLoss1H_quarter2&lt;0,gridLoss1H_quarter2*-1,0)</f>
        <v>0</v>
      </c>
      <c r="I80" s="54" t="str">
        <f t="shared" si="23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25">
      <c r="C81" s="2"/>
      <c r="D81" s="15" t="s">
        <v>73</v>
      </c>
      <c r="E81" s="31" t="str">
        <f t="shared" si="22"/>
        <v>800</v>
      </c>
      <c r="F81" s="31" t="s">
        <v>33</v>
      </c>
      <c r="G81" s="31" t="s">
        <v>33</v>
      </c>
      <c r="H81" s="32">
        <f>IF(gridLoss1H_quarter1&lt;0,(gridLoss1H_quarter1)*-1,0)</f>
        <v>0</v>
      </c>
      <c r="I81" s="54" t="str">
        <f t="shared" si="23"/>
        <v>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25" x14ac:dyDescent="0.35">
      <c r="C82" s="2"/>
      <c r="E82" s="48" t="s">
        <v>78</v>
      </c>
      <c r="F82" s="49"/>
      <c r="G82" s="49"/>
      <c r="H82" s="5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75" x14ac:dyDescent="0.3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25">
      <c r="C84" s="2"/>
      <c r="D84" s="15" t="s">
        <v>73</v>
      </c>
      <c r="E84" s="31" t="str">
        <f>$AD$2</f>
        <v>800</v>
      </c>
      <c r="F84" s="31" t="s">
        <v>33</v>
      </c>
      <c r="G84" s="31" t="s">
        <v>33</v>
      </c>
      <c r="H84" s="32" t="str">
        <f>SUBSTITUTE(netEx_quarter1+totalProduction1H_quarter1+totalProduction15M_quarter1+negGridLossQuarter1,",",".")</f>
        <v>2.853</v>
      </c>
      <c r="I84" s="37"/>
      <c r="J84" s="2"/>
      <c r="U84" s="2"/>
      <c r="V84" s="51" t="s">
        <v>83</v>
      </c>
      <c r="W84" s="51"/>
      <c r="X84" s="51"/>
      <c r="Y84" s="51"/>
      <c r="Z84" s="51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25">
      <c r="C85" s="2"/>
      <c r="D85" s="15" t="s">
        <v>74</v>
      </c>
      <c r="E85" s="31" t="str">
        <f t="shared" ref="E85:E87" si="24">$AD$2</f>
        <v>800</v>
      </c>
      <c r="F85" s="31" t="s">
        <v>33</v>
      </c>
      <c r="G85" s="31" t="s">
        <v>33</v>
      </c>
      <c r="H85" s="32" t="str">
        <f>SUBSTITUTE(netEx_quarter2+totalProduction1H_quarter2+totalProduction15M_quarter2+negGridLossQuarter2,",",".")</f>
        <v>2.953</v>
      </c>
      <c r="I85" s="2"/>
      <c r="J85" s="2"/>
      <c r="K85" s="2"/>
      <c r="U85" s="2"/>
      <c r="V85" s="6" t="s">
        <v>14</v>
      </c>
      <c r="W85" s="6" t="s">
        <v>85</v>
      </c>
      <c r="X85" s="6" t="s">
        <v>44</v>
      </c>
      <c r="Y85" s="6" t="s">
        <v>45</v>
      </c>
      <c r="Z85" s="6" t="s">
        <v>46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25">
      <c r="C86" s="2"/>
      <c r="D86" s="15" t="s">
        <v>75</v>
      </c>
      <c r="E86" s="31" t="str">
        <f t="shared" si="24"/>
        <v>800</v>
      </c>
      <c r="F86" s="31" t="s">
        <v>33</v>
      </c>
      <c r="G86" s="31" t="s">
        <v>33</v>
      </c>
      <c r="H86" s="32" t="str">
        <f>SUBSTITUTE(netEx_quarter3+totalProduction1H_quarter3+totalProduction15M_quarter3+negGridLossQuarter3,",",".")</f>
        <v>3.052</v>
      </c>
      <c r="I86" s="2"/>
      <c r="J86" s="2"/>
      <c r="R86" s="37"/>
      <c r="S86" s="2"/>
      <c r="U86" s="15" t="s">
        <v>73</v>
      </c>
      <c r="V86" s="26" cm="1">
        <f t="array" aca="1" ref="V86" ca="1">SUMIFS(INDIRECT("TableDay2["&amp;U86&amp;"]"),TableDay2[resolution],"PT15M",TableDay2[from_ga],INDIRECT("AH"&amp;ROUND(ROW()*0.25-19,0)))-SUMIFS(INDIRECT("TableDay2["&amp;U86&amp;"]"),TableDay2[resolution],"PT15M",TableDay2[to_ga],INDIRECT("AH"&amp;ROUND(ROW()*0.25-19,0)))</f>
        <v>2.1</v>
      </c>
      <c r="W86" s="6">
        <f>(SUMIFS(TableDay2[Quarter1],TableDay2[resolution],"PT1H",TableDay2[from_ga],AH$3)-SUMIFS(TableDay2[Quarter1],TableDay2[resolution],"PT1H",TableDay2[to_ga],AH$3))/4</f>
        <v>0</v>
      </c>
      <c r="X86" s="16">
        <f>W86</f>
        <v>0</v>
      </c>
      <c r="Y86" s="16"/>
      <c r="Z86" s="16">
        <f t="shared" ref="Z86:Z109" si="25">ROUND(X86, 3)</f>
        <v>0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25">
      <c r="C87" s="2"/>
      <c r="D87" s="15" t="s">
        <v>76</v>
      </c>
      <c r="E87" s="31" t="str">
        <f t="shared" si="24"/>
        <v>800</v>
      </c>
      <c r="F87" s="34" t="s">
        <v>33</v>
      </c>
      <c r="G87" s="34" t="s">
        <v>33</v>
      </c>
      <c r="H87" s="32" t="str">
        <f>SUBSTITUTE(netEx_quarter4+totalProduction1H_quarter4+totalProduction15M_quarter4+negGridLossQuarter4,",",".")</f>
        <v>3.153</v>
      </c>
      <c r="I87" s="2"/>
      <c r="J87" s="2"/>
      <c r="R87" s="2"/>
      <c r="S87" s="2"/>
      <c r="U87" s="15" t="s">
        <v>74</v>
      </c>
      <c r="V87" s="26" cm="1">
        <f t="array" aca="1" ref="V87" ca="1">SUMIFS(INDIRECT("TableDay2["&amp;U87&amp;"]"),TableDay2[resolution],"PT15M",TableDay2[from_ga],INDIRECT("AH"&amp;ROUND(ROW()*0.25-19,0)))-SUMIFS(INDIRECT("TableDay2["&amp;U87&amp;"]"),TableDay2[resolution],"PT15M",TableDay2[to_ga],INDIRECT("AH"&amp;ROUND(ROW()*0.25-19,0)))</f>
        <v>2.2000000000000002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25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25" x14ac:dyDescent="0.35">
      <c r="C88" s="2"/>
      <c r="E88" s="48" t="s">
        <v>79</v>
      </c>
      <c r="F88" s="49"/>
      <c r="G88" s="49"/>
      <c r="H88" s="49"/>
      <c r="I88" s="50"/>
      <c r="J88" s="2"/>
      <c r="R88" s="2"/>
      <c r="S88" s="2"/>
      <c r="U88" s="15" t="s">
        <v>75</v>
      </c>
      <c r="V88" s="26" cm="1">
        <f t="array" aca="1" ref="V88" ca="1">SUMIFS(INDIRECT("TableDay2["&amp;U88&amp;"]"),TableDay2[resolution],"PT15M",TableDay2[from_ga],INDIRECT("AH"&amp;ROUND(ROW()*0.25-19,0)))-SUMIFS(INDIRECT("TableDay2["&amp;U88&amp;"]"),TableDay2[resolution],"PT15M",TableDay2[to_ga],INDIRECT("AH"&amp;ROUND(ROW()*0.25-19,0)))</f>
        <v>2.2999999999999998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25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75" x14ac:dyDescent="0.3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86</v>
      </c>
      <c r="J89" s="2"/>
      <c r="R89" s="2"/>
      <c r="S89" s="2"/>
      <c r="U89" s="15" t="s">
        <v>76</v>
      </c>
      <c r="V89" s="26" cm="1">
        <f t="array" aca="1" ref="V89" ca="1">SUMIFS(INDIRECT("TableDay2["&amp;U89&amp;"]"),TableDay2[resolution],"PT15M",TableDay2[from_ga],INDIRECT("AH"&amp;ROUND(ROW()*0.25-19,0)))-SUMIFS(INDIRECT("TableDay2["&amp;U89&amp;"]"),TableDay2[resolution],"PT15M",TableDay2[to_ga],INDIRECT("AH"&amp;ROUND(ROW()*0.25-19,0)))</f>
        <v>2.4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25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25">
      <c r="C90" s="2"/>
      <c r="D90" s="15" t="s">
        <v>73</v>
      </c>
      <c r="E90" s="31" t="str">
        <f t="shared" ref="E90:E113" si="26">IF(AND(ROW()&lt;86+(COUNTA(AH$2:AH$21)*4),ROW()&gt;89),$AH$2,"")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 t="shared" ref="H90:H112" ca="1" si="27">SUBSTITUTE(IF(E90="","",V86+Z86),",",".")</f>
        <v>2.1</v>
      </c>
      <c r="I90" s="32" t="str" cm="1">
        <f t="array" aca="1" ref="I90" ca="1">IF(E90="","",INDIRECT("AH"&amp;ROUND((ROW()-80)*0.25,0)))</f>
        <v>801</v>
      </c>
      <c r="J90" s="2"/>
      <c r="R90" s="2"/>
      <c r="S90" s="2"/>
      <c r="U90" s="15" t="s">
        <v>73</v>
      </c>
      <c r="V90" s="26" cm="1">
        <f t="array" aca="1" ref="V90" ca="1">SUMIFS(INDIRECT("TableDay2["&amp;U90&amp;"]"),TableDay2[resolution],"PT15M",TableDay2[from_ga],INDIRECT("AH"&amp;ROUND(ROW()*0.25-19,0)))-SUMIFS(INDIRECT("TableDay2["&amp;U90&amp;"]"),TableDay2[resolution],"PT15M",TableDay2[to_ga],INDIRECT("AH"&amp;ROUND(ROW()*0.25-19,0)))</f>
        <v>0</v>
      </c>
      <c r="W90" s="6">
        <f>(SUMIFS(TableDay2[Quarter1],TableDay2[resolution],"PT1H",TableDay2[from_ga],AH$4)-SUMIFS(TableDay2[Quarter1],TableDay2[resolution],"PT1H",TableDay2[to_ga],AH$4))/4</f>
        <v>0</v>
      </c>
      <c r="X90" s="16">
        <f>W90</f>
        <v>0</v>
      </c>
      <c r="Y90" s="16"/>
      <c r="Z90" s="16">
        <f t="shared" si="25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25">
      <c r="C91" s="2"/>
      <c r="D91" s="15" t="s">
        <v>74</v>
      </c>
      <c r="E91" s="31" t="str">
        <f t="shared" si="26"/>
        <v>800</v>
      </c>
      <c r="F91" s="31" t="str">
        <f t="shared" ref="F91:F113" si="28">IF(E91&lt;&gt;"","null","")</f>
        <v>null</v>
      </c>
      <c r="G91" s="31" t="str">
        <f t="shared" ref="G91:G113" si="29">IF(E91&lt;&gt;"","null","")</f>
        <v>null</v>
      </c>
      <c r="H91" s="32" t="str">
        <f t="shared" ca="1" si="27"/>
        <v>2.2</v>
      </c>
      <c r="I91" s="32" t="str" cm="1">
        <f t="array" aca="1" ref="I91" ca="1">IF(E91="","",INDIRECT("AH"&amp;ROUND((ROW()-80)*0.25,0)))</f>
        <v>801</v>
      </c>
      <c r="J91" s="2"/>
      <c r="R91" s="2"/>
      <c r="U91" s="15" t="s">
        <v>74</v>
      </c>
      <c r="V91" s="26" cm="1">
        <f t="array" aca="1" ref="V91" ca="1">SUMIFS(INDIRECT("TableDay2["&amp;U91&amp;"]"),TableDay2[resolution],"PT15M",TableDay2[from_ga],INDIRECT("AH"&amp;ROUND(ROW()*0.25-19,0)))-SUMIFS(INDIRECT("TableDay2["&amp;U91&amp;"]"),TableDay2[resolution],"PT15M",TableDay2[to_ga],INDIRECT("AH"&amp;ROUND(ROW()*0.25-19,0)))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5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25">
      <c r="C92" s="2"/>
      <c r="D92" s="15" t="s">
        <v>75</v>
      </c>
      <c r="E92" s="31" t="str">
        <f t="shared" si="26"/>
        <v>800</v>
      </c>
      <c r="F92" s="31" t="str">
        <f t="shared" si="28"/>
        <v>null</v>
      </c>
      <c r="G92" s="31" t="str">
        <f t="shared" si="29"/>
        <v>null</v>
      </c>
      <c r="H92" s="32" t="str">
        <f t="shared" ca="1" si="27"/>
        <v>2.3</v>
      </c>
      <c r="I92" s="32" t="str" cm="1">
        <f t="array" aca="1" ref="I92" ca="1">IF(E92="","",INDIRECT("AH"&amp;ROUND((ROW()-80)*0.25,0)))</f>
        <v>801</v>
      </c>
      <c r="J92" s="2"/>
      <c r="U92" s="15" t="s">
        <v>75</v>
      </c>
      <c r="V92" s="26" cm="1">
        <f t="array" aca="1" ref="V92" ca="1">SUMIFS(INDIRECT("TableDay2["&amp;U92&amp;"]"),TableDay2[resolution],"PT15M",TableDay2[from_ga],INDIRECT("AH"&amp;ROUND(ROW()*0.25-19,0)))-SUMIFS(INDIRECT("TableDay2["&amp;U92&amp;"]"),TableDay2[resolution],"PT15M",TableDay2[to_ga],INDIRECT("AH"&amp;ROUND(ROW()*0.25-19,0)))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5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25">
      <c r="C93" s="2"/>
      <c r="D93" s="15" t="s">
        <v>76</v>
      </c>
      <c r="E93" s="31" t="str">
        <f t="shared" si="26"/>
        <v>800</v>
      </c>
      <c r="F93" s="31" t="str">
        <f t="shared" si="28"/>
        <v>null</v>
      </c>
      <c r="G93" s="31" t="str">
        <f t="shared" si="29"/>
        <v>null</v>
      </c>
      <c r="H93" s="32" t="str">
        <f t="shared" ca="1" si="27"/>
        <v>2.4</v>
      </c>
      <c r="I93" s="32" t="str" cm="1">
        <f t="array" aca="1" ref="I93" ca="1">IF(E93="","",INDIRECT("AH"&amp;ROUND((ROW()-80)*0.25,0)))</f>
        <v>801</v>
      </c>
      <c r="J93" s="2"/>
      <c r="U93" s="15" t="s">
        <v>76</v>
      </c>
      <c r="V93" s="26" cm="1">
        <f t="array" aca="1" ref="V93" ca="1">SUMIFS(INDIRECT("TableDay2["&amp;U93&amp;"]"),TableDay2[resolution],"PT15M",TableDay2[from_ga],INDIRECT("AH"&amp;ROUND(ROW()*0.25-19,0)))-SUMIFS(INDIRECT("TableDay2["&amp;U93&amp;"]"),TableDay2[resolution],"PT15M",TableDay2[to_ga],INDIRECT("AH"&amp;ROUND(ROW()*0.25-19,0)))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5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25">
      <c r="C94" s="2"/>
      <c r="D94" s="15" t="s">
        <v>73</v>
      </c>
      <c r="E94" s="31" t="str">
        <f t="shared" si="26"/>
        <v/>
      </c>
      <c r="F94" s="31" t="str">
        <f t="shared" si="28"/>
        <v/>
      </c>
      <c r="G94" s="31" t="str">
        <f t="shared" si="29"/>
        <v/>
      </c>
      <c r="H94" s="32" t="str">
        <f t="shared" si="27"/>
        <v/>
      </c>
      <c r="I94" s="32" t="str" cm="1">
        <f t="array" aca="1" ref="I94" ca="1">IF(E94="","",INDIRECT("AH"&amp;ROUND((ROW()-80)*0.25,0)))</f>
        <v/>
      </c>
      <c r="J94" s="2"/>
      <c r="U94" s="15" t="s">
        <v>73</v>
      </c>
      <c r="V94" s="26" cm="1">
        <f t="array" aca="1" ref="V94" ca="1">SUMIFS(INDIRECT("TableDay2["&amp;U94&amp;"]"),TableDay2[resolution],"PT15M",TableDay2[from_ga],INDIRECT("AH"&amp;ROUND(ROW()*0.25-19,0)))-SUMIFS(INDIRECT("TableDay2["&amp;U94&amp;"]"),TableDay2[resolution],"PT15M",TableDay2[to_ga],INDIRECT("AH"&amp;ROUND(ROW()*0.25-19,0)))</f>
        <v>0</v>
      </c>
      <c r="W94" s="6">
        <f>SUMIFS(TableDay2[Quarter1],TableDay2[resolution],"PT1H",TableDay2[from_ga],AH$5)-SUMIFS(TableDay2[Quarter1],TableDay2[resolution],"PT1H",TableDay2[to_ga],AH$5)/4</f>
        <v>0</v>
      </c>
      <c r="X94" s="16">
        <f>W94</f>
        <v>0</v>
      </c>
      <c r="Y94" s="16"/>
      <c r="Z94" s="16">
        <f t="shared" si="25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25">
      <c r="C95" s="2"/>
      <c r="D95" s="15" t="s">
        <v>74</v>
      </c>
      <c r="E95" s="31" t="str">
        <f t="shared" si="26"/>
        <v/>
      </c>
      <c r="F95" s="31" t="str">
        <f t="shared" si="28"/>
        <v/>
      </c>
      <c r="G95" s="31" t="str">
        <f t="shared" si="29"/>
        <v/>
      </c>
      <c r="H95" s="32" t="str">
        <f t="shared" si="27"/>
        <v/>
      </c>
      <c r="I95" s="32" t="str" cm="1">
        <f t="array" aca="1" ref="I95" ca="1">IF(E95="","",INDIRECT("AH"&amp;ROUND((ROW()-80)*0.25,0)))</f>
        <v/>
      </c>
      <c r="J95" s="2"/>
      <c r="U95" s="15" t="s">
        <v>74</v>
      </c>
      <c r="V95" s="26" cm="1">
        <f t="array" aca="1" ref="V95" ca="1">SUMIFS(INDIRECT("TableDay2["&amp;U95&amp;"]"),TableDay2[resolution],"PT15M",TableDay2[from_ga],INDIRECT("AH"&amp;ROUND(ROW()*0.25-19,0)))-SUMIFS(INDIRECT("TableDay2["&amp;U95&amp;"]"),TableDay2[resolution],"PT15M",TableDay2[to_ga],INDIRECT("AH"&amp;ROUND(ROW()*0.25-19,0)))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5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25">
      <c r="C96" s="2"/>
      <c r="D96" s="15" t="s">
        <v>75</v>
      </c>
      <c r="E96" s="31" t="str">
        <f t="shared" si="26"/>
        <v/>
      </c>
      <c r="F96" s="31" t="str">
        <f t="shared" si="28"/>
        <v/>
      </c>
      <c r="G96" s="31" t="str">
        <f t="shared" si="29"/>
        <v/>
      </c>
      <c r="H96" s="32" t="str">
        <f t="shared" si="27"/>
        <v/>
      </c>
      <c r="I96" s="32" t="str" cm="1">
        <f t="array" aca="1" ref="I96" ca="1">IF(E96="","",INDIRECT("AH"&amp;ROUND((ROW()-80)*0.25,0)))</f>
        <v/>
      </c>
      <c r="J96" s="2"/>
      <c r="U96" s="15" t="s">
        <v>75</v>
      </c>
      <c r="V96" s="26" cm="1">
        <f t="array" aca="1" ref="V96" ca="1">SUMIFS(INDIRECT("TableDay2["&amp;U96&amp;"]"),TableDay2[resolution],"PT15M",TableDay2[from_ga],INDIRECT("AH"&amp;ROUND(ROW()*0.25-19,0)))-SUMIFS(INDIRECT("TableDay2["&amp;U96&amp;"]"),TableDay2[resolution],"PT15M",TableDay2[to_ga],INDIRECT("AH"&amp;ROUND(ROW()*0.25-19,0)))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5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25">
      <c r="C97" s="2"/>
      <c r="D97" s="15" t="s">
        <v>76</v>
      </c>
      <c r="E97" s="31" t="str">
        <f t="shared" si="26"/>
        <v/>
      </c>
      <c r="F97" s="31" t="str">
        <f t="shared" si="28"/>
        <v/>
      </c>
      <c r="G97" s="31" t="str">
        <f t="shared" si="29"/>
        <v/>
      </c>
      <c r="H97" s="32" t="str">
        <f t="shared" si="27"/>
        <v/>
      </c>
      <c r="I97" s="32" t="str" cm="1">
        <f t="array" aca="1" ref="I97" ca="1">IF(E97="","",INDIRECT("AH"&amp;ROUND((ROW()-80)*0.25,0)))</f>
        <v/>
      </c>
      <c r="J97" s="2"/>
      <c r="U97" s="15" t="s">
        <v>76</v>
      </c>
      <c r="V97" s="26" cm="1">
        <f t="array" aca="1" ref="V97" ca="1">SUMIFS(INDIRECT("TableDay2["&amp;U97&amp;"]"),TableDay2[resolution],"PT15M",TableDay2[from_ga],INDIRECT("AH"&amp;ROUND(ROW()*0.25-19,0)))-SUMIFS(INDIRECT("TableDay2["&amp;U97&amp;"]"),TableDay2[resolution],"PT15M",TableDay2[to_ga],INDIRECT("AH"&amp;ROUND(ROW()*0.25-19,0)))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5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25">
      <c r="C98" s="2"/>
      <c r="D98" s="15" t="s">
        <v>73</v>
      </c>
      <c r="E98" s="31" t="str">
        <f t="shared" si="26"/>
        <v/>
      </c>
      <c r="F98" s="31" t="str">
        <f t="shared" si="28"/>
        <v/>
      </c>
      <c r="G98" s="31" t="str">
        <f t="shared" si="29"/>
        <v/>
      </c>
      <c r="H98" s="32" t="str">
        <f t="shared" si="27"/>
        <v/>
      </c>
      <c r="I98" s="32" t="str" cm="1">
        <f t="array" aca="1" ref="I98" ca="1">IF(E98="","",INDIRECT("AH"&amp;ROUND((ROW()-80)*0.25,0)))</f>
        <v/>
      </c>
      <c r="J98" s="2"/>
      <c r="U98" s="15" t="s">
        <v>73</v>
      </c>
      <c r="V98" s="26" cm="1">
        <f t="array" aca="1" ref="V98" ca="1">SUMIFS(INDIRECT("TableDay2["&amp;U98&amp;"]"),TableDay2[resolution],"PT15M",TableDay2[from_ga],INDIRECT("AH"&amp;ROUND(ROW()*0.25-19,0)))-SUMIFS(INDIRECT("TableDay2["&amp;U98&amp;"]"),TableDay2[resolution],"PT15M",TableDay2[to_ga],INDIRECT("AH"&amp;ROUND(ROW()*0.25-19,0)))</f>
        <v>0</v>
      </c>
      <c r="W98" s="6">
        <f>(SUMIFS(TableDay2[Quarter1],TableDay2[resolution],"PT1H",TableDay2[from_ga],AH$6)-SUMIFS(TableDay2[Quarter1],TableDay2[resolution],"PT1H",TableDay2[to_ga],AH$6))/4</f>
        <v>0</v>
      </c>
      <c r="X98" s="16">
        <f>W98</f>
        <v>0</v>
      </c>
      <c r="Y98" s="16"/>
      <c r="Z98" s="16">
        <f t="shared" si="25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25">
      <c r="C99" s="2"/>
      <c r="D99" s="15" t="s">
        <v>74</v>
      </c>
      <c r="E99" s="31" t="str">
        <f t="shared" si="26"/>
        <v/>
      </c>
      <c r="F99" s="31" t="str">
        <f t="shared" si="28"/>
        <v/>
      </c>
      <c r="G99" s="31" t="str">
        <f t="shared" si="29"/>
        <v/>
      </c>
      <c r="H99" s="32" t="str">
        <f t="shared" si="27"/>
        <v/>
      </c>
      <c r="I99" s="32" t="str" cm="1">
        <f t="array" aca="1" ref="I99" ca="1">IF(E99="","",INDIRECT("AH"&amp;ROUND((ROW()-80)*0.25,0)))</f>
        <v/>
      </c>
      <c r="J99" s="2"/>
      <c r="U99" s="15" t="s">
        <v>74</v>
      </c>
      <c r="V99" s="26" cm="1">
        <f t="array" aca="1" ref="V99" ca="1">SUMIFS(INDIRECT("TableDay2["&amp;U99&amp;"]"),TableDay2[resolution],"PT15M",TableDay2[from_ga],INDIRECT("AH"&amp;ROUND(ROW()*0.25-19,0)))-SUMIFS(INDIRECT("TableDay2["&amp;U99&amp;"]"),TableDay2[resolution],"PT15M",TableDay2[to_ga],INDIRECT("AH"&amp;ROUND(ROW()*0.25-19,0)))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5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25">
      <c r="C100" s="2"/>
      <c r="D100" s="15" t="s">
        <v>75</v>
      </c>
      <c r="E100" s="31" t="str">
        <f t="shared" si="26"/>
        <v/>
      </c>
      <c r="F100" s="31" t="str">
        <f t="shared" si="28"/>
        <v/>
      </c>
      <c r="G100" s="31" t="str">
        <f t="shared" si="29"/>
        <v/>
      </c>
      <c r="H100" s="32" t="str">
        <f t="shared" si="27"/>
        <v/>
      </c>
      <c r="I100" s="32" t="str" cm="1">
        <f t="array" aca="1" ref="I100" ca="1">IF(E100="","",INDIRECT("AH"&amp;ROUND((ROW()-80)*0.25,0)))</f>
        <v/>
      </c>
      <c r="J100" s="2"/>
      <c r="U100" s="15" t="s">
        <v>75</v>
      </c>
      <c r="V100" s="26" cm="1">
        <f t="array" aca="1" ref="V100" ca="1">SUMIFS(INDIRECT("TableDay2["&amp;U100&amp;"]"),TableDay2[resolution],"PT15M",TableDay2[from_ga],INDIRECT("AH"&amp;ROUND(ROW()*0.25-19,0)))-SUMIFS(INDIRECT("TableDay2["&amp;U100&amp;"]"),TableDay2[resolution],"PT15M",TableDay2[to_ga],INDIRECT("AH"&amp;ROUND(ROW()*0.25-19,0)))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5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25">
      <c r="C101" s="2"/>
      <c r="D101" s="15" t="s">
        <v>76</v>
      </c>
      <c r="E101" s="31" t="str">
        <f t="shared" si="26"/>
        <v/>
      </c>
      <c r="F101" s="31" t="str">
        <f t="shared" si="28"/>
        <v/>
      </c>
      <c r="G101" s="31" t="str">
        <f t="shared" si="29"/>
        <v/>
      </c>
      <c r="H101" s="32" t="str">
        <f t="shared" si="27"/>
        <v/>
      </c>
      <c r="I101" s="32" t="str" cm="1">
        <f t="array" aca="1" ref="I101" ca="1">IF(E101="","",INDIRECT("AH"&amp;ROUND((ROW()-80)*0.25,0)))</f>
        <v/>
      </c>
      <c r="J101" s="2"/>
      <c r="U101" s="15" t="s">
        <v>76</v>
      </c>
      <c r="V101" s="26" cm="1">
        <f t="array" aca="1" ref="V101" ca="1">SUMIFS(INDIRECT("TableDay2["&amp;U101&amp;"]"),TableDay2[resolution],"PT15M",TableDay2[from_ga],INDIRECT("AH"&amp;ROUND(ROW()*0.25-19,0)))-SUMIFS(INDIRECT("TableDay2["&amp;U101&amp;"]"),TableDay2[resolution],"PT15M",TableDay2[to_ga],INDIRECT("AH"&amp;ROUND(ROW()*0.25-19,0)))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5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25">
      <c r="C102" s="2"/>
      <c r="D102" s="15" t="s">
        <v>73</v>
      </c>
      <c r="E102" s="31" t="str">
        <f t="shared" si="26"/>
        <v/>
      </c>
      <c r="F102" s="31" t="str">
        <f t="shared" si="28"/>
        <v/>
      </c>
      <c r="G102" s="31" t="str">
        <f t="shared" si="29"/>
        <v/>
      </c>
      <c r="H102" s="32" t="str">
        <f t="shared" si="27"/>
        <v/>
      </c>
      <c r="I102" s="32" t="str" cm="1">
        <f t="array" aca="1" ref="I102" ca="1">IF(E102="","",INDIRECT("AH"&amp;ROUND((ROW()-80)*0.25,0)))</f>
        <v/>
      </c>
      <c r="J102" s="2"/>
      <c r="U102" s="15" t="s">
        <v>73</v>
      </c>
      <c r="V102" s="26" cm="1">
        <f t="array" aca="1" ref="V102" ca="1">SUMIFS(INDIRECT("TableDay2["&amp;U102&amp;"]"),TableDay2[resolution],"PT15M",TableDay2[from_ga],INDIRECT("AH"&amp;ROUND(ROW()*0.25-19,0)))-SUMIFS(INDIRECT("TableDay2["&amp;U102&amp;"]"),TableDay2[resolution],"PT15M",TableDay2[to_ga],INDIRECT("AH"&amp;ROUND(ROW()*0.25-19,0)))</f>
        <v>0</v>
      </c>
      <c r="W102" s="6">
        <f>(SUMIFS(TableDay2[Quarter1],TableDay2[resolution],"PT1H",TableDay2[from_ga],AH$7)-SUMIFS(TableDay2[Quarter1],TableDay2[resolution],"PT1H",TableDay2[to_ga],AH$7))/4</f>
        <v>0</v>
      </c>
      <c r="X102" s="16">
        <f>W102</f>
        <v>0</v>
      </c>
      <c r="Y102" s="16"/>
      <c r="Z102" s="16">
        <f t="shared" si="25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25">
      <c r="C103" s="2"/>
      <c r="D103" s="15" t="s">
        <v>74</v>
      </c>
      <c r="E103" s="31" t="str">
        <f t="shared" si="26"/>
        <v/>
      </c>
      <c r="F103" s="31" t="str">
        <f t="shared" si="28"/>
        <v/>
      </c>
      <c r="G103" s="31" t="str">
        <f t="shared" si="29"/>
        <v/>
      </c>
      <c r="H103" s="32" t="str">
        <f t="shared" si="27"/>
        <v/>
      </c>
      <c r="I103" s="32" t="str" cm="1">
        <f t="array" aca="1" ref="I103" ca="1">IF(E103="","",INDIRECT("AH"&amp;ROUND((ROW()-80)*0.25,0)))</f>
        <v/>
      </c>
      <c r="J103" s="2"/>
      <c r="U103" s="15" t="s">
        <v>74</v>
      </c>
      <c r="V103" s="26" cm="1">
        <f t="array" aca="1" ref="V103" ca="1">SUMIFS(INDIRECT("TableDay2["&amp;U103&amp;"]"),TableDay2[resolution],"PT15M",TableDay2[from_ga],INDIRECT("AH"&amp;ROUND(ROW()*0.25-19,0)))-SUMIFS(INDIRECT("TableDay2["&amp;U103&amp;"]"),TableDay2[resolution],"PT15M",TableDay2[to_ga],INDIRECT("AH"&amp;ROUND(ROW()*0.25-19,0)))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5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25">
      <c r="C104" s="2"/>
      <c r="D104" s="15" t="s">
        <v>75</v>
      </c>
      <c r="E104" s="31" t="str">
        <f t="shared" si="26"/>
        <v/>
      </c>
      <c r="F104" s="31" t="str">
        <f t="shared" si="28"/>
        <v/>
      </c>
      <c r="G104" s="31" t="str">
        <f t="shared" si="29"/>
        <v/>
      </c>
      <c r="H104" s="32" t="str">
        <f t="shared" si="27"/>
        <v/>
      </c>
      <c r="I104" s="32" t="str" cm="1">
        <f t="array" aca="1" ref="I104" ca="1">IF(E104="","",INDIRECT("AH"&amp;ROUND((ROW()-80)*0.25,0)))</f>
        <v/>
      </c>
      <c r="J104" s="2"/>
      <c r="U104" s="15" t="s">
        <v>75</v>
      </c>
      <c r="V104" s="26" cm="1">
        <f t="array" aca="1" ref="V104" ca="1">SUMIFS(INDIRECT("TableDay2["&amp;U104&amp;"]"),TableDay2[resolution],"PT15M",TableDay2[from_ga],INDIRECT("AH"&amp;ROUND(ROW()*0.25-19,0)))-SUMIFS(INDIRECT("TableDay2["&amp;U104&amp;"]"),TableDay2[resolution],"PT15M",TableDay2[to_ga],INDIRECT("AH"&amp;ROUND(ROW()*0.25-19,0)))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5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25">
      <c r="C105" s="2"/>
      <c r="D105" s="15" t="s">
        <v>76</v>
      </c>
      <c r="E105" s="31" t="str">
        <f t="shared" si="26"/>
        <v/>
      </c>
      <c r="F105" s="31" t="str">
        <f t="shared" si="28"/>
        <v/>
      </c>
      <c r="G105" s="31" t="str">
        <f t="shared" si="29"/>
        <v/>
      </c>
      <c r="H105" s="32" t="str">
        <f t="shared" si="27"/>
        <v/>
      </c>
      <c r="I105" s="32" t="str" cm="1">
        <f t="array" aca="1" ref="I105" ca="1">IF(E105="","",INDIRECT("AH"&amp;ROUND((ROW()-80)*0.25,0)))</f>
        <v/>
      </c>
      <c r="J105" s="2"/>
      <c r="U105" s="15" t="s">
        <v>76</v>
      </c>
      <c r="V105" s="26" cm="1">
        <f t="array" aca="1" ref="V105" ca="1">SUMIFS(INDIRECT("TableDay2["&amp;U105&amp;"]"),TableDay2[resolution],"PT15M",TableDay2[from_ga],INDIRECT("AH"&amp;ROUND(ROW()*0.25-19,0)))-SUMIFS(INDIRECT("TableDay2["&amp;U105&amp;"]"),TableDay2[resolution],"PT15M",TableDay2[to_ga],INDIRECT("AH"&amp;ROUND(ROW()*0.25-19,0)))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5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25">
      <c r="C106" s="2"/>
      <c r="D106" s="15" t="s">
        <v>73</v>
      </c>
      <c r="E106" s="31" t="str">
        <f t="shared" si="26"/>
        <v/>
      </c>
      <c r="F106" s="31" t="str">
        <f t="shared" si="28"/>
        <v/>
      </c>
      <c r="G106" s="31" t="str">
        <f t="shared" si="29"/>
        <v/>
      </c>
      <c r="H106" s="32" t="str">
        <f t="shared" si="27"/>
        <v/>
      </c>
      <c r="I106" s="32" t="str" cm="1">
        <f t="array" aca="1" ref="I106" ca="1">IF(E106="","",INDIRECT("AH"&amp;ROUND((ROW()-80)*0.25,0)))</f>
        <v/>
      </c>
      <c r="J106" s="2"/>
      <c r="U106" s="15" t="s">
        <v>73</v>
      </c>
      <c r="V106" s="26" cm="1">
        <f t="array" aca="1" ref="V106" ca="1">SUMIFS(INDIRECT("TableDay2["&amp;U106&amp;"]"),TableDay2[resolution],"PT15M",TableDay2[from_ga],INDIRECT("AH"&amp;ROUND(ROW()*0.25-19,0)))-SUMIFS(INDIRECT("TableDay2["&amp;U106&amp;"]"),TableDay2[resolution],"PT15M",TableDay2[to_ga],INDIRECT("AH"&amp;ROUND(ROW()*0.25-19,0)))</f>
        <v>0</v>
      </c>
      <c r="W106" s="6">
        <f>(SUMIFS(TableDay2[Quarter1],TableDay2[resolution],"PT1H",TableDay2[from_ga],AH$8)-SUMIFS(TableDay2[Quarter1],TableDay2[resolution],"PT1H",TableDay2[to_ga],AH$8))/4</f>
        <v>0</v>
      </c>
      <c r="X106" s="16">
        <f>W106</f>
        <v>0</v>
      </c>
      <c r="Y106" s="16"/>
      <c r="Z106" s="16">
        <f t="shared" si="25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25">
      <c r="C107" s="2"/>
      <c r="D107" s="15" t="s">
        <v>74</v>
      </c>
      <c r="E107" s="31" t="str">
        <f t="shared" si="26"/>
        <v/>
      </c>
      <c r="F107" s="31" t="str">
        <f t="shared" si="28"/>
        <v/>
      </c>
      <c r="G107" s="31" t="str">
        <f t="shared" si="29"/>
        <v/>
      </c>
      <c r="H107" s="32" t="str">
        <f t="shared" si="27"/>
        <v/>
      </c>
      <c r="I107" s="32" t="str" cm="1">
        <f t="array" aca="1" ref="I107" ca="1">IF(E107="","",INDIRECT("AH"&amp;ROUND((ROW()-80)*0.25,0)))</f>
        <v/>
      </c>
      <c r="J107" s="2"/>
      <c r="U107" s="15" t="s">
        <v>74</v>
      </c>
      <c r="V107" s="26" cm="1">
        <f t="array" aca="1" ref="V107" ca="1">SUMIFS(INDIRECT("TableDay2["&amp;U107&amp;"]"),TableDay2[resolution],"PT15M",TableDay2[from_ga],INDIRECT("AH"&amp;ROUND(ROW()*0.25-19,0)))-SUMIFS(INDIRECT("TableDay2["&amp;U107&amp;"]"),TableDay2[resolution],"PT15M",TableDay2[to_ga],INDIRECT("AH"&amp;ROUND(ROW()*0.25-19,0)))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5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25">
      <c r="C108" s="2"/>
      <c r="D108" s="15" t="s">
        <v>75</v>
      </c>
      <c r="E108" s="31" t="str">
        <f t="shared" si="26"/>
        <v/>
      </c>
      <c r="F108" s="31" t="str">
        <f t="shared" si="28"/>
        <v/>
      </c>
      <c r="G108" s="31" t="str">
        <f t="shared" si="29"/>
        <v/>
      </c>
      <c r="H108" s="32" t="str">
        <f t="shared" si="27"/>
        <v/>
      </c>
      <c r="I108" s="32" t="str" cm="1">
        <f t="array" aca="1" ref="I108" ca="1">IF(E108="","",INDIRECT("AH"&amp;ROUND((ROW()-80)*0.25,0)))</f>
        <v/>
      </c>
      <c r="J108" s="2"/>
      <c r="U108" s="15" t="s">
        <v>75</v>
      </c>
      <c r="V108" s="26" cm="1">
        <f t="array" aca="1" ref="V108" ca="1">SUMIFS(INDIRECT("TableDay2["&amp;U108&amp;"]"),TableDay2[resolution],"PT15M",TableDay2[from_ga],INDIRECT("AH"&amp;ROUND(ROW()*0.25-19,0)))-SUMIFS(INDIRECT("TableDay2["&amp;U108&amp;"]"),TableDay2[resolution],"PT15M",TableDay2[to_ga],INDIRECT("AH"&amp;ROUND(ROW()*0.25-19,0)))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5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25">
      <c r="C109" s="2"/>
      <c r="D109" s="15" t="s">
        <v>76</v>
      </c>
      <c r="E109" s="31" t="str">
        <f t="shared" si="26"/>
        <v/>
      </c>
      <c r="F109" s="31" t="str">
        <f t="shared" si="28"/>
        <v/>
      </c>
      <c r="G109" s="31" t="str">
        <f t="shared" si="29"/>
        <v/>
      </c>
      <c r="H109" s="32" t="str">
        <f t="shared" si="27"/>
        <v/>
      </c>
      <c r="I109" s="32" t="str" cm="1">
        <f t="array" aca="1" ref="I109" ca="1">IF(E109="","",INDIRECT("AH"&amp;ROUND((ROW()-80)*0.25,0)))</f>
        <v/>
      </c>
      <c r="J109" s="2"/>
      <c r="U109" s="15" t="s">
        <v>76</v>
      </c>
      <c r="V109" s="26" cm="1">
        <f t="array" aca="1" ref="V109" ca="1">SUMIFS(INDIRECT("TableDay2["&amp;U109&amp;"]"),TableDay2[resolution],"PT15M",TableDay2[from_ga],INDIRECT("AH"&amp;ROUND(ROW()*0.25-19,0)))-SUMIFS(INDIRECT("TableDay2["&amp;U109&amp;"]"),TableDay2[resolution],"PT15M",TableDay2[to_ga],INDIRECT("AH"&amp;ROUND(ROW()*0.25-19,0)))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5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25">
      <c r="C110" s="2"/>
      <c r="D110" s="15" t="s">
        <v>73</v>
      </c>
      <c r="E110" s="31" t="str">
        <f t="shared" si="26"/>
        <v/>
      </c>
      <c r="F110" s="31" t="str">
        <f t="shared" si="28"/>
        <v/>
      </c>
      <c r="G110" s="31" t="str">
        <f t="shared" si="29"/>
        <v/>
      </c>
      <c r="H110" s="32" t="str">
        <f t="shared" si="27"/>
        <v/>
      </c>
      <c r="I110" s="32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25">
      <c r="C111" s="2"/>
      <c r="D111" s="15" t="s">
        <v>74</v>
      </c>
      <c r="E111" s="31" t="str">
        <f t="shared" si="26"/>
        <v/>
      </c>
      <c r="F111" s="31" t="str">
        <f t="shared" si="28"/>
        <v/>
      </c>
      <c r="G111" s="31" t="str">
        <f t="shared" si="29"/>
        <v/>
      </c>
      <c r="H111" s="32" t="str">
        <f t="shared" si="27"/>
        <v/>
      </c>
      <c r="I111" s="32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25">
      <c r="C112" s="2"/>
      <c r="D112" s="15" t="s">
        <v>75</v>
      </c>
      <c r="E112" s="31" t="str">
        <f t="shared" si="26"/>
        <v/>
      </c>
      <c r="F112" s="31" t="str">
        <f t="shared" si="28"/>
        <v/>
      </c>
      <c r="G112" s="31" t="str">
        <f t="shared" si="29"/>
        <v/>
      </c>
      <c r="H112" s="32" t="str">
        <f t="shared" si="27"/>
        <v/>
      </c>
      <c r="I112" s="32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25">
      <c r="C113" s="2"/>
      <c r="D113" s="15" t="s">
        <v>76</v>
      </c>
      <c r="E113" s="31" t="str">
        <f t="shared" si="26"/>
        <v/>
      </c>
      <c r="F113" s="31" t="str">
        <f t="shared" si="28"/>
        <v/>
      </c>
      <c r="G113" s="31" t="str">
        <f t="shared" si="29"/>
        <v/>
      </c>
      <c r="H113" s="32" t="str">
        <f>SUBSTITUTE(IF(E113="","",V109+Z109),",",".")</f>
        <v/>
      </c>
      <c r="I113" s="32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88:I88"/>
    <mergeCell ref="E20:H20"/>
    <mergeCell ref="I20:K20"/>
    <mergeCell ref="E46:H46"/>
    <mergeCell ref="E52:H52"/>
    <mergeCell ref="E58:H58"/>
    <mergeCell ref="E64:H64"/>
    <mergeCell ref="W65:X65"/>
    <mergeCell ref="E70:H70"/>
    <mergeCell ref="E76:H76"/>
    <mergeCell ref="E82:H82"/>
    <mergeCell ref="V84:Z84"/>
  </mergeCells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8">
      <formula>$V$35=$Y$35</formula>
    </cfRule>
  </conditionalFormatting>
  <conditionalFormatting sqref="V41 Y41">
    <cfRule type="expression" dxfId="4" priority="7">
      <formula>$V$41=$Y$41</formula>
    </cfRule>
  </conditionalFormatting>
  <conditionalFormatting sqref="V47 Y47">
    <cfRule type="expression" dxfId="3" priority="6">
      <formula>$V$47=$Y$47</formula>
    </cfRule>
  </conditionalFormatting>
  <conditionalFormatting sqref="V53 Y53">
    <cfRule type="expression" dxfId="2" priority="5">
      <formula>$V$53=$Y$53</formula>
    </cfRule>
  </conditionalFormatting>
  <conditionalFormatting sqref="V59 Y59">
    <cfRule type="expression" dxfId="1" priority="4">
      <formula>$V$59=$Y$59</formula>
    </cfRule>
  </conditionalFormatting>
  <conditionalFormatting sqref="V65 Y65">
    <cfRule type="expression" dxfId="0" priority="3">
      <formula>$V$65=$Y$65</formula>
    </cfRule>
  </conditionalFormatting>
  <dataValidations count="5">
    <dataValidation type="list" allowBlank="1" showInputMessage="1" showErrorMessage="1" sqref="N2:N19" xr:uid="{6334F84C-1C01-4D04-9A86-3E837C5F32D2}">
      <formula1>"glmp,skmp"</formula1>
    </dataValidation>
    <dataValidation type="list" allowBlank="1" showInputMessage="1" showErrorMessage="1" sqref="E2:E19" xr:uid="{98E72F56-3132-4E27-B625-CBD94D5A0FFE}">
      <formula1>"D01,E02"</formula1>
    </dataValidation>
    <dataValidation type="list" allowBlank="1" showInputMessage="1" showErrorMessage="1" sqref="K2:K19" xr:uid="{E3693639-F37B-464B-A45A-05573292A1F4}">
      <formula1>"PT15M,PT1H"</formula1>
    </dataValidation>
    <dataValidation type="list" allowBlank="1" showInputMessage="1" showErrorMessage="1" sqref="B2" xr:uid="{3D4CA7D6-2FE4-4C37-8458-7D2626636CE8}">
      <formula1>"flex_consumption,nonprofiled_consumption,production"</formula1>
    </dataValidation>
    <dataValidation type="list" allowBlank="1" showInputMessage="1" showErrorMessage="1" sqref="B1" xr:uid="{42DF338C-7C35-4ACB-845B-A53011D9A640}">
      <formula1>"ga,ga_es,ga_brp,ga_brp_es"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126</vt:i4>
      </vt:variant>
    </vt:vector>
  </HeadingPairs>
  <TitlesOfParts>
    <vt:vector size="128" baseType="lpstr">
      <vt:lpstr>Day1</vt:lpstr>
      <vt:lpstr>Day2</vt:lpstr>
      <vt:lpstr>'Day1'!gridLoss15M</vt:lpstr>
      <vt:lpstr>'Day2'!gridLoss15M</vt:lpstr>
      <vt:lpstr>'Day1'!gridLoss1H_quarter1</vt:lpstr>
      <vt:lpstr>'Day2'!gridLoss1H_quarter1</vt:lpstr>
      <vt:lpstr>'Day1'!gridLoss1H_quarter2</vt:lpstr>
      <vt:lpstr>'Day2'!gridLoss1H_quarter2</vt:lpstr>
      <vt:lpstr>'Day1'!gridLoss1H_quarter3</vt:lpstr>
      <vt:lpstr>'Day2'!gridLoss1H_quarter3</vt:lpstr>
      <vt:lpstr>'Day1'!gridLoss1H_quarter4</vt:lpstr>
      <vt:lpstr>'Day2'!gridLoss1H_quarter4</vt:lpstr>
      <vt:lpstr>'Day1'!negGridLossQuarter1</vt:lpstr>
      <vt:lpstr>'Day2'!negGridLossQuarter1</vt:lpstr>
      <vt:lpstr>'Day1'!negGridLossQuarter2</vt:lpstr>
      <vt:lpstr>'Day2'!negGridLossQuarter2</vt:lpstr>
      <vt:lpstr>'Day1'!negGridLossQuarter3</vt:lpstr>
      <vt:lpstr>'Day2'!negGridLossQuarter3</vt:lpstr>
      <vt:lpstr>'Day1'!negGridLossQuarter4</vt:lpstr>
      <vt:lpstr>'Day2'!negGridLossQuarter4</vt:lpstr>
      <vt:lpstr>'Day1'!netEx_quarter1</vt:lpstr>
      <vt:lpstr>'Day2'!netEx_quarter1</vt:lpstr>
      <vt:lpstr>'Day1'!netEx_quarter2</vt:lpstr>
      <vt:lpstr>'Day2'!netEx_quarter2</vt:lpstr>
      <vt:lpstr>'Day1'!netEx_quarter3</vt:lpstr>
      <vt:lpstr>'Day2'!netEx_quarter3</vt:lpstr>
      <vt:lpstr>'Day1'!netEx_quarter4</vt:lpstr>
      <vt:lpstr>'Day2'!netEx_quarter4</vt:lpstr>
      <vt:lpstr>'Day1'!powerIn15M</vt:lpstr>
      <vt:lpstr>'Day2'!powerIn15M</vt:lpstr>
      <vt:lpstr>'Day1'!powerIn15M_quarter1</vt:lpstr>
      <vt:lpstr>'Day2'!powerIn15M_quarter1</vt:lpstr>
      <vt:lpstr>'Day1'!powerIn15M_quarter2</vt:lpstr>
      <vt:lpstr>'Day2'!powerIn15M_quarter2</vt:lpstr>
      <vt:lpstr>'Day1'!powerIn15M_quarter3</vt:lpstr>
      <vt:lpstr>'Day2'!powerIn15M_quarter3</vt:lpstr>
      <vt:lpstr>'Day1'!powerIn15M_quarter4</vt:lpstr>
      <vt:lpstr>'Day2'!powerIn15M_quarter4</vt:lpstr>
      <vt:lpstr>'Day1'!powerIn1H_quarter1</vt:lpstr>
      <vt:lpstr>'Day2'!powerIn1H_quarter1</vt:lpstr>
      <vt:lpstr>'Day1'!powerIn1H_quarter2</vt:lpstr>
      <vt:lpstr>'Day2'!powerIn1H_quarter2</vt:lpstr>
      <vt:lpstr>'Day1'!powerIn1H_quarter3</vt:lpstr>
      <vt:lpstr>'Day2'!powerIn1H_quarter3</vt:lpstr>
      <vt:lpstr>'Day1'!powerIn1H_quarter4</vt:lpstr>
      <vt:lpstr>'Day2'!powerIn1H_quarter4</vt:lpstr>
      <vt:lpstr>'Day1'!powerOut15M</vt:lpstr>
      <vt:lpstr>'Day2'!powerOut15M</vt:lpstr>
      <vt:lpstr>'Day1'!powerOut15M_quarter1</vt:lpstr>
      <vt:lpstr>'Day2'!powerOut15M_quarter1</vt:lpstr>
      <vt:lpstr>'Day1'!powerOut15M_quarter2</vt:lpstr>
      <vt:lpstr>'Day2'!powerOut15M_quarter2</vt:lpstr>
      <vt:lpstr>'Day1'!powerOut15M_quarter3</vt:lpstr>
      <vt:lpstr>'Day2'!powerOut15M_quarter3</vt:lpstr>
      <vt:lpstr>'Day1'!powerOut15M_quarter4</vt:lpstr>
      <vt:lpstr>'Day2'!powerOut15M_quarter4</vt:lpstr>
      <vt:lpstr>'Day1'!powerOut1H_quarter1</vt:lpstr>
      <vt:lpstr>'Day2'!powerOut1H_quarter1</vt:lpstr>
      <vt:lpstr>'Day1'!powerOut1H_quarter2</vt:lpstr>
      <vt:lpstr>'Day2'!powerOut1H_quarter2</vt:lpstr>
      <vt:lpstr>'Day1'!powerOut1H_quarter3</vt:lpstr>
      <vt:lpstr>'Day2'!powerOut1H_quarter3</vt:lpstr>
      <vt:lpstr>'Day1'!powerOut1H_quarter4</vt:lpstr>
      <vt:lpstr>'Day2'!powerOut1H_quarter4</vt:lpstr>
      <vt:lpstr>'Day1'!totalConsumption_quarter1</vt:lpstr>
      <vt:lpstr>'Day2'!totalConsumption_quarter1</vt:lpstr>
      <vt:lpstr>'Day1'!totalConsumption_quarter2</vt:lpstr>
      <vt:lpstr>'Day2'!totalConsumption_quarter2</vt:lpstr>
      <vt:lpstr>'Day1'!totalConsumption_quarter3</vt:lpstr>
      <vt:lpstr>'Day2'!totalConsumption_quarter3</vt:lpstr>
      <vt:lpstr>'Day1'!totalConsumption_quarter4</vt:lpstr>
      <vt:lpstr>'Day2'!totalConsumption_quarter4</vt:lpstr>
      <vt:lpstr>'Day1'!totalConsumption15M</vt:lpstr>
      <vt:lpstr>'Day2'!totalConsumption15M</vt:lpstr>
      <vt:lpstr>'Day1'!totalFlex15M</vt:lpstr>
      <vt:lpstr>'Day2'!totalFlex15M</vt:lpstr>
      <vt:lpstr>'Day1'!totalFlex15M_quarter1</vt:lpstr>
      <vt:lpstr>'Day2'!totalFlex15M_quarter1</vt:lpstr>
      <vt:lpstr>'Day1'!totalFlex15M_quarter2</vt:lpstr>
      <vt:lpstr>'Day2'!totalFlex15M_quarter2</vt:lpstr>
      <vt:lpstr>'Day1'!totalFlex15M_quarter3</vt:lpstr>
      <vt:lpstr>'Day2'!totalFlex15M_quarter3</vt:lpstr>
      <vt:lpstr>'Day1'!totalFlex15M_quarter4</vt:lpstr>
      <vt:lpstr>'Day2'!totalFlex15M_quarter4</vt:lpstr>
      <vt:lpstr>'Day1'!totalFlex1H_quarter1</vt:lpstr>
      <vt:lpstr>'Day2'!totalFlex1H_quarter1</vt:lpstr>
      <vt:lpstr>'Day1'!totalFlex1H_quarter2</vt:lpstr>
      <vt:lpstr>'Day2'!totalFlex1H_quarter2</vt:lpstr>
      <vt:lpstr>'Day1'!totalFlex1H_quarter3</vt:lpstr>
      <vt:lpstr>'Day2'!totalFlex1H_quarter3</vt:lpstr>
      <vt:lpstr>'Day1'!totalFlex1H_quarter4</vt:lpstr>
      <vt:lpstr>'Day2'!totalFlex1H_quarter4</vt:lpstr>
      <vt:lpstr>'Day1'!totalNonprofiled15M</vt:lpstr>
      <vt:lpstr>'Day2'!totalNonprofiled15M</vt:lpstr>
      <vt:lpstr>'Day1'!totalNonprofiled15M_quarter1</vt:lpstr>
      <vt:lpstr>'Day2'!totalNonprofiled15M_quarter1</vt:lpstr>
      <vt:lpstr>'Day1'!totalNonprofiled15M_quarter2</vt:lpstr>
      <vt:lpstr>'Day2'!totalNonprofiled15M_quarter2</vt:lpstr>
      <vt:lpstr>'Day1'!totalNonprofiled15M_quarter3</vt:lpstr>
      <vt:lpstr>'Day2'!totalNonprofiled15M_quarter3</vt:lpstr>
      <vt:lpstr>'Day1'!totalNonprofiled15M_quarter4</vt:lpstr>
      <vt:lpstr>'Day2'!totalNonprofiled15M_quarter4</vt:lpstr>
      <vt:lpstr>'Day1'!totalNonprofiled1H_quarter1</vt:lpstr>
      <vt:lpstr>'Day2'!totalNonprofiled1H_quarter1</vt:lpstr>
      <vt:lpstr>'Day1'!totalNonprofiled1H_quarter2</vt:lpstr>
      <vt:lpstr>'Day2'!totalNonprofiled1H_quarter2</vt:lpstr>
      <vt:lpstr>'Day1'!totalNonprofiled1H_quarter3</vt:lpstr>
      <vt:lpstr>'Day2'!totalNonprofiled1H_quarter3</vt:lpstr>
      <vt:lpstr>'Day1'!totalNonprofiled1H_quarter4</vt:lpstr>
      <vt:lpstr>'Day2'!totalNonprofiled1H_quarter4</vt:lpstr>
      <vt:lpstr>'Day1'!totalProduction15M</vt:lpstr>
      <vt:lpstr>'Day2'!totalProduction15M</vt:lpstr>
      <vt:lpstr>'Day1'!totalProduction15M_quarter1</vt:lpstr>
      <vt:lpstr>'Day2'!totalProduction15M_quarter1</vt:lpstr>
      <vt:lpstr>'Day1'!totalProduction15M_quarter2</vt:lpstr>
      <vt:lpstr>'Day2'!totalProduction15M_quarter2</vt:lpstr>
      <vt:lpstr>'Day1'!totalProduction15M_quarter3</vt:lpstr>
      <vt:lpstr>'Day2'!totalProduction15M_quarter3</vt:lpstr>
      <vt:lpstr>'Day1'!totalProduction15M_quarter4</vt:lpstr>
      <vt:lpstr>'Day2'!totalProduction15M_quarter4</vt:lpstr>
      <vt:lpstr>'Day1'!totalProduction1H_quarter1</vt:lpstr>
      <vt:lpstr>'Day2'!totalProduction1H_quarter1</vt:lpstr>
      <vt:lpstr>'Day1'!totalProduction1H_quarter2</vt:lpstr>
      <vt:lpstr>'Day2'!totalProduction1H_quarter2</vt:lpstr>
      <vt:lpstr>'Day1'!totalProduction1H_quarter3</vt:lpstr>
      <vt:lpstr>'Day2'!totalProduction1H_quarter3</vt:lpstr>
      <vt:lpstr>'Day1'!totalProduction1H_quarter4</vt:lpstr>
      <vt:lpstr>'Day2'!totalProduction1H_quarter4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2024-09-04T10:37:31Z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