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37C5922D-E845-4567-93A7-FB10A6BADEA0}" xr6:coauthVersionLast="47" xr6:coauthVersionMax="47" xr10:uidLastSave="{00000000-0000-0000-0000-000000000000}"/>
  <bookViews>
    <workbookView xWindow="-120" yWindow="-120" windowWidth="38640" windowHeight="2112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1" l="1"/>
  <c r="J2" i="11"/>
  <c r="J3" i="11"/>
  <c r="J4" i="11"/>
  <c r="J5" i="11"/>
  <c r="AE27" i="11"/>
  <c r="AF27" i="11"/>
  <c r="V60" i="11" l="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AI3" i="11" l="1" a="1"/>
  <c r="AI3" i="11" s="1"/>
  <c r="AH3" i="11" a="1"/>
  <c r="AH3" i="11" s="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AJ3" i="11" l="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V109" i="11" a="1"/>
  <c r="V102" i="11" a="1"/>
  <c r="V98" i="11" a="1"/>
  <c r="V103" i="11" a="1"/>
  <c r="V101" i="11" a="1"/>
  <c r="V108" i="11" a="1"/>
  <c r="V107" i="11" a="1"/>
  <c r="V104" i="11" a="1"/>
  <c r="V105" i="11" a="1"/>
  <c r="V99" i="11" a="1"/>
  <c r="V106" i="11" a="1"/>
  <c r="V100" i="11" a="1"/>
  <c r="V102" i="11" l="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I94" i="11" s="1" a="1"/>
  <c r="E110" i="11"/>
  <c r="E111" i="11"/>
  <c r="E112" i="11"/>
  <c r="E99" i="11"/>
  <c r="I99" i="11" s="1" a="1"/>
  <c r="E101" i="11"/>
  <c r="I101" i="11" s="1" a="1"/>
  <c r="E102" i="11"/>
  <c r="E95" i="11"/>
  <c r="I95" i="11" s="1" a="1"/>
  <c r="E96" i="11"/>
  <c r="I96" i="11" s="1" a="1"/>
  <c r="E103" i="11"/>
  <c r="E97" i="11"/>
  <c r="I97" i="11" s="1" a="1"/>
  <c r="E113" i="11"/>
  <c r="I113" i="11" s="1" a="1"/>
  <c r="I113" i="11" s="1"/>
  <c r="E98" i="11"/>
  <c r="I98" i="11" s="1" a="1"/>
  <c r="E90" i="11"/>
  <c r="E100" i="11"/>
  <c r="I100" i="11" s="1" a="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96" i="11" a="1"/>
  <c r="V87" i="11" a="1"/>
  <c r="V89" i="11" a="1"/>
  <c r="V88" i="11" a="1"/>
  <c r="V97" i="11" a="1"/>
  <c r="V86" i="11" a="1"/>
  <c r="V92" i="11" a="1"/>
  <c r="V95" i="11" a="1"/>
  <c r="V94" i="11" a="1"/>
  <c r="V91" i="11" a="1"/>
  <c r="V90" i="11" a="1"/>
  <c r="V93" i="11" a="1"/>
  <c r="W100" i="11" l="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3" i="11" a="1"/>
  <c r="I102" i="11" a="1"/>
  <c r="I104" i="11" a="1"/>
  <c r="I91" i="11" a="1"/>
  <c r="I90" i="11" a="1"/>
  <c r="I92" i="11" a="1"/>
  <c r="I93" i="11" a="1"/>
  <c r="Y99" i="11" l="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91" i="11" l="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92" i="11" l="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96" i="11" l="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2" i="11"/>
  <c r="J39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8" i="11"/>
  <c r="J22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37" i="11"/>
  <c r="J25" i="11"/>
  <c r="J29" i="11"/>
  <c r="J23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<sst xmlns="http://schemas.openxmlformats.org/spreadsheetml/2006/main" count="405" uniqueCount="122">
  <si>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</si>
  <si>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</si>
  <si>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</si>
  <si>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</si>
  <si>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</si>
  <si>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</si>
  <si>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</si>
  <si>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</si>
  <si>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</si>
  <si>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</si>
  <si>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</si>
  <si>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</si>
  <si>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</si>
  <si>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</si>
  <si>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</si>
  <si>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</si>
  <si>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</si>
  <si>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</si>
  <si>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</si>
  <si>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</si>
  <si>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</si>
  <si>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</si>
  <si>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</si>
  <si>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</si>
  <si>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</si>
  <si>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</si>
  <si>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</si>
  <si>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</si>
  <si>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</si>
  <si>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</si>
  <si>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</si>
  <si>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</si>
  <si>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</si>
  <si>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</si>
  <si>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</si>
  <si>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</si>
  <si>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</si>
  <si>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</si>
  <si>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</si>
  <si>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</si>
  <si>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</si>
  <si>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</si>
  <si>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</si>
  <si>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</si>
  <si>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</si>
  <si>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</si>
  <si>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</si>
  <si>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</si>
  <si>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</si>
  <si>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</si>
  <si>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</si>
  <si>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</si>
  <si>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</si>
  <si>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</si>
  <si>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</si>
  <si>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</si>
  <si>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</si>
  <si>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</si>
  <si>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</si>
  <si>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</si>
  <si>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</si>
  <si>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</si>
  <si>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</si>
  <si>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</si>
  <si>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</si>
  <si>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</si>
  <si>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</si>
  <si>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</si>
  <si>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</si>
  <si>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</si>
  <si>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</si>
  <si>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</si>
  <si>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</si>
  <si>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</si>
  <si>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</si>
  <si>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</si>
  <si>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</si>
  <si>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</si>
  <si>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</si>
  <si>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</si>
  <si>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</si>
  <si>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</si>
  <si>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</si>
  <si>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</si>
  <si>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</si>
  <si>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</si>
  <si>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</si>
  <si>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</si>
  <si>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</si>
  <si>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</si>
  <si>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</si>
  <si>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</si>
  <si>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</si>
  <si>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</si>
  <si>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</si>
  <si>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</si>
  <si>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</si>
  <si>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</si>
  <si>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</si>
  <si>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</si>
  <si>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</si>
  <si>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</si>
  <si>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</si>
  <si>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</si>
  <si>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</si>
  <si>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180000000000000002</t>
  </si>
  <si>
    <t>2000000000000</t>
  </si>
  <si>
    <t>801</t>
  </si>
  <si>
    <t>na_ga for ga_id</t>
  </si>
  <si>
    <t>na_ga for values</t>
  </si>
  <si>
    <t>Sorted</t>
  </si>
  <si>
    <t>170000000150001000</t>
  </si>
  <si>
    <t>180000000150001000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</si>
  <si>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</si>
  <si>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</si>
  <si>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</si>
  <si>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</si>
  <si>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</si>
  <si>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</si>
  <si>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</si>
  <si>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170000000000000102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</si>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</sst>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A23" zoomScale="85" zoomScaleNormal="85" workbookViewId="0">
      <selection activeCell="H66" sqref="H66:H68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9.570312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8.57031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2.42578125" style="1" bestFit="1" customWidth="1"/>
    <col min="34" max="34" width="13.7109375" style="1" bestFit="1" customWidth="1"/>
    <col min="35" max="35" width="14.5703125" style="1" bestFit="1" customWidth="1"/>
    <col min="36" max="36" width="6.7109375" style="1" bestFit="1" customWidth="1"/>
    <col min="37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47" t="s">
        <v>81</v>
      </c>
      <c r="AI1" s="47"/>
      <c r="AJ1" s="47"/>
      <c r="AK1" s="47"/>
    </row>
    <row r="2" spans="1:92" ht="21" x14ac:dyDescent="0.35">
      <c r="A2" s="18" t="s">
        <v>25</v>
      </c>
      <c r="B2" s="17" t="s">
        <v>121</v>
      </c>
      <c r="C2" s="10" t="s">
        <v>111</v>
      </c>
      <c r="D2" s="10" t="s">
        <v>87</v>
      </c>
      <c r="E2" s="11" t="s">
        <v>88</v>
      </c>
      <c r="F2" s="12"/>
      <c r="G2" s="12"/>
      <c r="H2" s="41"/>
      <c r="I2" s="41"/>
      <c r="J2" s="43">
        <f t="shared" ref="J2:J19" si="0">IF(C2="","",SUM(F2:I2))</f>
        <v>0</v>
      </c>
      <c r="K2" s="10" t="s">
        <v>98</v>
      </c>
      <c r="L2" s="10" t="s">
        <v>90</v>
      </c>
      <c r="M2" s="10" t="s">
        <v>91</v>
      </c>
      <c r="N2" s="10" t="s">
        <v>93</v>
      </c>
      <c r="O2" s="10" t="s">
        <v>92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2">
        <f>SUMIFS(TableDay1[Quarter1],TableDay1[settlement_method],"D01",TableDay1[resolution],"PT15M")</f>
        <v>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:AE3">_xlfn._xlws.SORT(_xlfn.UNIQUE(_xlfn._xlws.FILTER(AE28:AE41,AE28:AE41 &lt;&gt; "")))</f>
        <v>2000000000000</v>
      </c>
      <c r="AF2" s="27" t="str" cm="1">
        <f t="array" ref="AF2:AF3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">
        <v>108</v>
      </c>
      <c r="AI2" s="24" t="s">
        <v>109</v>
      </c>
      <c r="AJ2" s="27" t="s">
        <v>110</v>
      </c>
      <c r="AK2" s="2"/>
      <c r="AL2" s="2"/>
    </row>
    <row r="3" spans="1:92" x14ac:dyDescent="0.25">
      <c r="C3" s="10" t="s">
        <v>112</v>
      </c>
      <c r="D3" s="10" t="s">
        <v>94</v>
      </c>
      <c r="E3" s="11"/>
      <c r="F3" s="12"/>
      <c r="G3" s="12"/>
      <c r="H3" s="41"/>
      <c r="I3" s="41"/>
      <c r="J3" s="43">
        <f t="shared" si="0"/>
        <v>0</v>
      </c>
      <c r="K3" s="10" t="s">
        <v>98</v>
      </c>
      <c r="L3" s="10" t="s">
        <v>106</v>
      </c>
      <c r="M3" s="10" t="s">
        <v>99</v>
      </c>
      <c r="N3" s="10" t="s">
        <v>97</v>
      </c>
      <c r="O3" s="10" t="s">
        <v>92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17.5</v>
      </c>
      <c r="U3" s="42">
        <f>SUMIFS(TableDay1[Quarter1],TableDay1[settlement_method],"E02",TableDay1[resolution],"PT15M")</f>
        <v>2.5</v>
      </c>
      <c r="V3" s="42">
        <f>SUMIFS(TableDay1[Quarter2],TableDay1[settlement_method],"E02",TableDay1[resolution],"PT15M")</f>
        <v>2.5</v>
      </c>
      <c r="W3" s="42">
        <f>SUMIFS(TableDay1[Quarter3],TableDay1[settlement_method],"E02",TableDay1[resolution],"PT15M")</f>
        <v>2.5</v>
      </c>
      <c r="X3" s="42">
        <f>SUMIFS(TableDay1[Quarter4],TableDay1[settlement_method],"E02",TableDay1[resolution],"PT15M")</f>
        <v>10</v>
      </c>
      <c r="Y3" s="24"/>
      <c r="Z3" s="24"/>
      <c r="AA3" s="24"/>
      <c r="AC3" s="24"/>
      <c r="AD3" s="24" t="str">
        <v>801</v>
      </c>
      <c r="AE3" s="24" t="str">
        <v>4000000000000</v>
      </c>
      <c r="AF3" s="24" t="str">
        <v>4400000000000</v>
      </c>
      <c r="AG3" s="24"/>
      <c r="AH3" s="27" t="str" c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7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25">
      <c r="C4" s="10" t="s">
        <v>113</v>
      </c>
      <c r="D4" s="10" t="s">
        <v>87</v>
      </c>
      <c r="E4" s="11" t="s">
        <v>88</v>
      </c>
      <c r="F4" s="12"/>
      <c r="G4" s="12"/>
      <c r="H4" s="12"/>
      <c r="I4" s="12"/>
      <c r="J4" s="43">
        <f t="shared" si="0"/>
        <v>0</v>
      </c>
      <c r="K4" s="10" t="s">
        <v>89</v>
      </c>
      <c r="L4" s="10" t="s">
        <v>90</v>
      </c>
      <c r="M4" s="10" t="s">
        <v>91</v>
      </c>
      <c r="N4" s="10"/>
      <c r="O4" s="10" t="s">
        <v>92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2">
        <f>SUMIFS(TableDay1[Quarter1],TableDay1[type],"E18",TableDay1[resolution],"PT15M")</f>
        <v>0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2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 t="s">
        <v>92</v>
      </c>
      <c r="P5" s="29"/>
      <c r="Q5" s="29"/>
      <c r="R5" s="24"/>
      <c r="S5" s="7" t="s">
        <v>26</v>
      </c>
      <c r="T5" s="9">
        <f>SUMIFS(TableDay1[TotalHour],TableDay1[type],"E17",TableDay1[resolution],"PT15M")</f>
        <v>17.5</v>
      </c>
      <c r="U5" s="42">
        <f>SUMIFS(TableDay1[Quarter1],TableDay1[type],"E17",TableDay1[resolution],"PT15M")</f>
        <v>2.5</v>
      </c>
      <c r="V5" s="42">
        <f>SUMIFS(TableDay1[Quarter2],TableDay1[type],"E17",TableDay1[resolution],"PT15M")</f>
        <v>2.5</v>
      </c>
      <c r="W5" s="42">
        <f>SUMIFS(TableDay1[Quarter3],TableDay1[type],"E17",TableDay1[resolution],"PT15M")</f>
        <v>2.5</v>
      </c>
      <c r="X5" s="42">
        <f>SUMIFS(TableDay1[Quarter4],TableDay1[type],"E17",TableDay1[resolution],"PT15M")</f>
        <v>10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25">
      <c r="C6" s="10" t="s">
        <v>114</v>
      </c>
      <c r="D6" s="10" t="s">
        <v>87</v>
      </c>
      <c r="E6" s="11" t="s">
        <v>100</v>
      </c>
      <c r="F6" s="12">
        <v>20</v>
      </c>
      <c r="G6" s="12"/>
      <c r="H6" s="12"/>
      <c r="I6" s="12"/>
      <c r="J6" s="43">
        <f t="shared" si="0"/>
        <v>20</v>
      </c>
      <c r="K6" s="10" t="s">
        <v>89</v>
      </c>
      <c r="L6" s="10" t="s">
        <v>96</v>
      </c>
      <c r="M6" s="10" t="s">
        <v>118</v>
      </c>
      <c r="N6" s="10"/>
      <c r="O6" s="10" t="s">
        <v>92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25">
      <c r="C7" s="10" t="s">
        <v>120</v>
      </c>
      <c r="D7" s="10" t="s">
        <v>87</v>
      </c>
      <c r="E7" s="11" t="s">
        <v>100</v>
      </c>
      <c r="F7" s="12">
        <v>2.5</v>
      </c>
      <c r="G7" s="12">
        <v>2.5</v>
      </c>
      <c r="H7" s="41">
        <v>2.5</v>
      </c>
      <c r="I7" s="41">
        <v>10</v>
      </c>
      <c r="J7" s="43">
        <f t="shared" si="0"/>
        <v>17.5</v>
      </c>
      <c r="K7" s="10" t="s">
        <v>98</v>
      </c>
      <c r="L7" s="10" t="s">
        <v>96</v>
      </c>
      <c r="M7" s="10" t="s">
        <v>118</v>
      </c>
      <c r="N7" s="10"/>
      <c r="O7" s="10" t="s">
        <v>92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25">
      <c r="C8" s="10" t="s">
        <v>115</v>
      </c>
      <c r="D8" s="10" t="s">
        <v>94</v>
      </c>
      <c r="E8" s="11"/>
      <c r="F8" s="12">
        <v>40.158999999999999</v>
      </c>
      <c r="G8" s="12"/>
      <c r="H8" s="41"/>
      <c r="I8" s="41"/>
      <c r="J8" s="43">
        <f t="shared" si="0"/>
        <v>40.158999999999999</v>
      </c>
      <c r="K8" s="10" t="s">
        <v>89</v>
      </c>
      <c r="L8" s="10" t="s">
        <v>106</v>
      </c>
      <c r="M8" s="10" t="s">
        <v>99</v>
      </c>
      <c r="N8" s="10"/>
      <c r="O8" s="10" t="s">
        <v>92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2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 t="s">
        <v>92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25">
      <c r="C10" s="10" t="s">
        <v>105</v>
      </c>
      <c r="D10" s="10" t="s">
        <v>94</v>
      </c>
      <c r="E10" s="11"/>
      <c r="F10" s="12"/>
      <c r="G10" s="12"/>
      <c r="H10" s="41"/>
      <c r="I10" s="41"/>
      <c r="J10" s="43">
        <f t="shared" si="0"/>
        <v>0</v>
      </c>
      <c r="K10" s="10" t="s">
        <v>98</v>
      </c>
      <c r="L10" s="10" t="s">
        <v>117</v>
      </c>
      <c r="M10" s="10" t="s">
        <v>119</v>
      </c>
      <c r="N10" s="10"/>
      <c r="O10" s="10" t="s">
        <v>92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2200000000000</v>
      </c>
      <c r="U10" s="26" t="str">
        <f>IF(AE$2=0,"",AE$2)</f>
        <v>2000000000000</v>
      </c>
      <c r="V10" s="20">
        <f>SUMIFS(TableDay1[TotalHour],TableDay1[es_id],U10,IF(B$2="production",TableDay1[type],TableDay1[settlement_method]),AG$2,TableDay1[resolution],"PT1H")/4</f>
        <v>10.03975</v>
      </c>
      <c r="W10" s="19">
        <f>V10</f>
        <v>10.03975</v>
      </c>
      <c r="X10" s="19"/>
      <c r="Y10" s="23">
        <f t="shared" ref="Y10:Y33" si="1">ROUND(W10, 3)</f>
        <v>10.039999999999999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25">
      <c r="C11" s="10" t="s">
        <v>116</v>
      </c>
      <c r="D11" s="10" t="s">
        <v>95</v>
      </c>
      <c r="E11" s="11"/>
      <c r="F11" s="12">
        <v>3.3570000000000002</v>
      </c>
      <c r="G11" s="12"/>
      <c r="H11" s="41"/>
      <c r="I11" s="41"/>
      <c r="J11" s="43">
        <f t="shared" si="0"/>
        <v>3.3570000000000002</v>
      </c>
      <c r="K11" s="10" t="s">
        <v>89</v>
      </c>
      <c r="L11" s="10"/>
      <c r="M11" s="10"/>
      <c r="N11" s="10"/>
      <c r="O11" s="10" t="s">
        <v>107</v>
      </c>
      <c r="P11" s="29" t="s">
        <v>107</v>
      </c>
      <c r="Q11" s="29" t="s">
        <v>92</v>
      </c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2200000000000</v>
      </c>
      <c r="U11" s="26" t="str">
        <f t="shared" ref="U11:V13" si="2">U$10</f>
        <v>2000000000000</v>
      </c>
      <c r="V11" s="19">
        <f t="shared" si="2"/>
        <v>10.03975</v>
      </c>
      <c r="W11" s="19">
        <f>X11+W10</f>
        <v>10.0395</v>
      </c>
      <c r="X11" s="19">
        <f>V11-Y10</f>
        <v>-2.4999999999941735E-4</v>
      </c>
      <c r="Y11" s="23">
        <f t="shared" si="1"/>
        <v>10.039999999999999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2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2200000000000</v>
      </c>
      <c r="U12" s="26" t="str">
        <f t="shared" si="2"/>
        <v>2000000000000</v>
      </c>
      <c r="V12" s="19">
        <f t="shared" si="2"/>
        <v>10.03975</v>
      </c>
      <c r="W12" s="19">
        <f>X12+W11</f>
        <v>10.039250000000001</v>
      </c>
      <c r="X12" s="19">
        <f>V12-Y11</f>
        <v>-2.4999999999941735E-4</v>
      </c>
      <c r="Y12" s="23">
        <f t="shared" si="1"/>
        <v>10.039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2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2200000000000</v>
      </c>
      <c r="U13" s="26" t="str">
        <f t="shared" si="2"/>
        <v>2000000000000</v>
      </c>
      <c r="V13" s="19">
        <f t="shared" si="2"/>
        <v>10.03975</v>
      </c>
      <c r="W13" s="19">
        <f>X13+W12</f>
        <v>10.040000000000001</v>
      </c>
      <c r="X13" s="19">
        <f>V13-Y12</f>
        <v>7.5000000000002842E-4</v>
      </c>
      <c r="Y13" s="23">
        <f t="shared" si="1"/>
        <v>10.039999999999999</v>
      </c>
      <c r="Z13" s="27"/>
      <c r="AA13" s="24"/>
      <c r="AC13" s="2"/>
      <c r="AD13" s="36"/>
      <c r="AE13" s="36" t="str" cm="1">
        <f t="array" ref="AE13:AE16">_xlfn._xlws.SORT(_xlfn.UNIQUE(_xlfn._xlws.FILTER(TableDay1[es_id],TableDay1[es_id] &lt;&gt; "")))</f>
        <v>1000000000000</v>
      </c>
      <c r="AF13" s="36" t="str" cm="1">
        <f t="array" ref="AF13:AF16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2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4400000000000</v>
      </c>
      <c r="U14" s="26" t="str">
        <f>IF(AE$3=0,"",AE$3)</f>
        <v>4000000000000</v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4400000000000</v>
      </c>
      <c r="U15" s="26" t="str">
        <f t="shared" ref="U15:V17" si="3">U$14</f>
        <v>4000000000000</v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4400000000000</v>
      </c>
      <c r="U16" s="26" t="str">
        <f t="shared" si="3"/>
        <v>4000000000000</v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4400000000000</v>
      </c>
      <c r="U17" s="26" t="str">
        <f t="shared" si="3"/>
        <v>4000000000000</v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8" t="str">
        <f>CONCATENATE(B2,"_per_",B1)</f>
        <v>production_per_ga_brp_es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/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skmp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2000000000000</v>
      </c>
      <c r="G22" s="31" t="str">
        <f>IF(B$1="ga",IF(E22="","","null"),IF(B$1="ga_es",IF(F22="","","null"),IF(B$1="ga_brp",IF(AF$2=0,"",AF$2),IF(F22="","",INDEX(TableDay1[brp_id],MATCH(F22,TableDay1[es_id],0),1)))))</f>
        <v>2200000000000</v>
      </c>
      <c r="H22" s="33" t="str">
        <f ca="1">IF(E22="","",SUBSTITUTE(ROUND(I22+J22+K22,3),",","."))</f>
        <v>10.04</v>
      </c>
      <c r="I22" s="9">
        <f>SUMIFS(Y$10:Y$33,IF(OR(B$1="ga_es",B$1="ga_brp_es"),U$10:U$33,IF(B$1="ga_brp",T$10:T$33,S$10:S$33)),IF(OR(B$1="ga_es",B$1="ga_brp_es"),F22,IF(B$1="ga_brp",G22,E22)),R$10:R$33,D22)</f>
        <v>10.039999999999999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>
        <f t="shared" ref="K22:K45" ca="1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/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skmp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2000000000000</v>
      </c>
      <c r="G23" s="31" t="str">
        <f>IF(B$1="ga",IF(E23="","","null"),IF(B$1="ga_es",IF(F23="","","null"),IF(B$1="ga_brp",IF(AF$2=0,"",AF$2),IF(F23="","",INDEX(TableDay1[brp_id],MATCH(F23,TableDay1[es_id],0),1)))))</f>
        <v>2200000000000</v>
      </c>
      <c r="H23" s="33" t="str">
        <f t="shared" ref="H23:H45" ca="1" si="7">IF(E23="","",SUBSTITUTE(ROUND(I23+J23+K23,3),",","."))</f>
        <v>10.04</v>
      </c>
      <c r="I23" s="9">
        <f t="shared" ref="I23:I45" si="8">SUMIFS(Y$10:Y$33,IF(OR(B$1="ga_es",B$1="ga_brp_es"),U$10:U$33,IF(B$1="ga_brp",T$10:T$33,S$10:S$33)),IF(OR(B$1="ga_es",B$1="ga_brp_es"),F23,IF(B$1="ga_brp",G23,E23)),R$10:R$33,D23)</f>
        <v>10.039999999999999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5"/>
        <v>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/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skmp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2000000000000</v>
      </c>
      <c r="G24" s="31" t="str">
        <f>IF(B$1="ga",IF(E24="","","null"),IF(B$1="ga_es",IF(F24="","","null"),IF(B$1="ga_brp",IF(AF$2=0,"",AF$2),IF(F24="","",INDEX(TableDay1[brp_id],MATCH(F24,TableDay1[es_id],0),1)))))</f>
        <v>2200000000000</v>
      </c>
      <c r="H24" s="33" t="str">
        <f t="shared" ca="1" si="7"/>
        <v>10.039</v>
      </c>
      <c r="I24" s="9">
        <f t="shared" si="8"/>
        <v>10.039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5"/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/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skmp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2000000000000</v>
      </c>
      <c r="G25" s="31" t="str">
        <f>IF(B$1="ga",IF(E25="","","null"),IF(B$1="ga_es",IF(F25="","","null"),IF(B$1="ga_brp",IF(AF$2=0,"",AF$2),IF(F25="","",INDEX(TableDay1[brp_id],MATCH(F25,TableDay1[es_id],0),1)))))</f>
        <v>2200000000000</v>
      </c>
      <c r="H25" s="33" t="str">
        <f t="shared" ca="1" si="7"/>
        <v>14.161</v>
      </c>
      <c r="I25" s="9">
        <f t="shared" si="8"/>
        <v>10.039999999999999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5"/>
        <v>4.1210000000000004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4000000000000</v>
      </c>
      <c r="G26" s="31" t="str">
        <f>IF(B$1="ga",IF(E26="","","null"),IF(B$1="ga_es",IF(F26="","","null"),IF(B$1="ga_brp",IF(AF$3=0,"",AF$3),IF(F26="","",INDEX(TableDay1[brp_id],MATCH(F26,TableDay1[es_id],0),1)))))</f>
        <v>4400000000000</v>
      </c>
      <c r="H26" s="33" t="str">
        <f t="shared" ca="1" si="7"/>
        <v>0</v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4000000000000</v>
      </c>
      <c r="G27" s="31" t="str">
        <f>IF(B$1="ga",IF(E27="","","null"),IF(B$1="ga_es",IF(F27="","","null"),IF(B$1="ga_brp",IF(AF$3=0,"",AF$3),IF(F27="","",INDEX(TableDay1[brp_id],MATCH(F27,TableDay1[es_id],0),1)))))</f>
        <v>4400000000000</v>
      </c>
      <c r="H27" s="33" t="str">
        <f t="shared" ca="1" si="7"/>
        <v>0</v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4000000000000</v>
      </c>
      <c r="G28" s="31" t="str">
        <f>IF(B$1="ga",IF(E28="","","null"),IF(B$1="ga_es",IF(F28="","","null"),IF(B$1="ga_brp",IF(AF$3=0,"",AF$3),IF(F28="","",INDEX(TableDay1[brp_id],MATCH(F28,TableDay1[es_id],0),1)))))</f>
        <v>4400000000000</v>
      </c>
      <c r="H28" s="33" t="str">
        <f t="shared" ca="1" si="7"/>
        <v>0</v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/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4000000000000</v>
      </c>
      <c r="G29" s="31" t="str">
        <f>IF(B$1="ga",IF(E29="","","null"),IF(B$1="ga_es",IF(F29="","","null"),IF(B$1="ga_brp",IF(AF$3=0,"",AF$3),IF(F29="","",INDEX(TableDay1[brp_id],MATCH(F29,TableDay1[es_id],0),1)))))</f>
        <v>4400000000000</v>
      </c>
      <c r="H29" s="33" t="str">
        <f t="shared" ca="1" si="7"/>
        <v>0</v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>4000000000000</v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>4400000000000</v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0</v>
      </c>
      <c r="W35" s="16" t="s">
        <v>47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40.158999999999999</v>
      </c>
      <c r="W41" s="39" t="s">
        <v>47</v>
      </c>
      <c r="X41" s="40"/>
      <c r="Y41" s="28">
        <f>SUM(Y43:Y46)</f>
        <v>40.158999999999999</v>
      </c>
      <c r="Z41" s="21">
        <f>SUM(Z43:Z46)</f>
        <v>40.159999999999997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10.03975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10.03975</v>
      </c>
      <c r="W43" s="19">
        <f>V43</f>
        <v>10.03975</v>
      </c>
      <c r="X43" s="19"/>
      <c r="Y43" s="23">
        <f>ROUND(W43, 3)</f>
        <v>10.039999999999999</v>
      </c>
      <c r="Z43" s="23">
        <f>ROUND(V43,3)</f>
        <v>10.039999999999999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10.03975</v>
      </c>
      <c r="W44" s="19">
        <f>X44+W43</f>
        <v>10.0395</v>
      </c>
      <c r="X44" s="19">
        <f>V44-Y43</f>
        <v>-2.4999999999941735E-4</v>
      </c>
      <c r="Y44" s="23">
        <f>ROUND(W44, 3)</f>
        <v>10.039999999999999</v>
      </c>
      <c r="Z44" s="23">
        <f>ROUND(V44,3)</f>
        <v>10.039999999999999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10.03975</v>
      </c>
      <c r="W45" s="19">
        <f>X45+W44</f>
        <v>10.039250000000001</v>
      </c>
      <c r="X45" s="19">
        <f>V45-Y44</f>
        <v>-2.4999999999941735E-4</v>
      </c>
      <c r="Y45" s="23">
        <f>ROUND(W45, 3)</f>
        <v>10.039</v>
      </c>
      <c r="Z45" s="23">
        <f>ROUND(V45,3)</f>
        <v>10.039999999999999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10.03975</v>
      </c>
      <c r="W46" s="19">
        <f>X46+W45</f>
        <v>10.040000000000001</v>
      </c>
      <c r="X46" s="19">
        <f>V46-Y45</f>
        <v>7.5000000000002842E-4</v>
      </c>
      <c r="Y46" s="23">
        <f>ROUND(W46, 3)</f>
        <v>10.039999999999999</v>
      </c>
      <c r="Z46" s="23">
        <f>ROUND(V46,3)</f>
        <v>10.039999999999999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20</v>
      </c>
      <c r="W47" s="39" t="s">
        <v>47</v>
      </c>
      <c r="X47" s="40"/>
      <c r="Y47" s="28">
        <f>SUM(Y49:Y52)</f>
        <v>20</v>
      </c>
      <c r="Z47" s="21">
        <f>SUM(Z49:Z52)</f>
        <v>20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0.83899999999999997</v>
      </c>
      <c r="I48" s="27" t="str">
        <f ca="1">SUBSTITUTE(ROUND(H48,3),",",".")</f>
        <v>0.839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5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0.84</v>
      </c>
      <c r="I49" s="27" t="str">
        <f t="shared" ref="I49:I51" ca="1" si="14">SUBSTITUTE(ROUND(H49,3),",",".")</f>
        <v>0.84</v>
      </c>
      <c r="J49" s="2"/>
      <c r="R49" s="24"/>
      <c r="S49" s="24"/>
      <c r="T49" s="24"/>
      <c r="U49" s="15" t="s">
        <v>56</v>
      </c>
      <c r="V49" s="19">
        <f>V$48</f>
        <v>5</v>
      </c>
      <c r="W49" s="19">
        <f>V49</f>
        <v>5</v>
      </c>
      <c r="X49" s="19"/>
      <c r="Y49" s="23">
        <f>ROUND(W49, 3)</f>
        <v>5</v>
      </c>
      <c r="Z49" s="23">
        <f>ROUND(V49,3)</f>
        <v>5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0.83899999999999997</v>
      </c>
      <c r="I50" s="27" t="str">
        <f t="shared" ca="1" si="14"/>
        <v>0.839</v>
      </c>
      <c r="J50" s="2"/>
      <c r="R50" s="24"/>
      <c r="S50" s="24"/>
      <c r="T50" s="24"/>
      <c r="U50" s="15" t="s">
        <v>57</v>
      </c>
      <c r="V50" s="19">
        <f>V$48</f>
        <v>5</v>
      </c>
      <c r="W50" s="19">
        <f>X50+W49</f>
        <v>5</v>
      </c>
      <c r="X50" s="19">
        <f>V50-Y49</f>
        <v>0</v>
      </c>
      <c r="Y50" s="23">
        <f>ROUND(W50, 3)</f>
        <v>5</v>
      </c>
      <c r="Z50" s="23">
        <f>ROUND(V50,3)</f>
        <v>5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0.83899999999999997</v>
      </c>
      <c r="I51" s="27" t="str">
        <f t="shared" ca="1" si="14"/>
        <v>0.839</v>
      </c>
      <c r="J51" s="2"/>
      <c r="R51" s="24"/>
      <c r="S51" s="24"/>
      <c r="T51" s="24"/>
      <c r="U51" s="15" t="s">
        <v>58</v>
      </c>
      <c r="V51" s="19">
        <f>V$48</f>
        <v>5</v>
      </c>
      <c r="W51" s="19">
        <f>X51+W50</f>
        <v>5</v>
      </c>
      <c r="X51" s="19">
        <f>V51-Y50</f>
        <v>0</v>
      </c>
      <c r="Y51" s="23">
        <f>ROUND(W51, 3)</f>
        <v>5</v>
      </c>
      <c r="Z51" s="23">
        <f>ROUND(V51,3)</f>
        <v>5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5</v>
      </c>
      <c r="W52" s="19">
        <f>X52+W51</f>
        <v>5</v>
      </c>
      <c r="X52" s="19">
        <f>V52-Y51</f>
        <v>0</v>
      </c>
      <c r="Y52" s="23">
        <f>ROUND(W52, 3)</f>
        <v>5</v>
      </c>
      <c r="Z52" s="23">
        <f>ROUND(V52,3)</f>
        <v>5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3.3570000000000002</v>
      </c>
      <c r="W53" s="39" t="s">
        <v>47</v>
      </c>
      <c r="X53" s="40"/>
      <c r="Y53" s="28">
        <f>ROUND(SUM(Y55:Y58),3)</f>
        <v>3.3570000000000002</v>
      </c>
      <c r="Z53" s="21">
        <f>SUM(Z55:Z58)</f>
        <v>3.3559999999999999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0.83925000000000005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6">SUBSTITUTE(ROUND(H55,3),",",".")</f>
        <v>0</v>
      </c>
      <c r="R55" s="44"/>
      <c r="S55" s="24"/>
      <c r="T55" s="24"/>
      <c r="U55" s="15" t="s">
        <v>60</v>
      </c>
      <c r="V55" s="19">
        <f>V$54</f>
        <v>0.83925000000000005</v>
      </c>
      <c r="W55" s="19">
        <f>V55</f>
        <v>0.83925000000000005</v>
      </c>
      <c r="X55" s="19"/>
      <c r="Y55" s="23">
        <f>ROUND(W55,3)</f>
        <v>0.83899999999999997</v>
      </c>
      <c r="Z55" s="23">
        <f>ROUND(V55,3)</f>
        <v>0.83899999999999997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6"/>
        <v>0</v>
      </c>
      <c r="R56" s="24"/>
      <c r="S56" s="24"/>
      <c r="T56" s="24"/>
      <c r="U56" s="15" t="s">
        <v>61</v>
      </c>
      <c r="V56" s="19">
        <f>V$54</f>
        <v>0.83925000000000005</v>
      </c>
      <c r="W56" s="19">
        <f>X56+W55</f>
        <v>0.83950000000000014</v>
      </c>
      <c r="X56" s="19">
        <f>V56-Y55</f>
        <v>2.5000000000008349E-4</v>
      </c>
      <c r="Y56" s="23">
        <f t="shared" ref="Y56:Y58" si="17">ROUND(W56,3)</f>
        <v>0.84</v>
      </c>
      <c r="Z56" s="23">
        <f>ROUND(V56,3)</f>
        <v>0.83899999999999997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6"/>
        <v>0</v>
      </c>
      <c r="R57" s="24"/>
      <c r="S57" s="24"/>
      <c r="T57" s="24"/>
      <c r="U57" s="15" t="s">
        <v>62</v>
      </c>
      <c r="V57" s="19">
        <f>V$54</f>
        <v>0.83925000000000005</v>
      </c>
      <c r="W57" s="19">
        <f>X57+W56</f>
        <v>0.83875000000000022</v>
      </c>
      <c r="X57" s="19">
        <f>V57-Y56</f>
        <v>-7.499999999999174E-4</v>
      </c>
      <c r="Y57" s="23">
        <f t="shared" si="17"/>
        <v>0.83899999999999997</v>
      </c>
      <c r="Z57" s="23">
        <f>ROUND(V57,3)</f>
        <v>0.83899999999999997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0.83925000000000005</v>
      </c>
      <c r="W58" s="19">
        <f>X58+W57</f>
        <v>0.8390000000000003</v>
      </c>
      <c r="X58" s="19">
        <f>V58-Y57</f>
        <v>2.5000000000008349E-4</v>
      </c>
      <c r="Y58" s="23">
        <f t="shared" si="17"/>
        <v>0.83899999999999997</v>
      </c>
      <c r="Z58" s="23">
        <f>ROUND(V58,3)</f>
        <v>0.83899999999999997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47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10.039999999999999</v>
      </c>
      <c r="I60" s="27" t="str">
        <f>SUBSTITUTE(ROUND(H60,3),",",".")</f>
        <v>10.04</v>
      </c>
      <c r="R60" s="44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10.039999999999999</v>
      </c>
      <c r="I61" s="27" t="str">
        <f t="shared" ref="I61:I63" si="19">SUBSTITUTE(ROUND(H61,3),",",".")</f>
        <v>10.04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10.039</v>
      </c>
      <c r="I62" s="27" t="str">
        <f t="shared" si="19"/>
        <v>10.039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10.039999999999999</v>
      </c>
      <c r="I63" s="27" t="str">
        <f t="shared" si="19"/>
        <v>10.04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20</v>
      </c>
      <c r="W65" s="56" t="s">
        <v>47</v>
      </c>
      <c r="X65" s="57"/>
      <c r="Y65" s="28">
        <f>ROUND(SUM(Y67:Y70),3)</f>
        <v>20</v>
      </c>
      <c r="Z65" s="21">
        <f>SUM(Z67:Z70)</f>
        <v>20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3.3789999999999996</v>
      </c>
      <c r="I66" s="27" t="str">
        <f ca="1">SUBSTITUTE(ROUND(H66,3),",",".")</f>
        <v>3.379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3.379999999999999</v>
      </c>
      <c r="I67" s="27" t="str">
        <f t="shared" ref="I67:I69" ca="1" si="22">SUBSTITUTE(ROUND(H67,3),",",".")</f>
        <v>3.38</v>
      </c>
      <c r="R67" s="24"/>
      <c r="S67" s="24"/>
      <c r="T67" s="24"/>
      <c r="U67" s="15" t="s">
        <v>68</v>
      </c>
      <c r="V67" s="19">
        <f>V$66</f>
        <v>5</v>
      </c>
      <c r="W67" s="19">
        <f>V67</f>
        <v>5</v>
      </c>
      <c r="X67" s="19"/>
      <c r="Y67" s="23">
        <f>ROUND(W67, 3)</f>
        <v>5</v>
      </c>
      <c r="Z67" s="23">
        <f>ROUND(V67,3)</f>
        <v>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3.3780000000000001</v>
      </c>
      <c r="I68" s="27" t="str">
        <f t="shared" ca="1" si="22"/>
        <v>3.378</v>
      </c>
      <c r="R68" s="24"/>
      <c r="S68" s="24"/>
      <c r="T68" s="24"/>
      <c r="U68" s="15" t="s">
        <v>69</v>
      </c>
      <c r="V68" s="19">
        <f>V$66</f>
        <v>5</v>
      </c>
      <c r="W68" s="19">
        <f>X68+W67</f>
        <v>5</v>
      </c>
      <c r="X68" s="19">
        <f>V68-Y67</f>
        <v>0</v>
      </c>
      <c r="Y68" s="23">
        <f>ROUND(W68, 3)</f>
        <v>5</v>
      </c>
      <c r="Z68" s="23">
        <f>ROUND(V68,3)</f>
        <v>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-4.1210000000000004</v>
      </c>
      <c r="I69" s="27" t="str">
        <f t="shared" ca="1" si="22"/>
        <v>-4.121</v>
      </c>
      <c r="J69" s="2"/>
      <c r="R69" s="24"/>
      <c r="S69" s="24"/>
      <c r="T69" s="24"/>
      <c r="U69" s="15" t="s">
        <v>70</v>
      </c>
      <c r="V69" s="19">
        <f>V$66</f>
        <v>5</v>
      </c>
      <c r="W69" s="19">
        <f>X69+W68</f>
        <v>5</v>
      </c>
      <c r="X69" s="19">
        <f>V69-Y68</f>
        <v>0</v>
      </c>
      <c r="Y69" s="23">
        <f>ROUND(W69, 3)</f>
        <v>5</v>
      </c>
      <c r="Z69" s="23">
        <f>ROUND(V69,3)</f>
        <v>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5</v>
      </c>
      <c r="W70" s="19">
        <f>X70+W69</f>
        <v>5</v>
      </c>
      <c r="X70" s="19">
        <f>V70-Y69</f>
        <v>0</v>
      </c>
      <c r="Y70" s="23">
        <f>ROUND(W70, 3)</f>
        <v>5</v>
      </c>
      <c r="Z70" s="23">
        <f>ROUND(V70,3)</f>
        <v>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3.3780000000000001</v>
      </c>
      <c r="I73" s="27" t="str">
        <f t="shared" ref="I73:I75" ca="1" si="24">SUBSTITUTE(ROUND(H73,3),",",".")</f>
        <v>3.378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3.379999999999999</v>
      </c>
      <c r="I74" s="27" t="str">
        <f t="shared" ca="1" si="24"/>
        <v>3.38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3.3789999999999996</v>
      </c>
      <c r="I75" s="27" t="str">
        <f t="shared" ca="1" si="24"/>
        <v>3.379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4.1210000000000004</v>
      </c>
      <c r="I78" s="27" t="str">
        <f ca="1">SUBSTITUTE(ROUND(H78,3),",",".")</f>
        <v>4.121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6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10.879</v>
      </c>
      <c r="I84" s="27" t="str">
        <f ca="1">SUBSTITUTE(ROUND(H84,3),",",".")</f>
        <v>10.879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10.879999999999999</v>
      </c>
      <c r="I85" s="27" t="str">
        <f t="shared" ref="I85:I87" ca="1" si="28">SUBSTITUTE(ROUND(H85,3),",",".")</f>
        <v>10.88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10.878</v>
      </c>
      <c r="I86" s="27" t="str">
        <f t="shared" ca="1" si="28"/>
        <v>10.878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0.83925000000000005</v>
      </c>
      <c r="X86" s="16">
        <f>W86</f>
        <v>0.83925000000000005</v>
      </c>
      <c r="Y86" s="16"/>
      <c r="Z86" s="16">
        <f t="shared" ref="Z86:Z109" si="29">ROUND(X86, 3)</f>
        <v>0.83899999999999997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15</v>
      </c>
      <c r="I87" s="27" t="str">
        <f t="shared" ca="1" si="28"/>
        <v>15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0.83925000000000005</v>
      </c>
      <c r="X87" s="16">
        <f>Y87+X86</f>
        <v>0.83950000000000014</v>
      </c>
      <c r="Y87" s="16">
        <f>W87-Z86</f>
        <v>2.5000000000008349E-4</v>
      </c>
      <c r="Z87" s="16">
        <f t="shared" si="29"/>
        <v>0.84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0.83925000000000005</v>
      </c>
      <c r="X88" s="16">
        <f>Y88+X87</f>
        <v>0.83875000000000022</v>
      </c>
      <c r="Y88" s="16">
        <f>W88-Z87</f>
        <v>-7.499999999999174E-4</v>
      </c>
      <c r="Z88" s="16">
        <f t="shared" si="29"/>
        <v>0.83899999999999997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0.83925000000000005</v>
      </c>
      <c r="X89" s="16">
        <f>Y89+X88</f>
        <v>0.8390000000000003</v>
      </c>
      <c r="Y89" s="16">
        <f>W89-Z88</f>
        <v>2.5000000000008349E-4</v>
      </c>
      <c r="Z89" s="16">
        <f t="shared" si="29"/>
        <v>0.83899999999999997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0.83899999999999997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0.839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0.84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0.84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0.83899999999999997</v>
      </c>
      <c r="I92" s="32" t="str" cm="1">
        <f t="array" aca="1" ref="I92" ca="1">IF(E92="","",INDIRECT("AJ"&amp;ROUND((ROW()-80)*0.25,0)))</f>
        <v>801</v>
      </c>
      <c r="J92" s="27" t="str">
        <f t="shared" ca="1" si="34"/>
        <v>0.839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0.83899999999999997</v>
      </c>
      <c r="I93" s="32" t="str" cm="1">
        <f t="array" aca="1" ref="I93" ca="1">IF(E93="","",INDIRECT("AJ"&amp;ROUND((ROW()-80)*0.25,0)))</f>
        <v>801</v>
      </c>
      <c r="J93" s="27" t="str">
        <f t="shared" ca="1" si="34"/>
        <v>0.839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AH1:AK1"/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2024-06-25T11:18:07Z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