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wholesale_withdrawal_scenario\"/>
    </mc:Choice>
  </mc:AlternateContent>
  <xr:revisionPtr revIDLastSave="0" documentId="13_ncr:1_{D32AE989-6452-4D51-9309-34633A2B208B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9" i="11" a="1"/>
  <c r="V102" i="11" a="1"/>
  <c r="V98" i="11" a="1"/>
  <c r="V107" i="11" a="1"/>
  <c r="V101" i="11" a="1"/>
  <c r="V99" i="11" a="1"/>
  <c r="V108" i="11" a="1"/>
  <c r="V105" i="11" a="1"/>
  <c r="V106" i="11" a="1"/>
  <c r="V100" i="11" a="1"/>
  <c r="V103" i="11" a="1"/>
  <c r="V104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9" i="11" a="1"/>
  <c r="V97" i="11" a="1"/>
  <c r="V92" i="11" a="1"/>
  <c r="V87" i="11" a="1"/>
  <c r="V88" i="11" a="1"/>
  <c r="V90" i="11" a="1"/>
  <c r="V95" i="11" a="1"/>
  <c r="V91" i="11" a="1"/>
  <c r="V93" i="11" a="1"/>
  <c r="V86" i="11" a="1"/>
  <c r="V96" i="11" a="1"/>
  <c r="V94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1" i="11" a="1"/>
  <c r="I93" i="11" a="1"/>
  <c r="I92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8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3" i="11"/>
  <c r="J25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<sst xmlns="http://schemas.openxmlformats.org/spreadsheetml/2006/main" count="405" uniqueCount="122">
  <si>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</si>
  <si>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</si>
  <si>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</si>
  <si>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</si>
  <si>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</si>
  <si>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</si>
  <si>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</si>
  <si>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</si>
  <si>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</si>
  <si>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</si>
  <si>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</si>
  <si>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</si>
  <si>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</si>
  <si>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</si>
  <si>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</si>
  <si>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</si>
  <si>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</si>
  <si>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</si>
  <si>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</si>
  <si>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</si>
  <si>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</si>
  <si>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</si>
  <si>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</si>
  <si>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</si>
  <si>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</si>
  <si>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</si>
  <si>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</si>
  <si>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</si>
  <si>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</si>
  <si>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</si>
  <si>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</si>
  <si>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</si>
  <si>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</si>
  <si>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</si>
  <si>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</si>
  <si>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</si>
  <si>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</si>
  <si>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</si>
  <si>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</si>
  <si>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</si>
  <si>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</si>
  <si>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</si>
  <si>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</si>
  <si>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</si>
  <si>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</si>
  <si>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</si>
  <si>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</si>
  <si>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</si>
  <si>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</si>
  <si>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</si>
  <si>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</si>
  <si>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</si>
  <si>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</si>
  <si>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</si>
  <si>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</si>
  <si>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</si>
  <si>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</si>
  <si>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</si>
  <si>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</si>
  <si>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</si>
  <si>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</si>
  <si>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</si>
  <si>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</si>
  <si>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</si>
  <si>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</si>
  <si>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</si>
  <si>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</si>
  <si>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</si>
  <si>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</si>
  <si>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</si>
  <si>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</si>
  <si>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</si>
  <si>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</si>
  <si>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</si>
  <si>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</si>
  <si>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</si>
  <si>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</si>
  <si>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</si>
  <si>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</si>
  <si>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</si>
  <si>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</si>
  <si>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</si>
  <si>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</si>
  <si>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</si>
  <si>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</si>
  <si>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</si>
  <si>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</si>
  <si>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</si>
  <si>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</si>
  <si>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</si>
  <si>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</si>
  <si>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</si>
  <si>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</si>
  <si>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</si>
  <si>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</si>
  <si>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</si>
  <si>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</si>
  <si>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</si>
  <si>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</si>
  <si>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</si>
  <si>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</si>
  <si>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</si>
  <si>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</si>
  <si>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</si>
  <si>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</si>
  <si>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</si>
  <si>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</si>
  <si>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</si>
  <si>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</si>
  <si>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</si>
  <si>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</si>
  <si>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</si>
  <si>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</si>
  <si>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</si>
  <si>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</si>
  <si>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</si>
  <si>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</si>
  <si>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</si>
  <si>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</si>
  <si>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neighbor_grid_area_code</t>
  </si>
  <si>
    <t>nonprofiled_consumption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</si>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</sst>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F7" sqref="F7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121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102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101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120</v>
      </c>
      <c r="C2" s="10" t="s">
        <v>109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96</v>
      </c>
      <c r="L2" s="10" t="s">
        <v>88</v>
      </c>
      <c r="M2" s="10" t="s">
        <v>89</v>
      </c>
      <c r="N2" s="10" t="s">
        <v>91</v>
      </c>
      <c r="O2" s="10" t="s">
        <v>90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0">
        <f>SUMIFS(TableDay1[Quarter1],TableDay1[settlement_method],"D01",TableDay1[resolution],"PT15M")</f>
        <v>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3300000000000</v>
      </c>
      <c r="AG2" s="27" t="str">
        <f>IF(B$2="production","E18",IF($B$2="flex_consumption","D01","E02"))</f>
        <v>E02</v>
      </c>
      <c r="AH2" s="27" t="s">
        <v>106</v>
      </c>
      <c r="AI2" s="24" t="s">
        <v>107</v>
      </c>
      <c r="AJ2" s="27" t="s">
        <v>108</v>
      </c>
      <c r="AK2" s="2"/>
      <c r="AL2" s="2"/>
    </row>
    <row r="3" spans="1:92" x14ac:dyDescent="0.35">
      <c r="C3" s="10" t="s">
        <v>110</v>
      </c>
      <c r="D3" s="10" t="s">
        <v>92</v>
      </c>
      <c r="E3" s="11"/>
      <c r="F3" s="12"/>
      <c r="G3" s="12"/>
      <c r="H3" s="39"/>
      <c r="I3" s="39"/>
      <c r="J3" s="41">
        <f t="shared" si="0"/>
        <v>0</v>
      </c>
      <c r="K3" s="10" t="s">
        <v>96</v>
      </c>
      <c r="L3" s="10" t="s">
        <v>104</v>
      </c>
      <c r="M3" s="10" t="s">
        <v>97</v>
      </c>
      <c r="N3" s="10" t="s">
        <v>95</v>
      </c>
      <c r="O3" s="10" t="s">
        <v>90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0">
        <f>SUMIFS(TableDay1[Quarter1],TableDay1[settlement_method],"E02",TableDay1[resolution],"PT15M")</f>
        <v>2.5</v>
      </c>
      <c r="V3" s="40">
        <f>SUMIFS(TableDay1[Quarter2],TableDay1[settlement_method],"E02",TableDay1[resolution],"PT15M")</f>
        <v>2.5</v>
      </c>
      <c r="W3" s="40">
        <f>SUMIFS(TableDay1[Quarter3],TableDay1[settlement_method],"E02",TableDay1[resolution],"PT15M")</f>
        <v>2.5</v>
      </c>
      <c r="X3" s="40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111</v>
      </c>
      <c r="D4" s="10" t="s">
        <v>85</v>
      </c>
      <c r="E4" s="11" t="s">
        <v>86</v>
      </c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88</v>
      </c>
      <c r="M4" s="10" t="s">
        <v>89</v>
      </c>
      <c r="N4" s="10"/>
      <c r="O4" s="10" t="s">
        <v>90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0">
        <f>SUMIFS(TableDay1[Quarter1],TableDay1[type],"E18",TableDay1[resolution],"PT15M")</f>
        <v>0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39"/>
      <c r="I5" s="39"/>
      <c r="J5" s="41" t="str">
        <f t="shared" si="0"/>
        <v/>
      </c>
      <c r="K5" s="10"/>
      <c r="L5" s="10"/>
      <c r="M5" s="10"/>
      <c r="N5" s="10"/>
      <c r="O5" s="10" t="s">
        <v>90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0">
        <f>SUMIFS(TableDay1[Quarter1],TableDay1[type],"E17",TableDay1[resolution],"PT15M")</f>
        <v>2.5</v>
      </c>
      <c r="V5" s="40">
        <f>SUMIFS(TableDay1[Quarter2],TableDay1[type],"E17",TableDay1[resolution],"PT15M")</f>
        <v>2.5</v>
      </c>
      <c r="W5" s="40">
        <f>SUMIFS(TableDay1[Quarter3],TableDay1[type],"E17",TableDay1[resolution],"PT15M")</f>
        <v>2.5</v>
      </c>
      <c r="X5" s="40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112</v>
      </c>
      <c r="D6" s="10" t="s">
        <v>85</v>
      </c>
      <c r="E6" s="11" t="s">
        <v>98</v>
      </c>
      <c r="F6" s="12">
        <v>20</v>
      </c>
      <c r="G6" s="12"/>
      <c r="H6" s="12"/>
      <c r="I6" s="12"/>
      <c r="J6" s="41">
        <f t="shared" si="0"/>
        <v>20</v>
      </c>
      <c r="K6" s="10" t="s">
        <v>87</v>
      </c>
      <c r="L6" s="10" t="s">
        <v>94</v>
      </c>
      <c r="M6" s="10" t="s">
        <v>116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118</v>
      </c>
      <c r="D7" s="10" t="s">
        <v>85</v>
      </c>
      <c r="E7" s="11" t="s">
        <v>98</v>
      </c>
      <c r="F7" s="12">
        <v>2.5</v>
      </c>
      <c r="G7" s="12">
        <v>2.5</v>
      </c>
      <c r="H7" s="39">
        <v>2.5</v>
      </c>
      <c r="I7" s="39">
        <v>10</v>
      </c>
      <c r="J7" s="41">
        <f t="shared" si="0"/>
        <v>17.5</v>
      </c>
      <c r="K7" s="10" t="s">
        <v>96</v>
      </c>
      <c r="L7" s="10" t="s">
        <v>94</v>
      </c>
      <c r="M7" s="10" t="s">
        <v>116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113</v>
      </c>
      <c r="D8" s="10" t="s">
        <v>92</v>
      </c>
      <c r="E8" s="11"/>
      <c r="F8" s="12">
        <v>40.158999999999999</v>
      </c>
      <c r="G8" s="12"/>
      <c r="H8" s="39"/>
      <c r="I8" s="39"/>
      <c r="J8" s="41">
        <f t="shared" si="0"/>
        <v>40.158999999999999</v>
      </c>
      <c r="K8" s="10" t="s">
        <v>87</v>
      </c>
      <c r="L8" s="10" t="s">
        <v>104</v>
      </c>
      <c r="M8" s="10" t="s">
        <v>97</v>
      </c>
      <c r="N8" s="10"/>
      <c r="O8" s="10" t="s">
        <v>90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39"/>
      <c r="I9" s="39"/>
      <c r="J9" s="41" t="str">
        <f t="shared" si="0"/>
        <v/>
      </c>
      <c r="K9" s="10"/>
      <c r="L9" s="10"/>
      <c r="M9" s="10"/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103</v>
      </c>
      <c r="D10" s="10" t="s">
        <v>92</v>
      </c>
      <c r="E10" s="11"/>
      <c r="F10" s="12"/>
      <c r="G10" s="12"/>
      <c r="H10" s="39"/>
      <c r="I10" s="39"/>
      <c r="J10" s="41">
        <f t="shared" si="0"/>
        <v>0</v>
      </c>
      <c r="K10" s="10" t="s">
        <v>96</v>
      </c>
      <c r="L10" s="10" t="s">
        <v>115</v>
      </c>
      <c r="M10" s="10" t="s">
        <v>117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3300000000000</v>
      </c>
      <c r="U10" s="26" t="str">
        <f>IF(AE$2=0,"",AE$2)</f>
        <v>3000000000000</v>
      </c>
      <c r="V10" s="20">
        <f>SUMIFS(TableDay1[TotalHour],TableDay1[es_id],U10,IF(B$2="production",TableDay1[type],TableDay1[settlement_method]),AG$2,TableDay1[resolution],"PT1H")/4</f>
        <v>5</v>
      </c>
      <c r="W10" s="19">
        <f>V10</f>
        <v>5</v>
      </c>
      <c r="X10" s="19"/>
      <c r="Y10" s="23">
        <f t="shared" ref="Y10:Y33" si="1">ROUND(W10, 3)</f>
        <v>5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114</v>
      </c>
      <c r="D11" s="10" t="s">
        <v>93</v>
      </c>
      <c r="E11" s="11"/>
      <c r="F11" s="12">
        <v>3.3570000000000002</v>
      </c>
      <c r="G11" s="12"/>
      <c r="H11" s="39"/>
      <c r="I11" s="39"/>
      <c r="J11" s="41">
        <f t="shared" si="0"/>
        <v>3.3570000000000002</v>
      </c>
      <c r="K11" s="10" t="s">
        <v>87</v>
      </c>
      <c r="L11" s="10"/>
      <c r="M11" s="10"/>
      <c r="N11" s="10"/>
      <c r="O11" s="10" t="s">
        <v>105</v>
      </c>
      <c r="P11" s="29" t="s">
        <v>105</v>
      </c>
      <c r="Q11" s="29" t="s">
        <v>90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3300000000000</v>
      </c>
      <c r="U11" s="26" t="str">
        <f t="shared" ref="U11:V13" si="2">U$10</f>
        <v>3000000000000</v>
      </c>
      <c r="V11" s="19">
        <f t="shared" si="2"/>
        <v>5</v>
      </c>
      <c r="W11" s="19">
        <f>X11+W10</f>
        <v>5</v>
      </c>
      <c r="X11" s="19">
        <f>V11-Y10</f>
        <v>0</v>
      </c>
      <c r="Y11" s="23">
        <f t="shared" si="1"/>
        <v>5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39"/>
      <c r="I12" s="39"/>
      <c r="J12" s="41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3300000000000</v>
      </c>
      <c r="U12" s="26" t="str">
        <f t="shared" si="2"/>
        <v>3000000000000</v>
      </c>
      <c r="V12" s="19">
        <f t="shared" si="2"/>
        <v>5</v>
      </c>
      <c r="W12" s="19">
        <f>X12+W11</f>
        <v>5</v>
      </c>
      <c r="X12" s="19">
        <f>V12-Y11</f>
        <v>0</v>
      </c>
      <c r="Y12" s="23">
        <f t="shared" si="1"/>
        <v>5</v>
      </c>
      <c r="Z12" s="27"/>
      <c r="AA12" s="24"/>
      <c r="AC12" s="27"/>
      <c r="AD12" s="36"/>
      <c r="AE12" s="36" t="s">
        <v>99</v>
      </c>
      <c r="AF12" s="36" t="s">
        <v>100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39"/>
      <c r="I13" s="39"/>
      <c r="J13" s="41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3300000000000</v>
      </c>
      <c r="U13" s="26" t="str">
        <f t="shared" si="2"/>
        <v>3000000000000</v>
      </c>
      <c r="V13" s="19">
        <f t="shared" si="2"/>
        <v>5</v>
      </c>
      <c r="W13" s="19">
        <f>X13+W12</f>
        <v>5</v>
      </c>
      <c r="X13" s="19">
        <f>V13-Y12</f>
        <v>0</v>
      </c>
      <c r="Y13" s="23">
        <f t="shared" si="1"/>
        <v>5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39"/>
      <c r="I14" s="39"/>
      <c r="J14" s="41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nonprofiled_consumption_per_ga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IF(B$1="ga",IF(E22="","","null"),IF(B$1="ga_es",IF(F22="","","null"),IF(B$1="ga_brp",IF(AF$2=0,"",AF$2),IF(F22="","",INDEX(TableDay1[brp_id],MATCH(F22,TableDay1[es_id],0),1)))))</f>
        <v>null</v>
      </c>
      <c r="H22" s="33" t="str">
        <f ca="1">IF(E22="","",SUBSTITUTE(ROUND(I22+J22+K22,3),",","."))</f>
        <v>7.5</v>
      </c>
      <c r="I22" s="9">
        <f>SUMIFS(Y$10:Y$33,IF(OR(B$1="ga_es",B$1="ga_brp_es"),U$10:U$33,IF(B$1="ga_brp",T$10:T$33,S$10:S$33)),IF(OR(B$1="ga_es",B$1="ga_brp_es"),F22,IF(B$1="ga_brp",G22,E22)),R$10:R$33,D22)</f>
        <v>5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2.5</v>
      </c>
      <c r="K22" s="9">
        <f t="shared" ref="K22:K45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IF(B$1="ga",IF(E23="","","null"),IF(B$1="ga_es",IF(F23="","","null"),IF(B$1="ga_brp",IF(AF$2=0,"",AF$2),IF(F23="","",INDEX(TableDay1[brp_id],MATCH(F23,TableDay1[es_id],0),1)))))</f>
        <v>null</v>
      </c>
      <c r="H23" s="33" t="str">
        <f t="shared" ref="H23:H45" ca="1" si="7">IF(E23="","",SUBSTITUTE(ROUND(I23+J23+K23,3),",","."))</f>
        <v>7.5</v>
      </c>
      <c r="I23" s="9">
        <f t="shared" ref="I23:I45" si="8">SUMIFS(Y$10:Y$33,IF(OR(B$1="ga_es",B$1="ga_brp_es"),U$10:U$33,IF(B$1="ga_brp",T$10:T$33,S$10:S$33)),IF(OR(B$1="ga_es",B$1="ga_brp_es"),F23,IF(B$1="ga_brp",G23,E23)),R$10:R$33,D23)</f>
        <v>5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2.5</v>
      </c>
      <c r="K23" s="9">
        <f t="shared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IF(B$1="ga",IF(E24="","","null"),IF(B$1="ga_es",IF(F24="","","null"),IF(B$1="ga_brp",IF(AF$2=0,"",AF$2),IF(F24="","",INDEX(TableDay1[brp_id],MATCH(F24,TableDay1[es_id],0),1)))))</f>
        <v>null</v>
      </c>
      <c r="H24" s="33" t="str">
        <f t="shared" ca="1" si="7"/>
        <v>7.5</v>
      </c>
      <c r="I24" s="9">
        <f t="shared" si="8"/>
        <v>5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2.5</v>
      </c>
      <c r="K24" s="9">
        <f t="shared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IF(B$1="ga",IF(E25="","","null"),IF(B$1="ga_es",IF(F25="","","null"),IF(B$1="ga_brp",IF(AF$2=0,"",AF$2),IF(F25="","",INDEX(TableDay1[brp_id],MATCH(F25,TableDay1[es_id],0),1)))))</f>
        <v>null</v>
      </c>
      <c r="H25" s="33" t="str">
        <f t="shared" ca="1" si="7"/>
        <v>15</v>
      </c>
      <c r="I25" s="9">
        <f t="shared" si="8"/>
        <v>5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10</v>
      </c>
      <c r="K25" s="9">
        <f t="shared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3300000000000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45" t="s">
        <v>47</v>
      </c>
      <c r="X35" s="4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45" t="s">
        <v>47</v>
      </c>
      <c r="X41" s="46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45" t="s">
        <v>47</v>
      </c>
      <c r="X47" s="46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45" t="s">
        <v>47</v>
      </c>
      <c r="X53" s="46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4"/>
      <c r="R54" s="44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45" t="s">
        <v>47</v>
      </c>
      <c r="X59" s="46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2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45" t="s">
        <v>47</v>
      </c>
      <c r="X65" s="46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119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  <mergeCell ref="AH1:AK1"/>
    <mergeCell ref="E20:H20"/>
    <mergeCell ref="I20:K20"/>
    <mergeCell ref="E46:H46"/>
    <mergeCell ref="W35:X35"/>
    <mergeCell ref="W41:X41"/>
    <mergeCell ref="W47:X47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2024-09-24T12:38:43Z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