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es_and_res_change\"/>
    </mc:Choice>
  </mc:AlternateContent>
  <xr:revisionPtr revIDLastSave="0" documentId="13_ncr:1_{CECEEF7D-F63E-4292-8B46-14277932FEC0}" xr6:coauthVersionLast="47" xr6:coauthVersionMax="47" xr10:uidLastSave="{00000000-0000-0000-0000-000000000000}"/>
  <bookViews>
    <workbookView xWindow="-110" yWindow="-110" windowWidth="51420" windowHeight="21100" activeTab="1" xr2:uid="{B26405EC-4681-4CC9-BF80-F87B3459AD72}"/>
  </bookViews>
  <sheets>
    <sheet name="Day1" sheetId="12" r:id="rId1"/>
    <sheet name="Day2" sheetId="11" r:id="rId2"/>
  </sheets>
  <definedNames>
    <definedName name="gridLoss15M" localSheetId="0">'Day1'!$Q$33</definedName>
    <definedName name="gridLoss15M" localSheetId="1">'Day2'!$Q$33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powerIn15M" localSheetId="0">'Day1'!$R$5</definedName>
    <definedName name="powerIn15M" localSheetId="1">'Day2'!$R$5</definedName>
    <definedName name="powerIn1H_quarter1" localSheetId="0">'Day1'!$W$54</definedName>
    <definedName name="powerIn1H_quarter1" localSheetId="1">'Day2'!$W$54</definedName>
    <definedName name="powerIn1H_quarter2" localSheetId="0">'Day1'!$W$55</definedName>
    <definedName name="powerIn1H_quarter2" localSheetId="1">'Day2'!$W$55</definedName>
    <definedName name="powerIn1H_quarter3" localSheetId="0">'Day1'!$W$56</definedName>
    <definedName name="powerIn1H_quarter3" localSheetId="1">'Day2'!$W$56</definedName>
    <definedName name="powerIn1H_quarter4" localSheetId="0">'Day1'!$W$57</definedName>
    <definedName name="powerIn1H_quarter4" localSheetId="1">'Day2'!$W$57</definedName>
    <definedName name="powerOut15M" localSheetId="0">'Day1'!$R$6</definedName>
    <definedName name="powerOut15M" localSheetId="1">'Day2'!$R$6</definedName>
    <definedName name="powerOut1H_quarter1" localSheetId="0">'Day1'!$W$60</definedName>
    <definedName name="powerOut1H_quarter1" localSheetId="1">'Day2'!$W$60</definedName>
    <definedName name="powerOut1H_quarter2" localSheetId="0">'Day1'!$W$61</definedName>
    <definedName name="powerOut1H_quarter2" localSheetId="1">'Day2'!$W$61</definedName>
    <definedName name="powerOut1H_quarter3" localSheetId="0">'Day1'!$W$62</definedName>
    <definedName name="powerOut1H_quarter3" localSheetId="1">'Day2'!$W$62</definedName>
    <definedName name="powerOut1H_quarter4" localSheetId="0">'Day1'!$W$63</definedName>
    <definedName name="powerOut1H_quarter4" localSheetId="1">'Day2'!$W$63</definedName>
    <definedName name="totalConsumption_quarter1" localSheetId="0">'Day1'!$W$66</definedName>
    <definedName name="totalConsumption_quarter1" localSheetId="1">'Day2'!$W$66</definedName>
    <definedName name="totalConsumption_quarter2" localSheetId="0">'Day1'!$W$67</definedName>
    <definedName name="totalConsumption_quarter2" localSheetId="1">'Day2'!$W$67</definedName>
    <definedName name="totalConsumption_quarter3" localSheetId="0">'Day1'!$W$68</definedName>
    <definedName name="totalConsumption_quarter3" localSheetId="1">'Day2'!$W$68</definedName>
    <definedName name="totalConsumption_quarter4" localSheetId="0">'Day1'!$W$69</definedName>
    <definedName name="totalConsumption_quarter4" localSheetId="1">'Day2'!$W$69</definedName>
    <definedName name="totalConsumption15M" localSheetId="0">'Day1'!$R$4</definedName>
    <definedName name="totalConsumption15M" localSheetId="1">'Day2'!$R$4</definedName>
    <definedName name="totalFlex15M" localSheetId="0">'Day1'!$R$1</definedName>
    <definedName name="totalFlex15M" localSheetId="1">'Day2'!$R$1</definedName>
    <definedName name="totalFlex1H_quarter1" localSheetId="0">'Day1'!$W$36</definedName>
    <definedName name="totalFlex1H_quarter1" localSheetId="1">'Day2'!$W$36</definedName>
    <definedName name="totalFlex1H_quarter2" localSheetId="0">'Day1'!$W$37</definedName>
    <definedName name="totalFlex1H_quarter2" localSheetId="1">'Day2'!$W$37</definedName>
    <definedName name="totalFlex1H_quarter3" localSheetId="0">'Day1'!$W$38</definedName>
    <definedName name="totalFlex1H_quarter3" localSheetId="1">'Day2'!$W$38</definedName>
    <definedName name="totalFlex1H_quarter4" localSheetId="0">'Day1'!$W$39</definedName>
    <definedName name="totalFlex1H_quarter4" localSheetId="1">'Day2'!$W$39</definedName>
    <definedName name="totalNonprofiled15M" localSheetId="0">'Day1'!$R$2</definedName>
    <definedName name="totalNonprofiled15M" localSheetId="1">'Day2'!$R$2</definedName>
    <definedName name="totalNonprofiled1H_quarter1" localSheetId="0">'Day1'!$W$48</definedName>
    <definedName name="totalNonprofiled1H_quarter1" localSheetId="1">'Day2'!$W$48</definedName>
    <definedName name="totalNonprofiled1H_quarter2" localSheetId="0">'Day1'!$W$49</definedName>
    <definedName name="totalNonprofiled1H_quarter2" localSheetId="1">'Day2'!$W$49</definedName>
    <definedName name="totalNonprofiled1H_quarter3" localSheetId="0">'Day1'!$W$50</definedName>
    <definedName name="totalNonprofiled1H_quarter3" localSheetId="1">'Day2'!$W$50</definedName>
    <definedName name="totalNonprofiled1H_quarter4" localSheetId="0">'Day1'!$W$51</definedName>
    <definedName name="totalNonprofiled1H_quarter4" localSheetId="1">'Day2'!$W$51</definedName>
    <definedName name="totalProduction15M" localSheetId="0">'Day1'!$R$3</definedName>
    <definedName name="totalProduction15M" localSheetId="1">'Day2'!$R$3</definedName>
    <definedName name="totalProduction1H_quarter1" localSheetId="0">'Day1'!$W$42</definedName>
    <definedName name="totalProduction1H_quarter1" localSheetId="1">'Day2'!$W$42</definedName>
    <definedName name="totalProduction1H_quarter2" localSheetId="0">'Day1'!$W$43</definedName>
    <definedName name="totalProduction1H_quarter2" localSheetId="1">'Day2'!$W$43</definedName>
    <definedName name="totalProduction1H_quarter3" localSheetId="0">'Day1'!$W$44</definedName>
    <definedName name="totalProduction1H_quarter3" localSheetId="1">'Day2'!$W$44</definedName>
    <definedName name="totalProduction1H_quarter4" localSheetId="0">'Day1'!$W$45</definedName>
    <definedName name="totalProduction1H_quarter4" localSheetId="1">'Day2'!$W$45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1" l="1"/>
  <c r="AD27" i="12"/>
  <c r="AC27" i="12"/>
  <c r="U106" i="12"/>
  <c r="V106" i="12" s="1"/>
  <c r="X106" i="12" s="1"/>
  <c r="U102" i="12"/>
  <c r="U104" i="12" s="1"/>
  <c r="T102" i="12"/>
  <c r="U98" i="12"/>
  <c r="U100" i="12" s="1"/>
  <c r="T98" i="12"/>
  <c r="U94" i="12"/>
  <c r="U96" i="12" s="1"/>
  <c r="T94" i="12"/>
  <c r="U90" i="12"/>
  <c r="U92" i="12" s="1"/>
  <c r="T90" i="12"/>
  <c r="T65" i="12"/>
  <c r="T67" i="12" s="1"/>
  <c r="T64" i="12"/>
  <c r="T59" i="12"/>
  <c r="T62" i="12" s="1"/>
  <c r="T58" i="12"/>
  <c r="T53" i="12"/>
  <c r="T55" i="12" s="1"/>
  <c r="X55" i="12" s="1"/>
  <c r="T52" i="12"/>
  <c r="T47" i="12"/>
  <c r="T51" i="12" s="1"/>
  <c r="X51" i="12" s="1"/>
  <c r="T46" i="12"/>
  <c r="J45" i="12"/>
  <c r="E45" i="12"/>
  <c r="F45" i="12" s="1"/>
  <c r="J44" i="12"/>
  <c r="E44" i="12"/>
  <c r="T43" i="12"/>
  <c r="X43" i="12" s="1"/>
  <c r="J43" i="12"/>
  <c r="E43" i="12"/>
  <c r="AC42" i="12" a="1"/>
  <c r="AC42" i="12" s="1"/>
  <c r="E42" i="12"/>
  <c r="F42" i="12" s="1"/>
  <c r="T41" i="12"/>
  <c r="T44" i="12" s="1"/>
  <c r="J41" i="12"/>
  <c r="E41" i="12"/>
  <c r="AD40" i="12" a="1"/>
  <c r="AD40" i="12" s="1"/>
  <c r="AC40" i="12" a="1"/>
  <c r="AC40" i="12" s="1"/>
  <c r="T40" i="12"/>
  <c r="J40" i="12"/>
  <c r="E40" i="12"/>
  <c r="AD39" i="12" a="1"/>
  <c r="AD39" i="12" s="1"/>
  <c r="AC39" i="12" a="1"/>
  <c r="AC39" i="12" s="1"/>
  <c r="X39" i="12"/>
  <c r="J39" i="12"/>
  <c r="E39" i="12"/>
  <c r="H39" i="12" s="1"/>
  <c r="AC38" i="12" a="1"/>
  <c r="AC38" i="12" s="1"/>
  <c r="E38" i="12"/>
  <c r="H38" i="12" s="1"/>
  <c r="AC37" i="12"/>
  <c r="AC37" i="12" a="1"/>
  <c r="J37" i="12"/>
  <c r="E37" i="12"/>
  <c r="H37" i="12" s="1"/>
  <c r="AC36" i="12" a="1"/>
  <c r="AC36" i="12" s="1"/>
  <c r="J36" i="12"/>
  <c r="E36" i="12"/>
  <c r="F36" i="12" s="1"/>
  <c r="AC35" i="12" a="1"/>
  <c r="AC35" i="12" s="1"/>
  <c r="T35" i="12"/>
  <c r="T39" i="12" s="1"/>
  <c r="J35" i="12"/>
  <c r="E35" i="12"/>
  <c r="AD34" i="12" a="1"/>
  <c r="AD34" i="12" s="1"/>
  <c r="AC34" i="12" a="1"/>
  <c r="AC34" i="12" s="1"/>
  <c r="T34" i="12"/>
  <c r="E34" i="12"/>
  <c r="AD33" i="12" a="1"/>
  <c r="AD33" i="12" s="1"/>
  <c r="AC33" i="12" a="1"/>
  <c r="AC33" i="12" s="1"/>
  <c r="J33" i="12"/>
  <c r="E33" i="12"/>
  <c r="H33" i="12" s="1"/>
  <c r="AC32" i="12" a="1"/>
  <c r="AC32" i="12" s="1"/>
  <c r="S32" i="12"/>
  <c r="R32" i="12" s="1"/>
  <c r="J32" i="12"/>
  <c r="E32" i="12"/>
  <c r="H32" i="12" s="1"/>
  <c r="AC31" i="12" a="1"/>
  <c r="AC31" i="12" s="1"/>
  <c r="S31" i="12"/>
  <c r="R31" i="12"/>
  <c r="Q31" i="12"/>
  <c r="J31" i="12"/>
  <c r="E31" i="12"/>
  <c r="H31" i="12" s="1"/>
  <c r="S30" i="12"/>
  <c r="R30" i="12"/>
  <c r="Q30" i="12"/>
  <c r="E30" i="12"/>
  <c r="H30" i="12" s="1"/>
  <c r="S29" i="12"/>
  <c r="T29" i="12" s="1"/>
  <c r="R29" i="12"/>
  <c r="Q29" i="12"/>
  <c r="J29" i="12"/>
  <c r="E29" i="12"/>
  <c r="S28" i="12"/>
  <c r="R28" i="12"/>
  <c r="Q28" i="12"/>
  <c r="J28" i="12"/>
  <c r="E28" i="12"/>
  <c r="S27" i="12"/>
  <c r="R27" i="12" s="1"/>
  <c r="Q27" i="12"/>
  <c r="J27" i="12"/>
  <c r="E27" i="12"/>
  <c r="E26" i="12"/>
  <c r="F26" i="12" s="1"/>
  <c r="S25" i="12"/>
  <c r="T25" i="12" s="1"/>
  <c r="R25" i="12"/>
  <c r="Q25" i="12"/>
  <c r="J25" i="12"/>
  <c r="E25" i="12"/>
  <c r="X24" i="12" a="1"/>
  <c r="X24" i="12" s="1"/>
  <c r="S24" i="12"/>
  <c r="J24" i="12"/>
  <c r="E24" i="12"/>
  <c r="X23" i="12" a="1"/>
  <c r="X23" i="12" s="1"/>
  <c r="S23" i="12"/>
  <c r="Q23" i="12" s="1"/>
  <c r="R23" i="12"/>
  <c r="J23" i="12"/>
  <c r="E23" i="12"/>
  <c r="S22" i="12"/>
  <c r="R22" i="12"/>
  <c r="Q22" i="12"/>
  <c r="E22" i="12"/>
  <c r="S21" i="12"/>
  <c r="T21" i="12" s="1"/>
  <c r="T24" i="12" s="1"/>
  <c r="R21" i="12"/>
  <c r="Q21" i="12"/>
  <c r="S20" i="12"/>
  <c r="R20" i="12"/>
  <c r="Q20" i="12"/>
  <c r="E20" i="12"/>
  <c r="T17" i="12"/>
  <c r="T20" i="12" s="1"/>
  <c r="S17" i="12"/>
  <c r="R17" i="12" s="1"/>
  <c r="AD13" i="12" a="1"/>
  <c r="AD13" i="12" s="1"/>
  <c r="AD28" i="12" s="1" a="1"/>
  <c r="AD28" i="12" s="1"/>
  <c r="AC13" i="12" a="1"/>
  <c r="AC13" i="12" s="1"/>
  <c r="AC28" i="12" s="1" a="1"/>
  <c r="AC28" i="12" s="1"/>
  <c r="R6" i="12"/>
  <c r="R5" i="12"/>
  <c r="R4" i="12"/>
  <c r="R3" i="12"/>
  <c r="AF2" i="12" a="1"/>
  <c r="T86" i="12" s="1"/>
  <c r="AE2" i="12"/>
  <c r="AB2" i="12" a="1"/>
  <c r="AB2" i="12" s="1"/>
  <c r="R2" i="12"/>
  <c r="R1" i="12"/>
  <c r="I94" i="11" a="1"/>
  <c r="I94" i="11" s="1"/>
  <c r="I95" i="11" a="1"/>
  <c r="I95" i="11" s="1"/>
  <c r="I96" i="11" a="1"/>
  <c r="I96" i="11" s="1"/>
  <c r="I97" i="11" a="1"/>
  <c r="I97" i="11" s="1"/>
  <c r="I98" i="11" a="1"/>
  <c r="I98" i="11" s="1"/>
  <c r="I99" i="11" a="1"/>
  <c r="I99" i="11" s="1"/>
  <c r="I100" i="11" a="1"/>
  <c r="I100" i="11" s="1"/>
  <c r="I101" i="11" a="1"/>
  <c r="I101" i="11" s="1"/>
  <c r="I102" i="11" a="1"/>
  <c r="I102" i="11" s="1"/>
  <c r="I103" i="11" a="1"/>
  <c r="I103" i="11" s="1"/>
  <c r="I104" i="11" a="1"/>
  <c r="I104" i="11" s="1"/>
  <c r="I105" i="11" a="1"/>
  <c r="I105" i="11" s="1"/>
  <c r="I106" i="11" a="1"/>
  <c r="I106" i="11" s="1"/>
  <c r="I107" i="11" a="1"/>
  <c r="I107" i="11" s="1"/>
  <c r="I108" i="11" a="1"/>
  <c r="I108" i="11" s="1"/>
  <c r="I109" i="11" a="1"/>
  <c r="I109" i="11" s="1"/>
  <c r="I110" i="11" a="1"/>
  <c r="I110" i="11" s="1"/>
  <c r="I111" i="11" a="1"/>
  <c r="I111" i="11" s="1"/>
  <c r="I112" i="11" a="1"/>
  <c r="I112" i="11" s="1"/>
  <c r="I113" i="11" a="1"/>
  <c r="I113" i="11" s="1"/>
  <c r="AD13" i="11" a="1"/>
  <c r="AD13" i="11" s="1"/>
  <c r="AC27" i="11"/>
  <c r="AC13" i="11" a="1"/>
  <c r="AC13" i="11" s="1"/>
  <c r="X23" i="11" a="1"/>
  <c r="X23" i="11" s="1"/>
  <c r="X24" i="11" a="1"/>
  <c r="X24" i="11" s="1"/>
  <c r="R2" i="11"/>
  <c r="U106" i="11"/>
  <c r="U109" i="11" s="1"/>
  <c r="U102" i="11"/>
  <c r="U105" i="11" s="1"/>
  <c r="T102" i="11"/>
  <c r="U98" i="11"/>
  <c r="T98" i="11"/>
  <c r="U94" i="11"/>
  <c r="U96" i="11" s="1"/>
  <c r="T94" i="11"/>
  <c r="U90" i="11"/>
  <c r="T90" i="11"/>
  <c r="T65" i="11"/>
  <c r="T67" i="11" s="1"/>
  <c r="T64" i="11"/>
  <c r="T59" i="11"/>
  <c r="T62" i="11" s="1"/>
  <c r="T58" i="11"/>
  <c r="T53" i="11"/>
  <c r="T55" i="11" s="1"/>
  <c r="X55" i="11" s="1"/>
  <c r="T52" i="11"/>
  <c r="T47" i="11"/>
  <c r="T51" i="11" s="1"/>
  <c r="X51" i="11" s="1"/>
  <c r="T46" i="11"/>
  <c r="J45" i="11"/>
  <c r="J44" i="11"/>
  <c r="J43" i="11"/>
  <c r="T41" i="11"/>
  <c r="T44" i="11" s="1"/>
  <c r="X44" i="11" s="1"/>
  <c r="J41" i="11"/>
  <c r="T40" i="11"/>
  <c r="J40" i="11"/>
  <c r="J39" i="11"/>
  <c r="J37" i="11"/>
  <c r="J36" i="11"/>
  <c r="T35" i="11"/>
  <c r="T39" i="11" s="1"/>
  <c r="X39" i="11" s="1"/>
  <c r="J35" i="11"/>
  <c r="T34" i="11"/>
  <c r="J33" i="11"/>
  <c r="J32" i="11"/>
  <c r="J31" i="11"/>
  <c r="S29" i="11"/>
  <c r="Q29" i="11" s="1"/>
  <c r="J29" i="11"/>
  <c r="J28" i="11"/>
  <c r="J27" i="11"/>
  <c r="S25" i="11"/>
  <c r="S28" i="11" s="1"/>
  <c r="J25" i="11"/>
  <c r="J24" i="11"/>
  <c r="J23" i="11"/>
  <c r="E20" i="11"/>
  <c r="R6" i="11"/>
  <c r="R5" i="11"/>
  <c r="R4" i="11"/>
  <c r="R3" i="11"/>
  <c r="AF2" i="11" a="1"/>
  <c r="AE2" i="11"/>
  <c r="AD34" i="11" s="1" a="1"/>
  <c r="AD34" i="11" s="1"/>
  <c r="AB2" i="11" a="1"/>
  <c r="AB2" i="11" s="1"/>
  <c r="R1" i="11"/>
  <c r="I91" i="11" a="1"/>
  <c r="I90" i="11" a="1"/>
  <c r="I93" i="11" a="1"/>
  <c r="I92" i="11" a="1"/>
  <c r="T49" i="12" l="1"/>
  <c r="T36" i="12"/>
  <c r="X36" i="12" s="1"/>
  <c r="T23" i="12"/>
  <c r="H43" i="12"/>
  <c r="H36" i="12"/>
  <c r="T68" i="12"/>
  <c r="X68" i="12" s="1"/>
  <c r="U86" i="12"/>
  <c r="U87" i="12" s="1"/>
  <c r="T63" i="12"/>
  <c r="X63" i="12" s="1"/>
  <c r="T37" i="12"/>
  <c r="X37" i="12" s="1"/>
  <c r="G36" i="12"/>
  <c r="C36" i="12" s="1"/>
  <c r="H44" i="12"/>
  <c r="T60" i="12"/>
  <c r="F38" i="12"/>
  <c r="G42" i="12"/>
  <c r="C42" i="12" s="1"/>
  <c r="G38" i="12"/>
  <c r="C38" i="12" s="1"/>
  <c r="H42" i="12"/>
  <c r="J42" i="12"/>
  <c r="T54" i="12"/>
  <c r="X54" i="12" s="1"/>
  <c r="J38" i="12"/>
  <c r="T38" i="12"/>
  <c r="X38" i="12" s="1"/>
  <c r="T42" i="12"/>
  <c r="T56" i="12"/>
  <c r="T57" i="12"/>
  <c r="X57" i="12" s="1"/>
  <c r="F35" i="12"/>
  <c r="G35" i="12"/>
  <c r="H35" i="12"/>
  <c r="T30" i="12"/>
  <c r="T31" i="12"/>
  <c r="T32" i="12"/>
  <c r="U29" i="12"/>
  <c r="W29" i="12" s="1"/>
  <c r="Q32" i="12"/>
  <c r="X56" i="12"/>
  <c r="X67" i="12"/>
  <c r="F27" i="12"/>
  <c r="U109" i="12"/>
  <c r="U107" i="12"/>
  <c r="W107" i="12" s="1"/>
  <c r="V107" i="12" s="1"/>
  <c r="X107" i="12" s="1"/>
  <c r="W87" i="12"/>
  <c r="V87" i="12" s="1"/>
  <c r="X87" i="12" s="1"/>
  <c r="U108" i="12"/>
  <c r="X62" i="12"/>
  <c r="X44" i="12"/>
  <c r="G27" i="12"/>
  <c r="G45" i="12"/>
  <c r="B45" i="12" s="1"/>
  <c r="R24" i="12"/>
  <c r="Q24" i="12"/>
  <c r="U42" i="12"/>
  <c r="W42" i="12" s="1"/>
  <c r="X42" i="12"/>
  <c r="U21" i="12"/>
  <c r="W21" i="12" s="1"/>
  <c r="T22" i="12"/>
  <c r="V22" i="12" s="1"/>
  <c r="U22" i="12" s="1"/>
  <c r="W22" i="12" s="1"/>
  <c r="V23" i="12" s="1"/>
  <c r="U23" i="12" s="1"/>
  <c r="W23" i="12" s="1"/>
  <c r="V24" i="12" s="1"/>
  <c r="U24" i="12" s="1"/>
  <c r="W24" i="12" s="1"/>
  <c r="H45" i="12"/>
  <c r="Q17" i="12"/>
  <c r="V90" i="12"/>
  <c r="X90" i="12" s="1"/>
  <c r="U93" i="12"/>
  <c r="U91" i="12"/>
  <c r="G26" i="12"/>
  <c r="C26" i="12" s="1"/>
  <c r="J26" i="12"/>
  <c r="V98" i="12"/>
  <c r="X98" i="12" s="1"/>
  <c r="U101" i="12"/>
  <c r="U99" i="12"/>
  <c r="W99" i="12" s="1"/>
  <c r="V99" i="12" s="1"/>
  <c r="X99" i="12" s="1"/>
  <c r="W100" i="12" s="1"/>
  <c r="V100" i="12" s="1"/>
  <c r="X100" i="12" s="1"/>
  <c r="S19" i="12"/>
  <c r="S18" i="12"/>
  <c r="T19" i="12"/>
  <c r="T18" i="12"/>
  <c r="X49" i="12"/>
  <c r="U88" i="12"/>
  <c r="U89" i="12"/>
  <c r="V94" i="12"/>
  <c r="X94" i="12" s="1"/>
  <c r="U97" i="12"/>
  <c r="U95" i="12"/>
  <c r="T26" i="12"/>
  <c r="T28" i="12"/>
  <c r="T27" i="12"/>
  <c r="U17" i="12"/>
  <c r="W17" i="12" s="1"/>
  <c r="U25" i="12"/>
  <c r="W25" i="12" s="1"/>
  <c r="V86" i="12"/>
  <c r="X86" i="12" s="1"/>
  <c r="U105" i="12"/>
  <c r="U103" i="12"/>
  <c r="V102" i="12"/>
  <c r="X102" i="12" s="1"/>
  <c r="T61" i="12"/>
  <c r="AD38" i="12" a="1"/>
  <c r="AD38" i="12" s="1"/>
  <c r="F44" i="12"/>
  <c r="G44" i="12" s="1"/>
  <c r="T45" i="12"/>
  <c r="F41" i="12"/>
  <c r="G41" i="12" s="1"/>
  <c r="F25" i="12"/>
  <c r="G25" i="12" s="1"/>
  <c r="AD37" i="12" a="1"/>
  <c r="AD37" i="12" s="1"/>
  <c r="G34" i="12"/>
  <c r="F40" i="12"/>
  <c r="G40" i="12" s="1"/>
  <c r="U54" i="12"/>
  <c r="W54" i="12" s="1"/>
  <c r="V55" i="12" s="1"/>
  <c r="U55" i="12" s="1"/>
  <c r="W55" i="12" s="1"/>
  <c r="U36" i="12"/>
  <c r="W36" i="12" s="1"/>
  <c r="AC30" i="12" a="1"/>
  <c r="AC30" i="12" s="1"/>
  <c r="AD32" i="12" a="1"/>
  <c r="AD32" i="12" s="1"/>
  <c r="H34" i="12"/>
  <c r="T50" i="12"/>
  <c r="T66" i="12"/>
  <c r="T69" i="12"/>
  <c r="H41" i="12"/>
  <c r="AC29" i="12" a="1"/>
  <c r="AC29" i="12" s="1"/>
  <c r="F34" i="12"/>
  <c r="J34" i="12" s="1"/>
  <c r="F39" i="12"/>
  <c r="AD30" i="12" a="1"/>
  <c r="AD30" i="12" s="1"/>
  <c r="AD36" i="12" a="1"/>
  <c r="AD36" i="12" s="1"/>
  <c r="S26" i="12"/>
  <c r="H40" i="12"/>
  <c r="F23" i="12"/>
  <c r="G23" i="12" s="1"/>
  <c r="G39" i="12"/>
  <c r="AD41" i="12" a="1"/>
  <c r="AD41" i="12" s="1"/>
  <c r="F43" i="12"/>
  <c r="G43" i="12" s="1"/>
  <c r="F24" i="12"/>
  <c r="AD29" i="12" a="1"/>
  <c r="AD29" i="12" s="1"/>
  <c r="AD31" i="12" a="1"/>
  <c r="AD31" i="12" s="1"/>
  <c r="G24" i="12"/>
  <c r="AD35" i="12" a="1"/>
  <c r="AD35" i="12" s="1"/>
  <c r="F30" i="12"/>
  <c r="J30" i="12" s="1"/>
  <c r="F31" i="12"/>
  <c r="F32" i="12"/>
  <c r="F33" i="12"/>
  <c r="F37" i="12"/>
  <c r="G37" i="12" s="1"/>
  <c r="AF2" i="12"/>
  <c r="F22" i="12"/>
  <c r="G22" i="12" s="1"/>
  <c r="F28" i="12"/>
  <c r="G28" i="12" s="1"/>
  <c r="F29" i="12"/>
  <c r="G29" i="12" s="1"/>
  <c r="G30" i="12"/>
  <c r="G31" i="12"/>
  <c r="G32" i="12"/>
  <c r="G33" i="12"/>
  <c r="T48" i="12"/>
  <c r="I91" i="11"/>
  <c r="I93" i="11"/>
  <c r="I92" i="11"/>
  <c r="I90" i="11"/>
  <c r="Q25" i="11"/>
  <c r="S27" i="11"/>
  <c r="R27" i="11" s="1"/>
  <c r="R29" i="11"/>
  <c r="AD32" i="11" a="1"/>
  <c r="AD32" i="11" s="1"/>
  <c r="AC42" i="11" a="1"/>
  <c r="AC42" i="11" s="1"/>
  <c r="AD28" i="11" a="1"/>
  <c r="AD28" i="11" s="1"/>
  <c r="AC28" i="11" a="1"/>
  <c r="AC28" i="11" s="1"/>
  <c r="AD33" i="11" a="1"/>
  <c r="AD33" i="11" s="1"/>
  <c r="AD31" i="11" a="1"/>
  <c r="AD31" i="11" s="1"/>
  <c r="AC40" i="11" a="1"/>
  <c r="AC40" i="11" s="1"/>
  <c r="AC38" i="11" a="1"/>
  <c r="AC38" i="11" s="1"/>
  <c r="AC37" i="11" a="1"/>
  <c r="AC37" i="11" s="1"/>
  <c r="AC36" i="11" a="1"/>
  <c r="AC36" i="11" s="1"/>
  <c r="AC35" i="11" a="1"/>
  <c r="AC35" i="11" s="1"/>
  <c r="AC33" i="11" a="1"/>
  <c r="AC33" i="11" s="1"/>
  <c r="AC31" i="11" a="1"/>
  <c r="AC31" i="11" s="1"/>
  <c r="AC39" i="11" a="1"/>
  <c r="AC39" i="11" s="1"/>
  <c r="AC34" i="11" a="1"/>
  <c r="AC34" i="11" s="1"/>
  <c r="AC32" i="11" a="1"/>
  <c r="AC32" i="11" s="1"/>
  <c r="AD29" i="11" a="1"/>
  <c r="AD29" i="11" s="1"/>
  <c r="AC29" i="11" a="1"/>
  <c r="AC29" i="11" s="1"/>
  <c r="AD39" i="11" a="1"/>
  <c r="AD39" i="11" s="1"/>
  <c r="S30" i="11"/>
  <c r="AD30" i="11" a="1"/>
  <c r="AD30" i="11" s="1"/>
  <c r="AD40" i="11" a="1"/>
  <c r="AD40" i="11" s="1"/>
  <c r="AD38" i="11" a="1"/>
  <c r="AD38" i="11" s="1"/>
  <c r="S32" i="11"/>
  <c r="AD37" i="11" a="1"/>
  <c r="AD37" i="11" s="1"/>
  <c r="AD41" i="11" a="1"/>
  <c r="AD41" i="11" s="1"/>
  <c r="AD36" i="11" a="1"/>
  <c r="AD36" i="11" s="1"/>
  <c r="AD35" i="11" a="1"/>
  <c r="AD35" i="11" s="1"/>
  <c r="AC30" i="11" a="1"/>
  <c r="AC30" i="11" s="1"/>
  <c r="S21" i="11"/>
  <c r="U104" i="11"/>
  <c r="T42" i="11"/>
  <c r="U42" i="11" s="1"/>
  <c r="W42" i="11" s="1"/>
  <c r="T37" i="11"/>
  <c r="X37" i="11" s="1"/>
  <c r="T38" i="11"/>
  <c r="X38" i="11" s="1"/>
  <c r="T56" i="11"/>
  <c r="X56" i="11" s="1"/>
  <c r="R28" i="11"/>
  <c r="Q28" i="11"/>
  <c r="U93" i="11"/>
  <c r="U91" i="11"/>
  <c r="V90" i="11"/>
  <c r="X90" i="11" s="1"/>
  <c r="R30" i="11"/>
  <c r="Q30" i="11"/>
  <c r="U97" i="11"/>
  <c r="U95" i="11"/>
  <c r="V94" i="11"/>
  <c r="X94" i="11" s="1"/>
  <c r="X62" i="11"/>
  <c r="T86" i="11"/>
  <c r="U86" i="11"/>
  <c r="U101" i="11"/>
  <c r="U99" i="11"/>
  <c r="V98" i="11"/>
  <c r="X98" i="11" s="1"/>
  <c r="AF2" i="11"/>
  <c r="S17" i="11"/>
  <c r="U100" i="11"/>
  <c r="U92" i="11"/>
  <c r="R25" i="11"/>
  <c r="S26" i="11"/>
  <c r="Q27" i="11"/>
  <c r="X67" i="11"/>
  <c r="T25" i="11"/>
  <c r="T29" i="11"/>
  <c r="S31" i="11"/>
  <c r="T43" i="11"/>
  <c r="T60" i="11"/>
  <c r="T63" i="11"/>
  <c r="U108" i="11"/>
  <c r="V106" i="11"/>
  <c r="X106" i="11" s="1"/>
  <c r="T49" i="11"/>
  <c r="T68" i="11"/>
  <c r="V102" i="11"/>
  <c r="X102" i="11" s="1"/>
  <c r="T61" i="11"/>
  <c r="T45" i="11"/>
  <c r="T36" i="11"/>
  <c r="T54" i="11"/>
  <c r="T57" i="11"/>
  <c r="T50" i="11"/>
  <c r="T66" i="11"/>
  <c r="T69" i="11"/>
  <c r="U107" i="11"/>
  <c r="U103" i="11"/>
  <c r="T48" i="11"/>
  <c r="J22" i="12" l="1"/>
  <c r="B42" i="12"/>
  <c r="K42" i="12" s="1"/>
  <c r="X34" i="12"/>
  <c r="V18" i="12"/>
  <c r="U18" i="12" s="1"/>
  <c r="W18" i="12" s="1"/>
  <c r="V27" i="12"/>
  <c r="U27" i="12" s="1"/>
  <c r="W27" i="12" s="1"/>
  <c r="V26" i="12"/>
  <c r="U26" i="12" s="1"/>
  <c r="W26" i="12" s="1"/>
  <c r="X52" i="12"/>
  <c r="B38" i="12"/>
  <c r="K38" i="12" s="1"/>
  <c r="B26" i="12"/>
  <c r="K26" i="12" s="1"/>
  <c r="U60" i="12"/>
  <c r="W60" i="12" s="1"/>
  <c r="X60" i="12"/>
  <c r="AC2" i="12" a="1"/>
  <c r="S13" i="12" s="1"/>
  <c r="V30" i="12"/>
  <c r="U30" i="12" s="1"/>
  <c r="W30" i="12" s="1"/>
  <c r="B36" i="12"/>
  <c r="K36" i="12" s="1"/>
  <c r="AD2" i="12" a="1"/>
  <c r="AD2" i="12" s="1"/>
  <c r="W108" i="12"/>
  <c r="V108" i="12" s="1"/>
  <c r="X108" i="12" s="1"/>
  <c r="W109" i="12" s="1"/>
  <c r="V109" i="12" s="1"/>
  <c r="X109" i="12" s="1"/>
  <c r="V56" i="12"/>
  <c r="U56" i="12" s="1"/>
  <c r="W56" i="12" s="1"/>
  <c r="B35" i="12"/>
  <c r="C35" i="12"/>
  <c r="C24" i="12"/>
  <c r="B24" i="12"/>
  <c r="X66" i="12"/>
  <c r="U66" i="12"/>
  <c r="W66" i="12" s="1"/>
  <c r="R19" i="12"/>
  <c r="Q19" i="12"/>
  <c r="B23" i="12"/>
  <c r="C23" i="12"/>
  <c r="H54" i="12"/>
  <c r="H60" i="12"/>
  <c r="Q18" i="12"/>
  <c r="R18" i="12"/>
  <c r="V19" i="12"/>
  <c r="U19" i="12" s="1"/>
  <c r="W19" i="12" s="1"/>
  <c r="V20" i="12" s="1"/>
  <c r="U20" i="12" s="1"/>
  <c r="W20" i="12" s="1"/>
  <c r="W103" i="12"/>
  <c r="V103" i="12" s="1"/>
  <c r="X103" i="12" s="1"/>
  <c r="W104" i="12" s="1"/>
  <c r="V104" i="12" s="1"/>
  <c r="X104" i="12" s="1"/>
  <c r="W105" i="12" s="1"/>
  <c r="V105" i="12" s="1"/>
  <c r="X105" i="12" s="1"/>
  <c r="C28" i="12"/>
  <c r="B28" i="12"/>
  <c r="R26" i="12"/>
  <c r="Q26" i="12"/>
  <c r="C40" i="12"/>
  <c r="B40" i="12"/>
  <c r="V28" i="12"/>
  <c r="U28" i="12" s="1"/>
  <c r="W28" i="12" s="1"/>
  <c r="C22" i="12"/>
  <c r="B22" i="12"/>
  <c r="V61" i="12"/>
  <c r="U61" i="12" s="1"/>
  <c r="W61" i="12" s="1"/>
  <c r="X61" i="12"/>
  <c r="X58" i="12" s="1"/>
  <c r="X50" i="12"/>
  <c r="C43" i="12"/>
  <c r="B43" i="12"/>
  <c r="V43" i="12"/>
  <c r="U43" i="12" s="1"/>
  <c r="W43" i="12" s="1"/>
  <c r="C30" i="12"/>
  <c r="B30" i="12"/>
  <c r="C27" i="12"/>
  <c r="B27" i="12"/>
  <c r="E73" i="12"/>
  <c r="E63" i="12"/>
  <c r="E60" i="12"/>
  <c r="E106" i="12"/>
  <c r="E104" i="12"/>
  <c r="E102" i="12"/>
  <c r="E100" i="12"/>
  <c r="E98" i="12"/>
  <c r="E96" i="12"/>
  <c r="E94" i="12"/>
  <c r="E92" i="12"/>
  <c r="E90" i="12"/>
  <c r="E86" i="12"/>
  <c r="E72" i="12"/>
  <c r="E51" i="12"/>
  <c r="E48" i="12"/>
  <c r="E110" i="12"/>
  <c r="E108" i="12"/>
  <c r="E67" i="12"/>
  <c r="E85" i="12"/>
  <c r="E66" i="12"/>
  <c r="E50" i="12"/>
  <c r="E113" i="12"/>
  <c r="E55" i="12"/>
  <c r="E69" i="12"/>
  <c r="E107" i="12"/>
  <c r="E84" i="12"/>
  <c r="E80" i="12"/>
  <c r="E78" i="12"/>
  <c r="E62" i="12"/>
  <c r="E81" i="12"/>
  <c r="E109" i="12"/>
  <c r="E112" i="12"/>
  <c r="E57" i="12"/>
  <c r="E54" i="12"/>
  <c r="E105" i="12"/>
  <c r="E103" i="12"/>
  <c r="E101" i="12"/>
  <c r="E99" i="12"/>
  <c r="E97" i="12"/>
  <c r="E95" i="12"/>
  <c r="E93" i="12"/>
  <c r="E91" i="12"/>
  <c r="E79" i="12"/>
  <c r="E61" i="12"/>
  <c r="E111" i="12"/>
  <c r="E75" i="12"/>
  <c r="E49" i="12"/>
  <c r="E74" i="12"/>
  <c r="E56" i="12"/>
  <c r="E87" i="12"/>
  <c r="E68" i="12"/>
  <c r="W95" i="12"/>
  <c r="V95" i="12" s="1"/>
  <c r="X95" i="12" s="1"/>
  <c r="W96" i="12" s="1"/>
  <c r="V96" i="12" s="1"/>
  <c r="X96" i="12" s="1"/>
  <c r="V37" i="12"/>
  <c r="U37" i="12" s="1"/>
  <c r="W37" i="12" s="1"/>
  <c r="C37" i="12"/>
  <c r="B37" i="12"/>
  <c r="B25" i="12"/>
  <c r="C25" i="12"/>
  <c r="W97" i="12"/>
  <c r="V97" i="12" s="1"/>
  <c r="X97" i="12" s="1"/>
  <c r="W91" i="12"/>
  <c r="V91" i="12" s="1"/>
  <c r="X91" i="12" s="1"/>
  <c r="W92" i="12" s="1"/>
  <c r="V92" i="12" s="1"/>
  <c r="X92" i="12" s="1"/>
  <c r="W93" i="12" s="1"/>
  <c r="V93" i="12" s="1"/>
  <c r="X93" i="12" s="1"/>
  <c r="C45" i="12"/>
  <c r="K45" i="12" s="1"/>
  <c r="C29" i="12"/>
  <c r="B29" i="12"/>
  <c r="H48" i="12"/>
  <c r="H66" i="12" s="1"/>
  <c r="C33" i="12"/>
  <c r="B33" i="12"/>
  <c r="C41" i="12"/>
  <c r="B41" i="12"/>
  <c r="X48" i="12"/>
  <c r="U48" i="12"/>
  <c r="W48" i="12" s="1"/>
  <c r="W101" i="12"/>
  <c r="V101" i="12" s="1"/>
  <c r="X101" i="12" s="1"/>
  <c r="C32" i="12"/>
  <c r="B32" i="12"/>
  <c r="C39" i="12"/>
  <c r="B39" i="12"/>
  <c r="X45" i="12"/>
  <c r="X40" i="12" s="1"/>
  <c r="X69" i="12"/>
  <c r="C31" i="12"/>
  <c r="B31" i="12"/>
  <c r="B34" i="12"/>
  <c r="C34" i="12"/>
  <c r="K34" i="12" s="1"/>
  <c r="C44" i="12"/>
  <c r="B44" i="12"/>
  <c r="W88" i="12"/>
  <c r="V88" i="12" s="1"/>
  <c r="X88" i="12" s="1"/>
  <c r="W89" i="12" s="1"/>
  <c r="V89" i="12" s="1"/>
  <c r="X89" i="12" s="1"/>
  <c r="V31" i="12"/>
  <c r="U31" i="12" s="1"/>
  <c r="W31" i="12" s="1"/>
  <c r="V32" i="12" s="1"/>
  <c r="U32" i="12" s="1"/>
  <c r="W32" i="12" s="1"/>
  <c r="AD2" i="11" a="1"/>
  <c r="AD2" i="11" s="1"/>
  <c r="AC2" i="11" a="1"/>
  <c r="AC2" i="11" s="1"/>
  <c r="X42" i="11"/>
  <c r="R32" i="11"/>
  <c r="Q32" i="11"/>
  <c r="Q21" i="11"/>
  <c r="S24" i="11"/>
  <c r="S23" i="11"/>
  <c r="T21" i="11"/>
  <c r="S22" i="11"/>
  <c r="R21" i="11"/>
  <c r="W103" i="11"/>
  <c r="V103" i="11" s="1"/>
  <c r="X103" i="11" s="1"/>
  <c r="W104" i="11" s="1"/>
  <c r="V104" i="11" s="1"/>
  <c r="X104" i="11" s="1"/>
  <c r="W105" i="11" s="1"/>
  <c r="V105" i="11" s="1"/>
  <c r="X105" i="11" s="1"/>
  <c r="W107" i="11"/>
  <c r="V107" i="11" s="1"/>
  <c r="X107" i="11" s="1"/>
  <c r="W108" i="11" s="1"/>
  <c r="V108" i="11" s="1"/>
  <c r="X108" i="11" s="1"/>
  <c r="W109" i="11" s="1"/>
  <c r="V109" i="11" s="1"/>
  <c r="X109" i="11" s="1"/>
  <c r="U60" i="11"/>
  <c r="W60" i="11" s="1"/>
  <c r="V61" i="11" s="1"/>
  <c r="U61" i="11" s="1"/>
  <c r="W61" i="11" s="1"/>
  <c r="V62" i="11" s="1"/>
  <c r="U62" i="11" s="1"/>
  <c r="W62" i="11" s="1"/>
  <c r="V63" i="11" s="1"/>
  <c r="U63" i="11" s="1"/>
  <c r="W63" i="11" s="1"/>
  <c r="X60" i="11"/>
  <c r="W91" i="11"/>
  <c r="V91" i="11" s="1"/>
  <c r="X91" i="11" s="1"/>
  <c r="W92" i="11" s="1"/>
  <c r="V92" i="11" s="1"/>
  <c r="X92" i="11" s="1"/>
  <c r="W93" i="11" s="1"/>
  <c r="V93" i="11" s="1"/>
  <c r="X93" i="11" s="1"/>
  <c r="R31" i="11"/>
  <c r="Q31" i="11"/>
  <c r="U48" i="11"/>
  <c r="W48" i="11" s="1"/>
  <c r="V49" i="11" s="1"/>
  <c r="U49" i="11" s="1"/>
  <c r="W49" i="11" s="1"/>
  <c r="V50" i="11" s="1"/>
  <c r="U50" i="11" s="1"/>
  <c r="W50" i="11" s="1"/>
  <c r="V51" i="11" s="1"/>
  <c r="U51" i="11" s="1"/>
  <c r="W51" i="11" s="1"/>
  <c r="X48" i="11"/>
  <c r="E73" i="11"/>
  <c r="E63" i="11"/>
  <c r="E60" i="11"/>
  <c r="E106" i="11"/>
  <c r="E104" i="11"/>
  <c r="E102" i="11"/>
  <c r="E100" i="11"/>
  <c r="E98" i="11"/>
  <c r="E96" i="11"/>
  <c r="E94" i="11"/>
  <c r="E92" i="11"/>
  <c r="E90" i="11"/>
  <c r="E86" i="11"/>
  <c r="E72" i="11"/>
  <c r="E51" i="11"/>
  <c r="E48" i="11"/>
  <c r="E110" i="11"/>
  <c r="E108" i="11"/>
  <c r="E67" i="11"/>
  <c r="E85" i="11"/>
  <c r="E113" i="11"/>
  <c r="E55" i="11"/>
  <c r="E84" i="11"/>
  <c r="E62" i="11"/>
  <c r="E81" i="11"/>
  <c r="E69" i="11"/>
  <c r="E66" i="11"/>
  <c r="E50" i="11"/>
  <c r="E80" i="11"/>
  <c r="E112" i="11"/>
  <c r="E57" i="11"/>
  <c r="E54" i="11"/>
  <c r="E105" i="11"/>
  <c r="E103" i="11"/>
  <c r="E101" i="11"/>
  <c r="E99" i="11"/>
  <c r="E97" i="11"/>
  <c r="E95" i="11"/>
  <c r="E93" i="11"/>
  <c r="E91" i="11"/>
  <c r="E79" i="11"/>
  <c r="E109" i="11"/>
  <c r="E107" i="11"/>
  <c r="E78" i="11"/>
  <c r="E61" i="11"/>
  <c r="E111" i="11"/>
  <c r="E74" i="11"/>
  <c r="E56" i="11"/>
  <c r="E68" i="11"/>
  <c r="E75" i="11"/>
  <c r="E87" i="11"/>
  <c r="E49" i="11"/>
  <c r="U89" i="11"/>
  <c r="U88" i="11"/>
  <c r="U87" i="11"/>
  <c r="V86" i="11"/>
  <c r="X86" i="11" s="1"/>
  <c r="X63" i="11"/>
  <c r="T26" i="11"/>
  <c r="T27" i="11"/>
  <c r="U25" i="11"/>
  <c r="W25" i="11" s="1"/>
  <c r="T28" i="11"/>
  <c r="W99" i="11"/>
  <c r="V99" i="11" s="1"/>
  <c r="X99" i="11" s="1"/>
  <c r="W100" i="11" s="1"/>
  <c r="V100" i="11" s="1"/>
  <c r="X100" i="11" s="1"/>
  <c r="W101" i="11" s="1"/>
  <c r="V101" i="11" s="1"/>
  <c r="X101" i="11" s="1"/>
  <c r="X57" i="11"/>
  <c r="H60" i="11"/>
  <c r="X54" i="11"/>
  <c r="U54" i="11"/>
  <c r="W54" i="11" s="1"/>
  <c r="W95" i="11"/>
  <c r="V95" i="11" s="1"/>
  <c r="X95" i="11" s="1"/>
  <c r="W96" i="11" s="1"/>
  <c r="V96" i="11" s="1"/>
  <c r="X96" i="11" s="1"/>
  <c r="W97" i="11"/>
  <c r="V97" i="11" s="1"/>
  <c r="X97" i="11" s="1"/>
  <c r="X50" i="11"/>
  <c r="T30" i="11"/>
  <c r="T31" i="11"/>
  <c r="U29" i="11"/>
  <c r="W29" i="11" s="1"/>
  <c r="T32" i="11"/>
  <c r="U36" i="11"/>
  <c r="W36" i="11" s="1"/>
  <c r="X36" i="11"/>
  <c r="X34" i="11" s="1"/>
  <c r="X45" i="11"/>
  <c r="X61" i="11"/>
  <c r="X69" i="11"/>
  <c r="X66" i="11"/>
  <c r="U66" i="11"/>
  <c r="W66" i="11" s="1"/>
  <c r="X68" i="11"/>
  <c r="X43" i="11"/>
  <c r="V43" i="11"/>
  <c r="U43" i="11" s="1"/>
  <c r="W43" i="11" s="1"/>
  <c r="X49" i="11"/>
  <c r="R26" i="11"/>
  <c r="Q26" i="11"/>
  <c r="S18" i="11"/>
  <c r="S19" i="11"/>
  <c r="T17" i="11"/>
  <c r="R17" i="11"/>
  <c r="Q17" i="11"/>
  <c r="S20" i="11"/>
  <c r="K30" i="12" l="1"/>
  <c r="K28" i="12"/>
  <c r="K37" i="12"/>
  <c r="K40" i="12"/>
  <c r="AC2" i="12"/>
  <c r="S9" i="12" s="1"/>
  <c r="S10" i="12" s="1"/>
  <c r="H81" i="12"/>
  <c r="H84" i="12" s="1"/>
  <c r="H75" i="12"/>
  <c r="K31" i="12"/>
  <c r="G106" i="12"/>
  <c r="F106" i="12"/>
  <c r="I106" i="12" a="1"/>
  <c r="I106" i="12" s="1"/>
  <c r="H106" i="12"/>
  <c r="G91" i="12"/>
  <c r="H91" i="12"/>
  <c r="F91" i="12"/>
  <c r="I113" i="12" a="1"/>
  <c r="I113" i="12" s="1"/>
  <c r="H113" i="12"/>
  <c r="G113" i="12"/>
  <c r="F113" i="12"/>
  <c r="V67" i="12"/>
  <c r="U67" i="12" s="1"/>
  <c r="W67" i="12" s="1"/>
  <c r="V68" i="12" s="1"/>
  <c r="U68" i="12" s="1"/>
  <c r="W68" i="12" s="1"/>
  <c r="V69" i="12" s="1"/>
  <c r="U69" i="12" s="1"/>
  <c r="W69" i="12" s="1"/>
  <c r="K29" i="12"/>
  <c r="G93" i="12"/>
  <c r="H93" i="12"/>
  <c r="F93" i="12"/>
  <c r="X64" i="12"/>
  <c r="K44" i="12"/>
  <c r="G96" i="12"/>
  <c r="F96" i="12"/>
  <c r="H96" i="12"/>
  <c r="I96" i="12" a="1"/>
  <c r="I96" i="12" s="1"/>
  <c r="G98" i="12"/>
  <c r="F98" i="12"/>
  <c r="H98" i="12"/>
  <c r="I98" i="12" a="1"/>
  <c r="I98" i="12" s="1"/>
  <c r="G100" i="12"/>
  <c r="F100" i="12"/>
  <c r="I100" i="12" a="1"/>
  <c r="I100" i="12" s="1"/>
  <c r="H100" i="12"/>
  <c r="G102" i="12"/>
  <c r="F102" i="12"/>
  <c r="I102" i="12" a="1"/>
  <c r="I102" i="12" s="1"/>
  <c r="H102" i="12"/>
  <c r="H107" i="12"/>
  <c r="I107" i="12" a="1"/>
  <c r="I107" i="12" s="1"/>
  <c r="G107" i="12"/>
  <c r="F107" i="12"/>
  <c r="G99" i="12"/>
  <c r="I99" i="12" a="1"/>
  <c r="I99" i="12" s="1"/>
  <c r="H99" i="12"/>
  <c r="F99" i="12"/>
  <c r="G101" i="12"/>
  <c r="I101" i="12" a="1"/>
  <c r="I101" i="12" s="1"/>
  <c r="H101" i="12"/>
  <c r="F101" i="12"/>
  <c r="H108" i="12"/>
  <c r="G108" i="12"/>
  <c r="F108" i="12"/>
  <c r="I108" i="12" a="1"/>
  <c r="I108" i="12" s="1"/>
  <c r="K35" i="12"/>
  <c r="G90" i="12"/>
  <c r="F90" i="12"/>
  <c r="H90" i="12"/>
  <c r="V62" i="12"/>
  <c r="U62" i="12" s="1"/>
  <c r="W62" i="12" s="1"/>
  <c r="V63" i="12" s="1"/>
  <c r="U63" i="12" s="1"/>
  <c r="W63" i="12" s="1"/>
  <c r="H111" i="12"/>
  <c r="I111" i="12" a="1"/>
  <c r="I111" i="12" s="1"/>
  <c r="G111" i="12"/>
  <c r="F111" i="12"/>
  <c r="G104" i="12"/>
  <c r="F104" i="12"/>
  <c r="I104" i="12" a="1"/>
  <c r="I104" i="12" s="1"/>
  <c r="H104" i="12"/>
  <c r="G97" i="12"/>
  <c r="I97" i="12" a="1"/>
  <c r="I97" i="12" s="1"/>
  <c r="H97" i="12"/>
  <c r="F97" i="12"/>
  <c r="H109" i="12"/>
  <c r="I109" i="12" a="1"/>
  <c r="I109" i="12" s="1"/>
  <c r="G109" i="12"/>
  <c r="F109" i="12"/>
  <c r="K22" i="12"/>
  <c r="K33" i="12"/>
  <c r="H95" i="12"/>
  <c r="G95" i="12"/>
  <c r="I95" i="12" a="1"/>
  <c r="I95" i="12" s="1"/>
  <c r="F95" i="12"/>
  <c r="K27" i="12"/>
  <c r="G103" i="12"/>
  <c r="I103" i="12" a="1"/>
  <c r="I103" i="12" s="1"/>
  <c r="H103" i="12"/>
  <c r="F103" i="12"/>
  <c r="H110" i="12"/>
  <c r="G110" i="12"/>
  <c r="F110" i="12"/>
  <c r="I110" i="12" a="1"/>
  <c r="I110" i="12" s="1"/>
  <c r="K39" i="12"/>
  <c r="H105" i="12"/>
  <c r="G105" i="12"/>
  <c r="I105" i="12" a="1"/>
  <c r="I105" i="12" s="1"/>
  <c r="F105" i="12"/>
  <c r="H61" i="12"/>
  <c r="V44" i="12"/>
  <c r="U44" i="12" s="1"/>
  <c r="W44" i="12" s="1"/>
  <c r="S11" i="12"/>
  <c r="T9" i="12"/>
  <c r="R9" i="12"/>
  <c r="S12" i="12"/>
  <c r="G94" i="12"/>
  <c r="F94" i="12"/>
  <c r="I94" i="12" a="1"/>
  <c r="I94" i="12" s="1"/>
  <c r="H94" i="12"/>
  <c r="S16" i="12"/>
  <c r="R13" i="12"/>
  <c r="T13" i="12"/>
  <c r="S15" i="12"/>
  <c r="Q13" i="12"/>
  <c r="S14" i="12"/>
  <c r="V49" i="12"/>
  <c r="U49" i="12" s="1"/>
  <c r="W49" i="12" s="1"/>
  <c r="V50" i="12" s="1"/>
  <c r="U50" i="12" s="1"/>
  <c r="W50" i="12" s="1"/>
  <c r="V51" i="12" s="1"/>
  <c r="U51" i="12" s="1"/>
  <c r="W51" i="12" s="1"/>
  <c r="X46" i="12"/>
  <c r="K41" i="12"/>
  <c r="K43" i="12"/>
  <c r="V57" i="12"/>
  <c r="U57" i="12" s="1"/>
  <c r="W57" i="12" s="1"/>
  <c r="G92" i="12"/>
  <c r="F92" i="12"/>
  <c r="H92" i="12"/>
  <c r="K32" i="12"/>
  <c r="H55" i="12"/>
  <c r="V38" i="12"/>
  <c r="U38" i="12" s="1"/>
  <c r="W38" i="12" s="1"/>
  <c r="F112" i="12"/>
  <c r="I112" i="12" a="1"/>
  <c r="I112" i="12" s="1"/>
  <c r="H112" i="12"/>
  <c r="G112" i="12"/>
  <c r="H49" i="12"/>
  <c r="S13" i="11"/>
  <c r="T13" i="11" s="1"/>
  <c r="T15" i="11" s="1"/>
  <c r="E22" i="11"/>
  <c r="E31" i="11"/>
  <c r="E32" i="11"/>
  <c r="E34" i="11"/>
  <c r="E35" i="11"/>
  <c r="E27" i="11"/>
  <c r="E23" i="11"/>
  <c r="E28" i="11"/>
  <c r="E24" i="11"/>
  <c r="E29" i="11"/>
  <c r="E25" i="11"/>
  <c r="E30" i="11"/>
  <c r="E26" i="11"/>
  <c r="E33" i="11"/>
  <c r="E42" i="11"/>
  <c r="E44" i="11"/>
  <c r="E36" i="11"/>
  <c r="E37" i="11"/>
  <c r="E38" i="11"/>
  <c r="E39" i="11"/>
  <c r="E40" i="11"/>
  <c r="E41" i="11"/>
  <c r="E43" i="11"/>
  <c r="E45" i="11"/>
  <c r="U21" i="11"/>
  <c r="W21" i="11" s="1"/>
  <c r="T22" i="11"/>
  <c r="T23" i="11"/>
  <c r="T24" i="11"/>
  <c r="Q23" i="11"/>
  <c r="R23" i="11"/>
  <c r="Q22" i="11"/>
  <c r="R22" i="11"/>
  <c r="R24" i="11"/>
  <c r="Q24" i="11"/>
  <c r="V30" i="11"/>
  <c r="U30" i="11" s="1"/>
  <c r="W30" i="11" s="1"/>
  <c r="V31" i="11" s="1"/>
  <c r="U31" i="11" s="1"/>
  <c r="W31" i="11" s="1"/>
  <c r="V32" i="11" s="1"/>
  <c r="U32" i="11" s="1"/>
  <c r="W32" i="11" s="1"/>
  <c r="X40" i="11"/>
  <c r="X46" i="11"/>
  <c r="G93" i="11"/>
  <c r="F93" i="11"/>
  <c r="H95" i="11"/>
  <c r="G95" i="11"/>
  <c r="F95" i="11"/>
  <c r="H48" i="11"/>
  <c r="V55" i="11"/>
  <c r="U55" i="11" s="1"/>
  <c r="W55" i="11" s="1"/>
  <c r="H97" i="11"/>
  <c r="G97" i="11"/>
  <c r="F97" i="11"/>
  <c r="H110" i="11"/>
  <c r="G110" i="11"/>
  <c r="F110" i="11"/>
  <c r="X64" i="11"/>
  <c r="X52" i="11"/>
  <c r="W87" i="11"/>
  <c r="V87" i="11" s="1"/>
  <c r="X87" i="11" s="1"/>
  <c r="W88" i="11" s="1"/>
  <c r="V88" i="11" s="1"/>
  <c r="X88" i="11" s="1"/>
  <c r="H92" i="11" s="1"/>
  <c r="H99" i="11"/>
  <c r="G99" i="11"/>
  <c r="F99" i="11"/>
  <c r="R20" i="11"/>
  <c r="Q20" i="11"/>
  <c r="H101" i="11"/>
  <c r="G101" i="11"/>
  <c r="F101" i="11"/>
  <c r="H107" i="11"/>
  <c r="G107" i="11"/>
  <c r="F107" i="11"/>
  <c r="H109" i="11"/>
  <c r="G109" i="11"/>
  <c r="F109" i="11"/>
  <c r="H113" i="11"/>
  <c r="G113" i="11"/>
  <c r="F113" i="11"/>
  <c r="W46" i="11"/>
  <c r="H103" i="11"/>
  <c r="G103" i="11"/>
  <c r="F103" i="11"/>
  <c r="H105" i="11"/>
  <c r="G105" i="11"/>
  <c r="F105" i="11"/>
  <c r="H108" i="11"/>
  <c r="G108" i="11"/>
  <c r="F108" i="11"/>
  <c r="V67" i="11"/>
  <c r="U67" i="11" s="1"/>
  <c r="W67" i="11" s="1"/>
  <c r="V68" i="11" s="1"/>
  <c r="U68" i="11" s="1"/>
  <c r="W68" i="11" s="1"/>
  <c r="V69" i="11" s="1"/>
  <c r="U69" i="11" s="1"/>
  <c r="W69" i="11" s="1"/>
  <c r="G92" i="11"/>
  <c r="F92" i="11"/>
  <c r="X58" i="11"/>
  <c r="H54" i="11"/>
  <c r="V37" i="11"/>
  <c r="U37" i="11" s="1"/>
  <c r="W37" i="11" s="1"/>
  <c r="G94" i="11"/>
  <c r="F94" i="11"/>
  <c r="H94" i="11"/>
  <c r="W58" i="11"/>
  <c r="V44" i="11"/>
  <c r="U44" i="11" s="1"/>
  <c r="W44" i="11" s="1"/>
  <c r="H61" i="11"/>
  <c r="G90" i="11"/>
  <c r="F90" i="11"/>
  <c r="H90" i="11"/>
  <c r="R18" i="11"/>
  <c r="Q18" i="11"/>
  <c r="H112" i="11"/>
  <c r="G112" i="11"/>
  <c r="F112" i="11"/>
  <c r="G96" i="11"/>
  <c r="F96" i="11"/>
  <c r="H96" i="11"/>
  <c r="G106" i="11"/>
  <c r="F106" i="11"/>
  <c r="H106" i="11"/>
  <c r="G91" i="11"/>
  <c r="F91" i="11"/>
  <c r="T18" i="11"/>
  <c r="U17" i="11"/>
  <c r="W17" i="11" s="1"/>
  <c r="T19" i="11"/>
  <c r="T20" i="11"/>
  <c r="R19" i="11"/>
  <c r="Q19" i="11"/>
  <c r="G98" i="11"/>
  <c r="F98" i="11"/>
  <c r="H98" i="11"/>
  <c r="H111" i="11"/>
  <c r="G111" i="11"/>
  <c r="F111" i="11"/>
  <c r="G102" i="11"/>
  <c r="F102" i="11"/>
  <c r="H102" i="11"/>
  <c r="G100" i="11"/>
  <c r="F100" i="11"/>
  <c r="H100" i="11"/>
  <c r="V26" i="11"/>
  <c r="U26" i="11" s="1"/>
  <c r="W26" i="11" s="1"/>
  <c r="V27" i="11" s="1"/>
  <c r="U27" i="11" s="1"/>
  <c r="W27" i="11" s="1"/>
  <c r="V28" i="11" s="1"/>
  <c r="U28" i="11" s="1"/>
  <c r="W28" i="11" s="1"/>
  <c r="G104" i="11"/>
  <c r="F104" i="11"/>
  <c r="H104" i="11"/>
  <c r="I91" i="12" a="1"/>
  <c r="I92" i="12" a="1"/>
  <c r="I93" i="12" a="1"/>
  <c r="I90" i="12" a="1"/>
  <c r="Q9" i="12" l="1"/>
  <c r="H50" i="12"/>
  <c r="W46" i="12"/>
  <c r="H67" i="12"/>
  <c r="H74" i="12" s="1"/>
  <c r="W58" i="12"/>
  <c r="H66" i="11"/>
  <c r="H81" i="11" s="1"/>
  <c r="H84" i="11" s="1"/>
  <c r="I92" i="12"/>
  <c r="I91" i="12"/>
  <c r="I90" i="12"/>
  <c r="I93" i="12"/>
  <c r="H80" i="12"/>
  <c r="K23" i="12" s="1"/>
  <c r="T16" i="12"/>
  <c r="U13" i="12"/>
  <c r="W13" i="12" s="1"/>
  <c r="T15" i="12"/>
  <c r="T14" i="12"/>
  <c r="V14" i="12" s="1"/>
  <c r="U14" i="12" s="1"/>
  <c r="W14" i="12" s="1"/>
  <c r="I22" i="12"/>
  <c r="H22" i="12" s="1"/>
  <c r="I29" i="12"/>
  <c r="H29" i="12" s="1"/>
  <c r="R16" i="12"/>
  <c r="Q16" i="12"/>
  <c r="W64" i="12"/>
  <c r="Q15" i="12"/>
  <c r="R15" i="12"/>
  <c r="V39" i="12"/>
  <c r="U39" i="12" s="1"/>
  <c r="W39" i="12" s="1"/>
  <c r="H57" i="12" s="1"/>
  <c r="H56" i="12"/>
  <c r="R12" i="12"/>
  <c r="Q12" i="12"/>
  <c r="H51" i="12"/>
  <c r="W52" i="12"/>
  <c r="R10" i="12"/>
  <c r="Q10" i="12"/>
  <c r="I30" i="12" s="1"/>
  <c r="R11" i="12"/>
  <c r="Q11" i="12"/>
  <c r="I45" i="12" s="1"/>
  <c r="H62" i="12"/>
  <c r="H68" i="12"/>
  <c r="V45" i="12"/>
  <c r="U45" i="12" s="1"/>
  <c r="W45" i="12" s="1"/>
  <c r="W40" i="12"/>
  <c r="T11" i="12"/>
  <c r="T10" i="12"/>
  <c r="U9" i="12"/>
  <c r="W9" i="12" s="1"/>
  <c r="T12" i="12"/>
  <c r="Q14" i="12"/>
  <c r="I37" i="12" s="1"/>
  <c r="R14" i="12"/>
  <c r="H91" i="11"/>
  <c r="S16" i="11"/>
  <c r="R13" i="11"/>
  <c r="T16" i="11"/>
  <c r="U13" i="11"/>
  <c r="W13" i="11" s="1"/>
  <c r="T14" i="11"/>
  <c r="Q13" i="11"/>
  <c r="S14" i="11"/>
  <c r="R14" i="11" s="1"/>
  <c r="S15" i="11"/>
  <c r="R15" i="11" s="1"/>
  <c r="Q14" i="11"/>
  <c r="V22" i="11"/>
  <c r="U22" i="11" s="1"/>
  <c r="W22" i="11" s="1"/>
  <c r="V23" i="11" s="1"/>
  <c r="U23" i="11" s="1"/>
  <c r="W23" i="11" s="1"/>
  <c r="W64" i="11"/>
  <c r="H55" i="11"/>
  <c r="V38" i="11"/>
  <c r="U38" i="11" s="1"/>
  <c r="W38" i="11" s="1"/>
  <c r="H62" i="11"/>
  <c r="V45" i="11"/>
  <c r="U45" i="11" s="1"/>
  <c r="W45" i="11" s="1"/>
  <c r="H49" i="11"/>
  <c r="V56" i="11"/>
  <c r="U56" i="11" s="1"/>
  <c r="W56" i="11" s="1"/>
  <c r="V18" i="11"/>
  <c r="U18" i="11" s="1"/>
  <c r="W18" i="11" s="1"/>
  <c r="W89" i="11"/>
  <c r="V89" i="11" s="1"/>
  <c r="X89" i="11" s="1"/>
  <c r="H93" i="11" s="1"/>
  <c r="H85" i="12" l="1"/>
  <c r="H75" i="11"/>
  <c r="H67" i="11"/>
  <c r="I28" i="12"/>
  <c r="H28" i="12" s="1"/>
  <c r="I39" i="12"/>
  <c r="H69" i="12"/>
  <c r="H63" i="12"/>
  <c r="I35" i="12"/>
  <c r="I32" i="12"/>
  <c r="I27" i="12"/>
  <c r="H27" i="12" s="1"/>
  <c r="I40" i="12"/>
  <c r="I43" i="12"/>
  <c r="I38" i="12"/>
  <c r="I42" i="12"/>
  <c r="I36" i="12"/>
  <c r="V10" i="12"/>
  <c r="U10" i="12" s="1"/>
  <c r="W10" i="12" s="1"/>
  <c r="I23" i="12" s="1"/>
  <c r="H23" i="12" s="1"/>
  <c r="I31" i="12"/>
  <c r="I26" i="12"/>
  <c r="H26" i="12" s="1"/>
  <c r="H79" i="12"/>
  <c r="H73" i="12"/>
  <c r="I34" i="12"/>
  <c r="V15" i="12"/>
  <c r="U15" i="12" s="1"/>
  <c r="W15" i="12" s="1"/>
  <c r="V16" i="12" s="1"/>
  <c r="U16" i="12" s="1"/>
  <c r="W16" i="12" s="1"/>
  <c r="I44" i="12"/>
  <c r="I41" i="12"/>
  <c r="W34" i="12"/>
  <c r="I33" i="12"/>
  <c r="Q15" i="11"/>
  <c r="Q16" i="11"/>
  <c r="R16" i="11"/>
  <c r="V14" i="11"/>
  <c r="U14" i="11" s="1"/>
  <c r="W14" i="11" s="1"/>
  <c r="V15" i="11" s="1"/>
  <c r="U15" i="11" s="1"/>
  <c r="W15" i="11" s="1"/>
  <c r="V16" i="11" s="1"/>
  <c r="U16" i="11" s="1"/>
  <c r="W16" i="11" s="1"/>
  <c r="V19" i="11"/>
  <c r="U19" i="11" s="1"/>
  <c r="W19" i="11" s="1"/>
  <c r="V24" i="11"/>
  <c r="U24" i="11" s="1"/>
  <c r="W24" i="11" s="1"/>
  <c r="H63" i="11"/>
  <c r="H56" i="11"/>
  <c r="V39" i="11"/>
  <c r="U39" i="11" s="1"/>
  <c r="W39" i="11" s="1"/>
  <c r="W34" i="11" s="1"/>
  <c r="H50" i="11"/>
  <c r="V57" i="11"/>
  <c r="U57" i="11" s="1"/>
  <c r="W57" i="11" s="1"/>
  <c r="W40" i="11"/>
  <c r="H80" i="11"/>
  <c r="H85" i="11" s="1"/>
  <c r="H74" i="11"/>
  <c r="H68" i="11" l="1"/>
  <c r="H79" i="11" s="1"/>
  <c r="H86" i="11" s="1"/>
  <c r="K24" i="12"/>
  <c r="H86" i="12"/>
  <c r="V11" i="12"/>
  <c r="U11" i="12" s="1"/>
  <c r="W11" i="12" s="1"/>
  <c r="H72" i="12"/>
  <c r="H78" i="12"/>
  <c r="V20" i="11"/>
  <c r="U20" i="11" s="1"/>
  <c r="W20" i="11" s="1"/>
  <c r="H51" i="11"/>
  <c r="W52" i="11"/>
  <c r="H57" i="11"/>
  <c r="H73" i="11" l="1"/>
  <c r="H69" i="11"/>
  <c r="H72" i="11" s="1"/>
  <c r="K25" i="12"/>
  <c r="H87" i="12"/>
  <c r="V12" i="12"/>
  <c r="U12" i="12" s="1"/>
  <c r="W12" i="12" s="1"/>
  <c r="I25" i="12" s="1"/>
  <c r="H25" i="12" s="1"/>
  <c r="I24" i="12"/>
  <c r="H24" i="12" s="1"/>
  <c r="H78" i="11" l="1"/>
  <c r="H87" i="11" s="1"/>
  <c r="S9" i="11" l="1"/>
  <c r="R9" i="11" s="1"/>
  <c r="S10" i="11" l="1"/>
  <c r="T9" i="11"/>
  <c r="S12" i="11"/>
  <c r="S11" i="11"/>
  <c r="Q9" i="11"/>
  <c r="Q11" i="11" l="1"/>
  <c r="R11" i="11"/>
  <c r="T12" i="11"/>
  <c r="U9" i="11"/>
  <c r="W9" i="11" s="1"/>
  <c r="T10" i="11"/>
  <c r="T11" i="11"/>
  <c r="R10" i="11"/>
  <c r="Q10" i="11"/>
  <c r="R12" i="11"/>
  <c r="Q12" i="11"/>
  <c r="V10" i="11" l="1"/>
  <c r="U10" i="11" s="1"/>
  <c r="W10" i="11" s="1"/>
  <c r="V11" i="11" l="1"/>
  <c r="U11" i="11" s="1"/>
  <c r="W11" i="11" s="1"/>
  <c r="V12" i="11" l="1"/>
  <c r="U12" i="11" s="1"/>
  <c r="W12" i="11" s="1"/>
  <c r="H35" i="11"/>
  <c r="H34" i="11"/>
  <c r="H36" i="11"/>
  <c r="H37" i="11"/>
  <c r="H42" i="11"/>
  <c r="H44" i="11"/>
  <c r="H45" i="11"/>
  <c r="H43" i="11"/>
  <c r="H40" i="11"/>
  <c r="H33" i="11" l="1"/>
  <c r="H31" i="11"/>
  <c r="H32" i="11"/>
  <c r="H38" i="11"/>
  <c r="H41" i="11"/>
  <c r="H30" i="11"/>
  <c r="H39" i="11"/>
  <c r="F35" i="11" l="1"/>
  <c r="G35" i="11" s="1"/>
  <c r="I35" i="11"/>
  <c r="C35" i="11" l="1"/>
  <c r="B35" i="11"/>
  <c r="K35" i="11" s="1"/>
  <c r="F38" i="11" l="1"/>
  <c r="F32" i="11"/>
  <c r="F30" i="11"/>
  <c r="F39" i="11"/>
  <c r="I39" i="11" l="1"/>
  <c r="G39" i="11"/>
  <c r="B39" i="11" s="1"/>
  <c r="G32" i="11"/>
  <c r="I32" i="11" s="1"/>
  <c r="G30" i="11"/>
  <c r="C30" i="11" s="1"/>
  <c r="J30" i="11"/>
  <c r="I30" i="11"/>
  <c r="B30" i="11"/>
  <c r="I38" i="11"/>
  <c r="J38" i="11"/>
  <c r="G38" i="11"/>
  <c r="B38" i="11" s="1"/>
  <c r="C39" i="11" l="1"/>
  <c r="K39" i="11" s="1"/>
  <c r="C32" i="11"/>
  <c r="K30" i="11"/>
  <c r="C38" i="11"/>
  <c r="K38" i="11" s="1"/>
  <c r="B32" i="11"/>
  <c r="F43" i="11"/>
  <c r="K32" i="11" l="1"/>
  <c r="G43" i="11"/>
  <c r="B43" i="11" s="1"/>
  <c r="I43" i="11"/>
  <c r="C43" i="11"/>
  <c r="K43" i="11" l="1"/>
  <c r="F33" i="11" l="1"/>
  <c r="G33" i="11" l="1"/>
  <c r="B33" i="11" s="1"/>
  <c r="I33" i="11"/>
  <c r="F36" i="11"/>
  <c r="F31" i="11"/>
  <c r="C33" i="11" l="1"/>
  <c r="K33" i="11" s="1"/>
  <c r="G31" i="11"/>
  <c r="I31" i="11" s="1"/>
  <c r="I36" i="11"/>
  <c r="G36" i="11"/>
  <c r="B36" i="11" s="1"/>
  <c r="C36" i="11" l="1"/>
  <c r="K36" i="11" s="1"/>
  <c r="C31" i="11"/>
  <c r="B31" i="11"/>
  <c r="K31" i="11" s="1"/>
  <c r="F26" i="11"/>
  <c r="I26" i="11" s="1"/>
  <c r="J26" i="11" l="1"/>
  <c r="G26" i="11"/>
  <c r="C26" i="11" s="1"/>
  <c r="F41" i="11"/>
  <c r="F34" i="11"/>
  <c r="J34" i="11"/>
  <c r="B26" i="11" l="1"/>
  <c r="K26" i="11" s="1"/>
  <c r="H26" i="11" s="1"/>
  <c r="G41" i="11"/>
  <c r="I34" i="11"/>
  <c r="G34" i="11"/>
  <c r="C34" i="11" s="1"/>
  <c r="B34" i="11" l="1"/>
  <c r="K34" i="11"/>
  <c r="I41" i="11"/>
  <c r="B41" i="11"/>
  <c r="C41" i="11"/>
  <c r="F40" i="11"/>
  <c r="I40" i="11"/>
  <c r="K41" i="11" l="1"/>
  <c r="G40" i="11"/>
  <c r="C40" i="11" s="1"/>
  <c r="F44" i="11"/>
  <c r="I44" i="11"/>
  <c r="G44" i="11" l="1"/>
  <c r="B44" i="11" s="1"/>
  <c r="B40" i="11"/>
  <c r="K40" i="11" s="1"/>
  <c r="C44" i="11" l="1"/>
  <c r="K44" i="11" s="1"/>
  <c r="F28" i="11"/>
  <c r="I28" i="11"/>
  <c r="G28" i="11" l="1"/>
  <c r="B28" i="11" s="1"/>
  <c r="F42" i="11"/>
  <c r="F45" i="11"/>
  <c r="F22" i="11"/>
  <c r="G22" i="11" s="1"/>
  <c r="J22" i="11"/>
  <c r="I42" i="11"/>
  <c r="J42" i="11"/>
  <c r="C28" i="11" l="1"/>
  <c r="K28" i="11" s="1"/>
  <c r="H28" i="11" s="1"/>
  <c r="G42" i="11"/>
  <c r="B42" i="11" s="1"/>
  <c r="G45" i="11"/>
  <c r="B45" i="11" s="1"/>
  <c r="I45" i="11"/>
  <c r="I22" i="11"/>
  <c r="C22" i="11"/>
  <c r="K22" i="11" s="1"/>
  <c r="B22" i="11"/>
  <c r="C45" i="11"/>
  <c r="F27" i="11"/>
  <c r="F24" i="11"/>
  <c r="H22" i="11" l="1"/>
  <c r="I24" i="11"/>
  <c r="I27" i="11"/>
  <c r="G27" i="11"/>
  <c r="C27" i="11" s="1"/>
  <c r="K45" i="11"/>
  <c r="G24" i="11"/>
  <c r="C24" i="11" s="1"/>
  <c r="K24" i="11" s="1"/>
  <c r="B27" i="11"/>
  <c r="B24" i="11"/>
  <c r="C42" i="11"/>
  <c r="K42" i="11" s="1"/>
  <c r="H24" i="11" l="1"/>
  <c r="K27" i="11"/>
  <c r="H27" i="11"/>
  <c r="F23" i="11"/>
  <c r="I23" i="11"/>
  <c r="F37" i="11"/>
  <c r="I37" i="11" s="1"/>
  <c r="F25" i="11"/>
  <c r="B25" i="11" s="1"/>
  <c r="G25" i="11"/>
  <c r="C25" i="11" s="1"/>
  <c r="K25" i="11" s="1"/>
  <c r="G23" i="11"/>
  <c r="B23" i="11" s="1"/>
  <c r="F29" i="11"/>
  <c r="I29" i="11"/>
  <c r="G29" i="11"/>
  <c r="I25" i="11" l="1"/>
  <c r="H25" i="11" s="1"/>
  <c r="G37" i="11"/>
  <c r="B37" i="11" s="1"/>
  <c r="C29" i="11"/>
  <c r="C37" i="11"/>
  <c r="C23" i="11"/>
  <c r="K23" i="11" s="1"/>
  <c r="H23" i="11" s="1"/>
  <c r="B29" i="11"/>
  <c r="K29" i="11" s="1"/>
  <c r="H29" i="11" s="1"/>
  <c r="K37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<sst xmlns="http://schemas.openxmlformats.org/spreadsheetml/2006/main" count="716" uniqueCount="122">
  <si>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</si>
  <si>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</si>
  <si>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</si>
  <si>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</si>
  <si>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</si>
  <si>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</si>
  <si>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</si>
  <si>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</si>
  <si>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</si>
  <si>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</si>
  <si>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</si>
  <si>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</si>
  <si>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</si>
  <si>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</si>
  <si>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</si>
  <si>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</si>
  <si>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</si>
  <si>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</si>
  <si>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</si>
  <si>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</si>
  <si>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</si>
  <si>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</si>
  <si>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</si>
  <si>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</si>
  <si>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</si>
  <si>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</si>
  <si>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</si>
  <si>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</si>
  <si>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</si>
  <si>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</si>
  <si>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</si>
  <si>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</si>
  <si>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</si>
  <si>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</si>
  <si>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</si>
  <si>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</si>
  <si>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</si>
  <si>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</si>
  <si>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</si>
  <si>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</si>
  <si>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</si>
  <si>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</si>
  <si>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</si>
  <si>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</si>
  <si>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</si>
  <si>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</si>
  <si>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</si>
  <si>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</si>
  <si>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</si>
  <si>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</si>
  <si>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</si>
  <si>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</si>
  <si>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</si>
  <si>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</si>
  <si>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</si>
  <si>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</si>
  <si>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</si>
  <si>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</si>
  <si>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</si>
  <si>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</si>
  <si>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</si>
  <si>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</si>
  <si>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</si>
  <si>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</si>
  <si>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</si>
  <si>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</si>
  <si>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</si>
  <si>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</si>
  <si>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</si>
  <si>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</si>
  <si>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</si>
  <si>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</si>
  <si>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</si>
  <si>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</si>
  <si>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</si>
  <si>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</si>
  <si>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</si>
  <si>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</si>
  <si>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</si>
  <si>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</si>
  <si>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</si>
  <si>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</si>
  <si>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</si>
  <si>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</si>
  <si>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</si>
  <si>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</si>
  <si>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</si>
  <si>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</si>
  <si>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</si>
  <si>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</si>
  <si>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</si>
  <si>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</si>
  <si>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</si>
  <si>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</si>
  <si>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</si>
  <si>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</si>
  <si>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</si>
  <si>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</si>
  <si>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</si>
  <si>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</si>
  <si>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170000000000000201</t>
  </si>
  <si>
    <t>170000000000000101</t>
  </si>
  <si>
    <t>180000000000000001</t>
  </si>
  <si>
    <t>200000000000000001</t>
  </si>
  <si>
    <t>E18</t>
  </si>
  <si>
    <t>E20</t>
  </si>
  <si>
    <t>3000000000000</t>
  </si>
  <si>
    <t>skmp</t>
  </si>
  <si>
    <t>5000000000000</t>
  </si>
  <si>
    <t>5500000000000</t>
  </si>
  <si>
    <t>PT15M</t>
  </si>
  <si>
    <t>2000000000000</t>
  </si>
  <si>
    <t>2200000000000</t>
  </si>
  <si>
    <t>4000000000000</t>
  </si>
  <si>
    <t>4400000000000</t>
  </si>
  <si>
    <t>6000000000000</t>
  </si>
  <si>
    <t>6600000000000</t>
  </si>
  <si>
    <t>E02</t>
  </si>
  <si>
    <t>All energy suppliers</t>
  </si>
  <si>
    <t>production</t>
  </si>
  <si>
    <t>All balance responsibles</t>
  </si>
  <si>
    <t>settlement method/type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</si>
</sst>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4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B29EF-70AE-467E-96EB-50A1E80B914E}" name="Tabel13423234" displayName="Tabel13423234" ref="C1:N19" totalsRowShown="0" headerRowDxfId="39" dataDxfId="38">
  <autoFilter ref="C1:N19" xr:uid="{3814BBFA-A2E3-4A77-AAB1-6B1FF8D878B1}"/>
  <tableColumns count="12">
    <tableColumn id="1" xr3:uid="{A3A06534-7F85-40F5-B8E0-0D771CE26CB5}" name="mp id" dataDxfId="37"/>
    <tableColumn id="2" xr3:uid="{841C703A-9BA0-4F69-BA09-B5E0A1D4A9C1}" name="type" dataDxfId="36"/>
    <tableColumn id="3" xr3:uid="{AFE6E367-93A7-424D-8D93-F817ED34D222}" name="settlement_method" dataDxfId="35"/>
    <tableColumn id="4" xr3:uid="{691722AC-D158-4971-AAB2-6AF96C757CEB}" name="quantity" dataDxfId="34"/>
    <tableColumn id="5" xr3:uid="{85B47343-83A6-4407-B902-1D3FE526DB72}" name="quantity_quality" dataDxfId="33"/>
    <tableColumn id="6" xr3:uid="{6C46362C-259F-4DCE-A8B9-391E13A84CD9}" name="resolution" dataDxfId="32"/>
    <tableColumn id="7" xr3:uid="{27981C7E-4437-4001-AFFE-47128CB7F264}" name="es_id" dataDxfId="31"/>
    <tableColumn id="8" xr3:uid="{F736B847-BB31-40A2-A96E-DAF983D0C06E}" name="brp_id" dataDxfId="30"/>
    <tableColumn id="9" xr3:uid="{231A9F6A-C295-450F-A6FF-2FE6CCF6550C}" name="note" dataDxfId="29"/>
    <tableColumn id="10" xr3:uid="{42550C07-9FA7-4910-805E-03835DA5C066}" name="ga_id" dataDxfId="28"/>
    <tableColumn id="11" xr3:uid="{EADAF768-2B18-4C46-BE1A-189EC2FC656F}" name="from_ga" dataDxfId="27"/>
    <tableColumn id="12" xr3:uid="{A6E66F61-8086-4341-A84F-A633C3D72FCC}" name="to_ga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N19" totalsRowShown="0" headerRowDxfId="25" dataDxfId="24">
  <autoFilter ref="C1:N19" xr:uid="{3814BBFA-A2E3-4A77-AAB1-6B1FF8D878B1}"/>
  <tableColumns count="12">
    <tableColumn id="1" xr3:uid="{2B69152A-55A7-4D2B-873F-7F3FB6F402A7}" name="mp id" dataDxfId="23"/>
    <tableColumn id="2" xr3:uid="{DA52C48F-158B-4538-B6A3-FC8044FE7DD3}" name="type" dataDxfId="22"/>
    <tableColumn id="3" xr3:uid="{EF0BDE38-1365-4FBC-9631-C5B606CA358B}" name="settlement_method" dataDxfId="21"/>
    <tableColumn id="4" xr3:uid="{B562A6FB-BEDA-4307-A449-0F2082B19BCA}" name="quantity" dataDxfId="20"/>
    <tableColumn id="5" xr3:uid="{6DA11D4D-F616-4050-A443-FB1A76B379F3}" name="quantity_quality" dataDxfId="19"/>
    <tableColumn id="6" xr3:uid="{CD5BB13E-3854-4BA0-A8C2-7EB0351AE2FA}" name="resolution" dataDxfId="18"/>
    <tableColumn id="7" xr3:uid="{900BB657-25A0-4ECA-8FE6-633F1CAE8BD7}" name="es_id" dataDxfId="17"/>
    <tableColumn id="8" xr3:uid="{39625D12-7EE0-4C8F-8893-3E5902A7D039}" name="brp_id" dataDxfId="16"/>
    <tableColumn id="9" xr3:uid="{4035FFB8-60AE-4E2D-9CA8-C736A1B70CC6}" name="note" dataDxfId="15"/>
    <tableColumn id="10" xr3:uid="{F90F79EC-44B2-4BC6-8C23-82D64320CBD5}" name="ga_id" dataDxfId="14"/>
    <tableColumn id="11" xr3:uid="{CD53BB86-08E7-49A0-BC6E-CFD857B5FCB7}" name="from_ga" dataDxfId="13"/>
    <tableColumn id="12" xr3:uid="{75786D4A-9554-4C5E-B036-485331D1BE7F}" name="to_ga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E425-364F-4EAF-88A1-8147E091FABF}">
  <sheetPr>
    <tabColor rgb="FF92D050"/>
  </sheetPr>
  <dimension ref="A1:CL400"/>
  <sheetViews>
    <sheetView topLeftCell="A44" zoomScaleNormal="100" workbookViewId="0">
      <selection activeCell="B1" sqref="B1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2.36328125" style="1" bestFit="1" customWidth="1"/>
    <col min="25" max="25" width="4.08984375" style="1" bestFit="1" customWidth="1"/>
    <col min="26" max="26" width="2.81640625" style="1" bestFit="1" customWidth="1"/>
    <col min="27" max="27" width="1.81640625" style="1" bestFit="1" customWidth="1"/>
    <col min="28" max="28" width="9.54296875" style="1" bestFit="1" customWidth="1"/>
    <col min="29" max="29" width="27.36328125" style="1" bestFit="1" customWidth="1"/>
    <col min="30" max="30" width="19.81640625" style="1" bestFit="1" customWidth="1"/>
    <col min="31" max="31" width="21.90625" style="1" bestFit="1" customWidth="1"/>
    <col min="32" max="32" width="11.7265625" style="1" bestFit="1" customWidth="1"/>
    <col min="33" max="38" width="8.7265625" style="1" customWidth="1"/>
    <col min="39" max="16384" width="8.7265625" style="1"/>
  </cols>
  <sheetData>
    <row r="1" spans="1:90" ht="21" x14ac:dyDescent="0.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SUMIFS(Tabel13423234[quantity],Tabel13423234[settlement_method],"D01",Tabel13423234[resolution],"PT15M")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121</v>
      </c>
      <c r="AF1" s="30" t="s">
        <v>84</v>
      </c>
      <c r="AG1" s="30"/>
      <c r="AH1" s="24"/>
    </row>
    <row r="2" spans="1:90" ht="21" x14ac:dyDescent="0.5">
      <c r="A2" s="18" t="s">
        <v>26</v>
      </c>
      <c r="B2" s="17" t="s">
        <v>119</v>
      </c>
      <c r="C2" s="10" t="s">
        <v>90</v>
      </c>
      <c r="D2" s="10" t="s">
        <v>91</v>
      </c>
      <c r="E2" s="11" t="s">
        <v>92</v>
      </c>
      <c r="F2" s="12"/>
      <c r="G2" s="10"/>
      <c r="H2" s="10" t="s">
        <v>93</v>
      </c>
      <c r="I2" s="10" t="s">
        <v>94</v>
      </c>
      <c r="J2" s="10" t="s">
        <v>95</v>
      </c>
      <c r="K2" s="10" t="s">
        <v>98</v>
      </c>
      <c r="L2" s="10" t="s">
        <v>96</v>
      </c>
      <c r="M2" s="29"/>
      <c r="N2" s="29"/>
      <c r="P2" s="24"/>
      <c r="Q2" s="7" t="s">
        <v>40</v>
      </c>
      <c r="R2" s="9">
        <f>SUMIFS(Tabel13423234[quantity],Tabel13423234[settlement_method],"E02",Tabel13423234[resolution],"PT15M")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_xlfn._xlws.SORT(_xlfn.UNIQUE(_xlfn._xlws.FILTER(Tabel13423234[ga_id],Tabel13423234[ga_id] &lt;&gt; "")))</f>
        <v>800</v>
      </c>
      <c r="AC2" s="27" t="str" cm="1">
        <f t="array" ref="AC2:AC3">_xlfn._xlws.SORT(_xlfn.UNIQUE(_xlfn._xlws.FILTER(AC28:AC40,AC28:AC40 &lt;&gt; "")))</f>
        <v>3000000000000</v>
      </c>
      <c r="AD2" s="27" t="str" cm="1">
        <f t="array" ref="AD2:AD3">_xlfn._xlws.SORT(_xlfn.UNIQUE(_xlfn._xlws.FILTER(AD28:AD40,AD28:AD40 &lt;&gt; "")))</f>
        <v>1100000000000</v>
      </c>
      <c r="AE2" s="27" t="str">
        <f>IF(B$2="production","E18",IF($B$2="flex_consumption","D01","E02"))</f>
        <v>E18</v>
      </c>
      <c r="AF2" s="27" t="str" cm="1">
        <f t="array" ref="AF2:AF3">_xlfn._xlws.SORT(_xlfn.UNIQUE(_xlfn.VSTACK(_xlfn._xlws.FILTER(Tabel13423234[from_ga],Tabel13423234[from_ga] &lt;&gt; ""),_xlfn._xlws.FILTER(Tabel13423234[to_ga],Tabel13423234[to_ga] &lt;&gt; ""))))</f>
        <v>800</v>
      </c>
      <c r="AG2" s="24"/>
      <c r="AH2" s="24"/>
    </row>
    <row r="3" spans="1:90" x14ac:dyDescent="0.35">
      <c r="C3" s="10" t="s">
        <v>99</v>
      </c>
      <c r="D3" s="10" t="s">
        <v>104</v>
      </c>
      <c r="E3" s="11"/>
      <c r="F3" s="12"/>
      <c r="G3" s="10"/>
      <c r="H3" s="10" t="s">
        <v>93</v>
      </c>
      <c r="I3" s="10" t="s">
        <v>106</v>
      </c>
      <c r="J3" s="10" t="s">
        <v>95</v>
      </c>
      <c r="K3" s="10" t="s">
        <v>107</v>
      </c>
      <c r="L3" s="10" t="s">
        <v>96</v>
      </c>
      <c r="M3" s="29"/>
      <c r="N3" s="29"/>
      <c r="P3" s="24"/>
      <c r="Q3" s="7" t="s">
        <v>29</v>
      </c>
      <c r="R3" s="9">
        <f>SUMIFS(Tabel13423234[quantity],Tabel13423234[type],"E18",Tabel13423234[resolution],"PT15M")</f>
        <v>0</v>
      </c>
      <c r="S3" s="24"/>
      <c r="T3" s="27"/>
      <c r="U3" s="24"/>
      <c r="V3" s="24"/>
      <c r="W3" s="24"/>
      <c r="X3" s="24"/>
      <c r="Y3" s="24"/>
      <c r="AA3" s="24"/>
      <c r="AB3" s="24"/>
      <c r="AC3" s="24" t="str">
        <v>5000000000000</v>
      </c>
      <c r="AD3" s="24" t="str">
        <v>5500000000000</v>
      </c>
      <c r="AE3" s="24"/>
      <c r="AF3" s="24" t="str">
        <v>801</v>
      </c>
      <c r="AG3" s="24"/>
      <c r="AH3" s="24"/>
    </row>
    <row r="4" spans="1:90" x14ac:dyDescent="0.35">
      <c r="C4" s="10" t="s">
        <v>100</v>
      </c>
      <c r="D4" s="10" t="s">
        <v>91</v>
      </c>
      <c r="E4" s="11" t="s">
        <v>92</v>
      </c>
      <c r="F4" s="12">
        <v>10</v>
      </c>
      <c r="G4" s="10"/>
      <c r="H4" s="10" t="s">
        <v>93</v>
      </c>
      <c r="I4" s="10" t="s">
        <v>108</v>
      </c>
      <c r="J4" s="10" t="s">
        <v>109</v>
      </c>
      <c r="K4" s="10"/>
      <c r="L4" s="10" t="s">
        <v>96</v>
      </c>
      <c r="M4" s="29"/>
      <c r="N4" s="29"/>
      <c r="P4" s="24"/>
      <c r="Q4" s="7" t="s">
        <v>27</v>
      </c>
      <c r="R4" s="9">
        <f>SUMIFS(Tabel13423234[quantity],Tabel13423234[type],"E17",Tabel13423234[resolution],"PT15M")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/>
      <c r="AH4" s="24"/>
    </row>
    <row r="5" spans="1:90" x14ac:dyDescent="0.35">
      <c r="C5" s="10" t="s">
        <v>101</v>
      </c>
      <c r="D5" s="10" t="s">
        <v>91</v>
      </c>
      <c r="E5" s="11" t="s">
        <v>117</v>
      </c>
      <c r="F5" s="12">
        <v>10</v>
      </c>
      <c r="G5" s="10"/>
      <c r="H5" s="10" t="s">
        <v>93</v>
      </c>
      <c r="I5" s="10" t="s">
        <v>108</v>
      </c>
      <c r="J5" s="10" t="s">
        <v>109</v>
      </c>
      <c r="K5" s="10"/>
      <c r="L5" s="10" t="s">
        <v>96</v>
      </c>
      <c r="M5" s="29"/>
      <c r="N5" s="29"/>
      <c r="P5" s="24"/>
      <c r="Q5" s="6" t="s">
        <v>32</v>
      </c>
      <c r="R5" s="9">
        <f>SUMIFS(Tabel13423234[quantity],Tabel13423234[type],"E20",Tabel13423234[resolution],"PT15M",Tabel13423234[to_ga],"800")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35">
      <c r="C6" s="10" t="s">
        <v>102</v>
      </c>
      <c r="D6" s="10" t="s">
        <v>104</v>
      </c>
      <c r="E6" s="11"/>
      <c r="F6" s="12">
        <v>10</v>
      </c>
      <c r="G6" s="10"/>
      <c r="H6" s="10" t="s">
        <v>93</v>
      </c>
      <c r="I6" s="10" t="s">
        <v>108</v>
      </c>
      <c r="J6" s="10" t="s">
        <v>109</v>
      </c>
      <c r="K6" s="10"/>
      <c r="L6" s="10" t="s">
        <v>96</v>
      </c>
      <c r="M6" s="29"/>
      <c r="N6" s="29"/>
      <c r="P6" s="24"/>
      <c r="Q6" s="6" t="s">
        <v>43</v>
      </c>
      <c r="R6" s="9">
        <f>SUMIFS(Tabel13423234[quantity],Tabel13423234[type],"E20",Tabel13423234[resolution],"PT15M",Tabel13423234[from_ga],"800")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35">
      <c r="C7" s="10" t="s">
        <v>103</v>
      </c>
      <c r="D7" s="10" t="s">
        <v>105</v>
      </c>
      <c r="E7" s="11"/>
      <c r="F7" s="12">
        <v>8</v>
      </c>
      <c r="G7" s="10"/>
      <c r="H7" s="10" t="s">
        <v>93</v>
      </c>
      <c r="I7" s="10"/>
      <c r="J7" s="10"/>
      <c r="K7" s="10"/>
      <c r="L7" s="10" t="s">
        <v>96</v>
      </c>
      <c r="M7" s="29" t="s">
        <v>97</v>
      </c>
      <c r="N7" s="29" t="s">
        <v>96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_xlfn.IFNA(INDEX(Tabel13423234[ga_id],MATCH(S9,Tabel13423234[es_id],0)),"")</f>
        <v>800</v>
      </c>
      <c r="R9" s="26" t="str">
        <f>_xlfn.IFNA(INDEX(Tabel13423234[brp_id],MATCH(S9,Tabel13423234[es_id],0)),"")</f>
        <v>1100000000000</v>
      </c>
      <c r="S9" s="26" t="str">
        <f>IF(AC$2=0,"",AC$2)</f>
        <v>3000000000000</v>
      </c>
      <c r="T9" s="20">
        <f>SUMIFS(Tabel13423234[quantity],Tabel13423234[es_id],S9,IF(B$2="production",Tabel13423234[type],Tabel13423234[settlement_method]),AE$2,Tabel13423234[resolution],"PT1H")/4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_xlfn.IFNA(INDEX(Tabel13423234[ga_id],MATCH(S10,Tabel13423234[es_id],0)),"")</f>
        <v>800</v>
      </c>
      <c r="R10" s="26" t="str">
        <f>_xlfn.IFNA(INDEX(Tabel13423234[brp_id],MATCH(S10,Tabel13423234[es_id],0)),"")</f>
        <v>1100000000000</v>
      </c>
      <c r="S10" s="26" t="str">
        <f t="shared" ref="S10:T12" si="1">S$9</f>
        <v>3000000000000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_xlfn.IFNA(INDEX(Tabel13423234[ga_id],MATCH(S11,Tabel13423234[es_id],0)),"")</f>
        <v>800</v>
      </c>
      <c r="R11" s="26" t="str">
        <f>_xlfn.IFNA(INDEX(Tabel13423234[brp_id],MATCH(S11,Tabel13423234[es_id],0)),"")</f>
        <v>1100000000000</v>
      </c>
      <c r="S11" s="26" t="str">
        <f t="shared" si="1"/>
        <v>3000000000000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_xlfn.IFNA(INDEX(Tabel13423234[ga_id],MATCH(S12,Tabel13423234[es_id],0)),"")</f>
        <v>800</v>
      </c>
      <c r="R12" s="26" t="str">
        <f>_xlfn.IFNA(INDEX(Tabel13423234[brp_id],MATCH(S12,Tabel13423234[es_id],0)),"")</f>
        <v>1100000000000</v>
      </c>
      <c r="S12" s="26" t="str">
        <f t="shared" si="1"/>
        <v>3000000000000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118</v>
      </c>
      <c r="AD12" s="36" t="s">
        <v>120</v>
      </c>
      <c r="AE12" s="36"/>
      <c r="AF12" s="35"/>
      <c r="AG12" s="24"/>
      <c r="AH12" s="24"/>
    </row>
    <row r="13" spans="1:90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_xlfn.IFNA(INDEX(Tabel13423234[ga_id],MATCH(S13,Tabel13423234[es_id],0)),"")</f>
        <v>800</v>
      </c>
      <c r="R13" s="26" t="str">
        <f>_xlfn.IFNA(INDEX(Tabel13423234[brp_id],MATCH(S13,Tabel13423234[es_id],0)),"")</f>
        <v>5500000000000</v>
      </c>
      <c r="S13" s="26" t="str">
        <f>IF(AC$3=0,"",AC$3)</f>
        <v>5000000000000</v>
      </c>
      <c r="T13" s="20">
        <f>SUMIFS(Tabel13423234[quantity],Tabel13423234[es_id],S13,IF(B$2="production",Tabel13423234[type],Tabel13423234[settlement_method]),AE$2,Tabel13423234[resolution],"PT1H")/4</f>
        <v>2.5</v>
      </c>
      <c r="U13" s="19">
        <f>T13</f>
        <v>2.5</v>
      </c>
      <c r="V13" s="19"/>
      <c r="W13" s="23">
        <f t="shared" si="0"/>
        <v>2.5</v>
      </c>
      <c r="X13" s="27"/>
      <c r="Y13" s="24"/>
      <c r="AA13" s="2"/>
      <c r="AB13" s="36"/>
      <c r="AC13" s="36" t="str" cm="1">
        <f t="array" ref="AC13:AC15">_xlfn._xlws.SORT(_xlfn.UNIQUE(_xlfn._xlws.FILTER(Tabel13423234[es_id],Tabel13423234[es_id] &lt;&gt; "")))</f>
        <v>1000000000000</v>
      </c>
      <c r="AD13" s="36" t="str" cm="1">
        <f t="array" ref="AD13:AD14">_xlfn._xlws.SORT(_xlfn.UNIQUE(_xlfn._xlws.FILTER(Tabel13423234[brp_id],Tabel13423234[brp_id] &lt;&gt; "")))</f>
        <v>1100000000000</v>
      </c>
      <c r="AE13" s="36"/>
      <c r="AF13" s="35"/>
    </row>
    <row r="14" spans="1:90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_xlfn.IFNA(INDEX(Tabel13423234[ga_id],MATCH(S14,Tabel13423234[es_id],0)),"")</f>
        <v>800</v>
      </c>
      <c r="R14" s="26" t="str">
        <f>_xlfn.IFNA(INDEX(Tabel13423234[brp_id],MATCH(S14,Tabel13423234[es_id],0)),"")</f>
        <v>5500000000000</v>
      </c>
      <c r="S14" s="26" t="str">
        <f t="shared" ref="S14:T16" si="2">S$13</f>
        <v>5000000000000</v>
      </c>
      <c r="T14" s="19">
        <f t="shared" si="2"/>
        <v>2.5</v>
      </c>
      <c r="U14" s="19">
        <f>V14+U13</f>
        <v>2.5</v>
      </c>
      <c r="V14" s="19">
        <f>T14-W13</f>
        <v>0</v>
      </c>
      <c r="W14" s="23">
        <f t="shared" si="0"/>
        <v>2.5</v>
      </c>
      <c r="X14" s="27"/>
      <c r="Y14" s="27"/>
      <c r="Z14" s="2"/>
      <c r="AA14" s="2"/>
      <c r="AB14" s="36"/>
      <c r="AC14" s="36" t="str">
        <v>3000000000000</v>
      </c>
      <c r="AD14" s="36" t="str">
        <v>5500000000000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_xlfn.IFNA(INDEX(Tabel13423234[ga_id],MATCH(S15,Tabel13423234[es_id],0)),"")</f>
        <v>800</v>
      </c>
      <c r="R15" s="26" t="str">
        <f>_xlfn.IFNA(INDEX(Tabel13423234[brp_id],MATCH(S15,Tabel13423234[es_id],0)),"")</f>
        <v>5500000000000</v>
      </c>
      <c r="S15" s="26" t="str">
        <f t="shared" si="2"/>
        <v>5000000000000</v>
      </c>
      <c r="T15" s="19">
        <f t="shared" si="2"/>
        <v>2.5</v>
      </c>
      <c r="U15" s="19">
        <f>V15+U14</f>
        <v>2.5</v>
      </c>
      <c r="V15" s="19">
        <f>T15-W14</f>
        <v>0</v>
      </c>
      <c r="W15" s="23">
        <f t="shared" si="0"/>
        <v>2.5</v>
      </c>
      <c r="X15" s="27"/>
      <c r="Y15" s="27"/>
      <c r="Z15" s="2"/>
      <c r="AA15" s="2"/>
      <c r="AB15" s="36"/>
      <c r="AC15" s="36" t="str">
        <v>5000000000000</v>
      </c>
      <c r="AD15" s="36"/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_xlfn.IFNA(INDEX(Tabel13423234[ga_id],MATCH(S16,Tabel13423234[es_id],0)),"")</f>
        <v>800</v>
      </c>
      <c r="R16" s="26" t="str">
        <f>_xlfn.IFNA(INDEX(Tabel13423234[brp_id],MATCH(S16,Tabel13423234[es_id],0)),"")</f>
        <v>5500000000000</v>
      </c>
      <c r="S16" s="26" t="str">
        <f t="shared" si="2"/>
        <v>5000000000000</v>
      </c>
      <c r="T16" s="19">
        <f t="shared" si="2"/>
        <v>2.5</v>
      </c>
      <c r="U16" s="19">
        <f>V16+U15</f>
        <v>2.5</v>
      </c>
      <c r="V16" s="19">
        <f>T16-W15</f>
        <v>0</v>
      </c>
      <c r="W16" s="23">
        <f t="shared" si="0"/>
        <v>2.5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_xlfn.IFNA(INDEX(Tabel13423234[ga_id],MATCH(S17,Tabel13423234[es_id],0)),"")</f>
        <v/>
      </c>
      <c r="R17" s="26" t="str">
        <f>_xlfn.IFNA(INDEX(Tabel13423234[brp_id],MATCH(S17,Tabel13423234[es_id],0)),"")</f>
        <v/>
      </c>
      <c r="S17" s="26" t="str">
        <f>IF(AC$4=0,"",AC$4)</f>
        <v/>
      </c>
      <c r="T17" s="20">
        <f>SUMIFS(Tabel13423234[quantity],Tabel13423234[es_id],S17,IF(B$2="production",Tabel13423234[type],Tabel13423234[settlement_method]),AE$2,Tabel13423234[resolution],"PT1H")/4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_xlfn.IFNA(INDEX(Tabel13423234[ga_id],MATCH(S18,Tabel13423234[es_id],0)),"")</f>
        <v/>
      </c>
      <c r="R18" s="26" t="str">
        <f>_xlfn.IFNA(INDEX(Tabel13423234[brp_id],MATCH(S18,Tabel13423234[es_id],0)),"")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_xlfn.IFNA(INDEX(Tabel13423234[ga_id],MATCH(S19,Tabel13423234[es_id],0)),"")</f>
        <v/>
      </c>
      <c r="R19" s="26" t="str">
        <f>_xlfn.IFNA(INDEX(Tabel13423234[brp_id],MATCH(S19,Tabel13423234[es_id],0)),"")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5" x14ac:dyDescent="0.55000000000000004">
      <c r="E20" s="45" t="str">
        <f>CONCATENATE(B2,"_per_",B1)</f>
        <v>production_per_ga_brp_es</v>
      </c>
      <c r="F20" s="45"/>
      <c r="G20" s="45"/>
      <c r="H20" s="45"/>
      <c r="I20" s="46" t="s">
        <v>22</v>
      </c>
      <c r="J20" s="47"/>
      <c r="K20" s="48"/>
      <c r="P20" s="15" t="s">
        <v>78</v>
      </c>
      <c r="Q20" s="26" t="str">
        <f>_xlfn.IFNA(INDEX(Tabel13423234[ga_id],MATCH(S20,Tabel13423234[es_id],0)),"")</f>
        <v/>
      </c>
      <c r="R20" s="26" t="str">
        <f>_xlfn.IFNA(INDEX(Tabel13423234[brp_id],MATCH(S20,Tabel13423234[es_id],0)),"")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_xlfn.IFNA(INDEX(Tabel13423234[ga_id],MATCH(S21,Tabel13423234[es_id],0)),"")</f>
        <v/>
      </c>
      <c r="R21" s="26" t="str">
        <f>_xlfn.IFNA(INDEX(Tabel13423234[brp_id],MATCH(S21,Tabel13423234[es_id],0)),"")</f>
        <v/>
      </c>
      <c r="S21" s="26" t="str">
        <f>IF(AC$5=0,"",AC$5)</f>
        <v/>
      </c>
      <c r="T21" s="20">
        <f>SUMIFS(Tabel13423234[quantity],Tabel13423234[es_id],S21,IF(B$2="production",Tabel13423234[type],Tabel13423234[settlement_method]),AE$2,Tabel13423234[resolution],"PT1H")/4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35">
      <c r="A22" s="2"/>
      <c r="B22" s="16" t="str">
        <f>IF(AND(F22&lt;&gt;"null",F22&lt;&gt;""),IF(F22=INDEX(Tabel13423234[es_id],MATCH("GLMP",Tabel13423234[note],0),1),"glmp",""),IF(AND(G22&lt;&gt;"null",G22&lt;&gt;""),IF(G22=INDEX(Tabel13423234[brp_id],MATCH("GLMP",Tabel13423234[note],0),1),"glmp",""),IF(E22=INDEX(Tabel13423234[ga_id],MATCH("GLMP",Tabel13423234[note],0),1),"glmp","")))</f>
        <v/>
      </c>
      <c r="C22" s="16" t="str">
        <f>IF(AND(F22&lt;&gt;"null",F22&lt;&gt;""),IF(F22=INDEX(Tabel13423234[es_id],MATCH("SKMP",Tabel13423234[note],0),1),"skmp",""),IF(AND(G22&lt;&gt;"null",G22&lt;&gt;""),IF(G22=INDEX(Tabel13423234[brp_id],MATCH("SKMP",Tabel13423234[note],0),1),"skmp",""),IF(E22=INDEX(Tabel13423234[ga_id],MATCH("SKMP",Tabel13423234[note],0),1),"skmp","")))</f>
        <v>skmp</v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3000000000000</v>
      </c>
      <c r="G22" s="31" t="str">
        <f>IF(B$1="ga",IF(E22="","","null"),IF(B$1="ga_es",IF(F22="","","null"),IF(B$1="ga_brp",IF(AD$2=0,"",AD$2),IF(F22="","",INDEX(Tabel13423234[brp_id],MATCH(F22,Tabel13423234[es_id],0),1)))))</f>
        <v>1100000000000</v>
      </c>
      <c r="H22" s="33" t="str">
        <f>SUBSTITUTE(IF(E22="","",I22+J22+K22),",",".")</f>
        <v>0.5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13423234[quantity],IF(OR(B$1="ga_es",B$1="ga_brp_es"),Tabel13423234[es_id],IF(B$1="ga_brp",Tabel13423234[brp_id],Tabel13423234[ga_id])),IF(OR(B$1="ga_es",B$1="ga_brp_es"),F22,IF(B$1="ga_brp",G22,E22)),IF(B$2="production",Tabel13423234[type],Tabel13423234[settlement_method]),AE$2,Tabel13423234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0.5</v>
      </c>
      <c r="L22" s="2"/>
      <c r="M22" s="2"/>
      <c r="N22" s="2"/>
      <c r="O22" s="2"/>
      <c r="P22" s="15" t="s">
        <v>76</v>
      </c>
      <c r="Q22" s="26" t="str">
        <f>_xlfn.IFNA(INDEX(Tabel13423234[ga_id],MATCH(S22,Tabel13423234[es_id],0)),"")</f>
        <v/>
      </c>
      <c r="R22" s="26" t="str">
        <f>_xlfn.IFNA(INDEX(Tabel13423234[brp_id],MATCH(S22,Tabel13423234[es_id],0)),"")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35">
      <c r="B23" s="16" t="str">
        <f>IF(AND(F23&lt;&gt;"null",F23&lt;&gt;""),IF(F23=INDEX(Tabel13423234[es_id],MATCH("GLMP",Tabel13423234[note],0),1),"glmp",""),IF(AND(G23&lt;&gt;"null",G23&lt;&gt;""),IF(G23=INDEX(Tabel13423234[brp_id],MATCH("GLMP",Tabel13423234[note],0),1),"glmp",""),IF(E23=INDEX(Tabel13423234[ga_id],MATCH("GLMP",Tabel13423234[note],0),1),"glmp","")))</f>
        <v/>
      </c>
      <c r="C23" s="16" t="str">
        <f>IF(AND(F23&lt;&gt;"null",F23&lt;&gt;""),IF(F23=INDEX(Tabel13423234[es_id],MATCH("SKMP",Tabel13423234[note],0),1),"skmp",""),IF(AND(G23&lt;&gt;"null",G23&lt;&gt;""),IF(G23=INDEX(Tabel13423234[brp_id],MATCH("SKMP",Tabel13423234[note],0),1),"skmp",""),IF(E23=INDEX(Tabel13423234[ga_id],MATCH("SKMP",Tabel13423234[note],0),1),"skmp","")))</f>
        <v>skmp</v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3000000000000</v>
      </c>
      <c r="G23" s="31" t="str">
        <f>IF(B$1="ga",IF(E23="","","null"),IF(B$1="ga_es",IF(F23="","","null"),IF(B$1="ga_brp",IF(AD$2=0,"",AD$2),IF(F23="","",INDEX(Tabel13423234[brp_id],MATCH(F23,Tabel13423234[es_id],0),1)))))</f>
        <v>1100000000000</v>
      </c>
      <c r="H23" s="33" t="str">
        <f t="shared" ref="H23:H45" si="8">SUBSTITUTE(IF(E23="","",I23+J23+K23),",",".")</f>
        <v>0.5</v>
      </c>
      <c r="I23" s="9">
        <f t="shared" si="5"/>
        <v>0</v>
      </c>
      <c r="J23" s="9">
        <f>IF(D23="Quarter1",SUMIFS(Tabel13423234[quantity],IF(OR(B$1="ga_es",B$1="ga_brp_es"),Tabel13423234[es_id],IF(B$1="ga_brp",Tabel13423234[brp_id],Tabel13423234[ga_id])),IF(OR(B$1="ga_es",B$1="ga_brp_es"),F23,IF(B$1="ga_brp",G23,E23)),IF(B$2="production",Tabel13423234[type],Tabel13423234[settlement_method]),AE$2,Tabel13423234[resolution],"PT15M"),0)</f>
        <v>0</v>
      </c>
      <c r="K23" s="9">
        <f t="shared" si="6"/>
        <v>0.5</v>
      </c>
      <c r="L23" s="2"/>
      <c r="M23" s="2"/>
      <c r="N23" s="2"/>
      <c r="O23" s="2"/>
      <c r="P23" s="15" t="s">
        <v>77</v>
      </c>
      <c r="Q23" s="26" t="str">
        <f>_xlfn.IFNA(INDEX(Tabel13423234[ga_id],MATCH(S23,Tabel13423234[es_id],0)),"")</f>
        <v/>
      </c>
      <c r="R23" s="26" t="str">
        <f>_xlfn.IFNA(INDEX(Tabel13423234[brp_id],MATCH(S23,Tabel13423234[es_id],0)),"")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_xlfn._xlws.SORT(_xlfn.UNIQUE(IFERROR(INDEX(_xlfn._xlws.FILTER(Tabel13423234[[type]:[brp_id]],(Tabel13423234[es_id]=AC6)*(Tabel13423234[settlement_method]="D01"),""),,6),"")))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35">
      <c r="B24" s="16" t="str">
        <f>IF(AND(F24&lt;&gt;"null",F24&lt;&gt;""),IF(F24=INDEX(Tabel13423234[es_id],MATCH("GLMP",Tabel13423234[note],0),1),"glmp",""),IF(AND(G24&lt;&gt;"null",G24&lt;&gt;""),IF(G24=INDEX(Tabel13423234[brp_id],MATCH("GLMP",Tabel13423234[note],0),1),"glmp",""),IF(E24=INDEX(Tabel13423234[ga_id],MATCH("GLMP",Tabel13423234[note],0),1),"glmp","")))</f>
        <v/>
      </c>
      <c r="C24" s="16" t="str">
        <f>IF(AND(F24&lt;&gt;"null",F24&lt;&gt;""),IF(F24=INDEX(Tabel13423234[es_id],MATCH("SKMP",Tabel13423234[note],0),1),"skmp",""),IF(AND(G24&lt;&gt;"null",G24&lt;&gt;""),IF(G24=INDEX(Tabel13423234[brp_id],MATCH("SKMP",Tabel13423234[note],0),1),"skmp",""),IF(E24=INDEX(Tabel13423234[ga_id],MATCH("SKMP",Tabel13423234[note],0),1),"skmp","")))</f>
        <v>skmp</v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3000000000000</v>
      </c>
      <c r="G24" s="31" t="str">
        <f>IF(B$1="ga",IF(E24="","","null"),IF(B$1="ga_es",IF(F24="","","null"),IF(B$1="ga_brp",IF(AD$2=0,"",AD$2),IF(F24="","",INDEX(Tabel13423234[brp_id],MATCH(F24,Tabel13423234[es_id],0),1)))))</f>
        <v>1100000000000</v>
      </c>
      <c r="H24" s="33" t="str">
        <f t="shared" si="8"/>
        <v>0.5</v>
      </c>
      <c r="I24" s="9">
        <f t="shared" si="5"/>
        <v>0</v>
      </c>
      <c r="J24" s="9">
        <f>IF(D24="Quarter1",SUMIFS(Tabel13423234[quantity],IF(OR(B$1="ga_es",B$1="ga_brp_es"),Tabel13423234[es_id],IF(B$1="ga_brp",Tabel13423234[brp_id],Tabel13423234[ga_id])),IF(OR(B$1="ga_es",B$1="ga_brp_es"),F24,IF(B$1="ga_brp",G24,E24)),IF(B$2="production",Tabel13423234[type],Tabel13423234[settlement_method]),AE$2,Tabel13423234[resolution],"PT15M"),0)</f>
        <v>0</v>
      </c>
      <c r="K24" s="9">
        <f t="shared" si="6"/>
        <v>0.5</v>
      </c>
      <c r="L24" s="2"/>
      <c r="M24" s="2"/>
      <c r="N24" s="2"/>
      <c r="O24" s="2"/>
      <c r="P24" s="15" t="s">
        <v>78</v>
      </c>
      <c r="Q24" s="26" t="str">
        <f>_xlfn.IFNA(INDEX(Tabel13423234[ga_id],MATCH(S24,Tabel13423234[es_id],0)),"")</f>
        <v/>
      </c>
      <c r="R24" s="26" t="str">
        <f>_xlfn.IFNA(INDEX(Tabel13423234[brp_id],MATCH(S24,Tabel13423234[es_id],0)),"")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_xlfn._xlws.SORT(_xlfn.UNIQUE(IFERROR(INDEX(_xlfn._xlws.FILTER(Tabel13423234[[type]:[brp_id]],(Tabel13423234[es_id]=AC7)*(Tabel13423234[settlement_method]="D01"),""),,6),"")))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35">
      <c r="B25" s="16" t="str">
        <f>IF(AND(F25&lt;&gt;"null",F25&lt;&gt;""),IF(F25=INDEX(Tabel13423234[es_id],MATCH("GLMP",Tabel13423234[note],0),1),"glmp",""),IF(AND(G25&lt;&gt;"null",G25&lt;&gt;""),IF(G25=INDEX(Tabel13423234[brp_id],MATCH("GLMP",Tabel13423234[note],0),1),"glmp",""),IF(E25=INDEX(Tabel13423234[ga_id],MATCH("GLMP",Tabel13423234[note],0),1),"glmp","")))</f>
        <v/>
      </c>
      <c r="C25" s="16" t="str">
        <f>IF(AND(F25&lt;&gt;"null",F25&lt;&gt;""),IF(F25=INDEX(Tabel13423234[es_id],MATCH("SKMP",Tabel13423234[note],0),1),"skmp",""),IF(AND(G25&lt;&gt;"null",G25&lt;&gt;""),IF(G25=INDEX(Tabel13423234[brp_id],MATCH("SKMP",Tabel13423234[note],0),1),"skmp",""),IF(E25=INDEX(Tabel13423234[ga_id],MATCH("SKMP",Tabel13423234[note],0),1),"skmp","")))</f>
        <v>skmp</v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3000000000000</v>
      </c>
      <c r="G25" s="31" t="str">
        <f>IF(B$1="ga",IF(E25="","","null"),IF(B$1="ga_es",IF(F25="","","null"),IF(B$1="ga_brp",IF(AD$2=0,"",AD$2),IF(F25="","",INDEX(Tabel13423234[brp_id],MATCH(F25,Tabel13423234[es_id],0),1)))))</f>
        <v>1100000000000</v>
      </c>
      <c r="H25" s="33" t="str">
        <f t="shared" si="8"/>
        <v>0.5</v>
      </c>
      <c r="I25" s="9">
        <f t="shared" si="5"/>
        <v>0</v>
      </c>
      <c r="J25" s="9">
        <f>IF(D25="Quarter1",SUMIFS(Tabel13423234[quantity],IF(OR(B$1="ga_es",B$1="ga_brp_es"),Tabel13423234[es_id],IF(B$1="ga_brp",Tabel13423234[brp_id],Tabel13423234[ga_id])),IF(OR(B$1="ga_es",B$1="ga_brp_es"),F25,IF(B$1="ga_brp",G25,E25)),IF(B$2="production",Tabel13423234[type],Tabel13423234[settlement_method]),AE$2,Tabel13423234[resolution],"PT15M"),0)</f>
        <v>0</v>
      </c>
      <c r="K25" s="9">
        <f t="shared" si="6"/>
        <v>0.5</v>
      </c>
      <c r="L25" s="2"/>
      <c r="M25" s="2"/>
      <c r="N25" s="2"/>
      <c r="O25" s="2"/>
      <c r="P25" s="15" t="s">
        <v>75</v>
      </c>
      <c r="Q25" s="26" t="str">
        <f>_xlfn.IFNA(INDEX(Tabel13423234[ga_id],MATCH(S25,Tabel13423234[es_id],0)),"")</f>
        <v/>
      </c>
      <c r="R25" s="26" t="str">
        <f>_xlfn.IFNA(INDEX(Tabel13423234[brp_id],MATCH(S25,Tabel13423234[es_id],0)),"")</f>
        <v/>
      </c>
      <c r="S25" s="26" t="str">
        <f>IF(AC$6=0,"",AC$6)</f>
        <v/>
      </c>
      <c r="T25" s="20">
        <f>SUMIFS(Tabel13423234[quantity],Tabel13423234[es_id],S25,IF(B$2="production",Tabel13423234[type],Tabel13423234[settlement_method]),AE$2,Tabel13423234[resolution],"PT1H")/4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35">
      <c r="B26" s="16" t="str">
        <f>IF(AND(F26&lt;&gt;"null",F26&lt;&gt;""),IF(F26=INDEX(Tabel13423234[es_id],MATCH("GLMP",Tabel13423234[note],0),1),"glmp",""),IF(AND(G26&lt;&gt;"null",G26&lt;&gt;""),IF(G26=INDEX(Tabel13423234[brp_id],MATCH("GLMP",Tabel13423234[note],0),1),"glmp",""),IF(E26=INDEX(Tabel13423234[ga_id],MATCH("GLMP",Tabel13423234[note],0),1),"glmp","")))</f>
        <v/>
      </c>
      <c r="C26" s="16" t="str">
        <f>IF(AND(F26&lt;&gt;"null",F26&lt;&gt;""),IF(F26=INDEX(Tabel13423234[es_id],MATCH("SKMP",Tabel13423234[note],0),1),"skmp",""),IF(AND(G26&lt;&gt;"null",G26&lt;&gt;""),IF(G26=INDEX(Tabel13423234[brp_id],MATCH("SKMP",Tabel13423234[note],0),1),"skmp",""),IF(E26=INDEX(Tabel13423234[ga_id],MATCH("SKMP",Tabel13423234[note],0),1),"skmp","")))</f>
        <v/>
      </c>
      <c r="D26" s="15" t="s">
        <v>75</v>
      </c>
      <c r="E26" s="31" t="str">
        <f t="shared" si="4"/>
        <v>800</v>
      </c>
      <c r="F26" s="31" t="str">
        <f>IF(B$1="ga",IF(E26="","","null"),IF(OR(B$1="ga_es",B$1="ga_brp_es"),IF(AC$3=0,"",AC$3),IF(B$1="ga_brp",IF(G26="","","null"))))</f>
        <v>5000000000000</v>
      </c>
      <c r="G26" s="31" t="str">
        <f>IF(B$1="ga",IF(E26="","","null"),IF(B$1="ga_es",IF(F26="","","null"),IF(B$1="ga_brp",IF(AD$3=0,"",AD$3),IF(F26="","",INDEX(Tabel13423234[brp_id],MATCH(F26,Tabel13423234[es_id],0),1)))))</f>
        <v>5500000000000</v>
      </c>
      <c r="H26" s="33" t="str">
        <f t="shared" si="8"/>
        <v>2.5</v>
      </c>
      <c r="I26" s="9">
        <f t="shared" si="5"/>
        <v>2.5</v>
      </c>
      <c r="J26" s="9">
        <f>IF(D26="Quarter1",SUMIFS(Tabel13423234[quantity],IF(OR(B$1="ga_es",B$1="ga_brp_es"),Tabel13423234[es_id],IF(B$1="ga_brp",Tabel13423234[brp_id],Tabel13423234[ga_id])),IF(OR(B$1="ga_es",B$1="ga_brp_es"),F26,IF(B$1="ga_brp",G26,E26)),IF(B$2="production",Tabel13423234[type],Tabel13423234[settlement_method]),AE$2,Tabel13423234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_xlfn.IFNA(INDEX(Tabel13423234[ga_id],MATCH(S26,Tabel13423234[es_id],0)),"")</f>
        <v/>
      </c>
      <c r="R26" s="26" t="str">
        <f>_xlfn.IFNA(INDEX(Tabel13423234[brp_id],MATCH(S26,Tabel13423234[es_id],0)),"")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35">
      <c r="B27" s="16" t="str">
        <f>IF(AND(F27&lt;&gt;"null",F27&lt;&gt;""),IF(F27=INDEX(Tabel13423234[es_id],MATCH("GLMP",Tabel13423234[note],0),1),"glmp",""),IF(AND(G27&lt;&gt;"null",G27&lt;&gt;""),IF(G27=INDEX(Tabel13423234[brp_id],MATCH("GLMP",Tabel13423234[note],0),1),"glmp",""),IF(E27=INDEX(Tabel13423234[ga_id],MATCH("GLMP",Tabel13423234[note],0),1),"glmp","")))</f>
        <v/>
      </c>
      <c r="C27" s="16" t="str">
        <f>IF(AND(F27&lt;&gt;"null",F27&lt;&gt;""),IF(F27=INDEX(Tabel13423234[es_id],MATCH("SKMP",Tabel13423234[note],0),1),"skmp",""),IF(AND(G27&lt;&gt;"null",G27&lt;&gt;""),IF(G27=INDEX(Tabel13423234[brp_id],MATCH("SKMP",Tabel13423234[note],0),1),"skmp",""),IF(E27=INDEX(Tabel13423234[ga_id],MATCH("SKMP",Tabel13423234[note],0),1),"skmp","")))</f>
        <v/>
      </c>
      <c r="D27" s="15" t="s">
        <v>76</v>
      </c>
      <c r="E27" s="31" t="str">
        <f t="shared" si="4"/>
        <v>800</v>
      </c>
      <c r="F27" s="31" t="str">
        <f>IF(B$1="ga",IF(E27="","","null"),IF(OR(B$1="ga_es",B$1="ga_brp_es"),IF(AC$3=0,"",AC$3),IF(B$1="ga_brp",IF(G27="","","null"))))</f>
        <v>5000000000000</v>
      </c>
      <c r="G27" s="31" t="str">
        <f>IF(B$1="ga",IF(E27="","","null"),IF(B$1="ga_es",IF(F27="","","null"),IF(B$1="ga_brp",IF(AD$3=0,"",AD$3),IF(F27="","",INDEX(Tabel13423234[brp_id],MATCH(F27,Tabel13423234[es_id],0),1)))))</f>
        <v>5500000000000</v>
      </c>
      <c r="H27" s="33" t="str">
        <f t="shared" si="8"/>
        <v>2.5</v>
      </c>
      <c r="I27" s="9">
        <f t="shared" si="5"/>
        <v>2.5</v>
      </c>
      <c r="J27" s="9">
        <f>IF(D27="Quarter1",SUMIFS(Tabel13423234[quantity],IF(OR(B$1="ga_es",B$1="ga_brp_es"),Tabel13423234[es_id],IF(B$1="ga_brp",Tabel13423234[brp_id],Tabel13423234[ga_id])),IF(OR(B$1="ga_es",B$1="ga_brp_es"),F27,IF(B$1="ga_brp",G27,E27)),IF(B$2="production",Tabel13423234[type],Tabel13423234[settlement_method]),AE$2,Tabel13423234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_xlfn.IFNA(INDEX(Tabel13423234[ga_id],MATCH(S27,Tabel13423234[es_id],0)),"")</f>
        <v/>
      </c>
      <c r="R27" s="26" t="str">
        <f>_xlfn.IFNA(INDEX(Tabel13423234[brp_id],MATCH(S27,Tabel13423234[es_id],0)),"")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production</v>
      </c>
      <c r="AD27" s="36" t="str">
        <f>_xlfn.CONCAT("Balance responsibles for "&amp;B2)</f>
        <v>Balance responsibles for production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35">
      <c r="B28" s="16" t="str">
        <f>IF(AND(F28&lt;&gt;"null",F28&lt;&gt;""),IF(F28=INDEX(Tabel13423234[es_id],MATCH("GLMP",Tabel13423234[note],0),1),"glmp",""),IF(AND(G28&lt;&gt;"null",G28&lt;&gt;""),IF(G28=INDEX(Tabel13423234[brp_id],MATCH("GLMP",Tabel13423234[note],0),1),"glmp",""),IF(E28=INDEX(Tabel13423234[ga_id],MATCH("GLMP",Tabel13423234[note],0),1),"glmp","")))</f>
        <v/>
      </c>
      <c r="C28" s="16" t="str">
        <f>IF(AND(F28&lt;&gt;"null",F28&lt;&gt;""),IF(F28=INDEX(Tabel13423234[es_id],MATCH("SKMP",Tabel13423234[note],0),1),"skmp",""),IF(AND(G28&lt;&gt;"null",G28&lt;&gt;""),IF(G28=INDEX(Tabel13423234[brp_id],MATCH("SKMP",Tabel13423234[note],0),1),"skmp",""),IF(E28=INDEX(Tabel13423234[ga_id],MATCH("SKMP",Tabel13423234[note],0),1),"skmp","")))</f>
        <v/>
      </c>
      <c r="D28" s="15" t="s">
        <v>77</v>
      </c>
      <c r="E28" s="31" t="str">
        <f t="shared" si="4"/>
        <v>800</v>
      </c>
      <c r="F28" s="31" t="str">
        <f>IF(B$1="ga",IF(E28="","","null"),IF(OR(B$1="ga_es",B$1="ga_brp_es"),IF(AC$3=0,"",AC$3),IF(B$1="ga_brp",IF(G28="","","null"))))</f>
        <v>5000000000000</v>
      </c>
      <c r="G28" s="31" t="str">
        <f>IF(B$1="ga",IF(E28="","","null"),IF(B$1="ga_es",IF(F28="","","null"),IF(B$1="ga_brp",IF(AD$3=0,"",AD$3),IF(F28="","",INDEX(Tabel13423234[brp_id],MATCH(F28,Tabel13423234[es_id],0),1)))))</f>
        <v>5500000000000</v>
      </c>
      <c r="H28" s="33" t="str">
        <f t="shared" si="8"/>
        <v>2.5</v>
      </c>
      <c r="I28" s="9">
        <f t="shared" si="5"/>
        <v>2.5</v>
      </c>
      <c r="J28" s="9">
        <f>IF(D28="Quarter1",SUMIFS(Tabel13423234[quantity],IF(OR(B$1="ga_es",B$1="ga_brp_es"),Tabel13423234[es_id],IF(B$1="ga_brp",Tabel13423234[brp_id],Tabel13423234[ga_id])),IF(OR(B$1="ga_es",B$1="ga_brp_es"),F28,IF(B$1="ga_brp",G28,E28)),IF(B$2="production",Tabel13423234[type],Tabel13423234[settlement_method]),AE$2,Tabel13423234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_xlfn.IFNA(INDEX(Tabel13423234[ga_id],MATCH(S28,Tabel13423234[es_id],0)),"")</f>
        <v/>
      </c>
      <c r="R28" s="26" t="str">
        <f>_xlfn.IFNA(INDEX(Tabel13423234[brp_id],MATCH(S28,Tabel13423234[es_id],0)),"")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INDEX(_xlfn._xlws.FILTER(Tabel13423234[[type]:[brp_id]],(Tabel13423234[es_id]=AC13)*(Tabel13423234[type]="E18"),""),,6),INDEX(_xlfn._xlws.FILTER(Tabel13423234[[type]:[brp_id]],(Tabel13423234[es_id]=AC13)*(Tabel13423234[settlement_method]=AE$2),""),,6)),"")</f>
        <v/>
      </c>
      <c r="AD28" s="36" t="str" cm="1">
        <f t="array" ref="AD28">IFERROR(IF($B$2="production",INDEX(_xlfn._xlws.FILTER(Tabel13423234[[type]:[brp_id]],(Tabel13423234[brp_id]=AD13)*(Tabel13423234[type]=$AE$2),""),,7),INDEX(_xlfn._xlws.FILTER(Tabel13423234[[type]:[brp_id]],(Tabel13423234[brp_id]=AD13)*(Tabel13423234[settlement_method]=AE$2),""),,7)),"")</f>
        <v>1100000000000</v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35">
      <c r="B29" s="16" t="str">
        <f>IF(AND(F29&lt;&gt;"null",F29&lt;&gt;""),IF(F29=INDEX(Tabel13423234[es_id],MATCH("GLMP",Tabel13423234[note],0),1),"glmp",""),IF(AND(G29&lt;&gt;"null",G29&lt;&gt;""),IF(G29=INDEX(Tabel13423234[brp_id],MATCH("GLMP",Tabel13423234[note],0),1),"glmp",""),IF(E29=INDEX(Tabel13423234[ga_id],MATCH("GLMP",Tabel13423234[note],0),1),"glmp","")))</f>
        <v/>
      </c>
      <c r="C29" s="16" t="str">
        <f>IF(AND(F29&lt;&gt;"null",F29&lt;&gt;""),IF(F29=INDEX(Tabel13423234[es_id],MATCH("SKMP",Tabel13423234[note],0),1),"skmp",""),IF(AND(G29&lt;&gt;"null",G29&lt;&gt;""),IF(G29=INDEX(Tabel13423234[brp_id],MATCH("SKMP",Tabel13423234[note],0),1),"skmp",""),IF(E29=INDEX(Tabel13423234[ga_id],MATCH("SKMP",Tabel13423234[note],0),1),"skmp","")))</f>
        <v/>
      </c>
      <c r="D29" s="15" t="s">
        <v>78</v>
      </c>
      <c r="E29" s="31" t="str">
        <f t="shared" si="4"/>
        <v>800</v>
      </c>
      <c r="F29" s="31" t="str">
        <f>IF(B$1="ga",IF(E29="","","null"),IF(OR(B$1="ga_es",B$1="ga_brp_es"),IF(AC$3=0,"",AC$3),IF(B$1="ga_brp",IF(G29="","","null"))))</f>
        <v>5000000000000</v>
      </c>
      <c r="G29" s="31" t="str">
        <f>IF(B$1="ga",IF(E29="","","null"),IF(B$1="ga_es",IF(F29="","","null"),IF(B$1="ga_brp",IF(AD$3=0,"",AD$3),IF(F29="","",INDEX(Tabel13423234[brp_id],MATCH(F29,Tabel13423234[es_id],0),1)))))</f>
        <v>5500000000000</v>
      </c>
      <c r="H29" s="33" t="str">
        <f t="shared" si="8"/>
        <v>2.5</v>
      </c>
      <c r="I29" s="9">
        <f t="shared" si="5"/>
        <v>2.5</v>
      </c>
      <c r="J29" s="9">
        <f>IF(D29="Quarter1",SUMIFS(Tabel13423234[quantity],IF(OR(B$1="ga_es",B$1="ga_brp_es"),Tabel13423234[es_id],IF(B$1="ga_brp",Tabel13423234[brp_id],Tabel13423234[ga_id])),IF(OR(B$1="ga_es",B$1="ga_brp_es"),F29,IF(B$1="ga_brp",G29,E29)),IF(B$2="production",Tabel13423234[type],Tabel13423234[settlement_method]),AE$2,Tabel13423234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_xlfn.IFNA(INDEX(Tabel13423234[ga_id],MATCH(S29,Tabel13423234[es_id],0)),"")</f>
        <v/>
      </c>
      <c r="R29" s="26" t="str">
        <f>_xlfn.IFNA(INDEX(Tabel13423234[brp_id],MATCH(S29,Tabel13423234[es_id],0)),"")</f>
        <v/>
      </c>
      <c r="S29" s="26" t="str">
        <f>IF(AC$7=0,"",AC$7)</f>
        <v/>
      </c>
      <c r="T29" s="20">
        <f>SUMIFS(Tabel13423234[quantity],Tabel13423234[es_id],S29,IF(B$2="production",Tabel13423234[type],Tabel13423234[settlement_method]),AE$2,Tabel13423234[resolution],"PT1H")/4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INDEX(_xlfn._xlws.FILTER(Tabel13423234[[type]:[brp_id]],(Tabel13423234[es_id]=AC14)*(Tabel13423234[type]="E18"),""),,6),INDEX(_xlfn._xlws.FILTER(Tabel13423234[[type]:[brp_id]],(Tabel13423234[es_id]=AC14)*(Tabel13423234[settlement_method]=AE$2),""),,6)),"")</f>
        <v>3000000000000</v>
      </c>
      <c r="AD29" s="36" t="str" cm="1">
        <f t="array" ref="AD29">IFERROR(IF($B$2="production",INDEX(_xlfn._xlws.FILTER(Tabel13423234[[type]:[brp_id]],(Tabel13423234[brp_id]=AD14)*(Tabel13423234[type]=$AE$2),""),,7),INDEX(_xlfn._xlws.FILTER(Tabel13423234[[type]:[brp_id]],(Tabel13423234[brp_id]=AD14)*(Tabel13423234[settlement_method]=AE$2),""),,7)),"")</f>
        <v>5500000000000</v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35">
      <c r="B30" s="16" t="str">
        <f>IF(AND(F30&lt;&gt;"null",F30&lt;&gt;""),IF(F30=INDEX(Tabel13423234[es_id],MATCH("GLMP",Tabel13423234[note],0),1),"glmp",""),IF(AND(G30&lt;&gt;"null",G30&lt;&gt;""),IF(G30=INDEX(Tabel13423234[brp_id],MATCH("GLMP",Tabel13423234[note],0),1),"glmp",""),IF(E30=INDEX(Tabel13423234[ga_id],MATCH("GLMP",Tabel13423234[note],0),1),"glmp","")))</f>
        <v/>
      </c>
      <c r="C30" s="16" t="str">
        <f>IF(AND(F30&lt;&gt;"null",F30&lt;&gt;""),IF(F30=INDEX(Tabel13423234[es_id],MATCH("SKMP",Tabel13423234[note],0),1),"skmp",""),IF(AND(G30&lt;&gt;"null",G30&lt;&gt;""),IF(G30=INDEX(Tabel13423234[brp_id],MATCH("SKMP",Tabel13423234[note],0),1),"skmp",""),IF(E30=INDEX(Tabel13423234[ga_id],MATCH("SKMP",Tabel13423234[note],0),1),"skmp","")))</f>
        <v/>
      </c>
      <c r="D30" s="15" t="s">
        <v>75</v>
      </c>
      <c r="E30" s="31" t="str">
        <f t="shared" si="4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IF(B$1="ga",IF(E30="","","null"),IF(B$1="ga_es",IF(F30="","","null"),IF(B$1="ga_brp",IF(AD$4=0,"",AD$4),IF(F30="","",INDEX(Tabel13423234[brp_id],MATCH(F30,Tabel13423234[es_id],0),1)))))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13423234[quantity],IF(OR(B$1="ga_es",B$1="ga_brp_es"),Tabel13423234[es_id],IF(B$1="ga_brp",Tabel13423234[brp_id],Tabel13423234[ga_id])),IF(OR(B$1="ga_es",B$1="ga_brp_es"),F30,IF(B$1="ga_brp",G30,E30)),IF(B$2="production",Tabel13423234[type],Tabel13423234[settlement_method]),AE$2,Tabel13423234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_xlfn.IFNA(INDEX(Tabel13423234[ga_id],MATCH(S30,Tabel13423234[es_id],0)),"")</f>
        <v/>
      </c>
      <c r="R30" s="26" t="str">
        <f>_xlfn.IFNA(INDEX(Tabel13423234[brp_id],MATCH(S30,Tabel13423234[es_id],0)),"")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INDEX(_xlfn._xlws.FILTER(Tabel13423234[[type]:[brp_id]],(Tabel13423234[es_id]=AC15)*(Tabel13423234[type]="E18"),""),,6),INDEX(_xlfn._xlws.FILTER(Tabel13423234[[type]:[brp_id]],(Tabel13423234[es_id]=AC15)*(Tabel13423234[settlement_method]=AE$2),""),,6)),"")</f>
        <v>5000000000000</v>
      </c>
      <c r="AD30" s="36" t="str" cm="1">
        <f t="array" ref="AD30">IFERROR(IF($B$2="production",INDEX(_xlfn._xlws.FILTER(Tabel13423234[[type]:[brp_id]],(Tabel13423234[brp_id]=AD15)*(Tabel13423234[type]=$AE$2),""),,7),INDEX(_xlfn._xlws.FILTER(Tabel13423234[[type]:[brp_id]],(Tabel13423234[brp_id]=AD15)*(Tabel13423234[settlement_method]=AE$2),""),,7)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35">
      <c r="B31" s="16" t="str">
        <f>IF(AND(F31&lt;&gt;"null",F31&lt;&gt;""),IF(F31=INDEX(Tabel13423234[es_id],MATCH("GLMP",Tabel13423234[note],0),1),"glmp",""),IF(AND(G31&lt;&gt;"null",G31&lt;&gt;""),IF(G31=INDEX(Tabel13423234[brp_id],MATCH("GLMP",Tabel13423234[note],0),1),"glmp",""),IF(E31=INDEX(Tabel13423234[ga_id],MATCH("GLMP",Tabel13423234[note],0),1),"glmp","")))</f>
        <v/>
      </c>
      <c r="C31" s="16" t="str">
        <f>IF(AND(F31&lt;&gt;"null",F31&lt;&gt;""),IF(F31=INDEX(Tabel13423234[es_id],MATCH("SKMP",Tabel13423234[note],0),1),"skmp",""),IF(AND(G31&lt;&gt;"null",G31&lt;&gt;""),IF(G31=INDEX(Tabel13423234[brp_id],MATCH("SKMP",Tabel13423234[note],0),1),"skmp",""),IF(E31=INDEX(Tabel13423234[ga_id],MATCH("SKMP",Tabel13423234[note],0),1),"skmp","")))</f>
        <v/>
      </c>
      <c r="D31" s="15" t="s">
        <v>76</v>
      </c>
      <c r="E31" s="31" t="str">
        <f t="shared" si="4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IF(B$1="ga",IF(E31="","","null"),IF(B$1="ga_es",IF(F31="","","null"),IF(B$1="ga_brp",IF(AD$4=0,"",AD$4),IF(F31="","",INDEX(Tabel13423234[brp_id],MATCH(F31,Tabel13423234[es_id],0),1)))))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13423234[quantity],IF(OR(B$1="ga_es",B$1="ga_brp_es"),Tabel13423234[es_id],IF(B$1="ga_brp",Tabel13423234[brp_id],Tabel13423234[ga_id])),IF(OR(B$1="ga_es",B$1="ga_brp_es"),F31,IF(B$1="ga_brp",G31,E31)),IF(B$2="production",Tabel13423234[type],Tabel13423234[settlement_method]),AE$2,Tabel13423234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_xlfn.IFNA(INDEX(Tabel13423234[ga_id],MATCH(S31,Tabel13423234[es_id],0)),"")</f>
        <v/>
      </c>
      <c r="R31" s="26" t="str">
        <f>_xlfn.IFNA(INDEX(Tabel13423234[brp_id],MATCH(S31,Tabel13423234[es_id],0)),"")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INDEX(_xlfn._xlws.FILTER(Tabel13423234[[type]:[brp_id]],(Tabel13423234[es_id]=AC16)*(Tabel13423234[type]="E18"),""),,6),INDEX(_xlfn._xlws.FILTER(Tabel13423234[[type]:[brp_id]],(Tabel13423234[es_id]=AC16)*(Tabel13423234[settlement_method]=AE$2),""),,6)),"")</f>
        <v/>
      </c>
      <c r="AD31" s="36" t="str" cm="1">
        <f t="array" ref="AD31">IFERROR(IF($B$2="production",INDEX(_xlfn._xlws.FILTER(Tabel13423234[[type]:[brp_id]],(Tabel13423234[brp_id]=AD16)*(Tabel13423234[type]=$AE$2),""),,7),INDEX(_xlfn._xlws.FILTER(Tabel13423234[[type]:[brp_id]],(Tabel13423234[brp_id]=AD16)*(Tabel13423234[settlement_method]=AE$2),""),,7)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35">
      <c r="B32" s="16" t="str">
        <f>IF(AND(F32&lt;&gt;"null",F32&lt;&gt;""),IF(F32=INDEX(Tabel13423234[es_id],MATCH("GLMP",Tabel13423234[note],0),1),"glmp",""),IF(AND(G32&lt;&gt;"null",G32&lt;&gt;""),IF(G32=INDEX(Tabel13423234[brp_id],MATCH("GLMP",Tabel13423234[note],0),1),"glmp",""),IF(E32=INDEX(Tabel13423234[ga_id],MATCH("GLMP",Tabel13423234[note],0),1),"glmp","")))</f>
        <v/>
      </c>
      <c r="C32" s="16" t="str">
        <f>IF(AND(F32&lt;&gt;"null",F32&lt;&gt;""),IF(F32=INDEX(Tabel13423234[es_id],MATCH("SKMP",Tabel13423234[note],0),1),"skmp",""),IF(AND(G32&lt;&gt;"null",G32&lt;&gt;""),IF(G32=INDEX(Tabel13423234[brp_id],MATCH("SKMP",Tabel13423234[note],0),1),"skmp",""),IF(E32=INDEX(Tabel13423234[ga_id],MATCH("SKMP",Tabel13423234[note],0),1),"skmp","")))</f>
        <v/>
      </c>
      <c r="D32" s="15" t="s">
        <v>77</v>
      </c>
      <c r="E32" s="31" t="str">
        <f t="shared" si="4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IF(B$1="ga",IF(E32="","","null"),IF(B$1="ga_es",IF(F32="","","null"),IF(B$1="ga_brp",IF(AD$4=0,"",AD$4),IF(F32="","",INDEX(Tabel13423234[brp_id],MATCH(F32,Tabel13423234[es_id],0),1)))))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13423234[quantity],IF(OR(B$1="ga_es",B$1="ga_brp_es"),Tabel13423234[es_id],IF(B$1="ga_brp",Tabel13423234[brp_id],Tabel13423234[ga_id])),IF(OR(B$1="ga_es",B$1="ga_brp_es"),F32,IF(B$1="ga_brp",G32,E32)),IF(B$2="production",Tabel13423234[type],Tabel13423234[settlement_method]),AE$2,Tabel13423234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_xlfn.IFNA(INDEX(Tabel13423234[ga_id],MATCH(S32,Tabel13423234[es_id],0)),"")</f>
        <v/>
      </c>
      <c r="R32" s="26" t="str">
        <f>_xlfn.IFNA(INDEX(Tabel13423234[brp_id],MATCH(S32,Tabel13423234[es_id],0)),"")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INDEX(_xlfn._xlws.FILTER(Tabel13423234[[type]:[brp_id]],(Tabel13423234[es_id]=AC17)*(Tabel13423234[type]="E18"),""),,6),INDEX(_xlfn._xlws.FILTER(Tabel13423234[[type]:[brp_id]],(Tabel13423234[es_id]=AC17)*(Tabel13423234[settlement_method]=AE$2),""),,6)),"")</f>
        <v/>
      </c>
      <c r="AD32" s="36" t="str" cm="1">
        <f t="array" ref="AD32">IFERROR(IF($B$2="production",INDEX(_xlfn._xlws.FILTER(Tabel13423234[[type]:[brp_id]],(Tabel13423234[brp_id]=AD17)*(Tabel13423234[type]=$AE$2),""),,7),INDEX(_xlfn._xlws.FILTER(Tabel13423234[[type]:[brp_id]],(Tabel13423234[brp_id]=AD17)*(Tabel13423234[settlement_method]=AE$2),""),,7)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35">
      <c r="B33" s="16" t="str">
        <f>IF(AND(F33&lt;&gt;"null",F33&lt;&gt;""),IF(F33=INDEX(Tabel13423234[es_id],MATCH("GLMP",Tabel13423234[note],0),1),"glmp",""),IF(AND(G33&lt;&gt;"null",G33&lt;&gt;""),IF(G33=INDEX(Tabel13423234[brp_id],MATCH("GLMP",Tabel13423234[note],0),1),"glmp",""),IF(E33=INDEX(Tabel13423234[ga_id],MATCH("GLMP",Tabel13423234[note],0),1),"glmp","")))</f>
        <v/>
      </c>
      <c r="C33" s="16" t="str">
        <f>IF(AND(F33&lt;&gt;"null",F33&lt;&gt;""),IF(F33=INDEX(Tabel13423234[es_id],MATCH("SKMP",Tabel13423234[note],0),1),"skmp",""),IF(AND(G33&lt;&gt;"null",G33&lt;&gt;""),IF(G33=INDEX(Tabel13423234[brp_id],MATCH("SKMP",Tabel13423234[note],0),1),"skmp",""),IF(E33=INDEX(Tabel13423234[ga_id],MATCH("SKMP",Tabel13423234[note],0),1),"skmp","")))</f>
        <v/>
      </c>
      <c r="D33" s="15" t="s">
        <v>78</v>
      </c>
      <c r="E33" s="31" t="str">
        <f t="shared" si="4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IF(B$1="ga",IF(E33="","","null"),IF(B$1="ga_es",IF(F33="","","null"),IF(B$1="ga_brp",IF(AD$4=0,"",AD$4),IF(F33="","",INDEX(Tabel13423234[brp_id],MATCH(F33,Tabel13423234[es_id],0),1)))))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13423234[quantity],IF(OR(B$1="ga_es",B$1="ga_brp_es"),Tabel13423234[es_id],IF(B$1="ga_brp",Tabel13423234[brp_id],Tabel13423234[ga_id])),IF(OR(B$1="ga_es",B$1="ga_brp_es"),F33,IF(B$1="ga_brp",G33,E33)),IF(B$2="production",Tabel13423234[type],Tabel13423234[settlement_method]),AE$2,Tabel13423234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INDEX(_xlfn._xlws.FILTER(Tabel13423234[[type]:[brp_id]],(Tabel13423234[es_id]=AC18)*(Tabel13423234[type]="E18"),""),,6),INDEX(_xlfn._xlws.FILTER(Tabel13423234[[type]:[brp_id]],(Tabel13423234[es_id]=AC18)*(Tabel13423234[settlement_method]=AE$2),""),,6)),"")</f>
        <v/>
      </c>
      <c r="AD33" s="36" t="str" cm="1">
        <f t="array" ref="AD33">IFERROR(IF($B$2="production",INDEX(_xlfn._xlws.FILTER(Tabel13423234[[type]:[brp_id]],(Tabel13423234[brp_id]=AD18)*(Tabel13423234[type]=$AE$2),""),,7),INDEX(_xlfn._xlws.FILTER(Tabel13423234[[type]:[brp_id]],(Tabel13423234[brp_id]=AD18)*(Tabel13423234[settlement_method]=AE$2),""),,7)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35">
      <c r="B34" s="16" t="str">
        <f>IF(AND(F34&lt;&gt;"null",F34&lt;&gt;""),IF(F34=INDEX(Tabel13423234[es_id],MATCH("GLMP",Tabel13423234[note],0),1),"glmp",""),IF(AND(G34&lt;&gt;"null",G34&lt;&gt;""),IF(G34=INDEX(Tabel13423234[brp_id],MATCH("GLMP",Tabel13423234[note],0),1),"glmp",""),IF(E34=INDEX(Tabel13423234[ga_id],MATCH("GLMP",Tabel13423234[note],0),1),"glmp","")))</f>
        <v/>
      </c>
      <c r="C34" s="16" t="str">
        <f>IF(AND(F34&lt;&gt;"null",F34&lt;&gt;""),IF(F34=INDEX(Tabel13423234[es_id],MATCH("SKMP",Tabel13423234[note],0),1),"skmp",""),IF(AND(G34&lt;&gt;"null",G34&lt;&gt;""),IF(G34=INDEX(Tabel13423234[brp_id],MATCH("SKMP",Tabel13423234[note],0),1),"skmp",""),IF(E34=INDEX(Tabel13423234[ga_id],MATCH("SKMP",Tabel13423234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IF(B$1="ga",IF(E34="","","null"),IF(B$1="ga_es",IF(F34="","","null"),IF(B$1="ga_brp",IF(AD$5=0,"",AD$5),IF(F34="","",INDEX(Tabel13423234[brp_id],MATCH(F34,Tabel13423234[es_id],0),1)))))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13423234[quantity],IF(OR(B$1="ga_es",B$1="ga_brp_es"),Tabel13423234[es_id],IF(B$1="ga_brp",Tabel13423234[brp_id],Tabel13423234[ga_id])),IF(OR(B$1="ga_es",B$1="ga_brp_es"),F34,IF(B$1="ga_brp",G34,E34)),IF(B$2="production",Tabel13423234[type],Tabel13423234[settlement_method]),AE$2,Tabel13423234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SUMIFS(Tabel13423234[quantity],Tabel13423234[settlement_method],"D01",Tabel13423234[resolution],"PT1H")</f>
        <v>10</v>
      </c>
      <c r="U34" s="49" t="s">
        <v>50</v>
      </c>
      <c r="V34" s="49"/>
      <c r="W34" s="28">
        <f>SUM(W36:W39)</f>
        <v>10</v>
      </c>
      <c r="X34" s="21">
        <f>SUM(X36:X39)</f>
        <v>10</v>
      </c>
      <c r="Y34" s="27"/>
      <c r="Z34" s="2"/>
      <c r="AA34" s="2"/>
      <c r="AB34" s="36"/>
      <c r="AC34" s="36" t="str" cm="1">
        <f t="array" ref="AC34">IFERROR(IF($B$2="production",INDEX(_xlfn._xlws.FILTER(Tabel13423234[[type]:[brp_id]],(Tabel13423234[es_id]=AC19)*(Tabel13423234[type]="E18"),""),,6),INDEX(_xlfn._xlws.FILTER(Tabel13423234[[type]:[brp_id]],(Tabel13423234[es_id]=AC19)*(Tabel13423234[settlement_method]=AE$2),""),,6)),"")</f>
        <v/>
      </c>
      <c r="AD34" s="36" t="str" cm="1">
        <f t="array" ref="AD34">IFERROR(IF($B$2="production",INDEX(_xlfn._xlws.FILTER(Tabel13423234[[type]:[brp_id]],(Tabel13423234[brp_id]=AD19)*(Tabel13423234[type]=$AE$2),""),,7),INDEX(_xlfn._xlws.FILTER(Tabel13423234[[type]:[brp_id]],(Tabel13423234[brp_id]=AD19)*(Tabel13423234[settlement_method]=AE$2),""),,7)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35">
      <c r="B35" s="16" t="str">
        <f>IF(AND(F35&lt;&gt;"null",F35&lt;&gt;""),IF(F35=INDEX(Tabel13423234[es_id],MATCH("GLMP",Tabel13423234[note],0),1),"glmp",""),IF(AND(G35&lt;&gt;"null",G35&lt;&gt;""),IF(G35=INDEX(Tabel13423234[brp_id],MATCH("GLMP",Tabel13423234[note],0),1),"glmp",""),IF(E35=INDEX(Tabel13423234[ga_id],MATCH("GLMP",Tabel13423234[note],0),1),"glmp","")))</f>
        <v/>
      </c>
      <c r="C35" s="16" t="str">
        <f>IF(AND(F35&lt;&gt;"null",F35&lt;&gt;""),IF(F35=INDEX(Tabel13423234[es_id],MATCH("SKMP",Tabel13423234[note],0),1),"skmp",""),IF(AND(G35&lt;&gt;"null",G35&lt;&gt;""),IF(G35=INDEX(Tabel13423234[brp_id],MATCH("SKMP",Tabel13423234[note],0),1),"skmp",""),IF(E35=INDEX(Tabel13423234[ga_id],MATCH("SKMP",Tabel13423234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IF(B$1="ga",IF(E35="","","null"),IF(B$1="ga_es",IF(F35="","","null"),IF(B$1="ga_brp",IF(AD$5=0,"",AD$5),IF(F35="","",INDEX(Tabel13423234[brp_id],MATCH(F35,Tabel13423234[es_id],0),1)))))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13423234[quantity],IF(OR(B$1="ga_es",B$1="ga_brp_es"),Tabel13423234[es_id],IF(B$1="ga_brp",Tabel13423234[brp_id],Tabel13423234[ga_id])),IF(OR(B$1="ga_es",B$1="ga_brp_es"),F35,IF(B$1="ga_brp",G35,E35)),IF(B$2="production",Tabel13423234[type],Tabel13423234[settlement_method]),AE$2,Tabel13423234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SUMIFS(Tabel13423234[quantity],Tabel13423234[settlement_method],"D01",Tabel13423234[resolution],"PT1H")/4</f>
        <v>2.5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INDEX(_xlfn._xlws.FILTER(Tabel13423234[[type]:[brp_id]],(Tabel13423234[es_id]=AC20)*(Tabel13423234[type]="E18"),""),,6),INDEX(_xlfn._xlws.FILTER(Tabel13423234[[type]:[brp_id]],(Tabel13423234[es_id]=AC20)*(Tabel13423234[settlement_method]=AE$2),""),,6)),"")</f>
        <v/>
      </c>
      <c r="AD35" s="36" t="str" cm="1">
        <f t="array" ref="AD35">IFERROR(IF($B$2="production",INDEX(_xlfn._xlws.FILTER(Tabel13423234[[type]:[brp_id]],(Tabel13423234[brp_id]=AD20)*(Tabel13423234[type]=$AE$2),""),,7),INDEX(_xlfn._xlws.FILTER(Tabel13423234[[type]:[brp_id]],(Tabel13423234[brp_id]=AD20)*(Tabel13423234[settlement_method]=AE$2),""),,7)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35">
      <c r="B36" s="16" t="str">
        <f>IF(AND(F36&lt;&gt;"null",F36&lt;&gt;""),IF(F36=INDEX(Tabel13423234[es_id],MATCH("GLMP",Tabel13423234[note],0),1),"glmp",""),IF(AND(G36&lt;&gt;"null",G36&lt;&gt;""),IF(G36=INDEX(Tabel13423234[brp_id],MATCH("GLMP",Tabel13423234[note],0),1),"glmp",""),IF(E36=INDEX(Tabel13423234[ga_id],MATCH("GLMP",Tabel13423234[note],0),1),"glmp","")))</f>
        <v/>
      </c>
      <c r="C36" s="16" t="str">
        <f>IF(AND(F36&lt;&gt;"null",F36&lt;&gt;""),IF(F36=INDEX(Tabel13423234[es_id],MATCH("SKMP",Tabel13423234[note],0),1),"skmp",""),IF(AND(G36&lt;&gt;"null",G36&lt;&gt;""),IF(G36=INDEX(Tabel13423234[brp_id],MATCH("SKMP",Tabel13423234[note],0),1),"skmp",""),IF(E36=INDEX(Tabel13423234[ga_id],MATCH("SKMP",Tabel13423234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IF(B$1="ga",IF(E36="","","null"),IF(B$1="ga_es",IF(F36="","","null"),IF(B$1="ga_brp",IF(AD$5=0,"",AD$5),IF(F36="","",INDEX(Tabel13423234[brp_id],MATCH(F36,Tabel13423234[es_id],0),1)))))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13423234[quantity],IF(OR(B$1="ga_es",B$1="ga_brp_es"),Tabel13423234[es_id],IF(B$1="ga_brp",Tabel13423234[brp_id],Tabel13423234[ga_id])),IF(OR(B$1="ga_es",B$1="ga_brp_es"),F36,IF(B$1="ga_brp",G36,E36)),IF(B$2="production",Tabel13423234[type],Tabel13423234[settlement_method]),AE$2,Tabel13423234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2.5</v>
      </c>
      <c r="U36" s="19">
        <f>T36</f>
        <v>2.5</v>
      </c>
      <c r="V36" s="19"/>
      <c r="W36" s="23">
        <f>ROUND(U36, 3)</f>
        <v>2.5</v>
      </c>
      <c r="X36" s="23">
        <f>ROUND(T36,3)</f>
        <v>2.5</v>
      </c>
      <c r="Y36" s="27"/>
      <c r="Z36" s="2"/>
      <c r="AA36" s="2"/>
      <c r="AB36" s="36"/>
      <c r="AC36" s="36" t="str" cm="1">
        <f t="array" ref="AC36">IFERROR(IF($B$2="production",INDEX(_xlfn._xlws.FILTER(Tabel13423234[[type]:[brp_id]],(Tabel13423234[es_id]=AC21)*(Tabel13423234[type]="E18"),""),,6),INDEX(_xlfn._xlws.FILTER(Tabel13423234[[type]:[brp_id]],(Tabel13423234[es_id]=AC21)*(Tabel13423234[settlement_method]=AE$2),""),,6)),"")</f>
        <v/>
      </c>
      <c r="AD36" s="36" t="str" cm="1">
        <f t="array" ref="AD36">IFERROR(IF($B$2="production",INDEX(_xlfn._xlws.FILTER(Tabel13423234[[type]:[brp_id]],(Tabel13423234[brp_id]=AD21)*(Tabel13423234[type]=$AE$2),""),,7),INDEX(_xlfn._xlws.FILTER(Tabel13423234[[type]:[brp_id]],(Tabel13423234[brp_id]=AD21)*(Tabel13423234[settlement_method]=AE$2),""),,7)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35">
      <c r="B37" s="16" t="str">
        <f>IF(AND(F37&lt;&gt;"null",F37&lt;&gt;""),IF(F37=INDEX(Tabel13423234[es_id],MATCH("GLMP",Tabel13423234[note],0),1),"glmp",""),IF(AND(G37&lt;&gt;"null",G37&lt;&gt;""),IF(G37=INDEX(Tabel13423234[brp_id],MATCH("GLMP",Tabel13423234[note],0),1),"glmp",""),IF(E37=INDEX(Tabel13423234[ga_id],MATCH("GLMP",Tabel13423234[note],0),1),"glmp","")))</f>
        <v/>
      </c>
      <c r="C37" s="16" t="str">
        <f>IF(AND(F37&lt;&gt;"null",F37&lt;&gt;""),IF(F37=INDEX(Tabel13423234[es_id],MATCH("SKMP",Tabel13423234[note],0),1),"skmp",""),IF(AND(G37&lt;&gt;"null",G37&lt;&gt;""),IF(G37=INDEX(Tabel13423234[brp_id],MATCH("SKMP",Tabel13423234[note],0),1),"skmp",""),IF(E37=INDEX(Tabel13423234[ga_id],MATCH("SKMP",Tabel13423234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IF(B$1="ga",IF(E37="","","null"),IF(B$1="ga_es",IF(F37="","","null"),IF(B$1="ga_brp",IF(AD$5=0,"",AD$5),IF(F37="","",INDEX(Tabel13423234[brp_id],MATCH(F37,Tabel13423234[es_id],0),1)))))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13423234[quantity],IF(OR(B$1="ga_es",B$1="ga_brp_es"),Tabel13423234[es_id],IF(B$1="ga_brp",Tabel13423234[brp_id],Tabel13423234[ga_id])),IF(OR(B$1="ga_es",B$1="ga_brp_es"),F37,IF(B$1="ga_brp",G37,E37)),IF(B$2="production",Tabel13423234[type],Tabel13423234[settlement_method]),AE$2,Tabel13423234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2.5</v>
      </c>
      <c r="U37" s="19">
        <f>V37+U36</f>
        <v>2.5</v>
      </c>
      <c r="V37" s="19">
        <f>T37-W36</f>
        <v>0</v>
      </c>
      <c r="W37" s="23">
        <f>ROUND(U37, 3)</f>
        <v>2.5</v>
      </c>
      <c r="X37" s="23">
        <f>ROUND(T37,3)</f>
        <v>2.5</v>
      </c>
      <c r="Y37" s="27"/>
      <c r="Z37" s="2"/>
      <c r="AA37" s="2"/>
      <c r="AB37" s="36"/>
      <c r="AC37" s="36" t="str" cm="1">
        <f t="array" ref="AC37">IFERROR(IF($B$2="production",INDEX(_xlfn._xlws.FILTER(Tabel13423234[[type]:[brp_id]],(Tabel13423234[es_id]=AC22)*(Tabel13423234[type]="E18"),""),,6),INDEX(_xlfn._xlws.FILTER(Tabel13423234[[type]:[brp_id]],(Tabel13423234[es_id]=AC22)*(Tabel13423234[settlement_method]=AE$2),""),,6)),"")</f>
        <v/>
      </c>
      <c r="AD37" s="36" t="str" cm="1">
        <f t="array" ref="AD37">IFERROR(IF($B$2="production",INDEX(_xlfn._xlws.FILTER(Tabel13423234[[type]:[brp_id]],(Tabel13423234[brp_id]=AD22)*(Tabel13423234[type]=$AE$2),""),,7),INDEX(_xlfn._xlws.FILTER(Tabel13423234[[type]:[brp_id]],(Tabel13423234[brp_id]=AD22)*(Tabel13423234[settlement_method]=AE$2),""),,7)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35">
      <c r="B38" s="16" t="str">
        <f>IF(AND(F38&lt;&gt;"null",F38&lt;&gt;""),IF(F38=INDEX(Tabel13423234[es_id],MATCH("GLMP",Tabel13423234[note],0),1),"glmp",""),IF(AND(G38&lt;&gt;"null",G38&lt;&gt;""),IF(G38=INDEX(Tabel13423234[brp_id],MATCH("GLMP",Tabel13423234[note],0),1),"glmp",""),IF(E38=INDEX(Tabel13423234[ga_id],MATCH("GLMP",Tabel13423234[note],0),1),"glmp","")))</f>
        <v/>
      </c>
      <c r="C38" s="16" t="str">
        <f>IF(AND(F38&lt;&gt;"null",F38&lt;&gt;""),IF(F38=INDEX(Tabel13423234[es_id],MATCH("SKMP",Tabel13423234[note],0),1),"skmp",""),IF(AND(G38&lt;&gt;"null",G38&lt;&gt;""),IF(G38=INDEX(Tabel13423234[brp_id],MATCH("SKMP",Tabel13423234[note],0),1),"skmp",""),IF(E38=INDEX(Tabel13423234[ga_id],MATCH("SKMP",Tabel13423234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IF(B$1="ga",IF(E38="","","null"),IF(B$1="ga_es",IF(F38="","","null"),IF(B$1="ga_brp",IF(AD$5=0,"",AD$5),IF(F38="","",INDEX(Tabel13423234[brp_id],MATCH(F38,Tabel13423234[es_id],0),1)))))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13423234[quantity],IF(OR(B$1="ga_es",B$1="ga_brp_es"),Tabel13423234[es_id],IF(B$1="ga_brp",Tabel13423234[brp_id],Tabel13423234[ga_id])),IF(OR(B$1="ga_es",B$1="ga_brp_es"),F38,IF(B$1="ga_brp",G38,E38)),IF(B$2="production",Tabel13423234[type],Tabel13423234[settlement_method]),AE$2,Tabel13423234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2.5</v>
      </c>
      <c r="U38" s="19">
        <f>V38+U37</f>
        <v>2.5</v>
      </c>
      <c r="V38" s="19">
        <f>T38-W37</f>
        <v>0</v>
      </c>
      <c r="W38" s="23">
        <f>ROUND(U38, 3)</f>
        <v>2.5</v>
      </c>
      <c r="X38" s="23">
        <f>ROUND(T38,3)</f>
        <v>2.5</v>
      </c>
      <c r="Y38" s="27"/>
      <c r="Z38" s="2"/>
      <c r="AA38" s="2"/>
      <c r="AB38" s="36"/>
      <c r="AC38" s="36" t="str" cm="1">
        <f t="array" ref="AC38">IFERROR(IF($B$2="production",INDEX(_xlfn._xlws.FILTER(Tabel13423234[[type]:[brp_id]],(Tabel13423234[es_id]=AC23)*(Tabel13423234[type]="E18"),""),,6),INDEX(_xlfn._xlws.FILTER(Tabel13423234[[type]:[brp_id]],(Tabel13423234[es_id]=AC23)*(Tabel13423234[settlement_method]=AE$2),""),,6)),"")</f>
        <v/>
      </c>
      <c r="AD38" s="36" t="str" cm="1">
        <f t="array" ref="AD38">IFERROR(IF($B$2="production",INDEX(_xlfn._xlws.FILTER(Tabel13423234[[type]:[brp_id]],(Tabel13423234[brp_id]=AD23)*(Tabel13423234[type]=$AE$2),""),,7),INDEX(_xlfn._xlws.FILTER(Tabel13423234[[type]:[brp_id]],(Tabel13423234[brp_id]=AD23)*(Tabel13423234[settlement_method]=AE$2),""),,7)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35">
      <c r="B39" s="16" t="str">
        <f>IF(AND(F39&lt;&gt;"null",F39&lt;&gt;""),IF(F39=INDEX(Tabel13423234[es_id],MATCH("GLMP",Tabel13423234[note],0),1),"glmp",""),IF(AND(G39&lt;&gt;"null",G39&lt;&gt;""),IF(G39=INDEX(Tabel13423234[brp_id],MATCH("GLMP",Tabel13423234[note],0),1),"glmp",""),IF(E39=INDEX(Tabel13423234[ga_id],MATCH("GLMP",Tabel13423234[note],0),1),"glmp","")))</f>
        <v/>
      </c>
      <c r="C39" s="16" t="str">
        <f>IF(AND(F39&lt;&gt;"null",F39&lt;&gt;""),IF(F39=INDEX(Tabel13423234[es_id],MATCH("SKMP",Tabel13423234[note],0),1),"skmp",""),IF(AND(G39&lt;&gt;"null",G39&lt;&gt;""),IF(G39=INDEX(Tabel13423234[brp_id],MATCH("SKMP",Tabel13423234[note],0),1),"skmp",""),IF(E39=INDEX(Tabel13423234[ga_id],MATCH("SKMP",Tabel13423234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IF(B$1="ga",IF(E39="","","null"),IF(B$1="ga_es",IF(F39="","","null"),IF(B$1="ga_brp",IF(AD$5=0,"",AD$5),IF(F39="","",INDEX(Tabel13423234[brp_id],MATCH(F39,Tabel13423234[es_id],0),1)))))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13423234[quantity],IF(OR(B$1="ga_es",B$1="ga_brp_es"),Tabel13423234[es_id],IF(B$1="ga_brp",Tabel13423234[brp_id],Tabel13423234[ga_id])),IF(OR(B$1="ga_es",B$1="ga_brp_es"),F39,IF(B$1="ga_brp",G39,E39)),IF(B$2="production",Tabel13423234[type],Tabel13423234[settlement_method]),AE$2,Tabel13423234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2.5</v>
      </c>
      <c r="U39" s="19">
        <f>V39+U38</f>
        <v>2.5</v>
      </c>
      <c r="V39" s="19">
        <f>T39-W38</f>
        <v>0</v>
      </c>
      <c r="W39" s="23">
        <f>ROUND(U39, 3)</f>
        <v>2.5</v>
      </c>
      <c r="X39" s="23">
        <f>ROUND(T39,3)</f>
        <v>2.5</v>
      </c>
      <c r="Y39" s="27"/>
      <c r="Z39" s="2"/>
      <c r="AA39" s="2"/>
      <c r="AB39" s="36"/>
      <c r="AC39" s="36" t="str" cm="1">
        <f t="array" ref="AC39">IFERROR(IF($B$2="production",INDEX(_xlfn._xlws.FILTER(Tabel13423234[[type]:[brp_id]],(Tabel13423234[es_id]=AC24)*(Tabel13423234[type]="E18"),""),,6),INDEX(_xlfn._xlws.FILTER(Tabel13423234[[type]:[brp_id]],(Tabel13423234[es_id]=AC24)*(Tabel13423234[settlement_method]=AE$2),""),,6)),"")</f>
        <v/>
      </c>
      <c r="AD39" s="36" t="str" cm="1">
        <f t="array" ref="AD39">IFERROR(IF($B$2="production",INDEX(_xlfn._xlws.FILTER(Tabel13423234[[type]:[brp_id]],(Tabel13423234[brp_id]=AD24)*(Tabel13423234[type]=$AE$2),""),,7),INDEX(_xlfn._xlws.FILTER(Tabel13423234[[type]:[brp_id]],(Tabel13423234[brp_id]=AD24)*(Tabel13423234[settlement_method]=AE$2),""),,7)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35">
      <c r="B40" s="16" t="str">
        <f>IF(AND(F40&lt;&gt;"null",F40&lt;&gt;""),IF(F40=INDEX(Tabel13423234[es_id],MATCH("GLMP",Tabel13423234[note],0),1),"glmp",""),IF(AND(G40&lt;&gt;"null",G40&lt;&gt;""),IF(G40=INDEX(Tabel13423234[brp_id],MATCH("GLMP",Tabel13423234[note],0),1),"glmp",""),IF(E40=INDEX(Tabel13423234[ga_id],MATCH("GLMP",Tabel13423234[note],0),1),"glmp","")))</f>
        <v/>
      </c>
      <c r="C40" s="16" t="str">
        <f>IF(AND(F40&lt;&gt;"null",F40&lt;&gt;""),IF(F40=INDEX(Tabel13423234[es_id],MATCH("SKMP",Tabel13423234[note],0),1),"skmp",""),IF(AND(G40&lt;&gt;"null",G40&lt;&gt;""),IF(G40=INDEX(Tabel13423234[brp_id],MATCH("SKMP",Tabel13423234[note],0),1),"skmp",""),IF(E40=INDEX(Tabel13423234[ga_id],MATCH("SKMP",Tabel13423234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IF(B$1="ga",IF(E40="","","null"),IF(B$1="ga_es",IF(F40="","","null"),IF(B$1="ga_brp",IF(AD$5=0,"",AD$5),IF(F40="","",INDEX(Tabel13423234[brp_id],MATCH(F40,Tabel13423234[es_id],0),1)))))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13423234[quantity],IF(OR(B$1="ga_es",B$1="ga_brp_es"),Tabel13423234[es_id],IF(B$1="ga_brp",Tabel13423234[brp_id],Tabel13423234[ga_id])),IF(OR(B$1="ga_es",B$1="ga_brp_es"),F40,IF(B$1="ga_brp",G40,E40)),IF(B$2="production",Tabel13423234[type],Tabel13423234[settlement_method]),AE$2,Tabel13423234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SUMIFS(Tabel13423234[quantity],Tabel13423234[type],"E18",Tabel13423234[resolution],"PT1H")</f>
        <v>10</v>
      </c>
      <c r="U40" s="43" t="s">
        <v>50</v>
      </c>
      <c r="V40" s="44"/>
      <c r="W40" s="28">
        <f>SUM(W42:W45)</f>
        <v>10</v>
      </c>
      <c r="X40" s="21">
        <f>SUM(X42:X45)</f>
        <v>10</v>
      </c>
      <c r="Y40" s="27"/>
      <c r="Z40" s="2"/>
      <c r="AA40" s="2"/>
      <c r="AB40" s="36"/>
      <c r="AC40" s="36" t="str" cm="1">
        <f t="array" ref="AC40">IFERROR(IF($B$2="production",INDEX(_xlfn._xlws.FILTER(Tabel13423234[[type]:[brp_id]],(Tabel13423234[es_id]=AC25)*(Tabel13423234[type]="E18"),""),,6),INDEX(_xlfn._xlws.FILTER(Tabel13423234[[type]:[brp_id]],(Tabel13423234[es_id]=AC25)*(Tabel13423234[settlement_method]=AE$2),""),,6)),"")</f>
        <v/>
      </c>
      <c r="AD40" s="36" t="str" cm="1">
        <f t="array" ref="AD40">IFERROR(IF($B$2="production",INDEX(_xlfn._xlws.FILTER(Tabel13423234[[type]:[brp_id]],(Tabel13423234[brp_id]=AD25)*(Tabel13423234[type]=$AE$2),""),,7),INDEX(_xlfn._xlws.FILTER(Tabel13423234[[type]:[brp_id]],(Tabel13423234[brp_id]=AD25)*(Tabel13423234[settlement_method]=AE$2),""),,7)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35">
      <c r="B41" s="16" t="str">
        <f>IF(AND(F41&lt;&gt;"null",F41&lt;&gt;""),IF(F41=INDEX(Tabel13423234[es_id],MATCH("GLMP",Tabel13423234[note],0),1),"glmp",""),IF(AND(G41&lt;&gt;"null",G41&lt;&gt;""),IF(G41=INDEX(Tabel13423234[brp_id],MATCH("GLMP",Tabel13423234[note],0),1),"glmp",""),IF(E41=INDEX(Tabel13423234[ga_id],MATCH("GLMP",Tabel13423234[note],0),1),"glmp","")))</f>
        <v/>
      </c>
      <c r="C41" s="16" t="str">
        <f>IF(AND(F41&lt;&gt;"null",F41&lt;&gt;""),IF(F41=INDEX(Tabel13423234[es_id],MATCH("SKMP",Tabel13423234[note],0),1),"skmp",""),IF(AND(G41&lt;&gt;"null",G41&lt;&gt;""),IF(G41=INDEX(Tabel13423234[brp_id],MATCH("SKMP",Tabel13423234[note],0),1),"skmp",""),IF(E41=INDEX(Tabel13423234[ga_id],MATCH("SKMP",Tabel13423234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IF(B$1="ga",IF(E41="","","null"),IF(B$1="ga_es",IF(F41="","","null"),IF(B$1="ga_brp",IF(AD$5=0,"",AD$5),IF(F41="","",INDEX(Tabel13423234[brp_id],MATCH(F41,Tabel13423234[es_id],0),1)))))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13423234[quantity],IF(OR(B$1="ga_es",B$1="ga_brp_es"),Tabel13423234[es_id],IF(B$1="ga_brp",Tabel13423234[brp_id],Tabel13423234[ga_id])),IF(OR(B$1="ga_es",B$1="ga_brp_es"),F41,IF(B$1="ga_brp",G41,E41)),IF(B$2="production",Tabel13423234[type],Tabel13423234[settlement_method]),AE$2,Tabel13423234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SUMIFS(Tabel13423234[quantity],Tabel13423234[type],"E18",Tabel13423234[resolution],"PT1H")/4</f>
        <v>2.5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 t="str" cm="1">
        <f t="array" ref="AD41">IFERROR(IF($B$2="production",INDEX(_xlfn._xlws.FILTER(Tabel13423234[[type]:[brp_id]],(Tabel13423234[brp_id]=AD26)*(Tabel13423234[type]=$AE$2),""),,7),INDEX(_xlfn._xlws.FILTER(Tabel13423234[[type]:[brp_id]],(Tabel13423234[brp_id]=AD26)*(Tabel13423234[settlement_method]=AE$2),""),,7)),"")</f>
        <v/>
      </c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35">
      <c r="B42" s="16" t="str">
        <f>IF(AND(F42&lt;&gt;"null",F42&lt;&gt;""),IF(F42=INDEX(Tabel13423234[es_id],MATCH("GLMP",Tabel13423234[note],0),1),"glmp",""),IF(AND(G42&lt;&gt;"null",G42&lt;&gt;""),IF(G42=INDEX(Tabel13423234[brp_id],MATCH("GLMP",Tabel13423234[note],0),1),"glmp",""),IF(E42=INDEX(Tabel13423234[ga_id],MATCH("GLMP",Tabel13423234[note],0),1),"glmp","")))</f>
        <v/>
      </c>
      <c r="C42" s="16" t="str">
        <f>IF(AND(F42&lt;&gt;"null",F42&lt;&gt;""),IF(F42=INDEX(Tabel13423234[es_id],MATCH("SKMP",Tabel13423234[note],0),1),"skmp",""),IF(AND(G42&lt;&gt;"null",G42&lt;&gt;""),IF(G42=INDEX(Tabel13423234[brp_id],MATCH("SKMP",Tabel13423234[note],0),1),"skmp",""),IF(E42=INDEX(Tabel13423234[ga_id],MATCH("SKMP",Tabel13423234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IF(B$1="ga",IF(E42="","","null"),IF(B$1="ga_es",IF(F42="","","null"),IF(B$1="ga_brp",IF(AD$5=0,"",AD$5),IF(F42="","",INDEX(Tabel13423234[brp_id],MATCH(F42,Tabel13423234[es_id],0),1)))))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13423234[quantity],IF(OR(B$1="ga_es",B$1="ga_brp_es"),Tabel13423234[es_id],IF(B$1="ga_brp",Tabel13423234[brp_id],Tabel13423234[ga_id])),IF(OR(B$1="ga_es",B$1="ga_brp_es"),F42,IF(B$1="ga_brp",G42,E42)),IF(B$2="production",Tabel13423234[type],Tabel13423234[settlement_method]),AE$2,Tabel13423234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2.5</v>
      </c>
      <c r="U42" s="19">
        <f>T42</f>
        <v>2.5</v>
      </c>
      <c r="V42" s="19"/>
      <c r="W42" s="23">
        <f>ROUND(U42, 3)</f>
        <v>2.5</v>
      </c>
      <c r="X42" s="23">
        <f>ROUND(T42,3)</f>
        <v>2.5</v>
      </c>
      <c r="Y42" s="27"/>
      <c r="Z42" s="2"/>
      <c r="AA42" s="2"/>
      <c r="AB42" s="36"/>
      <c r="AC42" s="36" t="str" cm="1">
        <f t="array" ref="AC42">IFERROR(IF($B$2="production",INDEX(_xlfn._xlws.FILTER(Tabel13423234[[type]:[brp_id]],(Tabel13423234[es_id]=AC27)*(Tabel13423234[type]="E18"),""),,6),INDEX(_xlfn._xlws.FILTER(Tabel13423234[[type]:[brp_id]],(Tabel13423234[es_id]=AC27)*(Tabel13423234[settlement_method]=AE$2),""),,6)),"")</f>
        <v/>
      </c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35">
      <c r="B43" s="16" t="str">
        <f>IF(AND(F43&lt;&gt;"null",F43&lt;&gt;""),IF(F43=INDEX(Tabel13423234[es_id],MATCH("GLMP",Tabel13423234[note],0),1),"glmp",""),IF(AND(G43&lt;&gt;"null",G43&lt;&gt;""),IF(G43=INDEX(Tabel13423234[brp_id],MATCH("GLMP",Tabel13423234[note],0),1),"glmp",""),IF(E43=INDEX(Tabel13423234[ga_id],MATCH("GLMP",Tabel13423234[note],0),1),"glmp","")))</f>
        <v/>
      </c>
      <c r="C43" s="16" t="str">
        <f>IF(AND(F43&lt;&gt;"null",F43&lt;&gt;""),IF(F43=INDEX(Tabel13423234[es_id],MATCH("SKMP",Tabel13423234[note],0),1),"skmp",""),IF(AND(G43&lt;&gt;"null",G43&lt;&gt;""),IF(G43=INDEX(Tabel13423234[brp_id],MATCH("SKMP",Tabel13423234[note],0),1),"skmp",""),IF(E43=INDEX(Tabel13423234[ga_id],MATCH("SKMP",Tabel13423234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IF(B$1="ga",IF(E43="","","null"),IF(B$1="ga_es",IF(F43="","","null"),IF(B$1="ga_brp",IF(AD$5=0,"",AD$5),IF(F43="","",INDEX(Tabel13423234[brp_id],MATCH(F43,Tabel13423234[es_id],0),1)))))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13423234[quantity],IF(OR(B$1="ga_es",B$1="ga_brp_es"),Tabel13423234[es_id],IF(B$1="ga_brp",Tabel13423234[brp_id],Tabel13423234[ga_id])),IF(OR(B$1="ga_es",B$1="ga_brp_es"),F43,IF(B$1="ga_brp",G43,E43)),IF(B$2="production",Tabel13423234[type],Tabel13423234[settlement_method]),AE$2,Tabel13423234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2.5</v>
      </c>
      <c r="U43" s="19">
        <f>V43+U42</f>
        <v>2.5</v>
      </c>
      <c r="V43" s="19">
        <f>T43-W42</f>
        <v>0</v>
      </c>
      <c r="W43" s="23">
        <f>ROUND(U43, 3)</f>
        <v>2.5</v>
      </c>
      <c r="X43" s="23">
        <f>ROUND(T43,3)</f>
        <v>2.5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35">
      <c r="B44" s="16" t="str">
        <f>IF(AND(F44&lt;&gt;"null",F44&lt;&gt;""),IF(F44=INDEX(Tabel13423234[es_id],MATCH("GLMP",Tabel13423234[note],0),1),"glmp",""),IF(AND(G44&lt;&gt;"null",G44&lt;&gt;""),IF(G44=INDEX(Tabel13423234[brp_id],MATCH("GLMP",Tabel13423234[note],0),1),"glmp",""),IF(E44=INDEX(Tabel13423234[ga_id],MATCH("GLMP",Tabel13423234[note],0),1),"glmp","")))</f>
        <v/>
      </c>
      <c r="C44" s="16" t="str">
        <f>IF(AND(F44&lt;&gt;"null",F44&lt;&gt;""),IF(F44=INDEX(Tabel13423234[es_id],MATCH("SKMP",Tabel13423234[note],0),1),"skmp",""),IF(AND(G44&lt;&gt;"null",G44&lt;&gt;""),IF(G44=INDEX(Tabel13423234[brp_id],MATCH("SKMP",Tabel13423234[note],0),1),"skmp",""),IF(E44=INDEX(Tabel13423234[ga_id],MATCH("SKMP",Tabel13423234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IF(B$1="ga",IF(E44="","","null"),IF(B$1="ga_es",IF(F44="","","null"),IF(B$1="ga_brp",IF(AD$5=0,"",AD$5),IF(F44="","",INDEX(Tabel13423234[brp_id],MATCH(F44,Tabel13423234[es_id],0),1)))))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13423234[quantity],IF(OR(B$1="ga_es",B$1="ga_brp_es"),Tabel13423234[es_id],IF(B$1="ga_brp",Tabel13423234[brp_id],Tabel13423234[ga_id])),IF(OR(B$1="ga_es",B$1="ga_brp_es"),F44,IF(B$1="ga_brp",G44,E44)),IF(B$2="production",Tabel13423234[type],Tabel13423234[settlement_method]),AE$2,Tabel13423234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2.5</v>
      </c>
      <c r="U44" s="19">
        <f>V44+U43</f>
        <v>2.5</v>
      </c>
      <c r="V44" s="19">
        <f>T44-W43</f>
        <v>0</v>
      </c>
      <c r="W44" s="23">
        <f>ROUND(U44, 3)</f>
        <v>2.5</v>
      </c>
      <c r="X44" s="23">
        <f>ROUND(T44,3)</f>
        <v>2.5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35">
      <c r="B45" s="16" t="str">
        <f>IF(AND(F45&lt;&gt;"null",F45&lt;&gt;""),IF(F45=INDEX(Tabel13423234[es_id],MATCH("GLMP",Tabel13423234[note],0),1),"glmp",""),IF(AND(G45&lt;&gt;"null",G45&lt;&gt;""),IF(G45=INDEX(Tabel13423234[brp_id],MATCH("GLMP",Tabel13423234[note],0),1),"glmp",""),IF(E45=INDEX(Tabel13423234[ga_id],MATCH("GLMP",Tabel13423234[note],0),1),"glmp","")))</f>
        <v/>
      </c>
      <c r="C45" s="16" t="str">
        <f>IF(AND(F45&lt;&gt;"null",F45&lt;&gt;""),IF(F45=INDEX(Tabel13423234[es_id],MATCH("SKMP",Tabel13423234[note],0),1),"skmp",""),IF(AND(G45&lt;&gt;"null",G45&lt;&gt;""),IF(G45=INDEX(Tabel13423234[brp_id],MATCH("SKMP",Tabel13423234[note],0),1),"skmp",""),IF(E45=INDEX(Tabel13423234[ga_id],MATCH("SKMP",Tabel13423234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IF(B$1="ga",IF(E45="","","null"),IF(B$1="ga_es",IF(F45="","","null"),IF(B$1="ga_brp",IF(AD$5=0,"",AD$5),IF(F45="","",INDEX(Tabel13423234[brp_id],MATCH(F45,Tabel13423234[es_id],0),1)))))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13423234[quantity],IF(OR(B$1="ga_es",B$1="ga_brp_es"),Tabel13423234[es_id],IF(B$1="ga_brp",Tabel13423234[brp_id],Tabel13423234[ga_id])),IF(OR(B$1="ga_es",B$1="ga_brp_es"),F45,IF(B$1="ga_brp",G45,E45)),IF(B$2="production",Tabel13423234[type],Tabel13423234[settlement_method]),AE$2,Tabel13423234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2.5</v>
      </c>
      <c r="U45" s="19">
        <f>V45+U44</f>
        <v>2.5</v>
      </c>
      <c r="V45" s="19">
        <f>T45-W44</f>
        <v>0</v>
      </c>
      <c r="W45" s="23">
        <f>ROUND(U45, 3)</f>
        <v>2.5</v>
      </c>
      <c r="X45" s="23">
        <f>ROUND(T45,3)</f>
        <v>2.5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5" x14ac:dyDescent="0.55000000000000004">
      <c r="C46" s="2"/>
      <c r="E46" s="45" t="s">
        <v>35</v>
      </c>
      <c r="F46" s="45"/>
      <c r="G46" s="45"/>
      <c r="H46" s="45"/>
      <c r="P46" s="24"/>
      <c r="Q46" s="24"/>
      <c r="R46" s="24"/>
      <c r="S46" s="24"/>
      <c r="T46" s="28">
        <f>SUMIFS(Tabel13423234[quantity],Tabel13423234[settlement_method],"E02",Tabel13423234[resolution],"PT1H")</f>
        <v>10</v>
      </c>
      <c r="U46" s="43" t="s">
        <v>50</v>
      </c>
      <c r="V46" s="44"/>
      <c r="W46" s="28">
        <f>SUM(W48:W51)</f>
        <v>10</v>
      </c>
      <c r="X46" s="21">
        <f>SUM(X48:X51)</f>
        <v>10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SUMIFS(Tabel13423234[quantity],Tabel13423234[settlement_method],"E02",Tabel13423234[resolution],"PT1H")/4</f>
        <v>2.5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3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2</v>
      </c>
      <c r="P48" s="24"/>
      <c r="Q48" s="24"/>
      <c r="R48" s="24"/>
      <c r="S48" s="15" t="s">
        <v>59</v>
      </c>
      <c r="T48" s="19">
        <f>T$47</f>
        <v>2.5</v>
      </c>
      <c r="U48" s="19">
        <f>T48</f>
        <v>2.5</v>
      </c>
      <c r="V48" s="19"/>
      <c r="W48" s="23">
        <f>ROUND(U48, 3)</f>
        <v>2.5</v>
      </c>
      <c r="X48" s="23">
        <f>ROUND(T48,3)</f>
        <v>2.5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3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2</v>
      </c>
      <c r="P49" s="24"/>
      <c r="Q49" s="24"/>
      <c r="R49" s="24"/>
      <c r="S49" s="15" t="s">
        <v>60</v>
      </c>
      <c r="T49" s="19">
        <f>T$47</f>
        <v>2.5</v>
      </c>
      <c r="U49" s="19">
        <f>V49+U48</f>
        <v>2.5</v>
      </c>
      <c r="V49" s="19">
        <f>T49-W48</f>
        <v>0</v>
      </c>
      <c r="W49" s="23">
        <f>ROUND(U49, 3)</f>
        <v>2.5</v>
      </c>
      <c r="X49" s="23">
        <f>ROUND(T49,3)</f>
        <v>2.5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3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2</v>
      </c>
      <c r="P50" s="24"/>
      <c r="Q50" s="24"/>
      <c r="R50" s="24"/>
      <c r="S50" s="15" t="s">
        <v>61</v>
      </c>
      <c r="T50" s="19">
        <f>T$47</f>
        <v>2.5</v>
      </c>
      <c r="U50" s="19">
        <f>V50+U49</f>
        <v>2.5</v>
      </c>
      <c r="V50" s="19">
        <f>T50-W49</f>
        <v>0</v>
      </c>
      <c r="W50" s="23">
        <f>ROUND(U50, 3)</f>
        <v>2.5</v>
      </c>
      <c r="X50" s="23">
        <f>ROUND(T50,3)</f>
        <v>2.5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3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2</v>
      </c>
      <c r="P51" s="24"/>
      <c r="Q51" s="24"/>
      <c r="R51" s="24"/>
      <c r="S51" s="15" t="s">
        <v>62</v>
      </c>
      <c r="T51" s="19">
        <f>T$47</f>
        <v>2.5</v>
      </c>
      <c r="U51" s="19">
        <f>V51+U50</f>
        <v>2.5</v>
      </c>
      <c r="V51" s="19">
        <f>T51-W50</f>
        <v>0</v>
      </c>
      <c r="W51" s="23">
        <f>ROUND(U51, 3)</f>
        <v>2.5</v>
      </c>
      <c r="X51" s="23">
        <f>ROUND(T51,3)</f>
        <v>2.5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5" x14ac:dyDescent="0.55000000000000004">
      <c r="A52" s="2"/>
      <c r="B52" s="2"/>
      <c r="C52" s="2"/>
      <c r="E52" s="39" t="s">
        <v>37</v>
      </c>
      <c r="F52" s="40"/>
      <c r="G52" s="40"/>
      <c r="H52" s="41"/>
      <c r="P52" s="24"/>
      <c r="Q52" s="24"/>
      <c r="R52" s="24"/>
      <c r="S52" s="24"/>
      <c r="T52" s="28">
        <f>ROUND(SUMIFS(Tabel13423234[quantity],Tabel13423234[type],"E20",Tabel13423234[resolution],"PT1H",Tabel13423234[to_ga],"800"),3)</f>
        <v>8</v>
      </c>
      <c r="U52" s="43" t="s">
        <v>50</v>
      </c>
      <c r="V52" s="44"/>
      <c r="W52" s="28">
        <f>ROUND(SUM(W54:W57),3)</f>
        <v>8</v>
      </c>
      <c r="X52" s="21">
        <f>SUM(X54:X57)</f>
        <v>8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SUMIFS(Tabel13423234[quantity],Tabel13423234[type],"E20",Tabel13423234[resolution],"PT1H",Tabel13423234[to_ga],"800")/4</f>
        <v>2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3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2.5</v>
      </c>
      <c r="P54" s="24"/>
      <c r="Q54" s="24"/>
      <c r="R54" s="24"/>
      <c r="S54" s="15" t="s">
        <v>63</v>
      </c>
      <c r="T54" s="19">
        <f>T$53</f>
        <v>2</v>
      </c>
      <c r="U54" s="19">
        <f>T54</f>
        <v>2</v>
      </c>
      <c r="V54" s="19"/>
      <c r="W54" s="23">
        <f>ROUND(U54, 3)</f>
        <v>2</v>
      </c>
      <c r="X54" s="23">
        <f>ROUND(T54,3)</f>
        <v>2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3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2.5</v>
      </c>
      <c r="P55" s="24"/>
      <c r="Q55" s="24"/>
      <c r="R55" s="24"/>
      <c r="S55" s="15" t="s">
        <v>64</v>
      </c>
      <c r="T55" s="19">
        <f>T$53</f>
        <v>2</v>
      </c>
      <c r="U55" s="19">
        <f>V55+U54</f>
        <v>2</v>
      </c>
      <c r="V55" s="19">
        <f>T55-W54</f>
        <v>0</v>
      </c>
      <c r="W55" s="23">
        <f>ROUND(U55, 3)</f>
        <v>2</v>
      </c>
      <c r="X55" s="23">
        <f>ROUND(T55,3)</f>
        <v>2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3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2.5</v>
      </c>
      <c r="P56" s="24"/>
      <c r="Q56" s="24"/>
      <c r="R56" s="24"/>
      <c r="S56" s="15" t="s">
        <v>65</v>
      </c>
      <c r="T56" s="19">
        <f>T$53</f>
        <v>2</v>
      </c>
      <c r="U56" s="19">
        <f>V56+U55</f>
        <v>2</v>
      </c>
      <c r="V56" s="19">
        <f>T56-W55</f>
        <v>0</v>
      </c>
      <c r="W56" s="23">
        <f>ROUND(U56, 3)</f>
        <v>2</v>
      </c>
      <c r="X56" s="23">
        <f>ROUND(T56,3)</f>
        <v>2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3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2.5</v>
      </c>
      <c r="P57" s="24"/>
      <c r="Q57" s="24"/>
      <c r="R57" s="24"/>
      <c r="S57" s="15" t="s">
        <v>66</v>
      </c>
      <c r="T57" s="19">
        <f>T$53</f>
        <v>2</v>
      </c>
      <c r="U57" s="19">
        <f>V57+U56</f>
        <v>2</v>
      </c>
      <c r="V57" s="19">
        <f>T57-W56</f>
        <v>0</v>
      </c>
      <c r="W57" s="23">
        <f>ROUND(U57, 3)</f>
        <v>2</v>
      </c>
      <c r="X57" s="23">
        <f>ROUND(T57,3)</f>
        <v>2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5" x14ac:dyDescent="0.55000000000000004">
      <c r="A58" s="2"/>
      <c r="B58" s="2"/>
      <c r="C58" s="2"/>
      <c r="E58" s="39" t="s">
        <v>38</v>
      </c>
      <c r="F58" s="40"/>
      <c r="G58" s="40"/>
      <c r="H58" s="41"/>
      <c r="P58" s="24"/>
      <c r="Q58" s="24"/>
      <c r="R58" s="24"/>
      <c r="S58" s="24"/>
      <c r="T58" s="28">
        <f>ROUND(SUMIFS(Tabel13423234[quantity],Tabel13423234[type],"E20",Tabel13423234[resolution],"PT1H",Tabel13423234[from_ga],"800"),3)</f>
        <v>0</v>
      </c>
      <c r="U58" s="43" t="s">
        <v>50</v>
      </c>
      <c r="V58" s="44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SUMIFS(Tabel13423234[quantity],Tabel13423234[type],"E20",Tabel13423234[resolution],"PT1H",Tabel13423234[from_ga],"800")/4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3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2.5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3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2.5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3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2.5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3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2.5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5" x14ac:dyDescent="0.55000000000000004">
      <c r="C64" s="2"/>
      <c r="E64" s="39" t="s">
        <v>39</v>
      </c>
      <c r="F64" s="40"/>
      <c r="G64" s="40"/>
      <c r="H64" s="41"/>
      <c r="P64" s="24"/>
      <c r="Q64" s="24"/>
      <c r="R64" s="24"/>
      <c r="S64" s="24"/>
      <c r="T64" s="28">
        <f>ROUND(SUMIFS(Tabel13423234[quantity],Tabel13423234[type],"E17",Tabel13423234[resolution],"PT1H"),3)</f>
        <v>20</v>
      </c>
      <c r="U64" s="43" t="s">
        <v>50</v>
      </c>
      <c r="V64" s="44"/>
      <c r="W64" s="28">
        <f>ROUND(SUM(W66:W69),3)</f>
        <v>20</v>
      </c>
      <c r="X64" s="21">
        <f>SUM(X66:X69)</f>
        <v>20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SUMIFS(Tabel13423234[quantity],Tabel13423234[type],"E17",Tabel13423234[resolution],"PT1H")/4</f>
        <v>5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3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-0.5</v>
      </c>
      <c r="P66" s="24"/>
      <c r="Q66" s="24"/>
      <c r="R66" s="24"/>
      <c r="S66" s="15" t="s">
        <v>71</v>
      </c>
      <c r="T66" s="19">
        <f>T$65</f>
        <v>5</v>
      </c>
      <c r="U66" s="19">
        <f>T66</f>
        <v>5</v>
      </c>
      <c r="V66" s="19"/>
      <c r="W66" s="23">
        <f>ROUND(U66, 3)</f>
        <v>5</v>
      </c>
      <c r="X66" s="23">
        <f>ROUND(T66,3)</f>
        <v>5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3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-0.5</v>
      </c>
      <c r="P67" s="24"/>
      <c r="Q67" s="24"/>
      <c r="R67" s="24"/>
      <c r="S67" s="15" t="s">
        <v>72</v>
      </c>
      <c r="T67" s="19">
        <f>T$65</f>
        <v>5</v>
      </c>
      <c r="U67" s="19">
        <f>V67+U66</f>
        <v>5</v>
      </c>
      <c r="V67" s="19">
        <f>T67-W66</f>
        <v>0</v>
      </c>
      <c r="W67" s="23">
        <f>ROUND(U67, 3)</f>
        <v>5</v>
      </c>
      <c r="X67" s="23">
        <f>ROUND(T67,3)</f>
        <v>5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3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-0.5</v>
      </c>
      <c r="P68" s="24"/>
      <c r="Q68" s="24"/>
      <c r="R68" s="24"/>
      <c r="S68" s="15" t="s">
        <v>73</v>
      </c>
      <c r="T68" s="19">
        <f>T$65</f>
        <v>5</v>
      </c>
      <c r="U68" s="19">
        <f>V68+U67</f>
        <v>5</v>
      </c>
      <c r="V68" s="19">
        <f>T68-W67</f>
        <v>0</v>
      </c>
      <c r="W68" s="23">
        <f>ROUND(U68, 3)</f>
        <v>5</v>
      </c>
      <c r="X68" s="23">
        <f>ROUND(T68,3)</f>
        <v>5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3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-0.5</v>
      </c>
      <c r="J69" s="2"/>
      <c r="P69" s="24"/>
      <c r="Q69" s="24"/>
      <c r="R69" s="27"/>
      <c r="S69" s="15" t="s">
        <v>74</v>
      </c>
      <c r="T69" s="19">
        <f>T$65</f>
        <v>5</v>
      </c>
      <c r="U69" s="19">
        <f>V69+U68</f>
        <v>5</v>
      </c>
      <c r="V69" s="19">
        <f>T69-W68</f>
        <v>0</v>
      </c>
      <c r="W69" s="23">
        <f>ROUND(U69, 3)</f>
        <v>5</v>
      </c>
      <c r="X69" s="23">
        <f>ROUND(T69,3)</f>
        <v>5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5" x14ac:dyDescent="0.55000000000000004">
      <c r="C70" s="2"/>
      <c r="E70" s="39" t="s">
        <v>41</v>
      </c>
      <c r="F70" s="40"/>
      <c r="G70" s="40"/>
      <c r="H70" s="41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3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3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3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3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5" x14ac:dyDescent="0.55000000000000004">
      <c r="C76" s="2"/>
      <c r="E76" s="39" t="s">
        <v>42</v>
      </c>
      <c r="F76" s="40"/>
      <c r="G76" s="40"/>
      <c r="H76" s="4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3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0.5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3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0.5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3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0.5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3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0.5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5" x14ac:dyDescent="0.55000000000000004">
      <c r="C82" s="2"/>
      <c r="E82" s="39" t="s">
        <v>80</v>
      </c>
      <c r="F82" s="40"/>
      <c r="G82" s="40"/>
      <c r="H82" s="4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3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5</v>
      </c>
      <c r="I84" s="37"/>
      <c r="J84" s="2"/>
      <c r="S84" s="2"/>
      <c r="T84" s="42" t="s">
        <v>85</v>
      </c>
      <c r="U84" s="42"/>
      <c r="V84" s="42"/>
      <c r="W84" s="42"/>
      <c r="X84" s="42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3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5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3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5</v>
      </c>
      <c r="I86" s="2"/>
      <c r="J86" s="2"/>
      <c r="S86" s="2"/>
      <c r="T86" s="26">
        <f>SUMIFS(Tabel13423234[quantity],Tabel13423234[resolution],"PT15M",Tabel13423234[from_ga],AF$3)-SUMIFS(Tabel13423234[quantity],Tabel13423234[resolution],"PT15M",Tabel13423234[to_ga],AF$3)</f>
        <v>0</v>
      </c>
      <c r="U86" s="6">
        <f>(SUMIFS(Tabel13423234[quantity],Tabel13423234[resolution],"PT1H",Tabel13423234[from_ga],AF$3)-SUMIFS(Tabel13423234[quantity],Tabel13423234[resolution],"PT1H",Tabel13423234[to_ga],AF$3))/4</f>
        <v>2</v>
      </c>
      <c r="V86" s="16">
        <f>U86</f>
        <v>2</v>
      </c>
      <c r="W86" s="16"/>
      <c r="X86" s="16">
        <f t="shared" ref="X86:X109" si="13">ROUND(V86, 3)</f>
        <v>2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3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5</v>
      </c>
      <c r="I87" s="2"/>
      <c r="J87" s="2"/>
      <c r="S87" s="2"/>
      <c r="T87" s="26"/>
      <c r="U87" s="16">
        <f>U$86</f>
        <v>2</v>
      </c>
      <c r="V87" s="16">
        <f>W87+V86</f>
        <v>2</v>
      </c>
      <c r="W87" s="16">
        <f>U87-X86</f>
        <v>0</v>
      </c>
      <c r="X87" s="16">
        <f t="shared" si="13"/>
        <v>2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5" x14ac:dyDescent="0.55000000000000004">
      <c r="C88" s="2"/>
      <c r="E88" s="39" t="s">
        <v>81</v>
      </c>
      <c r="F88" s="40"/>
      <c r="G88" s="40"/>
      <c r="H88" s="40"/>
      <c r="I88" s="41"/>
      <c r="J88" s="2"/>
      <c r="S88" s="2"/>
      <c r="T88" s="26"/>
      <c r="U88" s="16">
        <f>U$86</f>
        <v>2</v>
      </c>
      <c r="V88" s="16">
        <f>W88+V87</f>
        <v>2</v>
      </c>
      <c r="W88" s="16">
        <f>U88-X87</f>
        <v>0</v>
      </c>
      <c r="X88" s="16">
        <f t="shared" si="13"/>
        <v>2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2</v>
      </c>
      <c r="V89" s="16">
        <f>W89+V88</f>
        <v>2</v>
      </c>
      <c r="W89" s="16">
        <f>U89-X88</f>
        <v>0</v>
      </c>
      <c r="X89" s="16">
        <f t="shared" si="13"/>
        <v>2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3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2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SUMIFS(Tabel13423234[quantity],Tabel13423234[resolution],"PT15M",Tabel13423234[from_ga],AF$4)-SUMIFS(Tabel13423234[quantity],Tabel13423234[resolution],"PT15M",Tabel13423234[to_ga],AF$4)</f>
        <v>0</v>
      </c>
      <c r="U90" s="6">
        <f>(SUMIFS(Tabel13423234[quantity],Tabel13423234[resolution],"PT1H",Tabel13423234[from_ga],AF$4)-SUMIFS(Tabel13423234[quantity],Tabel13423234[resolution],"PT1H",Tabel13423234[to_ga],AF$4))/4</f>
        <v>0</v>
      </c>
      <c r="V90" s="16">
        <f>U90</f>
        <v>0</v>
      </c>
      <c r="W90" s="16"/>
      <c r="X90" s="16">
        <f t="shared" si="13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3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2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3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3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2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3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3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2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3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35">
      <c r="C94" s="2"/>
      <c r="D94" s="15" t="s">
        <v>75</v>
      </c>
      <c r="E94" s="31" t="str">
        <f t="shared" si="14"/>
        <v/>
      </c>
      <c r="F94" s="31" t="str">
        <f t="shared" si="15"/>
        <v/>
      </c>
      <c r="G94" s="31" t="str">
        <f t="shared" si="16"/>
        <v/>
      </c>
      <c r="H94" s="32" t="str">
        <f t="shared" si="17"/>
        <v/>
      </c>
      <c r="I94" s="32" t="str" cm="1">
        <f t="array" aca="1" ref="I94" ca="1">IF(E94="","",INDIRECT("AF"&amp;ROUND((ROW()-80)*0.25,0)))</f>
        <v/>
      </c>
      <c r="J94" s="2"/>
      <c r="S94" s="2"/>
      <c r="T94" s="26">
        <f>SUMIFS(Tabel13423234[quantity],Tabel13423234[resolution],"PT15M",Tabel13423234[from_ga],AF$5)-SUMIFS(Tabel13423234[quantity],Tabel13423234[resolution],"PT15M",Tabel13423234[to_ga],AF$5)</f>
        <v>0</v>
      </c>
      <c r="U94" s="6">
        <f>SUMIFS(Tabel13423234[quantity],Tabel13423234[resolution],"PT1H",Tabel13423234[from_ga],AF$5)-SUMIFS(Tabel13423234[quantity],Tabel13423234[resolution],"PT1H",Tabel13423234[to_ga],AF$5)/4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35">
      <c r="C95" s="2"/>
      <c r="D95" s="15" t="s">
        <v>76</v>
      </c>
      <c r="E95" s="31" t="str">
        <f t="shared" si="14"/>
        <v/>
      </c>
      <c r="F95" s="31" t="str">
        <f t="shared" si="15"/>
        <v/>
      </c>
      <c r="G95" s="31" t="str">
        <f t="shared" si="16"/>
        <v/>
      </c>
      <c r="H95" s="32" t="str">
        <f t="shared" si="17"/>
        <v/>
      </c>
      <c r="I95" s="32" t="str" cm="1">
        <f t="array" aca="1" ref="I95" ca="1">IF(E95="","",INDIRECT("AF"&amp;ROUND((ROW()-80)*0.25,0)))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35">
      <c r="C96" s="2"/>
      <c r="D96" s="15" t="s">
        <v>77</v>
      </c>
      <c r="E96" s="31" t="str">
        <f t="shared" si="14"/>
        <v/>
      </c>
      <c r="F96" s="31" t="str">
        <f t="shared" si="15"/>
        <v/>
      </c>
      <c r="G96" s="31" t="str">
        <f t="shared" si="16"/>
        <v/>
      </c>
      <c r="H96" s="32" t="str">
        <f t="shared" si="17"/>
        <v/>
      </c>
      <c r="I96" s="32" t="str" cm="1">
        <f t="array" aca="1" ref="I96" ca="1">IF(E96="","",INDIRECT("AF"&amp;ROUND((ROW()-80)*0.25,0)))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35">
      <c r="C97" s="2"/>
      <c r="D97" s="15" t="s">
        <v>78</v>
      </c>
      <c r="E97" s="31" t="str">
        <f t="shared" si="14"/>
        <v/>
      </c>
      <c r="F97" s="31" t="str">
        <f t="shared" si="15"/>
        <v/>
      </c>
      <c r="G97" s="31" t="str">
        <f t="shared" si="16"/>
        <v/>
      </c>
      <c r="H97" s="32" t="str">
        <f t="shared" si="17"/>
        <v/>
      </c>
      <c r="I97" s="32" t="str" cm="1">
        <f t="array" aca="1" ref="I97" ca="1">IF(E97="","",INDIRECT("AF"&amp;ROUND((ROW()-80)*0.25,0)))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35">
      <c r="C98" s="2"/>
      <c r="D98" s="15" t="s">
        <v>75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SUMIFS(Tabel13423234[quantity],Tabel13423234[resolution],"PT15M",Tabel13423234[from_ga],AF$6)-SUMIFS(Tabel13423234[quantity],Tabel13423234[resolution],"PT15M",Tabel13423234[to_ga],AF$6)</f>
        <v>0</v>
      </c>
      <c r="U98" s="6">
        <f>(SUMIFS(Tabel13423234[quantity],Tabel13423234[resolution],"PT1H",Tabel13423234[from_ga],AF$6)-SUMIFS(Tabel13423234[quantity],Tabel13423234[resolution],"PT1H",Tabel13423234[to_ga],AF$6))/4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35">
      <c r="C99" s="2"/>
      <c r="D99" s="15" t="s">
        <v>76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35">
      <c r="C100" s="2"/>
      <c r="D100" s="15" t="s">
        <v>77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35">
      <c r="C101" s="2"/>
      <c r="D101" s="15" t="s">
        <v>78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3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SUMIFS(Tabel13423234[quantity],Tabel13423234[resolution],"PT15M",Tabel13423234[from_ga],AF$7)-SUMIFS(Tabel13423234[quantity],Tabel13423234[resolution],"PT15M",Tabel13423234[to_ga],AF$7)</f>
        <v>0</v>
      </c>
      <c r="U102" s="6">
        <f>(SUMIFS(Tabel13423234[quantity],Tabel13423234[resolution],"PT1H",Tabel13423234[from_ga],AF$7)-SUMIFS(Tabel13423234[quantity],Tabel13423234[resolution],"PT1H",Tabel13423234[to_ga],AF$7))/4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3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3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3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3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(SUMIFS(Tabel13423234[quantity],Tabel13423234[resolution],"PT1H",Tabel13423234[from_ga],AF$8)-SUMIFS(Tabel13423234[quantity],Tabel13423234[resolution],"PT1H",Tabel13423234[to_ga],AF$8))/4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3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3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3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3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3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3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3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20:H20"/>
    <mergeCell ref="I20:K20"/>
    <mergeCell ref="U34:V34"/>
    <mergeCell ref="U40:V40"/>
    <mergeCell ref="E46:H46"/>
    <mergeCell ref="U46:V46"/>
    <mergeCell ref="E52:H52"/>
    <mergeCell ref="U52:V52"/>
    <mergeCell ref="E58:H58"/>
    <mergeCell ref="U58:V58"/>
    <mergeCell ref="E64:H64"/>
    <mergeCell ref="U64:V64"/>
    <mergeCell ref="E70:H70"/>
    <mergeCell ref="E76:H76"/>
    <mergeCell ref="E82:H82"/>
    <mergeCell ref="T84:X84"/>
    <mergeCell ref="E88:I88"/>
  </mergeCells>
  <conditionalFormatting sqref="T34 W34">
    <cfRule type="expression" dxfId="11" priority="6">
      <formula>$T$34=$W$34</formula>
    </cfRule>
  </conditionalFormatting>
  <conditionalFormatting sqref="T40 W40">
    <cfRule type="expression" dxfId="10" priority="5">
      <formula>$T$40=$W$40</formula>
    </cfRule>
  </conditionalFormatting>
  <conditionalFormatting sqref="T46 W46">
    <cfRule type="expression" dxfId="9" priority="4">
      <formula>$T$46=$W$46</formula>
    </cfRule>
  </conditionalFormatting>
  <conditionalFormatting sqref="T52 W52">
    <cfRule type="expression" dxfId="8" priority="3">
      <formula>$T$52=$W$52</formula>
    </cfRule>
  </conditionalFormatting>
  <conditionalFormatting sqref="T58 W58">
    <cfRule type="expression" dxfId="7" priority="2">
      <formula>$T$58=$W$58</formula>
    </cfRule>
  </conditionalFormatting>
  <conditionalFormatting sqref="T64 W64">
    <cfRule type="expression" dxfId="6" priority="1">
      <formula>$T$64=$W$64</formula>
    </cfRule>
  </conditionalFormatting>
  <dataValidations count="2">
    <dataValidation type="list" allowBlank="1" showInputMessage="1" showErrorMessage="1" sqref="B2" xr:uid="{9C12C44D-1D52-43B6-AB6D-D38975C04CF1}">
      <formula1>"flex_consumption,nonprofiled_consumption,production"</formula1>
    </dataValidation>
    <dataValidation type="list" allowBlank="1" showInputMessage="1" showErrorMessage="1" sqref="B1" xr:uid="{2FEB76B8-B1EE-4EEA-88A2-C3AF2711199E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L400"/>
  <sheetViews>
    <sheetView tabSelected="1" zoomScaleNormal="100" workbookViewId="0">
      <selection activeCell="G32" sqref="G3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2.36328125" style="1" bestFit="1" customWidth="1"/>
    <col min="25" max="25" width="4.08984375" style="1" bestFit="1" customWidth="1"/>
    <col min="26" max="26" width="2.81640625" style="1" bestFit="1" customWidth="1"/>
    <col min="27" max="27" width="1.81640625" style="1" bestFit="1" customWidth="1"/>
    <col min="28" max="28" width="9.54296875" style="1" bestFit="1" customWidth="1"/>
    <col min="29" max="29" width="27.36328125" style="1" bestFit="1" customWidth="1"/>
    <col min="30" max="30" width="19.81640625" style="1" bestFit="1" customWidth="1"/>
    <col min="31" max="31" width="21.90625" style="1" bestFit="1" customWidth="1"/>
    <col min="32" max="32" width="11.7265625" style="1" bestFit="1" customWidth="1"/>
    <col min="33" max="38" width="8.7265625" style="1" customWidth="1"/>
    <col min="39" max="16384" width="8.7265625" style="1"/>
  </cols>
  <sheetData>
    <row r="1" spans="1:90" ht="21" x14ac:dyDescent="0.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SUMIFS(Tabel1342323[quantity],Tabel1342323[settlement_method],"D01",Tabel1342323[resolution],"PT15M")</f>
        <v>10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121</v>
      </c>
      <c r="AF1" s="30" t="s">
        <v>84</v>
      </c>
      <c r="AG1" s="30"/>
      <c r="AH1" s="24"/>
    </row>
    <row r="2" spans="1:90" ht="21" x14ac:dyDescent="0.5">
      <c r="A2" s="18" t="s">
        <v>26</v>
      </c>
      <c r="B2" s="17" t="s">
        <v>119</v>
      </c>
      <c r="C2" s="10" t="s">
        <v>90</v>
      </c>
      <c r="D2" s="10" t="s">
        <v>91</v>
      </c>
      <c r="E2" s="11" t="s">
        <v>92</v>
      </c>
      <c r="F2" s="12"/>
      <c r="G2" s="10"/>
      <c r="H2" s="10" t="s">
        <v>110</v>
      </c>
      <c r="I2" s="10" t="s">
        <v>111</v>
      </c>
      <c r="J2" s="10" t="s">
        <v>112</v>
      </c>
      <c r="K2" s="10" t="s">
        <v>98</v>
      </c>
      <c r="L2" s="10" t="s">
        <v>96</v>
      </c>
      <c r="M2" s="29"/>
      <c r="N2" s="29"/>
      <c r="P2" s="24"/>
      <c r="Q2" s="7" t="s">
        <v>40</v>
      </c>
      <c r="R2" s="9">
        <f>SUMIFS(Tabel1342323[quantity],Tabel1342323[settlement_method],"E02",Tabel1342323[resolution],"PT15M")</f>
        <v>10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_xlfn._xlws.SORT(_xlfn.UNIQUE(_xlfn._xlws.FILTER(Tabel1342323[ga_id],Tabel1342323[ga_id] &lt;&gt; "")))</f>
        <v>800</v>
      </c>
      <c r="AC2" s="27" t="str" cm="1">
        <f t="array" ref="AC2:AC3">_xlfn._xlws.SORT(_xlfn.UNIQUE(_xlfn._xlws.FILTER(AC28:AC40,AC28:AC40 &lt;&gt; "")))</f>
        <v>4000000000000</v>
      </c>
      <c r="AD2" s="27" t="str" cm="1">
        <f t="array" ref="AD2:AD3">_xlfn._xlws.SORT(_xlfn.UNIQUE(_xlfn._xlws.FILTER(AD28:AD40,AD28:AD40 &lt;&gt; "")))</f>
        <v>4400000000000</v>
      </c>
      <c r="AE2" s="27" t="str">
        <f>IF(B$2="production","E18",IF($B$2="flex_consumption","D01","E02"))</f>
        <v>E18</v>
      </c>
      <c r="AF2" s="27" t="str" cm="1">
        <f t="array" ref="AF2:AF3">_xlfn._xlws.SORT(_xlfn.UNIQUE(_xlfn.VSTACK(_xlfn._xlws.FILTER(Tabel1342323[from_ga],Tabel1342323[from_ga] &lt;&gt; ""),_xlfn._xlws.FILTER(Tabel1342323[to_ga],Tabel1342323[to_ga] &lt;&gt; ""))))</f>
        <v>800</v>
      </c>
      <c r="AG2" s="24"/>
      <c r="AH2" s="24"/>
    </row>
    <row r="3" spans="1:90" x14ac:dyDescent="0.35">
      <c r="C3" s="10" t="s">
        <v>99</v>
      </c>
      <c r="D3" s="10" t="s">
        <v>104</v>
      </c>
      <c r="E3" s="11"/>
      <c r="F3" s="12"/>
      <c r="G3" s="10"/>
      <c r="H3" s="10" t="s">
        <v>110</v>
      </c>
      <c r="I3" s="10" t="s">
        <v>113</v>
      </c>
      <c r="J3" s="10" t="s">
        <v>114</v>
      </c>
      <c r="K3" s="10" t="s">
        <v>107</v>
      </c>
      <c r="L3" s="10" t="s">
        <v>96</v>
      </c>
      <c r="M3" s="29"/>
      <c r="N3" s="29"/>
      <c r="P3" s="24"/>
      <c r="Q3" s="7" t="s">
        <v>29</v>
      </c>
      <c r="R3" s="9">
        <f>SUMIFS(Tabel1342323[quantity],Tabel1342323[type],"E18",Tabel1342323[resolution],"PT15M")</f>
        <v>10</v>
      </c>
      <c r="S3" s="24"/>
      <c r="T3" s="27"/>
      <c r="U3" s="24"/>
      <c r="V3" s="24"/>
      <c r="W3" s="24"/>
      <c r="X3" s="24"/>
      <c r="Y3" s="24"/>
      <c r="AA3" s="24"/>
      <c r="AB3" s="24"/>
      <c r="AC3" s="24" t="str">
        <v>6000000000000</v>
      </c>
      <c r="AD3" s="24" t="str">
        <v>6600000000000</v>
      </c>
      <c r="AE3" s="24"/>
      <c r="AF3" s="24" t="str">
        <v>801</v>
      </c>
      <c r="AG3" s="24"/>
      <c r="AH3" s="24"/>
    </row>
    <row r="4" spans="1:90" x14ac:dyDescent="0.35">
      <c r="C4" s="10" t="s">
        <v>100</v>
      </c>
      <c r="D4" s="10" t="s">
        <v>91</v>
      </c>
      <c r="E4" s="11" t="s">
        <v>92</v>
      </c>
      <c r="F4" s="12">
        <v>10</v>
      </c>
      <c r="G4" s="10"/>
      <c r="H4" s="10" t="s">
        <v>110</v>
      </c>
      <c r="I4" s="10" t="s">
        <v>115</v>
      </c>
      <c r="J4" s="10" t="s">
        <v>116</v>
      </c>
      <c r="K4" s="10"/>
      <c r="L4" s="10" t="s">
        <v>96</v>
      </c>
      <c r="M4" s="29"/>
      <c r="N4" s="29"/>
      <c r="P4" s="24"/>
      <c r="Q4" s="7" t="s">
        <v>27</v>
      </c>
      <c r="R4" s="9">
        <f>SUMIFS(Tabel1342323[quantity],Tabel1342323[type],"E17",Tabel1342323[resolution],"PT15M")</f>
        <v>20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/>
      <c r="AH4" s="24"/>
    </row>
    <row r="5" spans="1:90" x14ac:dyDescent="0.35">
      <c r="C5" s="10" t="s">
        <v>101</v>
      </c>
      <c r="D5" s="10" t="s">
        <v>91</v>
      </c>
      <c r="E5" s="11" t="s">
        <v>117</v>
      </c>
      <c r="F5" s="12">
        <v>10</v>
      </c>
      <c r="G5" s="10"/>
      <c r="H5" s="10" t="s">
        <v>110</v>
      </c>
      <c r="I5" s="10" t="s">
        <v>115</v>
      </c>
      <c r="J5" s="10" t="s">
        <v>116</v>
      </c>
      <c r="K5" s="10"/>
      <c r="L5" s="10" t="s">
        <v>96</v>
      </c>
      <c r="M5" s="29"/>
      <c r="N5" s="29"/>
      <c r="P5" s="24"/>
      <c r="Q5" s="6" t="s">
        <v>32</v>
      </c>
      <c r="R5" s="9">
        <f>SUMIFS(Tabel1342323[quantity],Tabel1342323[type],"E20",Tabel1342323[resolution],"PT15M",Tabel1342323[to_ga],"800")</f>
        <v>8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35">
      <c r="C6" s="10" t="s">
        <v>102</v>
      </c>
      <c r="D6" s="10" t="s">
        <v>104</v>
      </c>
      <c r="E6" s="11"/>
      <c r="F6" s="12">
        <v>10</v>
      </c>
      <c r="G6" s="10"/>
      <c r="H6" s="10" t="s">
        <v>110</v>
      </c>
      <c r="I6" s="10" t="s">
        <v>115</v>
      </c>
      <c r="J6" s="10" t="s">
        <v>116</v>
      </c>
      <c r="K6" s="10"/>
      <c r="L6" s="10" t="s">
        <v>96</v>
      </c>
      <c r="M6" s="29"/>
      <c r="N6" s="29"/>
      <c r="P6" s="24"/>
      <c r="Q6" s="6" t="s">
        <v>43</v>
      </c>
      <c r="R6" s="9">
        <f>SUMIFS(Tabel1342323[quantity],Tabel1342323[type],"E20",Tabel1342323[resolution],"PT15M",Tabel1342323[from_ga],"800")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35">
      <c r="C7" s="10" t="s">
        <v>103</v>
      </c>
      <c r="D7" s="10" t="s">
        <v>105</v>
      </c>
      <c r="E7" s="11"/>
      <c r="F7" s="12">
        <v>8</v>
      </c>
      <c r="G7" s="10"/>
      <c r="H7" s="10" t="s">
        <v>110</v>
      </c>
      <c r="I7" s="10"/>
      <c r="J7" s="10"/>
      <c r="K7" s="10"/>
      <c r="L7" s="10" t="s">
        <v>96</v>
      </c>
      <c r="M7" s="29" t="s">
        <v>97</v>
      </c>
      <c r="N7" s="29" t="s">
        <v>96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_xlfn.IFNA(INDEX(Tabel1342323[ga_id],MATCH(S9,Tabel1342323[es_id],0)),"")</f>
        <v>800</v>
      </c>
      <c r="R9" s="26" t="str">
        <f>_xlfn.IFNA(INDEX(Tabel1342323[brp_id],MATCH(S9,Tabel1342323[es_id],0)),"")</f>
        <v>4400000000000</v>
      </c>
      <c r="S9" s="26" t="str">
        <f>IF(AC$2=0,"",AC$2)</f>
        <v>4000000000000</v>
      </c>
      <c r="T9" s="20">
        <f>SUMIFS(Tabel1342323[quantity],Tabel1342323[es_id],S9,IF(B$2="production",Tabel1342323[type],Tabel1342323[settlement_method]),AE$2,Tabel1342323[resolution],"PT1H")/4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_xlfn.IFNA(INDEX(Tabel1342323[ga_id],MATCH(S10,Tabel1342323[es_id],0)),"")</f>
        <v>800</v>
      </c>
      <c r="R10" s="26" t="str">
        <f>_xlfn.IFNA(INDEX(Tabel1342323[brp_id],MATCH(S10,Tabel1342323[es_id],0)),"")</f>
        <v>4400000000000</v>
      </c>
      <c r="S10" s="26" t="str">
        <f t="shared" ref="S10:T12" si="1">S$9</f>
        <v>4000000000000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_xlfn.IFNA(INDEX(Tabel1342323[ga_id],MATCH(S11,Tabel1342323[es_id],0)),"")</f>
        <v>800</v>
      </c>
      <c r="R11" s="26" t="str">
        <f>_xlfn.IFNA(INDEX(Tabel1342323[brp_id],MATCH(S11,Tabel1342323[es_id],0)),"")</f>
        <v>4400000000000</v>
      </c>
      <c r="S11" s="26" t="str">
        <f t="shared" si="1"/>
        <v>4000000000000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_xlfn.IFNA(INDEX(Tabel1342323[ga_id],MATCH(S12,Tabel1342323[es_id],0)),"")</f>
        <v>800</v>
      </c>
      <c r="R12" s="26" t="str">
        <f>_xlfn.IFNA(INDEX(Tabel1342323[brp_id],MATCH(S12,Tabel1342323[es_id],0)),"")</f>
        <v>4400000000000</v>
      </c>
      <c r="S12" s="26" t="str">
        <f t="shared" si="1"/>
        <v>4000000000000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118</v>
      </c>
      <c r="AD12" s="36" t="s">
        <v>120</v>
      </c>
      <c r="AE12" s="36"/>
      <c r="AF12" s="35"/>
      <c r="AG12" s="24"/>
      <c r="AH12" s="24"/>
    </row>
    <row r="13" spans="1:90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_xlfn.IFNA(INDEX(Tabel1342323[ga_id],MATCH(S13,Tabel1342323[es_id],0)),"")</f>
        <v>800</v>
      </c>
      <c r="R13" s="26" t="str">
        <f>_xlfn.IFNA(INDEX(Tabel1342323[brp_id],MATCH(S13,Tabel1342323[es_id],0)),"")</f>
        <v>6600000000000</v>
      </c>
      <c r="S13" s="26" t="str">
        <f>IF(AC$3=0,"",AC$3)</f>
        <v>6000000000000</v>
      </c>
      <c r="T13" s="20">
        <f>SUMIFS(Tabel1342323[quantity],Tabel1342323[es_id],S13,IF(B$2="production",Tabel1342323[type],Tabel1342323[settlement_method]),AE$2,Tabel1342323[resolution],"PT1H")/4</f>
        <v>0</v>
      </c>
      <c r="U13" s="19">
        <f>T13</f>
        <v>0</v>
      </c>
      <c r="V13" s="19"/>
      <c r="W13" s="23">
        <f t="shared" si="0"/>
        <v>0</v>
      </c>
      <c r="X13" s="27"/>
      <c r="Y13" s="24"/>
      <c r="AA13" s="2"/>
      <c r="AB13" s="36"/>
      <c r="AC13" s="36" t="str" cm="1">
        <f t="array" ref="AC13:AC15">_xlfn._xlws.SORT(_xlfn.UNIQUE(_xlfn._xlws.FILTER(Tabel1342323[es_id],Tabel1342323[es_id] &lt;&gt; "")))</f>
        <v>2000000000000</v>
      </c>
      <c r="AD13" s="36" t="str" cm="1">
        <f t="array" ref="AD13:AD15">_xlfn._xlws.SORT(_xlfn.UNIQUE(_xlfn._xlws.FILTER(Tabel1342323[brp_id],Tabel1342323[brp_id] &lt;&gt; "")))</f>
        <v>2200000000000</v>
      </c>
      <c r="AE13" s="36"/>
      <c r="AF13" s="35"/>
    </row>
    <row r="14" spans="1:90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_xlfn.IFNA(INDEX(Tabel1342323[ga_id],MATCH(S14,Tabel1342323[es_id],0)),"")</f>
        <v>800</v>
      </c>
      <c r="R14" s="26" t="str">
        <f>_xlfn.IFNA(INDEX(Tabel1342323[brp_id],MATCH(S14,Tabel1342323[es_id],0)),"")</f>
        <v>6600000000000</v>
      </c>
      <c r="S14" s="26" t="str">
        <f t="shared" ref="S14:T16" si="2">S$13</f>
        <v>6000000000000</v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36"/>
      <c r="AC14" s="36" t="str">
        <v>4000000000000</v>
      </c>
      <c r="AD14" s="36" t="str">
        <v>4400000000000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_xlfn.IFNA(INDEX(Tabel1342323[ga_id],MATCH(S15,Tabel1342323[es_id],0)),"")</f>
        <v>800</v>
      </c>
      <c r="R15" s="26" t="str">
        <f>_xlfn.IFNA(INDEX(Tabel1342323[brp_id],MATCH(S15,Tabel1342323[es_id],0)),"")</f>
        <v>6600000000000</v>
      </c>
      <c r="S15" s="26" t="str">
        <f t="shared" si="2"/>
        <v>6000000000000</v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36"/>
      <c r="AC15" s="36" t="str">
        <v>6000000000000</v>
      </c>
      <c r="AD15" s="36" t="str">
        <v>6600000000000</v>
      </c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_xlfn.IFNA(INDEX(Tabel1342323[ga_id],MATCH(S16,Tabel1342323[es_id],0)),"")</f>
        <v>800</v>
      </c>
      <c r="R16" s="26" t="str">
        <f>_xlfn.IFNA(INDEX(Tabel1342323[brp_id],MATCH(S16,Tabel1342323[es_id],0)),"")</f>
        <v>6600000000000</v>
      </c>
      <c r="S16" s="26" t="str">
        <f t="shared" si="2"/>
        <v>6000000000000</v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_xlfn.IFNA(INDEX(Tabel1342323[ga_id],MATCH(S17,Tabel1342323[es_id],0)),"")</f>
        <v/>
      </c>
      <c r="R17" s="26" t="str">
        <f>_xlfn.IFNA(INDEX(Tabel1342323[brp_id],MATCH(S17,Tabel1342323[es_id],0)),"")</f>
        <v/>
      </c>
      <c r="S17" s="26" t="str">
        <f>IF(AC$4=0,"",AC$4)</f>
        <v/>
      </c>
      <c r="T17" s="20">
        <f>SUMIFS(Tabel1342323[quantity],Tabel1342323[es_id],S17,IF(B$2="production",Tabel1342323[type],Tabel1342323[settlement_method]),AE$2,Tabel1342323[resolution],"PT1H")/4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_xlfn.IFNA(INDEX(Tabel1342323[ga_id],MATCH(S18,Tabel1342323[es_id],0)),"")</f>
        <v/>
      </c>
      <c r="R18" s="26" t="str">
        <f>_xlfn.IFNA(INDEX(Tabel1342323[brp_id],MATCH(S18,Tabel1342323[es_id],0)),"")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_xlfn.IFNA(INDEX(Tabel1342323[ga_id],MATCH(S19,Tabel1342323[es_id],0)),"")</f>
        <v/>
      </c>
      <c r="R19" s="26" t="str">
        <f>_xlfn.IFNA(INDEX(Tabel1342323[brp_id],MATCH(S19,Tabel1342323[es_id],0)),"")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5" x14ac:dyDescent="0.55000000000000004">
      <c r="E20" s="45" t="str">
        <f>CONCATENATE(B2,"_per_",B1)</f>
        <v>production_per_ga_brp_es</v>
      </c>
      <c r="F20" s="45"/>
      <c r="G20" s="45"/>
      <c r="H20" s="45"/>
      <c r="I20" s="46" t="s">
        <v>22</v>
      </c>
      <c r="J20" s="47"/>
      <c r="K20" s="48"/>
      <c r="P20" s="15" t="s">
        <v>78</v>
      </c>
      <c r="Q20" s="26" t="str">
        <f>_xlfn.IFNA(INDEX(Tabel1342323[ga_id],MATCH(S20,Tabel1342323[es_id],0)),"")</f>
        <v/>
      </c>
      <c r="R20" s="26" t="str">
        <f>_xlfn.IFNA(INDEX(Tabel1342323[brp_id],MATCH(S20,Tabel1342323[es_id],0)),"")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_xlfn.IFNA(INDEX(Tabel1342323[ga_id],MATCH(S21,Tabel1342323[es_id],0)),"")</f>
        <v/>
      </c>
      <c r="R21" s="26" t="str">
        <f>_xlfn.IFNA(INDEX(Tabel1342323[brp_id],MATCH(S21,Tabel1342323[es_id],0)),"")</f>
        <v/>
      </c>
      <c r="S21" s="26" t="str">
        <f>IF(AC$5=0,"",AC$5)</f>
        <v/>
      </c>
      <c r="T21" s="20">
        <f>SUMIFS(Tabel1342323[quantity],Tabel1342323[es_id],S21,IF(B$2="production",Tabel1342323[type],Tabel1342323[settlement_method]),AE$2,Tabel1342323[resolution],"PT1H")/4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3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4000000000000</v>
      </c>
      <c r="G22" s="31" t="str">
        <f>IF(B$1="ga",IF(E22="","","null"),IF(B$1="ga_es",IF(F22="","","null"),IF(B$1="ga_brp",IF(AD$2=0,"",AD$2),IF(F22="","",INDEX(Tabel1342323[brp_id],MATCH(F22,Tabel1342323[es_id],0),1)))))</f>
        <v>4400000000000</v>
      </c>
      <c r="H22" s="33" t="str">
        <f>SUBSTITUTE(IF(E22="","",I22+J22+K22),",",".")</f>
        <v>2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[quantity],IF(OR(B$1="ga_es",B$1="ga_brp_es"),Tabel1342323[es_id],IF(B$1="ga_brp",Tabel1342323[brp_id],Tabel1342323[ga_id])),IF(OR(B$1="ga_es",B$1="ga_brp_es"),F22,IF(B$1="ga_brp",G22,E22)),IF(B$2="production",Tabel1342323[type],Tabel1342323[settlement_method]),AE$2,Tabel1342323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2</v>
      </c>
      <c r="L22" s="2"/>
      <c r="M22" s="2"/>
      <c r="N22" s="2"/>
      <c r="O22" s="2"/>
      <c r="P22" s="15" t="s">
        <v>76</v>
      </c>
      <c r="Q22" s="26" t="str">
        <f>_xlfn.IFNA(INDEX(Tabel1342323[ga_id],MATCH(S22,Tabel1342323[es_id],0)),"")</f>
        <v/>
      </c>
      <c r="R22" s="26" t="str">
        <f>_xlfn.IFNA(INDEX(Tabel1342323[brp_id],MATCH(S22,Tabel1342323[es_id],0)),"")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3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4000000000000</v>
      </c>
      <c r="G23" s="31" t="str">
        <f>IF(B$1="ga",IF(E23="","","null"),IF(B$1="ga_es",IF(F23="","","null"),IF(B$1="ga_brp",IF(AD$2=0,"",AD$2),IF(F23="","",INDEX(Tabel1342323[brp_id],MATCH(F23,Tabel1342323[es_id],0),1)))))</f>
        <v>4400000000000</v>
      </c>
      <c r="H23" s="33" t="str">
        <f t="shared" ref="H23:H45" si="8">SUBSTITUTE(IF(E23="","",I23+J23+K23),",",".")</f>
        <v>0</v>
      </c>
      <c r="I23" s="9">
        <f t="shared" si="5"/>
        <v>0</v>
      </c>
      <c r="J23" s="9">
        <f>IF(D23="Quarter1",SUMIFS(Tabel1342323[quantity],IF(OR(B$1="ga_es",B$1="ga_brp_es"),Tabel1342323[es_id],IF(B$1="ga_brp",Tabel1342323[brp_id],Tabel1342323[ga_id])),IF(OR(B$1="ga_es",B$1="ga_brp_es"),F23,IF(B$1="ga_brp",G23,E23)),IF(B$2="production",Tabel1342323[type],Tabel1342323[settlement_method]),AE$2,Tabel1342323[resolution],"PT15M"),0)</f>
        <v>0</v>
      </c>
      <c r="K23" s="9">
        <f t="shared" si="6"/>
        <v>0</v>
      </c>
      <c r="L23" s="2"/>
      <c r="M23" s="2"/>
      <c r="N23" s="2"/>
      <c r="O23" s="2"/>
      <c r="P23" s="15" t="s">
        <v>77</v>
      </c>
      <c r="Q23" s="26" t="str">
        <f>_xlfn.IFNA(INDEX(Tabel1342323[ga_id],MATCH(S23,Tabel1342323[es_id],0)),"")</f>
        <v/>
      </c>
      <c r="R23" s="26" t="str">
        <f>_xlfn.IFNA(INDEX(Tabel1342323[brp_id],MATCH(S23,Tabel1342323[es_id],0)),"")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_xlfn._xlws.SORT(_xlfn.UNIQUE(IFERROR(INDEX(_xlfn._xlws.FILTER(Tabel1342323[[type]:[brp_id]],(Tabel1342323[es_id]=AC6)*(Tabel1342323[settlement_method]="D01"),""),,6),"")))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3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4000000000000</v>
      </c>
      <c r="G24" s="31" t="str">
        <f>IF(B$1="ga",IF(E24="","","null"),IF(B$1="ga_es",IF(F24="","","null"),IF(B$1="ga_brp",IF(AD$2=0,"",AD$2),IF(F24="","",INDEX(Tabel1342323[brp_id],MATCH(F24,Tabel1342323[es_id],0),1)))))</f>
        <v>4400000000000</v>
      </c>
      <c r="H24" s="33" t="str">
        <f t="shared" si="8"/>
        <v>0</v>
      </c>
      <c r="I24" s="9">
        <f t="shared" si="5"/>
        <v>0</v>
      </c>
      <c r="J24" s="9">
        <f>IF(D24="Quarter1",SUMIFS(Tabel1342323[quantity],IF(OR(B$1="ga_es",B$1="ga_brp_es"),Tabel1342323[es_id],IF(B$1="ga_brp",Tabel1342323[brp_id],Tabel1342323[ga_id])),IF(OR(B$1="ga_es",B$1="ga_brp_es"),F24,IF(B$1="ga_brp",G24,E24)),IF(B$2="production",Tabel1342323[type],Tabel1342323[settlement_method]),AE$2,Tabel1342323[resolution],"PT15M"),0)</f>
        <v>0</v>
      </c>
      <c r="K24" s="9">
        <f t="shared" si="6"/>
        <v>0</v>
      </c>
      <c r="L24" s="2"/>
      <c r="M24" s="2"/>
      <c r="N24" s="2"/>
      <c r="O24" s="2"/>
      <c r="P24" s="15" t="s">
        <v>78</v>
      </c>
      <c r="Q24" s="26" t="str">
        <f>_xlfn.IFNA(INDEX(Tabel1342323[ga_id],MATCH(S24,Tabel1342323[es_id],0)),"")</f>
        <v/>
      </c>
      <c r="R24" s="26" t="str">
        <f>_xlfn.IFNA(INDEX(Tabel1342323[brp_id],MATCH(S24,Tabel1342323[es_id],0)),"")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_xlfn._xlws.SORT(_xlfn.UNIQUE(IFERROR(INDEX(_xlfn._xlws.FILTER(Tabel1342323[[type]:[brp_id]],(Tabel1342323[es_id]=AC7)*(Tabel1342323[settlement_method]="D01"),""),,6),"")))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3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4000000000000</v>
      </c>
      <c r="G25" s="31" t="str">
        <f>IF(B$1="ga",IF(E25="","","null"),IF(B$1="ga_es",IF(F25="","","null"),IF(B$1="ga_brp",IF(AD$2=0,"",AD$2),IF(F25="","",INDEX(Tabel1342323[brp_id],MATCH(F25,Tabel1342323[es_id],0),1)))))</f>
        <v>4400000000000</v>
      </c>
      <c r="H25" s="33" t="str">
        <f t="shared" si="8"/>
        <v>0</v>
      </c>
      <c r="I25" s="9">
        <f t="shared" si="5"/>
        <v>0</v>
      </c>
      <c r="J25" s="9">
        <f>IF(D25="Quarter1",SUMIFS(Tabel1342323[quantity],IF(OR(B$1="ga_es",B$1="ga_brp_es"),Tabel1342323[es_id],IF(B$1="ga_brp",Tabel1342323[brp_id],Tabel1342323[ga_id])),IF(OR(B$1="ga_es",B$1="ga_brp_es"),F25,IF(B$1="ga_brp",G25,E25)),IF(B$2="production",Tabel1342323[type],Tabel1342323[settlement_method]),AE$2,Tabel1342323[resolution],"PT15M"),0)</f>
        <v>0</v>
      </c>
      <c r="K25" s="9">
        <f t="shared" si="6"/>
        <v>0</v>
      </c>
      <c r="L25" s="2"/>
      <c r="M25" s="2"/>
      <c r="N25" s="2"/>
      <c r="O25" s="2"/>
      <c r="P25" s="15" t="s">
        <v>75</v>
      </c>
      <c r="Q25" s="26" t="str">
        <f>_xlfn.IFNA(INDEX(Tabel1342323[ga_id],MATCH(S25,Tabel1342323[es_id],0)),"")</f>
        <v/>
      </c>
      <c r="R25" s="26" t="str">
        <f>_xlfn.IFNA(INDEX(Tabel1342323[brp_id],MATCH(S25,Tabel1342323[es_id],0)),"")</f>
        <v/>
      </c>
      <c r="S25" s="26" t="str">
        <f>IF(AC$6=0,"",AC$6)</f>
        <v/>
      </c>
      <c r="T25" s="20">
        <f>SUMIFS(Tabel1342323[quantity],Tabel1342323[es_id],S25,IF(B$2="production",Tabel1342323[type],Tabel1342323[settlement_method]),AE$2,Tabel1342323[resolution],"PT1H")/4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3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75</v>
      </c>
      <c r="E26" s="31" t="str">
        <f t="shared" si="4"/>
        <v>800</v>
      </c>
      <c r="F26" s="31" t="str">
        <f>IF(B$1="ga",IF(E26="","","null"),IF(OR(B$1="ga_es",B$1="ga_brp_es"),IF(AC$3=0,"",AC$3),IF(B$1="ga_brp",IF(G26="","","null"))))</f>
        <v>6000000000000</v>
      </c>
      <c r="G26" s="31" t="str">
        <f>IF(B$1="ga",IF(E26="","","null"),IF(B$1="ga_es",IF(F26="","","null"),IF(B$1="ga_brp",IF(AD$3=0,"",AD$3),IF(F26="","",INDEX(Tabel1342323[brp_id],MATCH(F26,Tabel1342323[es_id],0),1)))))</f>
        <v>6600000000000</v>
      </c>
      <c r="H26" s="33" t="str">
        <f t="shared" si="8"/>
        <v>10</v>
      </c>
      <c r="I26" s="9">
        <f t="shared" si="5"/>
        <v>0</v>
      </c>
      <c r="J26" s="9">
        <f>IF(D26="Quarter1",SUMIFS(Tabel1342323[quantity],IF(OR(B$1="ga_es",B$1="ga_brp_es"),Tabel1342323[es_id],IF(B$1="ga_brp",Tabel1342323[brp_id],Tabel1342323[ga_id])),IF(OR(B$1="ga_es",B$1="ga_brp_es"),F26,IF(B$1="ga_brp",G26,E26)),IF(B$2="production",Tabel1342323[type],Tabel1342323[settlement_method]),AE$2,Tabel1342323[resolution],"PT15M"),0)</f>
        <v>10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_xlfn.IFNA(INDEX(Tabel1342323[ga_id],MATCH(S26,Tabel1342323[es_id],0)),"")</f>
        <v/>
      </c>
      <c r="R26" s="26" t="str">
        <f>_xlfn.IFNA(INDEX(Tabel1342323[brp_id],MATCH(S26,Tabel1342323[es_id],0)),"")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3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76</v>
      </c>
      <c r="E27" s="31" t="str">
        <f t="shared" si="4"/>
        <v>800</v>
      </c>
      <c r="F27" s="31" t="str">
        <f>IF(B$1="ga",IF(E27="","","null"),IF(OR(B$1="ga_es",B$1="ga_brp_es"),IF(AC$3=0,"",AC$3),IF(B$1="ga_brp",IF(G27="","","null"))))</f>
        <v>6000000000000</v>
      </c>
      <c r="G27" s="31" t="str">
        <f>IF(B$1="ga",IF(E27="","","null"),IF(B$1="ga_es",IF(F27="","","null"),IF(B$1="ga_brp",IF(AD$3=0,"",AD$3),IF(F27="","",INDEX(Tabel1342323[brp_id],MATCH(F27,Tabel1342323[es_id],0),1)))))</f>
        <v>6600000000000</v>
      </c>
      <c r="H27" s="33" t="str">
        <f t="shared" si="8"/>
        <v>0</v>
      </c>
      <c r="I27" s="9">
        <f t="shared" si="5"/>
        <v>0</v>
      </c>
      <c r="J27" s="9">
        <f>IF(D27="Quarter1",SUMIFS(Tabel1342323[quantity],IF(OR(B$1="ga_es",B$1="ga_brp_es"),Tabel1342323[es_id],IF(B$1="ga_brp",Tabel1342323[brp_id],Tabel1342323[ga_id])),IF(OR(B$1="ga_es",B$1="ga_brp_es"),F27,IF(B$1="ga_brp",G27,E27)),IF(B$2="production",Tabel1342323[type],Tabel1342323[settlement_method]),AE$2,Tabel1342323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_xlfn.IFNA(INDEX(Tabel1342323[ga_id],MATCH(S27,Tabel1342323[es_id],0)),"")</f>
        <v/>
      </c>
      <c r="R27" s="26" t="str">
        <f>_xlfn.IFNA(INDEX(Tabel1342323[brp_id],MATCH(S27,Tabel1342323[es_id],0)),"")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production</v>
      </c>
      <c r="AD27" s="36" t="str">
        <f>_xlfn.CONCAT("Balance responsibles for "&amp;B2)</f>
        <v>Balance responsibles for production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3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77</v>
      </c>
      <c r="E28" s="31" t="str">
        <f t="shared" si="4"/>
        <v>800</v>
      </c>
      <c r="F28" s="31" t="str">
        <f>IF(B$1="ga",IF(E28="","","null"),IF(OR(B$1="ga_es",B$1="ga_brp_es"),IF(AC$3=0,"",AC$3),IF(B$1="ga_brp",IF(G28="","","null"))))</f>
        <v>6000000000000</v>
      </c>
      <c r="G28" s="31" t="str">
        <f>IF(B$1="ga",IF(E28="","","null"),IF(B$1="ga_es",IF(F28="","","null"),IF(B$1="ga_brp",IF(AD$3=0,"",AD$3),IF(F28="","",INDEX(Tabel1342323[brp_id],MATCH(F28,Tabel1342323[es_id],0),1)))))</f>
        <v>6600000000000</v>
      </c>
      <c r="H28" s="33" t="str">
        <f t="shared" si="8"/>
        <v>0</v>
      </c>
      <c r="I28" s="9">
        <f t="shared" si="5"/>
        <v>0</v>
      </c>
      <c r="J28" s="9">
        <f>IF(D28="Quarter1",SUMIFS(Tabel1342323[quantity],IF(OR(B$1="ga_es",B$1="ga_brp_es"),Tabel1342323[es_id],IF(B$1="ga_brp",Tabel1342323[brp_id],Tabel1342323[ga_id])),IF(OR(B$1="ga_es",B$1="ga_brp_es"),F28,IF(B$1="ga_brp",G28,E28)),IF(B$2="production",Tabel1342323[type],Tabel1342323[settlement_method]),AE$2,Tabel1342323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_xlfn.IFNA(INDEX(Tabel1342323[ga_id],MATCH(S28,Tabel1342323[es_id],0)),"")</f>
        <v/>
      </c>
      <c r="R28" s="26" t="str">
        <f>_xlfn.IFNA(INDEX(Tabel1342323[brp_id],MATCH(S28,Tabel1342323[es_id],0)),"")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IFERROR(IF($B$2="production",INDEX(_xlfn._xlws.FILTER(Tabel1342323[[type]:[brp_id]],(Tabel1342323[es_id]=AC13)*(Tabel1342323[type]="E18"),""),,6),INDEX(_xlfn._xlws.FILTER(Tabel1342323[[type]:[brp_id]],(Tabel1342323[es_id]=AC13)*(Tabel1342323[settlement_method]=AE$2),""),,6)),"")</f>
        <v/>
      </c>
      <c r="AD28" s="36" t="str" cm="1">
        <f t="array" ref="AD28">IFERROR(IF($B$2="production",INDEX(_xlfn._xlws.FILTER(Tabel1342323[[type]:[brp_id]],(Tabel1342323[brp_id]=AD13)*(Tabel1342323[type]=$AE$2),""),,7),INDEX(_xlfn._xlws.FILTER(Tabel1342323[[type]:[brp_id]],(Tabel1342323[brp_id]=AD13)*(Tabel1342323[settlement_method]=AE$2),""),,7)),"")</f>
        <v/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3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78</v>
      </c>
      <c r="E29" s="31" t="str">
        <f t="shared" si="4"/>
        <v>800</v>
      </c>
      <c r="F29" s="31" t="str">
        <f>IF(B$1="ga",IF(E29="","","null"),IF(OR(B$1="ga_es",B$1="ga_brp_es"),IF(AC$3=0,"",AC$3),IF(B$1="ga_brp",IF(G29="","","null"))))</f>
        <v>6000000000000</v>
      </c>
      <c r="G29" s="31" t="str">
        <f>IF(B$1="ga",IF(E29="","","null"),IF(B$1="ga_es",IF(F29="","","null"),IF(B$1="ga_brp",IF(AD$3=0,"",AD$3),IF(F29="","",INDEX(Tabel1342323[brp_id],MATCH(F29,Tabel1342323[es_id],0),1)))))</f>
        <v>6600000000000</v>
      </c>
      <c r="H29" s="33" t="str">
        <f t="shared" si="8"/>
        <v>0</v>
      </c>
      <c r="I29" s="9">
        <f t="shared" si="5"/>
        <v>0</v>
      </c>
      <c r="J29" s="9">
        <f>IF(D29="Quarter1",SUMIFS(Tabel1342323[quantity],IF(OR(B$1="ga_es",B$1="ga_brp_es"),Tabel1342323[es_id],IF(B$1="ga_brp",Tabel1342323[brp_id],Tabel1342323[ga_id])),IF(OR(B$1="ga_es",B$1="ga_brp_es"),F29,IF(B$1="ga_brp",G29,E29)),IF(B$2="production",Tabel1342323[type],Tabel1342323[settlement_method]),AE$2,Tabel1342323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_xlfn.IFNA(INDEX(Tabel1342323[ga_id],MATCH(S29,Tabel1342323[es_id],0)),"")</f>
        <v/>
      </c>
      <c r="R29" s="26" t="str">
        <f>_xlfn.IFNA(INDEX(Tabel1342323[brp_id],MATCH(S29,Tabel1342323[es_id],0)),"")</f>
        <v/>
      </c>
      <c r="S29" s="26" t="str">
        <f>IF(AC$7=0,"",AC$7)</f>
        <v/>
      </c>
      <c r="T29" s="20">
        <f>SUMIFS(Tabel1342323[quantity],Tabel1342323[es_id],S29,IF(B$2="production",Tabel1342323[type],Tabel1342323[settlement_method]),AE$2,Tabel1342323[resolution],"PT1H")/4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IFERROR(IF($B$2="production",INDEX(_xlfn._xlws.FILTER(Tabel1342323[[type]:[brp_id]],(Tabel1342323[es_id]=AC14)*(Tabel1342323[type]="E18"),""),,6),INDEX(_xlfn._xlws.FILTER(Tabel1342323[[type]:[brp_id]],(Tabel1342323[es_id]=AC14)*(Tabel1342323[settlement_method]=AE$2),""),,6)),"")</f>
        <v>4000000000000</v>
      </c>
      <c r="AD29" s="36" t="str" cm="1">
        <f t="array" ref="AD29">IFERROR(IF($B$2="production",INDEX(_xlfn._xlws.FILTER(Tabel1342323[[type]:[brp_id]],(Tabel1342323[brp_id]=AD14)*(Tabel1342323[type]=$AE$2),""),,7),INDEX(_xlfn._xlws.FILTER(Tabel1342323[[type]:[brp_id]],(Tabel1342323[brp_id]=AD14)*(Tabel1342323[settlement_method]=AE$2),""),,7)),"")</f>
        <v>4400000000000</v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3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75</v>
      </c>
      <c r="E30" s="31" t="str">
        <f t="shared" si="4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IF(B$1="ga",IF(E30="","","null"),IF(B$1="ga_es",IF(F30="","","null"),IF(B$1="ga_brp",IF(AD$4=0,"",AD$4),IF(F30="","",INDEX(Tabel1342323[brp_id],MATCH(F30,Tabel1342323[es_id],0),1)))))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[quantity],IF(OR(B$1="ga_es",B$1="ga_brp_es"),Tabel1342323[es_id],IF(B$1="ga_brp",Tabel1342323[brp_id],Tabel1342323[ga_id])),IF(OR(B$1="ga_es",B$1="ga_brp_es"),F30,IF(B$1="ga_brp",G30,E30)),IF(B$2="production",Tabel1342323[type],Tabel1342323[settlement_method]),AE$2,Tabel1342323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_xlfn.IFNA(INDEX(Tabel1342323[ga_id],MATCH(S30,Tabel1342323[es_id],0)),"")</f>
        <v/>
      </c>
      <c r="R30" s="26" t="str">
        <f>_xlfn.IFNA(INDEX(Tabel1342323[brp_id],MATCH(S30,Tabel1342323[es_id],0)),"")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IFERROR(IF($B$2="production",INDEX(_xlfn._xlws.FILTER(Tabel1342323[[type]:[brp_id]],(Tabel1342323[es_id]=AC15)*(Tabel1342323[type]="E18"),""),,6),INDEX(_xlfn._xlws.FILTER(Tabel1342323[[type]:[brp_id]],(Tabel1342323[es_id]=AC15)*(Tabel1342323[settlement_method]=AE$2),""),,6)),"")</f>
        <v>6000000000000</v>
      </c>
      <c r="AD30" s="36" t="str" cm="1">
        <f t="array" ref="AD30">IFERROR(IF($B$2="production",INDEX(_xlfn._xlws.FILTER(Tabel1342323[[type]:[brp_id]],(Tabel1342323[brp_id]=AD15)*(Tabel1342323[type]=$AE$2),""),,7),INDEX(_xlfn._xlws.FILTER(Tabel1342323[[type]:[brp_id]],(Tabel1342323[brp_id]=AD15)*(Tabel1342323[settlement_method]=AE$2),""),,7)),"")</f>
        <v>6600000000000</v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3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76</v>
      </c>
      <c r="E31" s="31" t="str">
        <f t="shared" si="4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IF(B$1="ga",IF(E31="","","null"),IF(B$1="ga_es",IF(F31="","","null"),IF(B$1="ga_brp",IF(AD$4=0,"",AD$4),IF(F31="","",INDEX(Tabel1342323[brp_id],MATCH(F31,Tabel1342323[es_id],0),1)))))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[quantity],IF(OR(B$1="ga_es",B$1="ga_brp_es"),Tabel1342323[es_id],IF(B$1="ga_brp",Tabel1342323[brp_id],Tabel1342323[ga_id])),IF(OR(B$1="ga_es",B$1="ga_brp_es"),F31,IF(B$1="ga_brp",G31,E31)),IF(B$2="production",Tabel1342323[type],Tabel1342323[settlement_method]),AE$2,Tabel1342323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_xlfn.IFNA(INDEX(Tabel1342323[ga_id],MATCH(S31,Tabel1342323[es_id],0)),"")</f>
        <v/>
      </c>
      <c r="R31" s="26" t="str">
        <f>_xlfn.IFNA(INDEX(Tabel1342323[brp_id],MATCH(S31,Tabel1342323[es_id],0)),"")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IFERROR(IF($B$2="production",INDEX(_xlfn._xlws.FILTER(Tabel1342323[[type]:[brp_id]],(Tabel1342323[es_id]=AC16)*(Tabel1342323[type]="E18"),""),,6),INDEX(_xlfn._xlws.FILTER(Tabel1342323[[type]:[brp_id]],(Tabel1342323[es_id]=AC16)*(Tabel1342323[settlement_method]=AE$2),""),,6)),"")</f>
        <v/>
      </c>
      <c r="AD31" s="36" t="str" cm="1">
        <f t="array" ref="AD31">IFERROR(IF($B$2="production",INDEX(_xlfn._xlws.FILTER(Tabel1342323[[type]:[brp_id]],(Tabel1342323[brp_id]=AD16)*(Tabel1342323[type]=$AE$2),""),,7),INDEX(_xlfn._xlws.FILTER(Tabel1342323[[type]:[brp_id]],(Tabel1342323[brp_id]=AD16)*(Tabel1342323[settlement_method]=AE$2),""),,7)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3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77</v>
      </c>
      <c r="E32" s="31" t="str">
        <f t="shared" si="4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IF(B$1="ga",IF(E32="","","null"),IF(B$1="ga_es",IF(F32="","","null"),IF(B$1="ga_brp",IF(AD$4=0,"",AD$4),IF(F32="","",INDEX(Tabel1342323[brp_id],MATCH(F32,Tabel1342323[es_id],0),1)))))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[quantity],IF(OR(B$1="ga_es",B$1="ga_brp_es"),Tabel1342323[es_id],IF(B$1="ga_brp",Tabel1342323[brp_id],Tabel1342323[ga_id])),IF(OR(B$1="ga_es",B$1="ga_brp_es"),F32,IF(B$1="ga_brp",G32,E32)),IF(B$2="production",Tabel1342323[type],Tabel1342323[settlement_method]),AE$2,Tabel1342323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_xlfn.IFNA(INDEX(Tabel1342323[ga_id],MATCH(S32,Tabel1342323[es_id],0)),"")</f>
        <v/>
      </c>
      <c r="R32" s="26" t="str">
        <f>_xlfn.IFNA(INDEX(Tabel1342323[brp_id],MATCH(S32,Tabel1342323[es_id],0)),"")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IFERROR(IF($B$2="production",INDEX(_xlfn._xlws.FILTER(Tabel1342323[[type]:[brp_id]],(Tabel1342323[es_id]=AC17)*(Tabel1342323[type]="E18"),""),,6),INDEX(_xlfn._xlws.FILTER(Tabel1342323[[type]:[brp_id]],(Tabel1342323[es_id]=AC17)*(Tabel1342323[settlement_method]=AE$2),""),,6)),"")</f>
        <v/>
      </c>
      <c r="AD32" s="36" t="str" cm="1">
        <f t="array" ref="AD32">IFERROR(IF($B$2="production",INDEX(_xlfn._xlws.FILTER(Tabel1342323[[type]:[brp_id]],(Tabel1342323[brp_id]=AD17)*(Tabel1342323[type]=$AE$2),""),,7),INDEX(_xlfn._xlws.FILTER(Tabel1342323[[type]:[brp_id]],(Tabel1342323[brp_id]=AD17)*(Tabel1342323[settlement_method]=AE$2),""),,7)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3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78</v>
      </c>
      <c r="E33" s="31" t="str">
        <f t="shared" si="4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IF(B$1="ga",IF(E33="","","null"),IF(B$1="ga_es",IF(F33="","","null"),IF(B$1="ga_brp",IF(AD$4=0,"",AD$4),IF(F33="","",INDEX(Tabel1342323[brp_id],MATCH(F33,Tabel1342323[es_id],0),1)))))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[quantity],IF(OR(B$1="ga_es",B$1="ga_brp_es"),Tabel1342323[es_id],IF(B$1="ga_brp",Tabel1342323[brp_id],Tabel1342323[ga_id])),IF(OR(B$1="ga_es",B$1="ga_brp_es"),F33,IF(B$1="ga_brp",G33,E33)),IF(B$2="production",Tabel1342323[type],Tabel1342323[settlement_method]),AE$2,Tabel1342323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IFERROR(IF($B$2="production",INDEX(_xlfn._xlws.FILTER(Tabel1342323[[type]:[brp_id]],(Tabel1342323[es_id]=AC18)*(Tabel1342323[type]="E18"),""),,6),INDEX(_xlfn._xlws.FILTER(Tabel1342323[[type]:[brp_id]],(Tabel1342323[es_id]=AC18)*(Tabel1342323[settlement_method]=AE$2),""),,6)),"")</f>
        <v/>
      </c>
      <c r="AD33" s="36" t="str" cm="1">
        <f t="array" ref="AD33">IFERROR(IF($B$2="production",INDEX(_xlfn._xlws.FILTER(Tabel1342323[[type]:[brp_id]],(Tabel1342323[brp_id]=AD18)*(Tabel1342323[type]=$AE$2),""),,7),INDEX(_xlfn._xlws.FILTER(Tabel1342323[[type]:[brp_id]],(Tabel1342323[brp_id]=AD18)*(Tabel1342323[settlement_method]=AE$2),""),,7)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3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IF(B$1="ga",IF(E34="","","null"),IF(B$1="ga_es",IF(F34="","","null"),IF(B$1="ga_brp",IF(AD$5=0,"",AD$5),IF(F34="","",INDEX(Tabel1342323[brp_id],MATCH(F34,Tabel1342323[es_id],0),1)))))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[quantity],IF(OR(B$1="ga_es",B$1="ga_brp_es"),Tabel1342323[es_id],IF(B$1="ga_brp",Tabel1342323[brp_id],Tabel1342323[ga_id])),IF(OR(B$1="ga_es",B$1="ga_brp_es"),F34,IF(B$1="ga_brp",G34,E34)),IF(B$2="production",Tabel1342323[type],Tabel1342323[settlement_method]),AE$2,Tabel1342323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SUMIFS(Tabel1342323[quantity],Tabel1342323[settlement_method],"D01",Tabel1342323[resolution],"PT1H")</f>
        <v>0</v>
      </c>
      <c r="U34" s="49" t="s">
        <v>50</v>
      </c>
      <c r="V34" s="49"/>
      <c r="W34" s="28">
        <f>SUM(W36:W39)</f>
        <v>0</v>
      </c>
      <c r="X34" s="21">
        <f>SUM(X36:X39)</f>
        <v>0</v>
      </c>
      <c r="Y34" s="27"/>
      <c r="Z34" s="2"/>
      <c r="AA34" s="2"/>
      <c r="AB34" s="36"/>
      <c r="AC34" s="36" t="str" cm="1">
        <f t="array" ref="AC34">IFERROR(IF($B$2="production",INDEX(_xlfn._xlws.FILTER(Tabel1342323[[type]:[brp_id]],(Tabel1342323[es_id]=AC19)*(Tabel1342323[type]="E18"),""),,6),INDEX(_xlfn._xlws.FILTER(Tabel1342323[[type]:[brp_id]],(Tabel1342323[es_id]=AC19)*(Tabel1342323[settlement_method]=AE$2),""),,6)),"")</f>
        <v/>
      </c>
      <c r="AD34" s="36" t="str" cm="1">
        <f t="array" ref="AD34">IFERROR(IF($B$2="production",INDEX(_xlfn._xlws.FILTER(Tabel1342323[[type]:[brp_id]],(Tabel1342323[brp_id]=AD19)*(Tabel1342323[type]=$AE$2),""),,7),INDEX(_xlfn._xlws.FILTER(Tabel1342323[[type]:[brp_id]],(Tabel1342323[brp_id]=AD19)*(Tabel1342323[settlement_method]=AE$2),""),,7)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3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IF(B$1="ga",IF(E35="","","null"),IF(B$1="ga_es",IF(F35="","","null"),IF(B$1="ga_brp",IF(AD$5=0,"",AD$5),IF(F35="","",INDEX(Tabel1342323[brp_id],MATCH(F35,Tabel1342323[es_id],0),1)))))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[quantity],IF(OR(B$1="ga_es",B$1="ga_brp_es"),Tabel1342323[es_id],IF(B$1="ga_brp",Tabel1342323[brp_id],Tabel1342323[ga_id])),IF(OR(B$1="ga_es",B$1="ga_brp_es"),F35,IF(B$1="ga_brp",G35,E35)),IF(B$2="production",Tabel1342323[type],Tabel1342323[settlement_method]),AE$2,Tabel1342323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SUMIFS(Tabel1342323[quantity],Tabel1342323[settlement_method],"D01",Tabel1342323[resolution],"PT1H")/4</f>
        <v>0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IFERROR(IF($B$2="production",INDEX(_xlfn._xlws.FILTER(Tabel1342323[[type]:[brp_id]],(Tabel1342323[es_id]=AC20)*(Tabel1342323[type]="E18"),""),,6),INDEX(_xlfn._xlws.FILTER(Tabel1342323[[type]:[brp_id]],(Tabel1342323[es_id]=AC20)*(Tabel1342323[settlement_method]=AE$2),""),,6)),"")</f>
        <v/>
      </c>
      <c r="AD35" s="36" t="str" cm="1">
        <f t="array" ref="AD35">IFERROR(IF($B$2="production",INDEX(_xlfn._xlws.FILTER(Tabel1342323[[type]:[brp_id]],(Tabel1342323[brp_id]=AD20)*(Tabel1342323[type]=$AE$2),""),,7),INDEX(_xlfn._xlws.FILTER(Tabel1342323[[type]:[brp_id]],(Tabel1342323[brp_id]=AD20)*(Tabel1342323[settlement_method]=AE$2),""),,7)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3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IF(B$1="ga",IF(E36="","","null"),IF(B$1="ga_es",IF(F36="","","null"),IF(B$1="ga_brp",IF(AD$5=0,"",AD$5),IF(F36="","",INDEX(Tabel1342323[brp_id],MATCH(F36,Tabel1342323[es_id],0),1)))))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[quantity],IF(OR(B$1="ga_es",B$1="ga_brp_es"),Tabel1342323[es_id],IF(B$1="ga_brp",Tabel1342323[brp_id],Tabel1342323[ga_id])),IF(OR(B$1="ga_es",B$1="ga_brp_es"),F36,IF(B$1="ga_brp",G36,E36)),IF(B$2="production",Tabel1342323[type],Tabel1342323[settlement_method]),AE$2,Tabel1342323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36"/>
      <c r="AC36" s="36" t="str" cm="1">
        <f t="array" ref="AC36">IFERROR(IF($B$2="production",INDEX(_xlfn._xlws.FILTER(Tabel1342323[[type]:[brp_id]],(Tabel1342323[es_id]=AC21)*(Tabel1342323[type]="E18"),""),,6),INDEX(_xlfn._xlws.FILTER(Tabel1342323[[type]:[brp_id]],(Tabel1342323[es_id]=AC21)*(Tabel1342323[settlement_method]=AE$2),""),,6)),"")</f>
        <v/>
      </c>
      <c r="AD36" s="36" t="str" cm="1">
        <f t="array" ref="AD36">IFERROR(IF($B$2="production",INDEX(_xlfn._xlws.FILTER(Tabel1342323[[type]:[brp_id]],(Tabel1342323[brp_id]=AD21)*(Tabel1342323[type]=$AE$2),""),,7),INDEX(_xlfn._xlws.FILTER(Tabel1342323[[type]:[brp_id]],(Tabel1342323[brp_id]=AD21)*(Tabel1342323[settlement_method]=AE$2),""),,7)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3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IF(B$1="ga",IF(E37="","","null"),IF(B$1="ga_es",IF(F37="","","null"),IF(B$1="ga_brp",IF(AD$5=0,"",AD$5),IF(F37="","",INDEX(Tabel1342323[brp_id],MATCH(F37,Tabel1342323[es_id],0),1)))))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[quantity],IF(OR(B$1="ga_es",B$1="ga_brp_es"),Tabel1342323[es_id],IF(B$1="ga_brp",Tabel1342323[brp_id],Tabel1342323[ga_id])),IF(OR(B$1="ga_es",B$1="ga_brp_es"),F37,IF(B$1="ga_brp",G37,E37)),IF(B$2="production",Tabel1342323[type],Tabel1342323[settlement_method]),AE$2,Tabel1342323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36"/>
      <c r="AC37" s="36" t="str" cm="1">
        <f t="array" ref="AC37">IFERROR(IF($B$2="production",INDEX(_xlfn._xlws.FILTER(Tabel1342323[[type]:[brp_id]],(Tabel1342323[es_id]=AC22)*(Tabel1342323[type]="E18"),""),,6),INDEX(_xlfn._xlws.FILTER(Tabel1342323[[type]:[brp_id]],(Tabel1342323[es_id]=AC22)*(Tabel1342323[settlement_method]=AE$2),""),,6)),"")</f>
        <v/>
      </c>
      <c r="AD37" s="36" t="str" cm="1">
        <f t="array" ref="AD37">IFERROR(IF($B$2="production",INDEX(_xlfn._xlws.FILTER(Tabel1342323[[type]:[brp_id]],(Tabel1342323[brp_id]=AD22)*(Tabel1342323[type]=$AE$2),""),,7),INDEX(_xlfn._xlws.FILTER(Tabel1342323[[type]:[brp_id]],(Tabel1342323[brp_id]=AD22)*(Tabel1342323[settlement_method]=AE$2),""),,7)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3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IF(B$1="ga",IF(E38="","","null"),IF(B$1="ga_es",IF(F38="","","null"),IF(B$1="ga_brp",IF(AD$5=0,"",AD$5),IF(F38="","",INDEX(Tabel1342323[brp_id],MATCH(F38,Tabel1342323[es_id],0),1)))))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[quantity],IF(OR(B$1="ga_es",B$1="ga_brp_es"),Tabel1342323[es_id],IF(B$1="ga_brp",Tabel1342323[brp_id],Tabel1342323[ga_id])),IF(OR(B$1="ga_es",B$1="ga_brp_es"),F38,IF(B$1="ga_brp",G38,E38)),IF(B$2="production",Tabel1342323[type],Tabel1342323[settlement_method]),AE$2,Tabel1342323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36"/>
      <c r="AC38" s="36" t="str" cm="1">
        <f t="array" ref="AC38">IFERROR(IF($B$2="production",INDEX(_xlfn._xlws.FILTER(Tabel1342323[[type]:[brp_id]],(Tabel1342323[es_id]=AC23)*(Tabel1342323[type]="E18"),""),,6),INDEX(_xlfn._xlws.FILTER(Tabel1342323[[type]:[brp_id]],(Tabel1342323[es_id]=AC23)*(Tabel1342323[settlement_method]=AE$2),""),,6)),"")</f>
        <v/>
      </c>
      <c r="AD38" s="36" t="str" cm="1">
        <f t="array" ref="AD38">IFERROR(IF($B$2="production",INDEX(_xlfn._xlws.FILTER(Tabel1342323[[type]:[brp_id]],(Tabel1342323[brp_id]=AD23)*(Tabel1342323[type]=$AE$2),""),,7),INDEX(_xlfn._xlws.FILTER(Tabel1342323[[type]:[brp_id]],(Tabel1342323[brp_id]=AD23)*(Tabel1342323[settlement_method]=AE$2),""),,7)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3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IF(B$1="ga",IF(E39="","","null"),IF(B$1="ga_es",IF(F39="","","null"),IF(B$1="ga_brp",IF(AD$5=0,"",AD$5),IF(F39="","",INDEX(Tabel1342323[brp_id],MATCH(F39,Tabel1342323[es_id],0),1)))))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[quantity],IF(OR(B$1="ga_es",B$1="ga_brp_es"),Tabel1342323[es_id],IF(B$1="ga_brp",Tabel1342323[brp_id],Tabel1342323[ga_id])),IF(OR(B$1="ga_es",B$1="ga_brp_es"),F39,IF(B$1="ga_brp",G39,E39)),IF(B$2="production",Tabel1342323[type],Tabel1342323[settlement_method]),AE$2,Tabel1342323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36"/>
      <c r="AC39" s="36" t="str" cm="1">
        <f t="array" ref="AC39">IFERROR(IF($B$2="production",INDEX(_xlfn._xlws.FILTER(Tabel1342323[[type]:[brp_id]],(Tabel1342323[es_id]=AC24)*(Tabel1342323[type]="E18"),""),,6),INDEX(_xlfn._xlws.FILTER(Tabel1342323[[type]:[brp_id]],(Tabel1342323[es_id]=AC24)*(Tabel1342323[settlement_method]=AE$2),""),,6)),"")</f>
        <v/>
      </c>
      <c r="AD39" s="36" t="str" cm="1">
        <f t="array" ref="AD39">IFERROR(IF($B$2="production",INDEX(_xlfn._xlws.FILTER(Tabel1342323[[type]:[brp_id]],(Tabel1342323[brp_id]=AD24)*(Tabel1342323[type]=$AE$2),""),,7),INDEX(_xlfn._xlws.FILTER(Tabel1342323[[type]:[brp_id]],(Tabel1342323[brp_id]=AD24)*(Tabel1342323[settlement_method]=AE$2),""),,7)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3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IF(B$1="ga",IF(E40="","","null"),IF(B$1="ga_es",IF(F40="","","null"),IF(B$1="ga_brp",IF(AD$5=0,"",AD$5),IF(F40="","",INDEX(Tabel1342323[brp_id],MATCH(F40,Tabel1342323[es_id],0),1)))))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[quantity],IF(OR(B$1="ga_es",B$1="ga_brp_es"),Tabel1342323[es_id],IF(B$1="ga_brp",Tabel1342323[brp_id],Tabel1342323[ga_id])),IF(OR(B$1="ga_es",B$1="ga_brp_es"),F40,IF(B$1="ga_brp",G40,E40)),IF(B$2="production",Tabel1342323[type],Tabel1342323[settlement_method]),AE$2,Tabel1342323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SUMIFS(Tabel1342323[quantity],Tabel1342323[type],"E18",Tabel1342323[resolution],"PT1H")</f>
        <v>0</v>
      </c>
      <c r="U40" s="43" t="s">
        <v>50</v>
      </c>
      <c r="V40" s="44"/>
      <c r="W40" s="28">
        <f>SUM(W42:W45)</f>
        <v>0</v>
      </c>
      <c r="X40" s="21">
        <f>SUM(X42:X45)</f>
        <v>0</v>
      </c>
      <c r="Y40" s="27"/>
      <c r="Z40" s="2"/>
      <c r="AA40" s="2"/>
      <c r="AB40" s="36"/>
      <c r="AC40" s="36" t="str" cm="1">
        <f t="array" ref="AC40">IFERROR(IF($B$2="production",INDEX(_xlfn._xlws.FILTER(Tabel1342323[[type]:[brp_id]],(Tabel1342323[es_id]=AC25)*(Tabel1342323[type]="E18"),""),,6),INDEX(_xlfn._xlws.FILTER(Tabel1342323[[type]:[brp_id]],(Tabel1342323[es_id]=AC25)*(Tabel1342323[settlement_method]=AE$2),""),,6)),"")</f>
        <v/>
      </c>
      <c r="AD40" s="36" t="str" cm="1">
        <f t="array" ref="AD40">IFERROR(IF($B$2="production",INDEX(_xlfn._xlws.FILTER(Tabel1342323[[type]:[brp_id]],(Tabel1342323[brp_id]=AD25)*(Tabel1342323[type]=$AE$2),""),,7),INDEX(_xlfn._xlws.FILTER(Tabel1342323[[type]:[brp_id]],(Tabel1342323[brp_id]=AD25)*(Tabel1342323[settlement_method]=AE$2),""),,7)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3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IF(B$1="ga",IF(E41="","","null"),IF(B$1="ga_es",IF(F41="","","null"),IF(B$1="ga_brp",IF(AD$5=0,"",AD$5),IF(F41="","",INDEX(Tabel1342323[brp_id],MATCH(F41,Tabel1342323[es_id],0),1)))))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[quantity],IF(OR(B$1="ga_es",B$1="ga_brp_es"),Tabel1342323[es_id],IF(B$1="ga_brp",Tabel1342323[brp_id],Tabel1342323[ga_id])),IF(OR(B$1="ga_es",B$1="ga_brp_es"),F41,IF(B$1="ga_brp",G41,E41)),IF(B$2="production",Tabel1342323[type],Tabel1342323[settlement_method]),AE$2,Tabel1342323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SUMIFS(Tabel1342323[quantity],Tabel1342323[type],"E18",Tabel1342323[resolution],"PT1H")/4</f>
        <v>0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 t="str" cm="1">
        <f t="array" ref="AD41">IFERROR(IF($B$2="production",INDEX(_xlfn._xlws.FILTER(Tabel1342323[[type]:[brp_id]],(Tabel1342323[brp_id]=AD26)*(Tabel1342323[type]=$AE$2),""),,7),INDEX(_xlfn._xlws.FILTER(Tabel1342323[[type]:[brp_id]],(Tabel1342323[brp_id]=AD26)*(Tabel1342323[settlement_method]=AE$2),""),,7)),"")</f>
        <v/>
      </c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3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IF(B$1="ga",IF(E42="","","null"),IF(B$1="ga_es",IF(F42="","","null"),IF(B$1="ga_brp",IF(AD$5=0,"",AD$5),IF(F42="","",INDEX(Tabel1342323[brp_id],MATCH(F42,Tabel1342323[es_id],0),1)))))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[quantity],IF(OR(B$1="ga_es",B$1="ga_brp_es"),Tabel1342323[es_id],IF(B$1="ga_brp",Tabel1342323[brp_id],Tabel1342323[ga_id])),IF(OR(B$1="ga_es",B$1="ga_brp_es"),F42,IF(B$1="ga_brp",G42,E42)),IF(B$2="production",Tabel1342323[type],Tabel1342323[settlement_method]),AE$2,Tabel1342323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36"/>
      <c r="AC42" s="36" t="str" cm="1">
        <f t="array" ref="AC42">IFERROR(IF($B$2="production",INDEX(_xlfn._xlws.FILTER(Tabel1342323[[type]:[brp_id]],(Tabel1342323[es_id]=AC27)*(Tabel1342323[type]="E18"),""),,6),INDEX(_xlfn._xlws.FILTER(Tabel1342323[[type]:[brp_id]],(Tabel1342323[es_id]=AC27)*(Tabel1342323[settlement_method]=AE$2),""),,6)),"")</f>
        <v/>
      </c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3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IF(B$1="ga",IF(E43="","","null"),IF(B$1="ga_es",IF(F43="","","null"),IF(B$1="ga_brp",IF(AD$5=0,"",AD$5),IF(F43="","",INDEX(Tabel1342323[brp_id],MATCH(F43,Tabel1342323[es_id],0),1)))))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[quantity],IF(OR(B$1="ga_es",B$1="ga_brp_es"),Tabel1342323[es_id],IF(B$1="ga_brp",Tabel1342323[brp_id],Tabel1342323[ga_id])),IF(OR(B$1="ga_es",B$1="ga_brp_es"),F43,IF(B$1="ga_brp",G43,E43)),IF(B$2="production",Tabel1342323[type],Tabel1342323[settlement_method]),AE$2,Tabel1342323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3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IF(B$1="ga",IF(E44="","","null"),IF(B$1="ga_es",IF(F44="","","null"),IF(B$1="ga_brp",IF(AD$5=0,"",AD$5),IF(F44="","",INDEX(Tabel1342323[brp_id],MATCH(F44,Tabel1342323[es_id],0),1)))))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[quantity],IF(OR(B$1="ga_es",B$1="ga_brp_es"),Tabel1342323[es_id],IF(B$1="ga_brp",Tabel1342323[brp_id],Tabel1342323[ga_id])),IF(OR(B$1="ga_es",B$1="ga_brp_es"),F44,IF(B$1="ga_brp",G44,E44)),IF(B$2="production",Tabel1342323[type],Tabel1342323[settlement_method]),AE$2,Tabel1342323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3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IF(B$1="ga",IF(E45="","","null"),IF(B$1="ga_es",IF(F45="","","null"),IF(B$1="ga_brp",IF(AD$5=0,"",AD$5),IF(F45="","",INDEX(Tabel1342323[brp_id],MATCH(F45,Tabel1342323[es_id],0),1)))))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[quantity],IF(OR(B$1="ga_es",B$1="ga_brp_es"),Tabel1342323[es_id],IF(B$1="ga_brp",Tabel1342323[brp_id],Tabel1342323[ga_id])),IF(OR(B$1="ga_es",B$1="ga_brp_es"),F45,IF(B$1="ga_brp",G45,E45)),IF(B$2="production",Tabel1342323[type],Tabel1342323[settlement_method]),AE$2,Tabel1342323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5" x14ac:dyDescent="0.55000000000000004">
      <c r="C46" s="2"/>
      <c r="E46" s="45" t="s">
        <v>35</v>
      </c>
      <c r="F46" s="45"/>
      <c r="G46" s="45"/>
      <c r="H46" s="45"/>
      <c r="P46" s="24"/>
      <c r="Q46" s="24"/>
      <c r="R46" s="24"/>
      <c r="S46" s="24"/>
      <c r="T46" s="28">
        <f>SUMIFS(Tabel1342323[quantity],Tabel1342323[settlement_method],"E02",Tabel1342323[resolution],"PT1H")</f>
        <v>0</v>
      </c>
      <c r="U46" s="43" t="s">
        <v>50</v>
      </c>
      <c r="V46" s="44"/>
      <c r="W46" s="28">
        <f>SUM(W48:W51)</f>
        <v>0</v>
      </c>
      <c r="X46" s="21">
        <f>SUM(X48:X51)</f>
        <v>0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SUMIFS(Tabel1342323[quantity],Tabel1342323[settlement_method],"E02",Tabel1342323[resolution],"PT1H")/4</f>
        <v>0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3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8</v>
      </c>
      <c r="P48" s="24"/>
      <c r="Q48" s="24"/>
      <c r="R48" s="24"/>
      <c r="S48" s="15" t="s">
        <v>59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3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0</v>
      </c>
      <c r="P49" s="24"/>
      <c r="Q49" s="24"/>
      <c r="R49" s="24"/>
      <c r="S49" s="15" t="s">
        <v>60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3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0</v>
      </c>
      <c r="P50" s="24"/>
      <c r="Q50" s="24"/>
      <c r="R50" s="24"/>
      <c r="S50" s="15" t="s">
        <v>61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3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0</v>
      </c>
      <c r="P51" s="24"/>
      <c r="Q51" s="24"/>
      <c r="R51" s="24"/>
      <c r="S51" s="15" t="s">
        <v>62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5" x14ac:dyDescent="0.55000000000000004">
      <c r="A52" s="2"/>
      <c r="B52" s="2"/>
      <c r="C52" s="2"/>
      <c r="E52" s="39" t="s">
        <v>37</v>
      </c>
      <c r="F52" s="40"/>
      <c r="G52" s="40"/>
      <c r="H52" s="41"/>
      <c r="P52" s="24"/>
      <c r="Q52" s="24"/>
      <c r="R52" s="24"/>
      <c r="S52" s="24"/>
      <c r="T52" s="28">
        <f>ROUND(SUMIFS(Tabel1342323[quantity],Tabel1342323[type],"E20",Tabel1342323[resolution],"PT1H",Tabel1342323[to_ga],"800"),3)</f>
        <v>0</v>
      </c>
      <c r="U52" s="43" t="s">
        <v>50</v>
      </c>
      <c r="V52" s="44"/>
      <c r="W52" s="28">
        <f>ROUND(SUM(W54:W57),3)</f>
        <v>0</v>
      </c>
      <c r="X52" s="21">
        <f>SUM(X54:X57)</f>
        <v>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SUMIFS(Tabel1342323[quantity],Tabel1342323[type],"E20",Tabel1342323[resolution],"PT1H",Tabel1342323[to_ga],"800")/4</f>
        <v>0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3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10</v>
      </c>
      <c r="P54" s="24"/>
      <c r="Q54" s="24"/>
      <c r="R54" s="24"/>
      <c r="S54" s="15" t="s">
        <v>63</v>
      </c>
      <c r="T54" s="19">
        <f>T$53</f>
        <v>0</v>
      </c>
      <c r="U54" s="19">
        <f>T54</f>
        <v>0</v>
      </c>
      <c r="V54" s="19"/>
      <c r="W54" s="23">
        <f>ROUND(U54, 3)</f>
        <v>0</v>
      </c>
      <c r="X54" s="23">
        <f>ROUND(T54,3)</f>
        <v>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3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0</v>
      </c>
      <c r="P55" s="24"/>
      <c r="Q55" s="24"/>
      <c r="R55" s="24"/>
      <c r="S55" s="15" t="s">
        <v>64</v>
      </c>
      <c r="T55" s="19">
        <f>T$53</f>
        <v>0</v>
      </c>
      <c r="U55" s="19">
        <f>V55+U54</f>
        <v>0</v>
      </c>
      <c r="V55" s="19">
        <f>T55-W54</f>
        <v>0</v>
      </c>
      <c r="W55" s="23">
        <f>ROUND(U55, 3)</f>
        <v>0</v>
      </c>
      <c r="X55" s="23">
        <f>ROUND(T55,3)</f>
        <v>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3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0</v>
      </c>
      <c r="P56" s="24"/>
      <c r="Q56" s="24"/>
      <c r="R56" s="24"/>
      <c r="S56" s="15" t="s">
        <v>65</v>
      </c>
      <c r="T56" s="19">
        <f>T$53</f>
        <v>0</v>
      </c>
      <c r="U56" s="19">
        <f>V56+U55</f>
        <v>0</v>
      </c>
      <c r="V56" s="19">
        <f>T56-W55</f>
        <v>0</v>
      </c>
      <c r="W56" s="23">
        <f>ROUND(U56, 3)</f>
        <v>0</v>
      </c>
      <c r="X56" s="23">
        <f>ROUND(T56,3)</f>
        <v>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3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0</v>
      </c>
      <c r="P57" s="24"/>
      <c r="Q57" s="24"/>
      <c r="R57" s="24"/>
      <c r="S57" s="15" t="s">
        <v>66</v>
      </c>
      <c r="T57" s="19">
        <f>T$53</f>
        <v>0</v>
      </c>
      <c r="U57" s="19">
        <f>V57+U56</f>
        <v>0</v>
      </c>
      <c r="V57" s="19">
        <f>T57-W56</f>
        <v>0</v>
      </c>
      <c r="W57" s="23">
        <f>ROUND(U57, 3)</f>
        <v>0</v>
      </c>
      <c r="X57" s="23">
        <f>ROUND(T57,3)</f>
        <v>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5" x14ac:dyDescent="0.55000000000000004">
      <c r="A58" s="2"/>
      <c r="B58" s="2"/>
      <c r="C58" s="2"/>
      <c r="E58" s="39" t="s">
        <v>38</v>
      </c>
      <c r="F58" s="40"/>
      <c r="G58" s="40"/>
      <c r="H58" s="41"/>
      <c r="P58" s="24"/>
      <c r="Q58" s="24"/>
      <c r="R58" s="24"/>
      <c r="S58" s="24"/>
      <c r="T58" s="28">
        <f>ROUND(SUMIFS(Tabel1342323[quantity],Tabel1342323[type],"E20",Tabel1342323[resolution],"PT1H",Tabel1342323[from_ga],"800"),3)</f>
        <v>0</v>
      </c>
      <c r="U58" s="43" t="s">
        <v>50</v>
      </c>
      <c r="V58" s="44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SUMIFS(Tabel1342323[quantity],Tabel1342323[type],"E20",Tabel1342323[resolution],"PT1H",Tabel1342323[from_ga],"800")/4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3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10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3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0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3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0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3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0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5" x14ac:dyDescent="0.55000000000000004">
      <c r="C64" s="2"/>
      <c r="E64" s="39" t="s">
        <v>39</v>
      </c>
      <c r="F64" s="40"/>
      <c r="G64" s="40"/>
      <c r="H64" s="41"/>
      <c r="P64" s="24"/>
      <c r="Q64" s="24"/>
      <c r="R64" s="24"/>
      <c r="S64" s="24"/>
      <c r="T64" s="28">
        <f>ROUND(SUMIFS(Tabel1342323[quantity],Tabel1342323[type],"E17",Tabel1342323[resolution],"PT1H"),3)</f>
        <v>0</v>
      </c>
      <c r="U64" s="43" t="s">
        <v>50</v>
      </c>
      <c r="V64" s="44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SUMIFS(Tabel1342323[quantity],Tabel1342323[type],"E17",Tabel1342323[resolution],"PT1H")/4</f>
        <v>0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3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-2</v>
      </c>
      <c r="P66" s="24"/>
      <c r="Q66" s="24"/>
      <c r="R66" s="24"/>
      <c r="S66" s="15" t="s">
        <v>71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3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0</v>
      </c>
      <c r="P67" s="24"/>
      <c r="Q67" s="24"/>
      <c r="R67" s="24"/>
      <c r="S67" s="15" t="s">
        <v>72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3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0</v>
      </c>
      <c r="P68" s="24"/>
      <c r="Q68" s="24"/>
      <c r="R68" s="24"/>
      <c r="S68" s="15" t="s">
        <v>73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3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0</v>
      </c>
      <c r="J69" s="2"/>
      <c r="P69" s="24"/>
      <c r="Q69" s="24"/>
      <c r="R69" s="27"/>
      <c r="S69" s="15" t="s">
        <v>74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5" x14ac:dyDescent="0.55000000000000004">
      <c r="C70" s="2"/>
      <c r="E70" s="39" t="s">
        <v>41</v>
      </c>
      <c r="F70" s="40"/>
      <c r="G70" s="40"/>
      <c r="H70" s="41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3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3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3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3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5" x14ac:dyDescent="0.55000000000000004">
      <c r="C76" s="2"/>
      <c r="E76" s="39" t="s">
        <v>42</v>
      </c>
      <c r="F76" s="40"/>
      <c r="G76" s="40"/>
      <c r="H76" s="4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3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3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3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3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5" x14ac:dyDescent="0.55000000000000004">
      <c r="C82" s="2"/>
      <c r="E82" s="39" t="s">
        <v>80</v>
      </c>
      <c r="F82" s="40"/>
      <c r="G82" s="40"/>
      <c r="H82" s="4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3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20</v>
      </c>
      <c r="I84" s="37"/>
      <c r="J84" s="2"/>
      <c r="S84" s="2"/>
      <c r="T84" s="42" t="s">
        <v>85</v>
      </c>
      <c r="U84" s="42"/>
      <c r="V84" s="42"/>
      <c r="W84" s="42"/>
      <c r="X84" s="42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3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0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3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0</v>
      </c>
      <c r="I86" s="2"/>
      <c r="J86" s="2"/>
      <c r="S86" s="2"/>
      <c r="T86" s="26">
        <f>SUMIFS(Tabel1342323[quantity],Tabel1342323[resolution],"PT15M",Tabel1342323[from_ga],AF$3)-SUMIFS(Tabel1342323[quantity],Tabel1342323[resolution],"PT15M",Tabel1342323[to_ga],AF$3)</f>
        <v>8</v>
      </c>
      <c r="U86" s="6">
        <f>(SUMIFS(Tabel1342323[quantity],Tabel1342323[resolution],"PT1H",Tabel1342323[from_ga],AF$3)-SUMIFS(Tabel1342323[quantity],Tabel1342323[resolution],"PT1H",Tabel1342323[to_ga],AF$3))/4</f>
        <v>0</v>
      </c>
      <c r="V86" s="16">
        <f>U86</f>
        <v>0</v>
      </c>
      <c r="W86" s="16"/>
      <c r="X86" s="16">
        <f t="shared" ref="X86:X109" si="13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3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0</v>
      </c>
      <c r="I87" s="2"/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3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5" x14ac:dyDescent="0.55000000000000004">
      <c r="C88" s="2"/>
      <c r="E88" s="39" t="s">
        <v>81</v>
      </c>
      <c r="F88" s="40"/>
      <c r="G88" s="40"/>
      <c r="H88" s="40"/>
      <c r="I88" s="41"/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3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3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3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8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SUMIFS(Tabel1342323[quantity],Tabel1342323[resolution],"PT15M",Tabel1342323[from_ga],AF$4)-SUMIFS(Tabel1342323[quantity],Tabel1342323[resolution],"PT15M",Tabel1342323[to_ga],AF$4)</f>
        <v>0</v>
      </c>
      <c r="U90" s="6">
        <f>(SUMIFS(Tabel1342323[quantity],Tabel1342323[resolution],"PT1H",Tabel1342323[from_ga],AF$4)-SUMIFS(Tabel1342323[quantity],Tabel1342323[resolution],"PT1H",Tabel1342323[to_ga],AF$4))/4</f>
        <v>0</v>
      </c>
      <c r="V90" s="16">
        <f>U90</f>
        <v>0</v>
      </c>
      <c r="W90" s="16"/>
      <c r="X90" s="16">
        <f t="shared" si="13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3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0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3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3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0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3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3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0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3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35">
      <c r="C94" s="2"/>
      <c r="D94" s="15" t="s">
        <v>75</v>
      </c>
      <c r="E94" s="31" t="str">
        <f t="shared" si="14"/>
        <v/>
      </c>
      <c r="F94" s="31" t="str">
        <f t="shared" si="15"/>
        <v/>
      </c>
      <c r="G94" s="31" t="str">
        <f t="shared" si="16"/>
        <v/>
      </c>
      <c r="H94" s="32" t="str">
        <f t="shared" si="17"/>
        <v/>
      </c>
      <c r="I94" s="32" t="str" cm="1">
        <f t="array" aca="1" ref="I94" ca="1">IF(E94="","",INDIRECT("AF"&amp;ROUND((ROW()-80)*0.25,0)))</f>
        <v/>
      </c>
      <c r="J94" s="2"/>
      <c r="S94" s="2"/>
      <c r="T94" s="26">
        <f>SUMIFS(Tabel1342323[quantity],Tabel1342323[resolution],"PT15M",Tabel1342323[from_ga],AF$5)-SUMIFS(Tabel1342323[quantity],Tabel1342323[resolution],"PT15M",Tabel1342323[to_ga],AF$5)</f>
        <v>0</v>
      </c>
      <c r="U94" s="6">
        <f>SUMIFS(Tabel1342323[quantity],Tabel1342323[resolution],"PT1H",Tabel1342323[from_ga],AF$5)-SUMIFS(Tabel1342323[quantity],Tabel1342323[resolution],"PT1H",Tabel1342323[to_ga],AF$5)/4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35">
      <c r="C95" s="2"/>
      <c r="D95" s="15" t="s">
        <v>76</v>
      </c>
      <c r="E95" s="31" t="str">
        <f t="shared" si="14"/>
        <v/>
      </c>
      <c r="F95" s="31" t="str">
        <f t="shared" si="15"/>
        <v/>
      </c>
      <c r="G95" s="31" t="str">
        <f t="shared" si="16"/>
        <v/>
      </c>
      <c r="H95" s="32" t="str">
        <f t="shared" si="17"/>
        <v/>
      </c>
      <c r="I95" s="32" t="str" cm="1">
        <f t="array" aca="1" ref="I95" ca="1">IF(E95="","",INDIRECT("AF"&amp;ROUND((ROW()-80)*0.25,0)))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35">
      <c r="C96" s="2"/>
      <c r="D96" s="15" t="s">
        <v>77</v>
      </c>
      <c r="E96" s="31" t="str">
        <f t="shared" si="14"/>
        <v/>
      </c>
      <c r="F96" s="31" t="str">
        <f t="shared" si="15"/>
        <v/>
      </c>
      <c r="G96" s="31" t="str">
        <f t="shared" si="16"/>
        <v/>
      </c>
      <c r="H96" s="32" t="str">
        <f t="shared" si="17"/>
        <v/>
      </c>
      <c r="I96" s="32" t="str" cm="1">
        <f t="array" aca="1" ref="I96" ca="1">IF(E96="","",INDIRECT("AF"&amp;ROUND((ROW()-80)*0.25,0)))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35">
      <c r="C97" s="2"/>
      <c r="D97" s="15" t="s">
        <v>78</v>
      </c>
      <c r="E97" s="31" t="str">
        <f t="shared" si="14"/>
        <v/>
      </c>
      <c r="F97" s="31" t="str">
        <f t="shared" si="15"/>
        <v/>
      </c>
      <c r="G97" s="31" t="str">
        <f t="shared" si="16"/>
        <v/>
      </c>
      <c r="H97" s="32" t="str">
        <f t="shared" si="17"/>
        <v/>
      </c>
      <c r="I97" s="32" t="str" cm="1">
        <f t="array" aca="1" ref="I97" ca="1">IF(E97="","",INDIRECT("AF"&amp;ROUND((ROW()-80)*0.25,0)))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35">
      <c r="C98" s="2"/>
      <c r="D98" s="15" t="s">
        <v>75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SUMIFS(Tabel1342323[quantity],Tabel1342323[resolution],"PT15M",Tabel1342323[from_ga],AF$6)-SUMIFS(Tabel1342323[quantity],Tabel1342323[resolution],"PT15M",Tabel1342323[to_ga],AF$6)</f>
        <v>0</v>
      </c>
      <c r="U98" s="6">
        <f>(SUMIFS(Tabel1342323[quantity],Tabel1342323[resolution],"PT1H",Tabel1342323[from_ga],AF$6)-SUMIFS(Tabel1342323[quantity],Tabel1342323[resolution],"PT1H",Tabel1342323[to_ga],AF$6))/4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35">
      <c r="C99" s="2"/>
      <c r="D99" s="15" t="s">
        <v>76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35">
      <c r="C100" s="2"/>
      <c r="D100" s="15" t="s">
        <v>77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35">
      <c r="C101" s="2"/>
      <c r="D101" s="15" t="s">
        <v>78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3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SUMIFS(Tabel1342323[quantity],Tabel1342323[resolution],"PT15M",Tabel1342323[from_ga],AF$7)-SUMIFS(Tabel1342323[quantity],Tabel1342323[resolution],"PT15M",Tabel1342323[to_ga],AF$7)</f>
        <v>0</v>
      </c>
      <c r="U102" s="6">
        <f>(SUMIFS(Tabel1342323[quantity],Tabel1342323[resolution],"PT1H",Tabel1342323[from_ga],AF$7)-SUMIFS(Tabel1342323[quantity],Tabel1342323[resolution],"PT1H",Tabel1342323[to_ga],AF$7))/4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3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3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3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3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(SUMIFS(Tabel1342323[quantity],Tabel1342323[resolution],"PT1H",Tabel1342323[from_ga],AF$8)-SUMIFS(Tabel1342323[quantity],Tabel1342323[resolution],"PT1H",Tabel1342323[to_ga],AF$8))/4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3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3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3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3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3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3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3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88:I88"/>
    <mergeCell ref="U52:V52"/>
    <mergeCell ref="U58:V58"/>
    <mergeCell ref="U64:V64"/>
    <mergeCell ref="T84:X84"/>
    <mergeCell ref="E52:H52"/>
    <mergeCell ref="E58:H58"/>
    <mergeCell ref="E64:H64"/>
    <mergeCell ref="E70:H70"/>
    <mergeCell ref="E76:H76"/>
    <mergeCell ref="E82:H82"/>
    <mergeCell ref="E20:H20"/>
    <mergeCell ref="I20:K20"/>
    <mergeCell ref="U34:V34"/>
    <mergeCell ref="U40:V40"/>
    <mergeCell ref="E46:H46"/>
    <mergeCell ref="U46:V46"/>
  </mergeCells>
  <conditionalFormatting sqref="T34 W34">
    <cfRule type="expression" dxfId="5" priority="6">
      <formula>$T$34=$W$34</formula>
    </cfRule>
  </conditionalFormatting>
  <conditionalFormatting sqref="T40 W40">
    <cfRule type="expression" dxfId="4" priority="5">
      <formula>$T$40=$W$40</formula>
    </cfRule>
  </conditionalFormatting>
  <conditionalFormatting sqref="T46 W46">
    <cfRule type="expression" dxfId="3" priority="4">
      <formula>$T$46=$W$46</formula>
    </cfRule>
  </conditionalFormatting>
  <conditionalFormatting sqref="T52 W52">
    <cfRule type="expression" dxfId="2" priority="3">
      <formula>$T$52=$W$52</formula>
    </cfRule>
  </conditionalFormatting>
  <conditionalFormatting sqref="T58 W58">
    <cfRule type="expression" dxfId="1" priority="2">
      <formula>$T$58=$W$58</formula>
    </cfRule>
  </conditionalFormatting>
  <conditionalFormatting sqref="T64 W64">
    <cfRule type="expression" dxfId="0" priority="1">
      <formula>$T$64=$W$64</formula>
    </cfRule>
  </conditionalFormatting>
  <dataValidations count="2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'Day1'!powerIn15M</vt:lpstr>
      <vt:lpstr>'Day2'!powerIn15M</vt:lpstr>
      <vt:lpstr>'Day1'!powerIn1H_quarter1</vt:lpstr>
      <vt:lpstr>'Day2'!powerIn1H_quarter1</vt:lpstr>
      <vt:lpstr>'Day1'!powerIn1H_quarter2</vt:lpstr>
      <vt:lpstr>'Day2'!powerIn1H_quarter2</vt:lpstr>
      <vt:lpstr>'Day1'!powerIn1H_quarter3</vt:lpstr>
      <vt:lpstr>'Day2'!powerIn1H_quarter3</vt:lpstr>
      <vt:lpstr>'Day1'!powerIn1H_quarter4</vt:lpstr>
      <vt:lpstr>'Day2'!powerIn1H_quarter4</vt:lpstr>
      <vt:lpstr>'Day1'!powerOut15M</vt:lpstr>
      <vt:lpstr>'Day2'!powerOut15M</vt:lpstr>
      <vt:lpstr>'Day1'!powerOut1H_quarter1</vt:lpstr>
      <vt:lpstr>'Day2'!powerOut1H_quarter1</vt:lpstr>
      <vt:lpstr>'Day1'!powerOut1H_quarter2</vt:lpstr>
      <vt:lpstr>'Day2'!powerOut1H_quarter2</vt:lpstr>
      <vt:lpstr>'Day1'!powerOut1H_quarter3</vt:lpstr>
      <vt:lpstr>'Day2'!powerOut1H_quarter3</vt:lpstr>
      <vt:lpstr>'Day1'!powerOut1H_quarter4</vt:lpstr>
      <vt:lpstr>'Day2'!powerOut1H_quarter4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2024-05-03T08:07:45Z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