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ga_only_has_nonprofiled_consumption\"/>
    </mc:Choice>
  </mc:AlternateContent>
  <xr:revisionPtr revIDLastSave="0" documentId="13_ncr:1_{474F639B-E9E7-4EC3-9772-7E070943D5C5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86" i="11" a="1"/>
  <c r="V97" i="11" a="1"/>
  <c r="V90" i="11" a="1"/>
  <c r="V87" i="11" a="1"/>
  <c r="V99" i="11" a="1"/>
  <c r="V106" i="11" a="1"/>
  <c r="V109" i="11" a="1"/>
  <c r="V89" i="11" a="1"/>
  <c r="V104" i="11" a="1"/>
  <c r="V98" i="11" a="1"/>
  <c r="V103" i="11" a="1"/>
  <c r="V91" i="11" a="1"/>
  <c r="V93" i="11" a="1"/>
  <c r="V96" i="11" a="1"/>
  <c r="V101" i="11" a="1"/>
  <c r="V102" i="11" a="1"/>
  <c r="V108" i="11" a="1"/>
  <c r="V95" i="11" a="1"/>
  <c r="V105" i="11" a="1"/>
  <c r="V88" i="11" a="1"/>
  <c r="V92" i="11" a="1"/>
  <c r="V100" i="11" a="1"/>
  <c r="V107" i="11" a="1"/>
  <c r="V94" i="11" a="1"/>
  <c r="AF42" i="11" l="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57" i="11" l="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0" i="11" a="1"/>
  <c r="I95" i="11" a="1"/>
  <c r="I92" i="11" a="1"/>
  <c r="I91" i="11" a="1"/>
  <c r="I97" i="11" a="1"/>
  <c r="I96" i="11" a="1"/>
  <c r="I93" i="11" a="1"/>
  <c r="H90" i="11" l="1"/>
  <c r="AE2" i="11"/>
  <c r="E44" i="11" s="1"/>
  <c r="U18" i="11"/>
  <c r="W55" i="11"/>
  <c r="Y55" i="11" s="1"/>
  <c r="H48" i="11" s="1"/>
  <c r="I113" i="11" a="1"/>
  <c r="I113" i="11" s="1"/>
  <c r="H113" i="11"/>
  <c r="H104" i="11"/>
  <c r="H99" i="11"/>
  <c r="I106" i="11" a="1"/>
  <c r="I106" i="11" s="1"/>
  <c r="H106" i="11"/>
  <c r="H105" i="11"/>
  <c r="H101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98" i="11" a="1"/>
  <c r="I102" i="11" a="1"/>
  <c r="I104" i="11" a="1"/>
  <c r="I105" i="11" a="1"/>
  <c r="I103" i="11" a="1"/>
  <c r="I94" i="11" a="1"/>
  <c r="I100" i="11" a="1"/>
  <c r="I99" i="11" a="1"/>
  <c r="I101" i="11" a="1"/>
  <c r="E32" i="11" l="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K38" i="11" s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K26" i="11"/>
  <c r="H26" i="11" s="1"/>
  <c r="B34" i="11"/>
  <c r="F40" i="11"/>
  <c r="J40" i="11"/>
  <c r="K34" i="11" l="1"/>
  <c r="G40" i="1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K42" i="11" s="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5" i="11"/>
  <c r="J37" i="11"/>
  <c r="J23" i="11"/>
  <c r="J29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<sst xmlns="http://schemas.openxmlformats.org/spreadsheetml/2006/main" count="427" uniqueCount="125">
  <si>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</si>
  <si>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</si>
  <si>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</si>
  <si>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</si>
  <si>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</si>
  <si>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</si>
  <si>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</si>
  <si>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</si>
  <si>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</si>
  <si>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</si>
  <si>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</si>
  <si>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</si>
  <si>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</si>
  <si>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</si>
  <si>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</si>
  <si>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</si>
  <si>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</si>
  <si>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</si>
  <si>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</si>
  <si>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</si>
  <si>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</si>
  <si>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</si>
  <si>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</si>
  <si>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</si>
  <si>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</si>
  <si>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</si>
  <si>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</si>
  <si>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</si>
  <si>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</si>
  <si>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</si>
  <si>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</si>
  <si>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</si>
  <si>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</si>
  <si>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</si>
  <si>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</si>
  <si>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</si>
  <si>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</si>
  <si>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</si>
  <si>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</si>
  <si>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</si>
  <si>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</si>
  <si>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</si>
  <si>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</si>
  <si>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</si>
  <si>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</si>
  <si>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</si>
  <si>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</si>
  <si>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</si>
  <si>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</si>
  <si>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</si>
  <si>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</si>
  <si>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</si>
  <si>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</si>
  <si>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</si>
  <si>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</si>
  <si>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</si>
  <si>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</si>
  <si>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</si>
  <si>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</si>
  <si>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</si>
  <si>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</si>
  <si>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</si>
  <si>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</si>
  <si>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</si>
  <si>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</si>
  <si>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</si>
  <si>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</si>
  <si>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</si>
  <si>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</si>
  <si>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</si>
  <si>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</si>
  <si>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</si>
  <si>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</si>
  <si>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</si>
  <si>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</si>
  <si>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</si>
  <si>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</si>
  <si>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</si>
  <si>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</si>
  <si>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</si>
  <si>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</si>
  <si>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</si>
  <si>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</si>
  <si>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</si>
  <si>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</si>
  <si>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</si>
  <si>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</si>
  <si>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</si>
  <si>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</si>
  <si>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</si>
  <si>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</si>
  <si>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</si>
  <si>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</si>
  <si>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</si>
  <si>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</si>
  <si>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</si>
  <si>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</si>
  <si>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</si>
  <si>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</si>
  <si>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</si>
  <si>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</si>
  <si>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</si>
  <si>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</si>
  <si>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</si>
  <si>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</si>
  <si>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</si>
  <si>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</si>
  <si>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</si>
  <si>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</si>
  <si>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</si>
  <si>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</si>
  <si>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</si>
  <si>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200000001500000001</t>
  </si>
  <si>
    <t>200000000000000002</t>
  </si>
  <si>
    <t>200000001500000003</t>
  </si>
  <si>
    <t>200000000000000004</t>
  </si>
  <si>
    <t>170000001500000101</t>
  </si>
  <si>
    <t>170000000000000103</t>
  </si>
  <si>
    <t>180000001500000001</t>
  </si>
  <si>
    <t>180000000000000002</t>
  </si>
  <si>
    <t>180000000000000003</t>
  </si>
  <si>
    <t>802</t>
  </si>
  <si>
    <t>803</t>
  </si>
  <si>
    <t>804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</si>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</sst>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12" zoomScaleNormal="100" workbookViewId="0">
      <selection activeCell="H66" sqref="H6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109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124</v>
      </c>
      <c r="C2" s="10" t="s">
        <v>112</v>
      </c>
      <c r="D2" s="10" t="s">
        <v>100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103</v>
      </c>
      <c r="L2" s="10"/>
      <c r="M2" s="10"/>
      <c r="N2" s="10"/>
      <c r="O2" s="10" t="s">
        <v>96</v>
      </c>
      <c r="P2" s="29" t="s">
        <v>96</v>
      </c>
      <c r="Q2" s="29" t="s">
        <v>95</v>
      </c>
      <c r="R2" s="24"/>
      <c r="S2" s="7" t="s">
        <v>35</v>
      </c>
      <c r="T2" s="9">
        <f>SUMIFS(Tabel1342323[TotalHour],Tabel1342323[settlement_method],"D01",Tabel1342323[resolution],"PT15M")</f>
        <v>0</v>
      </c>
      <c r="U2" s="42">
        <f>SUMIFS(Tabel1342323[Quarter1],Tabel1342323[settlement_method],"D01",Tabel1342323[resolution],"PT15M")</f>
        <v>0</v>
      </c>
      <c r="V2" s="42">
        <f>SUMIFS(Tabel1342323[Quarter2],Tabel1342323[settlement_method],"D01",Tabel1342323[resolution],"PT15M")</f>
        <v>0</v>
      </c>
      <c r="W2" s="42">
        <f>SUMIFS(Tabel1342323[Quarter3],Tabel1342323[settlement_method],"D01",Tabel1342323[resolution],"PT15M")</f>
        <v>0</v>
      </c>
      <c r="X2" s="42">
        <f>SUMIFS(Tabel1342323[Quarter4],Tabel1342323[settlement_method],"D01",Tabel1342323[resolution],"PT15M")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_xlfn._xlws.SORT(_xlfn.UNIQUE(_xlfn._xlws.FILTER(Tabel1342323[ga_id],Tabel1342323[ga_id] &lt;&gt; "")))</f>
        <v>800</v>
      </c>
      <c r="AE2" s="27" t="str" cm="1">
        <f t="array" ref="AE2:AE3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35">
      <c r="C3" s="10" t="s">
        <v>113</v>
      </c>
      <c r="D3" s="10" t="s">
        <v>100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92</v>
      </c>
      <c r="L3" s="10"/>
      <c r="M3" s="10"/>
      <c r="N3" s="10"/>
      <c r="O3" s="10" t="s">
        <v>121</v>
      </c>
      <c r="P3" s="29" t="s">
        <v>121</v>
      </c>
      <c r="Q3" s="29" t="s">
        <v>95</v>
      </c>
      <c r="R3" s="24"/>
      <c r="S3" s="7" t="s">
        <v>39</v>
      </c>
      <c r="T3" s="9">
        <f>SUMIFS(Tabel1342323[TotalHour],Tabel1342323[settlement_method],"E02",Tabel1342323[resolution],"PT15M")</f>
        <v>5</v>
      </c>
      <c r="U3" s="42">
        <f>SUMIFS(Tabel1342323[Quarter1],Tabel1342323[settlement_method],"E02",Tabel1342323[resolution],"PT15M")</f>
        <v>5</v>
      </c>
      <c r="V3" s="42">
        <f>SUMIFS(Tabel1342323[Quarter2],Tabel1342323[settlement_method],"E02",Tabel1342323[resolution],"PT15M")</f>
        <v>0</v>
      </c>
      <c r="W3" s="42">
        <f>SUMIFS(Tabel1342323[Quarter3],Tabel1342323[settlement_method],"E02",Tabel1342323[resolution],"PT15M")</f>
        <v>0</v>
      </c>
      <c r="X3" s="42">
        <f>SUMIFS(Tabel1342323[Quarter4],Tabel1342323[settlement_method],"E02",Tabel1342323[resolution],"PT15M")</f>
        <v>0</v>
      </c>
      <c r="Y3" s="24"/>
      <c r="Z3" s="24"/>
      <c r="AA3" s="24"/>
      <c r="AC3" s="24"/>
      <c r="AD3" s="24" t="str">
        <v>801</v>
      </c>
      <c r="AE3" s="24" t="str">
        <v>3000000000000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35">
      <c r="C4" s="10" t="s">
        <v>114</v>
      </c>
      <c r="D4" s="10" t="s">
        <v>100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103</v>
      </c>
      <c r="L4" s="10"/>
      <c r="M4" s="10"/>
      <c r="N4" s="10"/>
      <c r="O4" s="10" t="s">
        <v>95</v>
      </c>
      <c r="P4" s="29" t="s">
        <v>95</v>
      </c>
      <c r="Q4" s="29" t="s">
        <v>122</v>
      </c>
      <c r="R4" s="24"/>
      <c r="S4" s="7" t="s">
        <v>28</v>
      </c>
      <c r="T4" s="9">
        <f>SUMIFS(Tabel1342323[TotalHour],Tabel1342323[type],"E18",Tabel1342323[resolution],"PT15M")</f>
        <v>6</v>
      </c>
      <c r="U4" s="42">
        <f>SUMIFS(Tabel1342323[Quarter1],Tabel1342323[type],"E18",Tabel1342323[resolution],"PT15M")</f>
        <v>6</v>
      </c>
      <c r="V4" s="42">
        <f>SUMIFS(Tabel1342323[Quarter2],Tabel1342323[type],"E18",Tabel1342323[resolution],"PT15M")</f>
        <v>0</v>
      </c>
      <c r="W4" s="42">
        <f>SUMIFS(Tabel1342323[Quarter3],Tabel1342323[type],"E18",Tabel1342323[resolution],"PT15M")</f>
        <v>0</v>
      </c>
      <c r="X4" s="42">
        <f>SUMIFS(Tabel1342323[Quarter4],Tabel1342323[type],"E18",Tabel1342323[resolution],"PT15M")</f>
        <v>0</v>
      </c>
      <c r="Y4" s="24"/>
      <c r="Z4" s="24"/>
      <c r="AA4" s="24"/>
      <c r="AC4" s="24"/>
      <c r="AD4" s="24" t="str">
        <v>802</v>
      </c>
      <c r="AE4" s="24"/>
      <c r="AF4" s="24"/>
      <c r="AG4" s="24"/>
      <c r="AH4" s="24" t="str">
        <v>802</v>
      </c>
      <c r="AI4" s="24"/>
      <c r="AJ4" s="24"/>
    </row>
    <row r="5" spans="1:92" x14ac:dyDescent="0.35">
      <c r="C5" s="10" t="s">
        <v>115</v>
      </c>
      <c r="D5" s="10" t="s">
        <v>100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123</v>
      </c>
      <c r="R5" s="24"/>
      <c r="S5" s="7" t="s">
        <v>26</v>
      </c>
      <c r="T5" s="9">
        <f>SUMIFS(Tabel1342323[TotalHour],Tabel1342323[type],"E17",Tabel1342323[resolution],"PT15M")</f>
        <v>5</v>
      </c>
      <c r="U5" s="42">
        <f>SUMIFS(Tabel1342323[Quarter1],Tabel1342323[type],"E17",Tabel1342323[resolution],"PT15M")</f>
        <v>5</v>
      </c>
      <c r="V5" s="42">
        <f>SUMIFS(Tabel1342323[Quarter2],Tabel1342323[type],"E17",Tabel1342323[resolution],"PT15M")</f>
        <v>0</v>
      </c>
      <c r="W5" s="42">
        <f>SUMIFS(Tabel1342323[Quarter3],Tabel1342323[type],"E17",Tabel1342323[resolution],"PT15M")</f>
        <v>0</v>
      </c>
      <c r="X5" s="42">
        <f>SUMIFS(Tabel1342323[Quarter4],Tabel1342323[type],"E17",Tabel1342323[resolution],"PT15M")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116</v>
      </c>
      <c r="D6" s="10" t="s">
        <v>90</v>
      </c>
      <c r="E6" s="11" t="s">
        <v>106</v>
      </c>
      <c r="F6" s="12">
        <v>5</v>
      </c>
      <c r="G6" s="12"/>
      <c r="H6" s="12"/>
      <c r="I6" s="12"/>
      <c r="J6" s="43">
        <f t="shared" si="0"/>
        <v>5</v>
      </c>
      <c r="K6" s="10" t="s">
        <v>103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10</v>
      </c>
      <c r="U6" s="42">
        <f>SUMIFS(Tabel1342323[Quarter1],Tabel1342323[type],"E20",Tabel1342323[resolution],"PT15M",Tabel1342323[to_ga],"800")</f>
        <v>10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35">
      <c r="C7" s="10" t="s">
        <v>111</v>
      </c>
      <c r="D7" s="10" t="s">
        <v>90</v>
      </c>
      <c r="E7" s="11" t="s">
        <v>106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104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5</v>
      </c>
      <c r="U7" s="42">
        <f>SUMIFS(Tabel1342323[Quarter1],Tabel1342323[type],"E20",Tabel1342323[resolution],"PT15M",Tabel1342323[from_ga],"800")</f>
        <v>5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117</v>
      </c>
      <c r="D8" s="10" t="s">
        <v>90</v>
      </c>
      <c r="E8" s="11" t="s">
        <v>106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101</v>
      </c>
      <c r="M8" s="10" t="s">
        <v>105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1100000000000</v>
      </c>
      <c r="U10" s="26" t="str">
        <f>IF(AE$2=0,"",AE$2)</f>
        <v>1000000000000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118</v>
      </c>
      <c r="D12" s="10" t="s">
        <v>99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103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107</v>
      </c>
      <c r="AF12" s="36" t="s">
        <v>108</v>
      </c>
      <c r="AG12" s="36"/>
      <c r="AH12" s="35"/>
      <c r="AI12" s="24"/>
      <c r="AJ12" s="24"/>
    </row>
    <row r="13" spans="1:92" x14ac:dyDescent="0.35">
      <c r="C13" s="10" t="s">
        <v>119</v>
      </c>
      <c r="D13" s="10" t="s">
        <v>99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104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4">_xlfn._xlws.SORT(_xlfn.UNIQUE(_xlfn._xlws.FILTER(Tabel1342323[brp_id],Tabel1342323[brp_id] &lt;&gt; "")))</f>
        <v>1100000000000</v>
      </c>
      <c r="AG13" s="36"/>
      <c r="AH13" s="35"/>
    </row>
    <row r="14" spans="1:92" x14ac:dyDescent="0.35">
      <c r="C14" s="10" t="s">
        <v>120</v>
      </c>
      <c r="D14" s="10" t="s">
        <v>99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101</v>
      </c>
      <c r="M14" s="10" t="s">
        <v>105</v>
      </c>
      <c r="N14" s="10"/>
      <c r="O14" s="10" t="s">
        <v>95</v>
      </c>
      <c r="P14" s="29"/>
      <c r="Q14" s="29"/>
      <c r="R14" s="15" t="s">
        <v>74</v>
      </c>
      <c r="S14" s="26" t="str">
        <f>_xlfn.IFNA(INDEX(Tabel1342323[ga_id],MATCH(U14,Tabel1342323[es_id],0)),"")</f>
        <v>800</v>
      </c>
      <c r="T14" s="26" t="str">
        <f>_xlfn.IFNA(INDEX(Tabel1342323[brp_id],MATCH(U14,Tabel1342323[es_id],0)),"")</f>
        <v>2200000000000</v>
      </c>
      <c r="U14" s="26" t="str">
        <f>IF(AE$3=0,"",AE$3)</f>
        <v>3000000000000</v>
      </c>
      <c r="V14" s="20">
        <f>SUMIFS(Tabel1342323[TotalHour],Tabel1342323[es_id],U14,IF(B$2="production",Tabel1342323[type],Tabel1342323[settlement_method]),AG$2,Tabel1342323[resolution],"PT1H")/4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103</v>
      </c>
      <c r="L15" s="10" t="s">
        <v>93</v>
      </c>
      <c r="M15" s="10" t="s">
        <v>94</v>
      </c>
      <c r="N15" s="10" t="s">
        <v>97</v>
      </c>
      <c r="O15" s="10" t="s">
        <v>95</v>
      </c>
      <c r="P15" s="29"/>
      <c r="Q15" s="29"/>
      <c r="R15" s="15" t="s">
        <v>75</v>
      </c>
      <c r="S15" s="26" t="str">
        <f>_xlfn.IFNA(INDEX(Tabel1342323[ga_id],MATCH(U15,Tabel1342323[es_id],0)),"")</f>
        <v>800</v>
      </c>
      <c r="T15" s="26" t="str">
        <f>_xlfn.IFNA(INDEX(Tabel1342323[brp_id],MATCH(U15,Tabel1342323[es_id],0)),"")</f>
        <v>2200000000000</v>
      </c>
      <c r="U15" s="26" t="str">
        <f t="shared" ref="U15:V17" si="3">U$14</f>
        <v>3000000000000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98</v>
      </c>
      <c r="D16" s="10" t="s">
        <v>99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103</v>
      </c>
      <c r="L16" s="10" t="s">
        <v>101</v>
      </c>
      <c r="M16" s="10" t="s">
        <v>105</v>
      </c>
      <c r="N16" s="10" t="s">
        <v>102</v>
      </c>
      <c r="O16" s="10" t="s">
        <v>95</v>
      </c>
      <c r="P16" s="29"/>
      <c r="Q16" s="29"/>
      <c r="R16" s="15" t="s">
        <v>76</v>
      </c>
      <c r="S16" s="26" t="str">
        <f>_xlfn.IFNA(INDEX(Tabel1342323[ga_id],MATCH(U16,Tabel1342323[es_id],0)),"")</f>
        <v>800</v>
      </c>
      <c r="T16" s="26" t="str">
        <f>_xlfn.IFNA(INDEX(Tabel1342323[brp_id],MATCH(U16,Tabel1342323[es_id],0)),"")</f>
        <v>2200000000000</v>
      </c>
      <c r="U16" s="26" t="str">
        <f t="shared" si="3"/>
        <v>3000000000000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>800</v>
      </c>
      <c r="T17" s="26" t="str">
        <f>_xlfn.IFNA(INDEX(Tabel1342323[brp_id],MATCH(U17,Tabel1342323[es_id],0)),"")</f>
        <v>2200000000000</v>
      </c>
      <c r="U17" s="26" t="str">
        <f t="shared" si="3"/>
        <v>3000000000000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/>
      </c>
      <c r="T18" s="26" t="str">
        <f>_xlfn.IFNA(INDEX(Tabel1342323[brp_id],MATCH(U18,Tabel1342323[es_id],0)),"")</f>
        <v/>
      </c>
      <c r="U18" s="26" t="str">
        <f>IF(AE$4=0,"",AE$4)</f>
        <v/>
      </c>
      <c r="V18" s="20">
        <f>SUMIFS(Tabel1342323[TotalHour],Tabel1342323[es_id],U18,IF(B$2="production",Tabel1342323[type],Tabel1342323[settlement_method]),AG$2,Tabel1342323[resolution],"PT1H")/4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/>
      </c>
      <c r="T19" s="26" t="str">
        <f>_xlfn.IFNA(INDEX(Tabel1342323[brp_id],MATCH(U19,Tabel1342323[es_id],0)),"")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/>
      </c>
      <c r="T20" s="26" t="str">
        <f>_xlfn.IFNA(INDEX(Tabel1342323[brp_id],MATCH(U20,Tabel1342323[es_id],0)),"")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/>
      </c>
      <c r="T21" s="26" t="str">
        <f>_xlfn.IFNA(INDEX(Tabel1342323[brp_id],MATCH(U21,Tabel1342323[es_id],0)),"")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IF(B$1="ga",IF(E22="","","null"),IF(B$1="ga_es",IF(F22="","","null"),IF(B$1="ga_brp",IF(AF$2=0,"",AF$2),IF(F22="","",INDEX(Tabel1342323[brp_id],MATCH(F22,Tabel1342323[es_id],0),1)))))</f>
        <v>1100000000000</v>
      </c>
      <c r="H22" s="33" t="str">
        <f t="shared" ref="H22:H45" ca="1" si="5">SUBSTITUTE(IF(E22="","",I22+J22+K22),",",".")</f>
        <v>10.021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10.020999999999999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IF(B$1="ga",IF(E23="","","null"),IF(B$1="ga_es",IF(F23="","","null"),IF(B$1="ga_brp",IF(AF$2=0,"",AF$2),IF(F23="","",INDEX(Tabel1342323[brp_id],MATCH(F23,Tabel1342323[es_id],0),1)))))</f>
        <v>1100000000000</v>
      </c>
      <c r="H23" s="33" t="str">
        <f t="shared" ca="1" si="5"/>
        <v>4.02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0</v>
      </c>
      <c r="K23" s="9">
        <f t="shared" si="6"/>
        <v>4.0199999999999996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IF(B$1="ga",IF(E24="","","null"),IF(B$1="ga_es",IF(F24="","","null"),IF(B$1="ga_brp",IF(AF$2=0,"",AF$2),IF(F24="","",INDEX(Tabel1342323[brp_id],MATCH(F24,Tabel1342323[es_id],0),1)))))</f>
        <v>1100000000000</v>
      </c>
      <c r="H24" s="33" t="str">
        <f t="shared" ca="1" si="5"/>
        <v>4.02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0</v>
      </c>
      <c r="K24" s="9">
        <f t="shared" si="6"/>
        <v>4.0199999999999996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IF(B$1="ga",IF(E25="","","null"),IF(B$1="ga_es",IF(F25="","","null"),IF(B$1="ga_brp",IF(AF$2=0,"",AF$2),IF(F25="","",INDEX(Tabel1342323[brp_id],MATCH(F25,Tabel1342323[es_id],0),1)))))</f>
        <v>1100000000000</v>
      </c>
      <c r="H25" s="33" t="str">
        <f t="shared" ca="1" si="5"/>
        <v>4.021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0</v>
      </c>
      <c r="K25" s="9">
        <f t="shared" si="6"/>
        <v>4.0210000000000008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>skmp</v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3000000000000</v>
      </c>
      <c r="G26" s="31" t="str">
        <f>IF(B$1="ga",IF(E26="","","null"),IF(B$1="ga_es",IF(F26="","","null"),IF(B$1="ga_brp",IF(AF$3=0,"",AF$3),IF(F26="","",INDEX(Tabel1342323[brp_id],MATCH(F26,Tabel1342323[es_id],0),1)))))</f>
        <v>2200000000000</v>
      </c>
      <c r="H26" s="33" t="str">
        <f t="shared" ca="1" si="5"/>
        <v>0</v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>skmp</v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3000000000000</v>
      </c>
      <c r="G27" s="31" t="str">
        <f>IF(B$1="ga",IF(E27="","","null"),IF(B$1="ga_es",IF(F27="","","null"),IF(B$1="ga_brp",IF(AF$3=0,"",AF$3),IF(F27="","",INDEX(Tabel1342323[brp_id],MATCH(F27,Tabel1342323[es_id],0),1)))))</f>
        <v>2200000000000</v>
      </c>
      <c r="H27" s="33" t="str">
        <f t="shared" ca="1" si="5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>skmp</v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3000000000000</v>
      </c>
      <c r="G28" s="31" t="str">
        <f>IF(B$1="ga",IF(E28="","","null"),IF(B$1="ga_es",IF(F28="","","null"),IF(B$1="ga_brp",IF(AF$3=0,"",AF$3),IF(F28="","",INDEX(Tabel1342323[brp_id],MATCH(F28,Tabel1342323[es_id],0),1)))))</f>
        <v>2200000000000</v>
      </c>
      <c r="H28" s="33" t="str">
        <f t="shared" ca="1" si="5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>1000000000000</v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>skmp</v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3000000000000</v>
      </c>
      <c r="G29" s="31" t="str">
        <f>IF(B$1="ga",IF(E29="","","null"),IF(B$1="ga_es",IF(F29="","","null"),IF(B$1="ga_brp",IF(AF$3=0,"",AF$3),IF(F29="","",INDEX(Tabel1342323[brp_id],MATCH(F29,Tabel1342323[es_id],0),1)))))</f>
        <v>2200000000000</v>
      </c>
      <c r="H29" s="33" t="str">
        <f t="shared" ca="1" si="5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IF(B$1="ga",IF(E30="","","null"),IF(B$1="ga_es",IF(F30="","","null"),IF(B$1="ga_brp",IF(AF$4=0,"",AF$4),IF(F30="","",INDEX(Tabel1342323[brp_id],MATCH(F30,Tabel1342323[es_id],0),1)))))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/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IF(B$1="ga",IF(E31="","","null"),IF(B$1="ga_es",IF(F31="","","null"),IF(B$1="ga_brp",IF(AF$4=0,"",AF$4),IF(F31="","",INDEX(Tabel1342323[brp_id],MATCH(F31,Tabel1342323[es_id],0),1)))))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>3000000000000</v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IF(B$1="ga",IF(E32="","","null"),IF(B$1="ga_es",IF(F32="","","null"),IF(B$1="ga_brp",IF(AF$4=0,"",AF$4),IF(F32="","",INDEX(Tabel1342323[brp_id],MATCH(F32,Tabel1342323[es_id],0),1)))))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IF(B$1="ga",IF(E33="","","null"),IF(B$1="ga_es",IF(F33="","","null"),IF(B$1="ga_brp",IF(AF$4=0,"",AF$4),IF(F33="","",INDEX(Tabel1342323[brp_id],MATCH(F33,Tabel1342323[es_id],0),1)))))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/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/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/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/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0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0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0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8.8070000000000004</v>
      </c>
      <c r="W65" s="52" t="s">
        <v>49</v>
      </c>
      <c r="X65" s="53"/>
      <c r="Y65" s="28">
        <f>ROUND(SUM(Y67:Y70),3)</f>
        <v>8.8070000000000004</v>
      </c>
      <c r="Z65" s="21">
        <f>SUM(Z67:Z70)</f>
        <v>8.8079999999999998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10.020999999999999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2.2017500000000001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4.0199999999999996</v>
      </c>
      <c r="R67" s="24"/>
      <c r="S67" s="24"/>
      <c r="T67" s="24"/>
      <c r="U67" s="15" t="s">
        <v>70</v>
      </c>
      <c r="V67" s="19">
        <f>V$66</f>
        <v>2.2017500000000001</v>
      </c>
      <c r="W67" s="19">
        <f>V67</f>
        <v>2.2017500000000001</v>
      </c>
      <c r="X67" s="19"/>
      <c r="Y67" s="23">
        <f>ROUND(W67, 3)</f>
        <v>2.202</v>
      </c>
      <c r="Z67" s="23">
        <f>ROUND(V67,3)</f>
        <v>2.202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4.0199999999999996</v>
      </c>
      <c r="R68" s="24"/>
      <c r="S68" s="24"/>
      <c r="T68" s="24"/>
      <c r="U68" s="15" t="s">
        <v>71</v>
      </c>
      <c r="V68" s="19">
        <f>V$66</f>
        <v>2.2017500000000001</v>
      </c>
      <c r="W68" s="19">
        <f>X68+W67</f>
        <v>2.2015000000000002</v>
      </c>
      <c r="X68" s="19">
        <f>V68-Y67</f>
        <v>-2.4999999999986144E-4</v>
      </c>
      <c r="Y68" s="23">
        <f>ROUND(W68, 3)</f>
        <v>2.202</v>
      </c>
      <c r="Z68" s="23">
        <f>ROUND(V68,3)</f>
        <v>2.202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4.0210000000000008</v>
      </c>
      <c r="J69" s="2"/>
      <c r="R69" s="24"/>
      <c r="S69" s="24"/>
      <c r="T69" s="24"/>
      <c r="U69" s="15" t="s">
        <v>72</v>
      </c>
      <c r="V69" s="19">
        <f>V$66</f>
        <v>2.2017500000000001</v>
      </c>
      <c r="W69" s="19">
        <f>X69+W68</f>
        <v>2.2012500000000004</v>
      </c>
      <c r="X69" s="19">
        <f>V69-Y68</f>
        <v>-2.4999999999986144E-4</v>
      </c>
      <c r="Y69" s="23">
        <f>ROUND(W69, 3)</f>
        <v>2.2010000000000001</v>
      </c>
      <c r="Z69" s="23">
        <f>ROUND(V69,3)</f>
        <v>2.202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2.2017500000000001</v>
      </c>
      <c r="W70" s="19">
        <f>X70+W69</f>
        <v>2.2020000000000004</v>
      </c>
      <c r="X70" s="19">
        <f>V70-Y69</f>
        <v>7.5000000000002842E-4</v>
      </c>
      <c r="Y70" s="23">
        <f>ROUND(W70, 3)</f>
        <v>2.202</v>
      </c>
      <c r="Z70" s="23">
        <f>ROUND(V70,3)</f>
        <v>2.202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4.0210000000000008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4.0199999999999996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4.0199999999999996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10.020999999999999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17.223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6.222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6.221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10</v>
      </c>
      <c r="W86" s="6">
        <f>(SUMIFS(Tabel1342323[Quarter1],Tabel1342323[resolution],"PT1H",Tabel1342323[from_ga],AH$3)-SUMIFS(Tabel1342323[Quarter1],Tabel1342323[resolution],"PT1H",Tabel1342323[to_ga],AH$3))/4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6.223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5.00075</v>
      </c>
      <c r="X90" s="16">
        <f>W90</f>
        <v>5.00075</v>
      </c>
      <c r="Y90" s="16"/>
      <c r="Z90" s="16">
        <f t="shared" si="1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1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0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1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0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1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>800</v>
      </c>
      <c r="F94" s="31" t="str">
        <f t="shared" si="22"/>
        <v>null</v>
      </c>
      <c r="G94" s="31" t="str">
        <f t="shared" si="23"/>
        <v>null</v>
      </c>
      <c r="H94" s="32" t="str">
        <f t="shared" ca="1" si="21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-5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>800</v>
      </c>
      <c r="F95" s="31" t="str">
        <f t="shared" si="22"/>
        <v>null</v>
      </c>
      <c r="G95" s="31" t="str">
        <f t="shared" si="23"/>
        <v>null</v>
      </c>
      <c r="H95" s="32" t="str">
        <f t="shared" ca="1" si="21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>800</v>
      </c>
      <c r="F96" s="31" t="str">
        <f t="shared" si="22"/>
        <v>null</v>
      </c>
      <c r="G96" s="31" t="str">
        <f t="shared" si="23"/>
        <v>null</v>
      </c>
      <c r="H96" s="32" t="str">
        <f t="shared" ca="1" si="21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>800</v>
      </c>
      <c r="F97" s="31" t="str">
        <f t="shared" si="22"/>
        <v>null</v>
      </c>
      <c r="G97" s="31" t="str">
        <f t="shared" si="23"/>
        <v>null</v>
      </c>
      <c r="H97" s="32" t="str">
        <f t="shared" ca="1" si="21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>800</v>
      </c>
      <c r="F98" s="31" t="str">
        <f t="shared" si="22"/>
        <v>null</v>
      </c>
      <c r="G98" s="31" t="str">
        <f t="shared" si="23"/>
        <v>null</v>
      </c>
      <c r="H98" s="32" t="str">
        <f t="shared" ca="1" si="21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-0.27925</v>
      </c>
      <c r="X98" s="16">
        <f>W98</f>
        <v>-0.27925</v>
      </c>
      <c r="Y98" s="16"/>
      <c r="Z98" s="16">
        <f t="shared" si="1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>800</v>
      </c>
      <c r="F99" s="31" t="str">
        <f t="shared" si="22"/>
        <v>null</v>
      </c>
      <c r="G99" s="31" t="str">
        <f t="shared" si="23"/>
        <v>null</v>
      </c>
      <c r="H99" s="32" t="str">
        <f t="shared" ca="1" si="21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1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>800</v>
      </c>
      <c r="F100" s="31" t="str">
        <f t="shared" si="22"/>
        <v>null</v>
      </c>
      <c r="G100" s="31" t="str">
        <f t="shared" si="23"/>
        <v>null</v>
      </c>
      <c r="H100" s="32" t="str">
        <f t="shared" ca="1" si="21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1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>800</v>
      </c>
      <c r="F101" s="31" t="str">
        <f t="shared" si="22"/>
        <v>null</v>
      </c>
      <c r="G101" s="31" t="str">
        <f t="shared" si="23"/>
        <v>null</v>
      </c>
      <c r="H101" s="32" t="str">
        <f t="shared" ca="1" si="21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1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>800</v>
      </c>
      <c r="F102" s="31" t="str">
        <f t="shared" si="22"/>
        <v>null</v>
      </c>
      <c r="G102" s="31" t="str">
        <f t="shared" si="23"/>
        <v>null</v>
      </c>
      <c r="H102" s="32" t="str">
        <f t="shared" ca="1" si="21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>800</v>
      </c>
      <c r="F103" s="31" t="str">
        <f t="shared" si="22"/>
        <v>null</v>
      </c>
      <c r="G103" s="31" t="str">
        <f t="shared" si="23"/>
        <v>null</v>
      </c>
      <c r="H103" s="32" t="str">
        <f t="shared" ca="1" si="21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>800</v>
      </c>
      <c r="F104" s="31" t="str">
        <f t="shared" si="22"/>
        <v>null</v>
      </c>
      <c r="G104" s="31" t="str">
        <f t="shared" si="23"/>
        <v>null</v>
      </c>
      <c r="H104" s="32" t="str">
        <f t="shared" ca="1" si="21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>800</v>
      </c>
      <c r="F105" s="31" t="str">
        <f t="shared" si="22"/>
        <v>null</v>
      </c>
      <c r="G105" s="31" t="str">
        <f t="shared" si="23"/>
        <v>null</v>
      </c>
      <c r="H105" s="32" t="str">
        <f t="shared" ca="1" si="21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2024-05-17T09:03:59Z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