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n_energy_calculation\when_with_only_one_exchange_grid_loss_and_system_correction_metering_point\"/>
    </mc:Choice>
  </mc:AlternateContent>
  <xr:revisionPtr revIDLastSave="0" documentId="13_ncr:1_{936BB7E2-34BE-42FD-993D-3AAA766228E3}" xr6:coauthVersionLast="47" xr6:coauthVersionMax="47" xr10:uidLastSave="{00000000-0000-0000-0000-000000000000}"/>
  <bookViews>
    <workbookView xWindow="-120" yWindow="-120" windowWidth="38640" windowHeight="21120" activeTab="1" xr2:uid="{B26405EC-4681-4CC9-BF80-F87B3459AD72}"/>
  </bookViews>
  <sheets>
    <sheet name="Hour1" sheetId="12" r:id="rId1"/>
    <sheet name="Day2" sheetId="11" r:id="rId2"/>
  </sheets>
  <definedNames>
    <definedName name="gridLoss15M" localSheetId="1">'Day2'!$Q$33</definedName>
    <definedName name="gridLoss15M" localSheetId="0">Hour1!$Q$33</definedName>
    <definedName name="gridLoss1H_quarter1" localSheetId="1">'Day2'!$H$66</definedName>
    <definedName name="gridLoss1H_quarter1" localSheetId="0">Hour1!$H$66</definedName>
    <definedName name="gridLoss1H_quarter2" localSheetId="1">'Day2'!$H$67</definedName>
    <definedName name="gridLoss1H_quarter2" localSheetId="0">Hour1!$H$67</definedName>
    <definedName name="gridLoss1H_quarter3" localSheetId="1">'Day2'!$H$68</definedName>
    <definedName name="gridLoss1H_quarter3" localSheetId="0">Hour1!$H$68</definedName>
    <definedName name="gridLoss1H_quarter4" localSheetId="1">'Day2'!$H$69</definedName>
    <definedName name="gridLoss1H_quarter4" localSheetId="0">Hour1!$H$69</definedName>
    <definedName name="negGridLossQuarter1" localSheetId="1">'Day2'!$H$81</definedName>
    <definedName name="negGridLossQuarter1" localSheetId="0">Hour1!$H$81</definedName>
    <definedName name="negGridLossQuarter2" localSheetId="1">'Day2'!$H$80</definedName>
    <definedName name="negGridLossQuarter2" localSheetId="0">Hour1!$H$80</definedName>
    <definedName name="negGridLossQuarter3" localSheetId="1">'Day2'!$H$79</definedName>
    <definedName name="negGridLossQuarter3" localSheetId="0">Hour1!$H$79</definedName>
    <definedName name="negGridLossQuarter4" localSheetId="1">'Day2'!$H$78</definedName>
    <definedName name="negGridLossQuarter4" localSheetId="0">Hour1!$H$78</definedName>
    <definedName name="netEx_quarter1" localSheetId="1">'Day2'!$H$48</definedName>
    <definedName name="netEx_quarter1" localSheetId="0">Hour1!$H$48</definedName>
    <definedName name="netEx_quarter2" localSheetId="1">'Day2'!$H$49</definedName>
    <definedName name="netEx_quarter2" localSheetId="0">Hour1!$H$49</definedName>
    <definedName name="netEx_quarter3" localSheetId="1">'Day2'!$H$50</definedName>
    <definedName name="netEx_quarter3" localSheetId="0">Hour1!$H$50</definedName>
    <definedName name="netEx_quarter4" localSheetId="1">'Day2'!$H$51</definedName>
    <definedName name="netEx_quarter4" localSheetId="0">Hour1!$H$51</definedName>
    <definedName name="powerIn15M" localSheetId="1">'Day2'!$R$5</definedName>
    <definedName name="powerIn15M" localSheetId="0">Hour1!$R$5</definedName>
    <definedName name="powerIn1H_quarter1" localSheetId="1">'Day2'!$W$54</definedName>
    <definedName name="powerIn1H_quarter1" localSheetId="0">Hour1!$W$54</definedName>
    <definedName name="powerIn1H_quarter2" localSheetId="1">'Day2'!$W$55</definedName>
    <definedName name="powerIn1H_quarter2" localSheetId="0">Hour1!$W$55</definedName>
    <definedName name="powerIn1H_quarter3" localSheetId="1">'Day2'!$W$56</definedName>
    <definedName name="powerIn1H_quarter3" localSheetId="0">Hour1!$W$56</definedName>
    <definedName name="powerIn1H_quarter4" localSheetId="1">'Day2'!$W$57</definedName>
    <definedName name="powerIn1H_quarter4" localSheetId="0">Hour1!$W$57</definedName>
    <definedName name="powerOut15M" localSheetId="1">'Day2'!$R$6</definedName>
    <definedName name="powerOut15M" localSheetId="0">Hour1!$R$6</definedName>
    <definedName name="powerOut1H_quarter1" localSheetId="1">'Day2'!$W$60</definedName>
    <definedName name="powerOut1H_quarter1" localSheetId="0">Hour1!$W$60</definedName>
    <definedName name="powerOut1H_quarter2" localSheetId="1">'Day2'!$W$61</definedName>
    <definedName name="powerOut1H_quarter2" localSheetId="0">Hour1!$W$61</definedName>
    <definedName name="powerOut1H_quarter3" localSheetId="1">'Day2'!$W$62</definedName>
    <definedName name="powerOut1H_quarter3" localSheetId="0">Hour1!$W$62</definedName>
    <definedName name="powerOut1H_quarter4" localSheetId="1">'Day2'!$W$63</definedName>
    <definedName name="powerOut1H_quarter4" localSheetId="0">Hour1!$W$63</definedName>
    <definedName name="totalConsumption_quarter1" localSheetId="1">'Day2'!$W$66</definedName>
    <definedName name="totalConsumption_quarter1" localSheetId="0">Hour1!$W$66</definedName>
    <definedName name="totalConsumption_quarter2" localSheetId="1">'Day2'!$W$67</definedName>
    <definedName name="totalConsumption_quarter2" localSheetId="0">Hour1!$W$67</definedName>
    <definedName name="totalConsumption_quarter3" localSheetId="1">'Day2'!$W$68</definedName>
    <definedName name="totalConsumption_quarter3" localSheetId="0">Hour1!$W$68</definedName>
    <definedName name="totalConsumption_quarter4" localSheetId="1">'Day2'!$W$69</definedName>
    <definedName name="totalConsumption_quarter4" localSheetId="0">Hour1!$W$69</definedName>
    <definedName name="totalConsumption15M" localSheetId="1">'Day2'!$R$4</definedName>
    <definedName name="totalConsumption15M" localSheetId="0">Hour1!$R$4</definedName>
    <definedName name="totalFlex15M" localSheetId="1">'Day2'!$R$1</definedName>
    <definedName name="totalFlex15M" localSheetId="0">Hour1!$R$1</definedName>
    <definedName name="totalFlex1H_quarter1" localSheetId="1">'Day2'!$W$36</definedName>
    <definedName name="totalFlex1H_quarter1" localSheetId="0">Hour1!$W$36</definedName>
    <definedName name="totalFlex1H_quarter2" localSheetId="1">'Day2'!$W$37</definedName>
    <definedName name="totalFlex1H_quarter2" localSheetId="0">Hour1!$W$37</definedName>
    <definedName name="totalFlex1H_quarter3" localSheetId="1">'Day2'!$W$38</definedName>
    <definedName name="totalFlex1H_quarter3" localSheetId="0">Hour1!$W$38</definedName>
    <definedName name="totalFlex1H_quarter4" localSheetId="1">'Day2'!$W$39</definedName>
    <definedName name="totalFlex1H_quarter4" localSheetId="0">Hour1!$W$39</definedName>
    <definedName name="totalNonprofiled15M" localSheetId="1">'Day2'!$R$2</definedName>
    <definedName name="totalNonprofiled15M" localSheetId="0">Hour1!$R$2</definedName>
    <definedName name="totalNonprofiled1H_quarter1" localSheetId="1">'Day2'!$W$48</definedName>
    <definedName name="totalNonprofiled1H_quarter1" localSheetId="0">Hour1!$W$48</definedName>
    <definedName name="totalNonprofiled1H_quarter2" localSheetId="1">'Day2'!$W$49</definedName>
    <definedName name="totalNonprofiled1H_quarter2" localSheetId="0">Hour1!$W$49</definedName>
    <definedName name="totalNonprofiled1H_quarter3" localSheetId="1">'Day2'!$W$50</definedName>
    <definedName name="totalNonprofiled1H_quarter3" localSheetId="0">Hour1!$W$50</definedName>
    <definedName name="totalNonprofiled1H_quarter4" localSheetId="1">'Day2'!$W$51</definedName>
    <definedName name="totalNonprofiled1H_quarter4" localSheetId="0">Hour1!$W$51</definedName>
    <definedName name="totalProduction15M" localSheetId="1">'Day2'!$R$3</definedName>
    <definedName name="totalProduction15M" localSheetId="0">Hour1!$R$3</definedName>
    <definedName name="totalProduction1H_quarter1" localSheetId="1">'Day2'!$W$42</definedName>
    <definedName name="totalProduction1H_quarter1" localSheetId="0">Hour1!$W$42</definedName>
    <definedName name="totalProduction1H_quarter2" localSheetId="1">'Day2'!$W$43</definedName>
    <definedName name="totalProduction1H_quarter2" localSheetId="0">Hour1!$W$43</definedName>
    <definedName name="totalProduction1H_quarter3" localSheetId="1">'Day2'!$W$44</definedName>
    <definedName name="totalProduction1H_quarter3" localSheetId="0">Hour1!$W$44</definedName>
    <definedName name="totalProduction1H_quarter4" localSheetId="1">'Day2'!$W$45</definedName>
    <definedName name="totalProduction1H_quarter4" localSheetId="0">Hour1!$W$45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7" i="11" l="1"/>
  <c r="AD27" i="12"/>
  <c r="AC27" i="12"/>
  <c r="AC42" i="12" s="1" a="1"/>
  <c r="AC42" i="12" s="1"/>
  <c r="U106" i="12"/>
  <c r="V106" i="12" s="1"/>
  <c r="X106" i="12" s="1"/>
  <c r="U102" i="12"/>
  <c r="U104" i="12" s="1"/>
  <c r="T102" i="12"/>
  <c r="U98" i="12"/>
  <c r="U100" i="12" s="1"/>
  <c r="T98" i="12"/>
  <c r="U94" i="12"/>
  <c r="U96" i="12" s="1"/>
  <c r="T94" i="12"/>
  <c r="T65" i="12"/>
  <c r="T67" i="12" s="1"/>
  <c r="T64" i="12"/>
  <c r="T59" i="12"/>
  <c r="T62" i="12" s="1"/>
  <c r="T58" i="12"/>
  <c r="T53" i="12"/>
  <c r="T55" i="12" s="1"/>
  <c r="X55" i="12" s="1"/>
  <c r="T52" i="12"/>
  <c r="T47" i="12"/>
  <c r="T51" i="12" s="1"/>
  <c r="X51" i="12" s="1"/>
  <c r="T46" i="12"/>
  <c r="J45" i="12"/>
  <c r="J44" i="12"/>
  <c r="J43" i="12"/>
  <c r="T41" i="12"/>
  <c r="T44" i="12" s="1"/>
  <c r="J41" i="12"/>
  <c r="T40" i="12"/>
  <c r="J40" i="12"/>
  <c r="J39" i="12"/>
  <c r="J37" i="12"/>
  <c r="J36" i="12"/>
  <c r="T35" i="12"/>
  <c r="T39" i="12" s="1"/>
  <c r="X39" i="12" s="1"/>
  <c r="J35" i="12"/>
  <c r="T34" i="12"/>
  <c r="J33" i="12"/>
  <c r="S32" i="12"/>
  <c r="R32" i="12" s="1"/>
  <c r="J32" i="12"/>
  <c r="S31" i="12"/>
  <c r="R31" i="12"/>
  <c r="Q31" i="12"/>
  <c r="J31" i="12"/>
  <c r="S30" i="12"/>
  <c r="R30" i="12"/>
  <c r="Q30" i="12"/>
  <c r="S29" i="12"/>
  <c r="R29" i="12"/>
  <c r="Q29" i="12"/>
  <c r="J29" i="12"/>
  <c r="S28" i="12"/>
  <c r="R28" i="12"/>
  <c r="Q28" i="12"/>
  <c r="J28" i="12"/>
  <c r="S27" i="12"/>
  <c r="R27" i="12" s="1"/>
  <c r="Q27" i="12"/>
  <c r="J27" i="12"/>
  <c r="S25" i="12"/>
  <c r="R25" i="12"/>
  <c r="Q25" i="12"/>
  <c r="J25" i="12"/>
  <c r="X24" i="12" a="1"/>
  <c r="X24" i="12" s="1"/>
  <c r="S24" i="12"/>
  <c r="J24" i="12"/>
  <c r="X23" i="12" a="1"/>
  <c r="X23" i="12" s="1"/>
  <c r="S23" i="12"/>
  <c r="Q23" i="12" s="1"/>
  <c r="R23" i="12"/>
  <c r="J23" i="12"/>
  <c r="S22" i="12"/>
  <c r="R22" i="12"/>
  <c r="Q22" i="12"/>
  <c r="S21" i="12"/>
  <c r="R21" i="12"/>
  <c r="Q21" i="12"/>
  <c r="S20" i="12"/>
  <c r="R20" i="12"/>
  <c r="Q20" i="12"/>
  <c r="E20" i="12"/>
  <c r="S17" i="12"/>
  <c r="R17" i="12" s="1"/>
  <c r="AD13" i="12" a="1"/>
  <c r="AD13" i="12" s="1"/>
  <c r="AC13" i="12" a="1"/>
  <c r="AC13" i="12" s="1"/>
  <c r="R6" i="12"/>
  <c r="R5" i="12"/>
  <c r="R4" i="12"/>
  <c r="R3" i="12"/>
  <c r="AF2" i="12" a="1"/>
  <c r="T86" i="12" s="1"/>
  <c r="AE2" i="12"/>
  <c r="AD34" i="12" s="1" a="1"/>
  <c r="AD34" i="12" s="1"/>
  <c r="AB2" i="12" a="1"/>
  <c r="AB2" i="12" s="1"/>
  <c r="R2" i="12"/>
  <c r="R1" i="12"/>
  <c r="AD13" i="11" a="1"/>
  <c r="AD13" i="11" s="1"/>
  <c r="AC27" i="11"/>
  <c r="AC13" i="11" a="1"/>
  <c r="AC13" i="11" s="1"/>
  <c r="X23" i="11" a="1"/>
  <c r="X23" i="11" s="1"/>
  <c r="X24" i="11" a="1"/>
  <c r="X24" i="11" s="1"/>
  <c r="R2" i="11"/>
  <c r="U106" i="11"/>
  <c r="U109" i="11" s="1"/>
  <c r="U102" i="11"/>
  <c r="U105" i="11" s="1"/>
  <c r="T102" i="11"/>
  <c r="U98" i="11"/>
  <c r="T98" i="11"/>
  <c r="U94" i="11"/>
  <c r="U96" i="11" s="1"/>
  <c r="T94" i="11"/>
  <c r="T65" i="11"/>
  <c r="T67" i="11" s="1"/>
  <c r="T64" i="11"/>
  <c r="T59" i="11"/>
  <c r="T62" i="11" s="1"/>
  <c r="T58" i="11"/>
  <c r="T53" i="11"/>
  <c r="T55" i="11" s="1"/>
  <c r="X55" i="11" s="1"/>
  <c r="T52" i="11"/>
  <c r="T47" i="11"/>
  <c r="T51" i="11" s="1"/>
  <c r="X51" i="11" s="1"/>
  <c r="T46" i="11"/>
  <c r="J45" i="11"/>
  <c r="J44" i="11"/>
  <c r="J43" i="11"/>
  <c r="T41" i="11"/>
  <c r="T44" i="11" s="1"/>
  <c r="X44" i="11" s="1"/>
  <c r="J41" i="11"/>
  <c r="T40" i="11"/>
  <c r="J40" i="11"/>
  <c r="J39" i="11"/>
  <c r="J37" i="11"/>
  <c r="J36" i="11"/>
  <c r="T35" i="11"/>
  <c r="T39" i="11" s="1"/>
  <c r="X39" i="11" s="1"/>
  <c r="J35" i="11"/>
  <c r="T34" i="11"/>
  <c r="J33" i="11"/>
  <c r="J32" i="11"/>
  <c r="J31" i="11"/>
  <c r="S29" i="11"/>
  <c r="Q29" i="11" s="1"/>
  <c r="J29" i="11"/>
  <c r="J28" i="11"/>
  <c r="J27" i="11"/>
  <c r="S25" i="11"/>
  <c r="S28" i="11" s="1"/>
  <c r="J25" i="11"/>
  <c r="J24" i="11"/>
  <c r="J23" i="11"/>
  <c r="E20" i="11"/>
  <c r="R6" i="11"/>
  <c r="R5" i="11"/>
  <c r="R4" i="11"/>
  <c r="R3" i="11"/>
  <c r="AF2" i="11" a="1"/>
  <c r="U90" i="11" s="1"/>
  <c r="AE2" i="11"/>
  <c r="AD34" i="11" s="1" a="1"/>
  <c r="AD34" i="11" s="1"/>
  <c r="AB2" i="11" a="1"/>
  <c r="AB2" i="11" s="1"/>
  <c r="R1" i="11"/>
  <c r="T90" i="11" l="1"/>
  <c r="AC37" i="12" a="1"/>
  <c r="AC37" i="12" s="1"/>
  <c r="AC38" i="12" a="1"/>
  <c r="AC38" i="12" s="1"/>
  <c r="AC35" i="12" a="1"/>
  <c r="AC35" i="12" s="1"/>
  <c r="AC39" i="12" a="1"/>
  <c r="AC39" i="12" s="1"/>
  <c r="AC36" i="12" a="1"/>
  <c r="AC36" i="12" s="1"/>
  <c r="AC31" i="12" a="1"/>
  <c r="AC31" i="12" s="1"/>
  <c r="AD39" i="12" a="1"/>
  <c r="AD39" i="12" s="1"/>
  <c r="AC28" i="12" a="1"/>
  <c r="AC28" i="12" s="1"/>
  <c r="T25" i="12"/>
  <c r="T26" i="12" s="1"/>
  <c r="AC32" i="12" a="1"/>
  <c r="AC32" i="12" s="1"/>
  <c r="AC40" i="12" a="1"/>
  <c r="AC40" i="12" s="1"/>
  <c r="AD28" i="12" a="1"/>
  <c r="AD28" i="12" s="1"/>
  <c r="AD40" i="12" a="1"/>
  <c r="AD40" i="12" s="1"/>
  <c r="T17" i="12"/>
  <c r="T20" i="12" s="1"/>
  <c r="AC33" i="12" a="1"/>
  <c r="AC33" i="12" s="1"/>
  <c r="AC34" i="12" a="1"/>
  <c r="AC34" i="12" s="1"/>
  <c r="AD33" i="12" a="1"/>
  <c r="AD33" i="12" s="1"/>
  <c r="T29" i="12"/>
  <c r="T32" i="12" s="1"/>
  <c r="T21" i="12"/>
  <c r="T24" i="12" s="1"/>
  <c r="T90" i="12"/>
  <c r="U90" i="12"/>
  <c r="U92" i="12" s="1"/>
  <c r="T43" i="12"/>
  <c r="X43" i="12" s="1"/>
  <c r="T49" i="12"/>
  <c r="X49" i="12" s="1"/>
  <c r="T36" i="12"/>
  <c r="X36" i="12" s="1"/>
  <c r="T68" i="12"/>
  <c r="X68" i="12" s="1"/>
  <c r="U86" i="12"/>
  <c r="U87" i="12" s="1"/>
  <c r="T63" i="12"/>
  <c r="X63" i="12" s="1"/>
  <c r="T37" i="12"/>
  <c r="X37" i="12" s="1"/>
  <c r="T60" i="12"/>
  <c r="T54" i="12"/>
  <c r="X54" i="12" s="1"/>
  <c r="T38" i="12"/>
  <c r="X38" i="12" s="1"/>
  <c r="T42" i="12"/>
  <c r="U42" i="12" s="1"/>
  <c r="W42" i="12" s="1"/>
  <c r="T56" i="12"/>
  <c r="X56" i="12" s="1"/>
  <c r="T57" i="12"/>
  <c r="X57" i="12" s="1"/>
  <c r="Q32" i="12"/>
  <c r="X67" i="12"/>
  <c r="U109" i="12"/>
  <c r="U107" i="12"/>
  <c r="W107" i="12" s="1"/>
  <c r="V107" i="12" s="1"/>
  <c r="X107" i="12" s="1"/>
  <c r="U108" i="12"/>
  <c r="X62" i="12"/>
  <c r="X44" i="12"/>
  <c r="R24" i="12"/>
  <c r="Q24" i="12"/>
  <c r="Q17" i="12"/>
  <c r="V98" i="12"/>
  <c r="X98" i="12" s="1"/>
  <c r="U101" i="12"/>
  <c r="U99" i="12"/>
  <c r="S19" i="12"/>
  <c r="S18" i="12"/>
  <c r="V94" i="12"/>
  <c r="X94" i="12" s="1"/>
  <c r="U97" i="12"/>
  <c r="U95" i="12"/>
  <c r="U105" i="12"/>
  <c r="U103" i="12"/>
  <c r="V102" i="12"/>
  <c r="X102" i="12" s="1"/>
  <c r="T61" i="12"/>
  <c r="AD38" i="12" a="1"/>
  <c r="AD38" i="12" s="1"/>
  <c r="T45" i="12"/>
  <c r="AD37" i="12" a="1"/>
  <c r="AD37" i="12" s="1"/>
  <c r="U36" i="12"/>
  <c r="W36" i="12" s="1"/>
  <c r="AC30" i="12" a="1"/>
  <c r="AC30" i="12" s="1"/>
  <c r="AD32" i="12" a="1"/>
  <c r="AD32" i="12" s="1"/>
  <c r="T50" i="12"/>
  <c r="T66" i="12"/>
  <c r="T69" i="12"/>
  <c r="AC29" i="12" a="1"/>
  <c r="AC29" i="12" s="1"/>
  <c r="AD30" i="12" a="1"/>
  <c r="AD30" i="12" s="1"/>
  <c r="AD36" i="12" a="1"/>
  <c r="AD36" i="12" s="1"/>
  <c r="S26" i="12"/>
  <c r="AD41" i="12" a="1"/>
  <c r="AD41" i="12" s="1"/>
  <c r="AD29" i="12" a="1"/>
  <c r="AD29" i="12" s="1"/>
  <c r="AD31" i="12" a="1"/>
  <c r="AD31" i="12" s="1"/>
  <c r="AD35" i="12" a="1"/>
  <c r="AD35" i="12" s="1"/>
  <c r="AF2" i="12"/>
  <c r="T48" i="12"/>
  <c r="Q25" i="11"/>
  <c r="S27" i="11"/>
  <c r="R27" i="11" s="1"/>
  <c r="R29" i="11"/>
  <c r="AD32" i="11" a="1"/>
  <c r="AD32" i="11" s="1"/>
  <c r="AC42" i="11" a="1"/>
  <c r="AC42" i="11" s="1"/>
  <c r="AD28" i="11" a="1"/>
  <c r="AD28" i="11" s="1"/>
  <c r="AC28" i="11" a="1"/>
  <c r="AC28" i="11" s="1"/>
  <c r="AD33" i="11" a="1"/>
  <c r="AD33" i="11" s="1"/>
  <c r="AD31" i="11" a="1"/>
  <c r="AD31" i="11" s="1"/>
  <c r="AC40" i="11" a="1"/>
  <c r="AC40" i="11" s="1"/>
  <c r="AC38" i="11" a="1"/>
  <c r="AC38" i="11" s="1"/>
  <c r="AC37" i="11" a="1"/>
  <c r="AC37" i="11" s="1"/>
  <c r="AC36" i="11" a="1"/>
  <c r="AC36" i="11" s="1"/>
  <c r="AC35" i="11" a="1"/>
  <c r="AC35" i="11" s="1"/>
  <c r="AC33" i="11" a="1"/>
  <c r="AC33" i="11" s="1"/>
  <c r="AC31" i="11" a="1"/>
  <c r="AC31" i="11" s="1"/>
  <c r="AC39" i="11" a="1"/>
  <c r="AC39" i="11" s="1"/>
  <c r="AC34" i="11" a="1"/>
  <c r="AC34" i="11" s="1"/>
  <c r="AC32" i="11" a="1"/>
  <c r="AC32" i="11" s="1"/>
  <c r="AD29" i="11" a="1"/>
  <c r="AD29" i="11" s="1"/>
  <c r="AC29" i="11" a="1"/>
  <c r="AC29" i="11" s="1"/>
  <c r="AD39" i="11" a="1"/>
  <c r="AD39" i="11" s="1"/>
  <c r="S30" i="11"/>
  <c r="AD30" i="11" a="1"/>
  <c r="AD30" i="11" s="1"/>
  <c r="AD40" i="11" a="1"/>
  <c r="AD40" i="11" s="1"/>
  <c r="AD38" i="11" a="1"/>
  <c r="AD38" i="11" s="1"/>
  <c r="S32" i="11"/>
  <c r="AD37" i="11" a="1"/>
  <c r="AD37" i="11" s="1"/>
  <c r="AD41" i="11" a="1"/>
  <c r="AD41" i="11" s="1"/>
  <c r="AD36" i="11" a="1"/>
  <c r="AD36" i="11" s="1"/>
  <c r="AD35" i="11" a="1"/>
  <c r="AD35" i="11" s="1"/>
  <c r="AC30" i="11" a="1"/>
  <c r="AC30" i="11" s="1"/>
  <c r="S21" i="11"/>
  <c r="U104" i="11"/>
  <c r="T42" i="11"/>
  <c r="U42" i="11" s="1"/>
  <c r="W42" i="11" s="1"/>
  <c r="T37" i="11"/>
  <c r="X37" i="11" s="1"/>
  <c r="T38" i="11"/>
  <c r="X38" i="11" s="1"/>
  <c r="T56" i="11"/>
  <c r="X56" i="11" s="1"/>
  <c r="R28" i="11"/>
  <c r="Q28" i="11"/>
  <c r="U93" i="11"/>
  <c r="U91" i="11"/>
  <c r="V90" i="11"/>
  <c r="X90" i="11" s="1"/>
  <c r="R30" i="11"/>
  <c r="Q30" i="11"/>
  <c r="U97" i="11"/>
  <c r="U95" i="11"/>
  <c r="V94" i="11"/>
  <c r="X94" i="11" s="1"/>
  <c r="X62" i="11"/>
  <c r="T86" i="11"/>
  <c r="U86" i="11"/>
  <c r="U101" i="11"/>
  <c r="U99" i="11"/>
  <c r="V98" i="11"/>
  <c r="X98" i="11" s="1"/>
  <c r="AF2" i="11"/>
  <c r="S17" i="11"/>
  <c r="U100" i="11"/>
  <c r="U92" i="11"/>
  <c r="R25" i="11"/>
  <c r="S26" i="11"/>
  <c r="Q27" i="11"/>
  <c r="X67" i="11"/>
  <c r="T25" i="11"/>
  <c r="T29" i="11"/>
  <c r="S31" i="11"/>
  <c r="T43" i="11"/>
  <c r="T60" i="11"/>
  <c r="T63" i="11"/>
  <c r="U108" i="11"/>
  <c r="V106" i="11"/>
  <c r="X106" i="11" s="1"/>
  <c r="T49" i="11"/>
  <c r="T68" i="11"/>
  <c r="V102" i="11"/>
  <c r="X102" i="11" s="1"/>
  <c r="T61" i="11"/>
  <c r="T45" i="11"/>
  <c r="T36" i="11"/>
  <c r="T54" i="11"/>
  <c r="T57" i="11"/>
  <c r="T50" i="11"/>
  <c r="T66" i="11"/>
  <c r="T69" i="11"/>
  <c r="U107" i="11"/>
  <c r="U103" i="11"/>
  <c r="T48" i="11"/>
  <c r="T19" i="12" l="1"/>
  <c r="T30" i="12"/>
  <c r="T31" i="12"/>
  <c r="U21" i="12"/>
  <c r="W21" i="12" s="1"/>
  <c r="U25" i="12"/>
  <c r="W25" i="12" s="1"/>
  <c r="U17" i="12"/>
  <c r="W17" i="12" s="1"/>
  <c r="T27" i="12"/>
  <c r="U29" i="12"/>
  <c r="W29" i="12" s="1"/>
  <c r="T22" i="12"/>
  <c r="T28" i="12"/>
  <c r="T23" i="12"/>
  <c r="T18" i="12"/>
  <c r="V18" i="12" s="1"/>
  <c r="U18" i="12" s="1"/>
  <c r="W18" i="12" s="1"/>
  <c r="U91" i="12"/>
  <c r="U93" i="12"/>
  <c r="V90" i="12"/>
  <c r="X90" i="12" s="1"/>
  <c r="U54" i="12"/>
  <c r="W54" i="12" s="1"/>
  <c r="V55" i="12" s="1"/>
  <c r="U55" i="12" s="1"/>
  <c r="W55" i="12" s="1"/>
  <c r="X42" i="12"/>
  <c r="W99" i="12"/>
  <c r="V99" i="12" s="1"/>
  <c r="X99" i="12" s="1"/>
  <c r="W100" i="12" s="1"/>
  <c r="V100" i="12" s="1"/>
  <c r="X100" i="12" s="1"/>
  <c r="V22" i="12"/>
  <c r="U22" i="12" s="1"/>
  <c r="W22" i="12" s="1"/>
  <c r="V23" i="12" s="1"/>
  <c r="U23" i="12" s="1"/>
  <c r="W23" i="12" s="1"/>
  <c r="V24" i="12" s="1"/>
  <c r="U24" i="12" s="1"/>
  <c r="W24" i="12" s="1"/>
  <c r="V86" i="12"/>
  <c r="X86" i="12" s="1"/>
  <c r="W87" i="12" s="1"/>
  <c r="V87" i="12" s="1"/>
  <c r="X87" i="12" s="1"/>
  <c r="U88" i="12"/>
  <c r="U89" i="12"/>
  <c r="X34" i="12"/>
  <c r="V26" i="12"/>
  <c r="U26" i="12" s="1"/>
  <c r="W26" i="12" s="1"/>
  <c r="V27" i="12" s="1"/>
  <c r="U27" i="12" s="1"/>
  <c r="W27" i="12" s="1"/>
  <c r="X52" i="12"/>
  <c r="U60" i="12"/>
  <c r="W60" i="12" s="1"/>
  <c r="V61" i="12" s="1"/>
  <c r="U61" i="12" s="1"/>
  <c r="W61" i="12" s="1"/>
  <c r="X60" i="12"/>
  <c r="AC2" i="12" a="1"/>
  <c r="V30" i="12"/>
  <c r="U30" i="12" s="1"/>
  <c r="W30" i="12" s="1"/>
  <c r="V31" i="12" s="1"/>
  <c r="U31" i="12" s="1"/>
  <c r="W31" i="12" s="1"/>
  <c r="V32" i="12" s="1"/>
  <c r="U32" i="12" s="1"/>
  <c r="W32" i="12" s="1"/>
  <c r="AD2" i="12" a="1"/>
  <c r="AD2" i="12" s="1"/>
  <c r="W108" i="12"/>
  <c r="V108" i="12" s="1"/>
  <c r="X108" i="12" s="1"/>
  <c r="W109" i="12" s="1"/>
  <c r="V109" i="12" s="1"/>
  <c r="X109" i="12" s="1"/>
  <c r="V56" i="12"/>
  <c r="U56" i="12" s="1"/>
  <c r="W56" i="12" s="1"/>
  <c r="X66" i="12"/>
  <c r="U66" i="12"/>
  <c r="W66" i="12" s="1"/>
  <c r="R19" i="12"/>
  <c r="Q19" i="12"/>
  <c r="H54" i="12"/>
  <c r="H60" i="12"/>
  <c r="Q18" i="12"/>
  <c r="R18" i="12"/>
  <c r="W103" i="12"/>
  <c r="V103" i="12" s="1"/>
  <c r="X103" i="12" s="1"/>
  <c r="W104" i="12" s="1"/>
  <c r="V104" i="12" s="1"/>
  <c r="X104" i="12" s="1"/>
  <c r="W105" i="12" s="1"/>
  <c r="V105" i="12" s="1"/>
  <c r="X105" i="12" s="1"/>
  <c r="R26" i="12"/>
  <c r="Q26" i="12"/>
  <c r="X61" i="12"/>
  <c r="X50" i="12"/>
  <c r="V43" i="12"/>
  <c r="U43" i="12" s="1"/>
  <c r="W43" i="12" s="1"/>
  <c r="E73" i="12"/>
  <c r="E63" i="12"/>
  <c r="E60" i="12"/>
  <c r="E106" i="12"/>
  <c r="E104" i="12"/>
  <c r="E102" i="12"/>
  <c r="E100" i="12"/>
  <c r="E98" i="12"/>
  <c r="E96" i="12"/>
  <c r="E94" i="12"/>
  <c r="E92" i="12"/>
  <c r="E90" i="12"/>
  <c r="E86" i="12"/>
  <c r="E72" i="12"/>
  <c r="E51" i="12"/>
  <c r="E48" i="12"/>
  <c r="E110" i="12"/>
  <c r="E108" i="12"/>
  <c r="E67" i="12"/>
  <c r="E85" i="12"/>
  <c r="E66" i="12"/>
  <c r="E50" i="12"/>
  <c r="E113" i="12"/>
  <c r="E55" i="12"/>
  <c r="E69" i="12"/>
  <c r="E107" i="12"/>
  <c r="E84" i="12"/>
  <c r="E80" i="12"/>
  <c r="E78" i="12"/>
  <c r="E62" i="12"/>
  <c r="E81" i="12"/>
  <c r="E109" i="12"/>
  <c r="E112" i="12"/>
  <c r="E57" i="12"/>
  <c r="E54" i="12"/>
  <c r="E105" i="12"/>
  <c r="E103" i="12"/>
  <c r="E101" i="12"/>
  <c r="E99" i="12"/>
  <c r="E97" i="12"/>
  <c r="E95" i="12"/>
  <c r="E93" i="12"/>
  <c r="E91" i="12"/>
  <c r="E79" i="12"/>
  <c r="E61" i="12"/>
  <c r="E111" i="12"/>
  <c r="E75" i="12"/>
  <c r="E49" i="12"/>
  <c r="E74" i="12"/>
  <c r="E56" i="12"/>
  <c r="E87" i="12"/>
  <c r="E68" i="12"/>
  <c r="W95" i="12"/>
  <c r="V95" i="12" s="1"/>
  <c r="X95" i="12" s="1"/>
  <c r="W96" i="12" s="1"/>
  <c r="V96" i="12" s="1"/>
  <c r="X96" i="12" s="1"/>
  <c r="W97" i="12" s="1"/>
  <c r="V97" i="12" s="1"/>
  <c r="X97" i="12" s="1"/>
  <c r="V37" i="12"/>
  <c r="U37" i="12" s="1"/>
  <c r="W37" i="12" s="1"/>
  <c r="X48" i="12"/>
  <c r="U48" i="12"/>
  <c r="W48" i="12" s="1"/>
  <c r="W101" i="12"/>
  <c r="V101" i="12" s="1"/>
  <c r="X101" i="12" s="1"/>
  <c r="X45" i="12"/>
  <c r="X40" i="12" s="1"/>
  <c r="X69" i="12"/>
  <c r="AD2" i="11" a="1"/>
  <c r="AD2" i="11" s="1"/>
  <c r="AC2" i="11" a="1"/>
  <c r="AC2" i="11" s="1"/>
  <c r="X42" i="11"/>
  <c r="R32" i="11"/>
  <c r="Q32" i="11"/>
  <c r="Q21" i="11"/>
  <c r="S24" i="11"/>
  <c r="S23" i="11"/>
  <c r="T21" i="11"/>
  <c r="S22" i="11"/>
  <c r="R21" i="11"/>
  <c r="W103" i="11"/>
  <c r="V103" i="11" s="1"/>
  <c r="X103" i="11" s="1"/>
  <c r="W104" i="11" s="1"/>
  <c r="V104" i="11" s="1"/>
  <c r="X104" i="11" s="1"/>
  <c r="W105" i="11" s="1"/>
  <c r="V105" i="11" s="1"/>
  <c r="X105" i="11" s="1"/>
  <c r="W107" i="11"/>
  <c r="V107" i="11" s="1"/>
  <c r="X107" i="11" s="1"/>
  <c r="W108" i="11" s="1"/>
  <c r="V108" i="11" s="1"/>
  <c r="X108" i="11" s="1"/>
  <c r="W109" i="11" s="1"/>
  <c r="V109" i="11" s="1"/>
  <c r="X109" i="11" s="1"/>
  <c r="U60" i="11"/>
  <c r="W60" i="11" s="1"/>
  <c r="V61" i="11" s="1"/>
  <c r="U61" i="11" s="1"/>
  <c r="W61" i="11" s="1"/>
  <c r="V62" i="11" s="1"/>
  <c r="U62" i="11" s="1"/>
  <c r="W62" i="11" s="1"/>
  <c r="V63" i="11" s="1"/>
  <c r="U63" i="11" s="1"/>
  <c r="W63" i="11" s="1"/>
  <c r="X60" i="11"/>
  <c r="W91" i="11"/>
  <c r="V91" i="11" s="1"/>
  <c r="X91" i="11" s="1"/>
  <c r="W92" i="11" s="1"/>
  <c r="V92" i="11" s="1"/>
  <c r="X92" i="11" s="1"/>
  <c r="W93" i="11" s="1"/>
  <c r="V93" i="11" s="1"/>
  <c r="X93" i="11" s="1"/>
  <c r="R31" i="11"/>
  <c r="Q31" i="11"/>
  <c r="U48" i="11"/>
  <c r="W48" i="11" s="1"/>
  <c r="V49" i="11" s="1"/>
  <c r="U49" i="11" s="1"/>
  <c r="W49" i="11" s="1"/>
  <c r="V50" i="11" s="1"/>
  <c r="U50" i="11" s="1"/>
  <c r="W50" i="11" s="1"/>
  <c r="V51" i="11" s="1"/>
  <c r="U51" i="11" s="1"/>
  <c r="W51" i="11" s="1"/>
  <c r="X48" i="11"/>
  <c r="E73" i="11"/>
  <c r="E63" i="11"/>
  <c r="E60" i="11"/>
  <c r="E106" i="11"/>
  <c r="I106" i="11" s="1" a="1"/>
  <c r="I106" i="11" s="1"/>
  <c r="E104" i="11"/>
  <c r="I104" i="11" s="1" a="1"/>
  <c r="I104" i="11" s="1"/>
  <c r="E102" i="11"/>
  <c r="I102" i="11" s="1" a="1"/>
  <c r="I102" i="11" s="1"/>
  <c r="E100" i="11"/>
  <c r="I100" i="11" s="1" a="1"/>
  <c r="I100" i="11" s="1"/>
  <c r="E98" i="11"/>
  <c r="I98" i="11" s="1" a="1"/>
  <c r="I98" i="11" s="1"/>
  <c r="E96" i="11"/>
  <c r="E94" i="11"/>
  <c r="E92" i="11"/>
  <c r="E90" i="11"/>
  <c r="E86" i="11"/>
  <c r="E72" i="11"/>
  <c r="E51" i="11"/>
  <c r="E48" i="11"/>
  <c r="E110" i="11"/>
  <c r="I110" i="11" s="1" a="1"/>
  <c r="I110" i="11" s="1"/>
  <c r="E108" i="11"/>
  <c r="I108" i="11" s="1" a="1"/>
  <c r="I108" i="11" s="1"/>
  <c r="E67" i="11"/>
  <c r="E85" i="11"/>
  <c r="E113" i="11"/>
  <c r="I113" i="11" s="1" a="1"/>
  <c r="I113" i="11" s="1"/>
  <c r="E55" i="11"/>
  <c r="E84" i="11"/>
  <c r="E62" i="11"/>
  <c r="E81" i="11"/>
  <c r="E69" i="11"/>
  <c r="E66" i="11"/>
  <c r="E50" i="11"/>
  <c r="E80" i="11"/>
  <c r="E112" i="11"/>
  <c r="I112" i="11" s="1" a="1"/>
  <c r="I112" i="11" s="1"/>
  <c r="E57" i="11"/>
  <c r="E54" i="11"/>
  <c r="E105" i="11"/>
  <c r="I105" i="11" s="1" a="1"/>
  <c r="I105" i="11" s="1"/>
  <c r="E103" i="11"/>
  <c r="I103" i="11" s="1" a="1"/>
  <c r="I103" i="11" s="1"/>
  <c r="E101" i="11"/>
  <c r="I101" i="11" s="1" a="1"/>
  <c r="I101" i="11" s="1"/>
  <c r="E99" i="11"/>
  <c r="I99" i="11" s="1" a="1"/>
  <c r="I99" i="11" s="1"/>
  <c r="E97" i="11"/>
  <c r="E95" i="11"/>
  <c r="E93" i="11"/>
  <c r="E91" i="11"/>
  <c r="E79" i="11"/>
  <c r="E109" i="11"/>
  <c r="I109" i="11" s="1" a="1"/>
  <c r="I109" i="11" s="1"/>
  <c r="E107" i="11"/>
  <c r="I107" i="11" s="1" a="1"/>
  <c r="I107" i="11" s="1"/>
  <c r="E78" i="11"/>
  <c r="E61" i="11"/>
  <c r="E111" i="11"/>
  <c r="I111" i="11" s="1" a="1"/>
  <c r="I111" i="11" s="1"/>
  <c r="E74" i="11"/>
  <c r="E56" i="11"/>
  <c r="E68" i="11"/>
  <c r="E75" i="11"/>
  <c r="E87" i="11"/>
  <c r="E49" i="11"/>
  <c r="U89" i="11"/>
  <c r="U88" i="11"/>
  <c r="U87" i="11"/>
  <c r="V86" i="11"/>
  <c r="X86" i="11" s="1"/>
  <c r="X63" i="11"/>
  <c r="T26" i="11"/>
  <c r="T27" i="11"/>
  <c r="U25" i="11"/>
  <c r="W25" i="11" s="1"/>
  <c r="T28" i="11"/>
  <c r="W99" i="11"/>
  <c r="V99" i="11" s="1"/>
  <c r="X99" i="11" s="1"/>
  <c r="W100" i="11" s="1"/>
  <c r="V100" i="11" s="1"/>
  <c r="X100" i="11" s="1"/>
  <c r="W101" i="11" s="1"/>
  <c r="V101" i="11" s="1"/>
  <c r="X101" i="11" s="1"/>
  <c r="X57" i="11"/>
  <c r="H60" i="11"/>
  <c r="X54" i="11"/>
  <c r="U54" i="11"/>
  <c r="W54" i="11" s="1"/>
  <c r="W95" i="11"/>
  <c r="V95" i="11" s="1"/>
  <c r="X95" i="11" s="1"/>
  <c r="W96" i="11" s="1"/>
  <c r="V96" i="11" s="1"/>
  <c r="X96" i="11" s="1"/>
  <c r="W97" i="11" s="1"/>
  <c r="V97" i="11" s="1"/>
  <c r="X97" i="11" s="1"/>
  <c r="X50" i="11"/>
  <c r="T30" i="11"/>
  <c r="T31" i="11"/>
  <c r="U29" i="11"/>
  <c r="W29" i="11" s="1"/>
  <c r="T32" i="11"/>
  <c r="U36" i="11"/>
  <c r="W36" i="11" s="1"/>
  <c r="X36" i="11"/>
  <c r="X34" i="11" s="1"/>
  <c r="X45" i="11"/>
  <c r="X61" i="11"/>
  <c r="X69" i="11"/>
  <c r="X66" i="11"/>
  <c r="U66" i="11"/>
  <c r="W66" i="11" s="1"/>
  <c r="X68" i="11"/>
  <c r="X43" i="11"/>
  <c r="V43" i="11"/>
  <c r="U43" i="11" s="1"/>
  <c r="W43" i="11" s="1"/>
  <c r="X49" i="11"/>
  <c r="R26" i="11"/>
  <c r="Q26" i="11"/>
  <c r="S18" i="11"/>
  <c r="S19" i="11"/>
  <c r="T17" i="11"/>
  <c r="R17" i="11"/>
  <c r="Q17" i="11"/>
  <c r="S20" i="11"/>
  <c r="I92" i="11" a="1"/>
  <c r="I95" i="11" a="1"/>
  <c r="I91" i="11" a="1"/>
  <c r="I94" i="11" a="1"/>
  <c r="I96" i="11" a="1"/>
  <c r="I97" i="11" a="1"/>
  <c r="I90" i="11" a="1"/>
  <c r="I93" i="11" a="1"/>
  <c r="V19" i="12" l="1"/>
  <c r="U19" i="12" s="1"/>
  <c r="W19" i="12" s="1"/>
  <c r="V20" i="12" s="1"/>
  <c r="U20" i="12" s="1"/>
  <c r="W20" i="12" s="1"/>
  <c r="V28" i="12"/>
  <c r="U28" i="12" s="1"/>
  <c r="W28" i="12" s="1"/>
  <c r="W91" i="12"/>
  <c r="V91" i="12" s="1"/>
  <c r="X91" i="12" s="1"/>
  <c r="W92" i="12" s="1"/>
  <c r="V92" i="12" s="1"/>
  <c r="X92" i="12" s="1"/>
  <c r="W93" i="12" s="1"/>
  <c r="V93" i="12" s="1"/>
  <c r="X93" i="12" s="1"/>
  <c r="I93" i="11"/>
  <c r="I91" i="11"/>
  <c r="I95" i="11"/>
  <c r="I90" i="11"/>
  <c r="I97" i="11"/>
  <c r="I92" i="11"/>
  <c r="I94" i="11"/>
  <c r="I96" i="11"/>
  <c r="H48" i="12"/>
  <c r="W88" i="12"/>
  <c r="V88" i="12" s="1"/>
  <c r="X88" i="12" s="1"/>
  <c r="W89" i="12" s="1"/>
  <c r="V89" i="12" s="1"/>
  <c r="X89" i="12" s="1"/>
  <c r="H93" i="12" s="1"/>
  <c r="S13" i="12"/>
  <c r="X58" i="12"/>
  <c r="H66" i="12"/>
  <c r="H81" i="12" s="1"/>
  <c r="H84" i="12" s="1"/>
  <c r="AC2" i="12"/>
  <c r="G106" i="12"/>
  <c r="F106" i="12"/>
  <c r="I106" i="12" a="1"/>
  <c r="I106" i="12" s="1"/>
  <c r="H106" i="12"/>
  <c r="G91" i="12"/>
  <c r="H91" i="12"/>
  <c r="F91" i="12"/>
  <c r="I113" i="12" a="1"/>
  <c r="I113" i="12" s="1"/>
  <c r="H113" i="12"/>
  <c r="G113" i="12"/>
  <c r="F113" i="12"/>
  <c r="V67" i="12"/>
  <c r="U67" i="12" s="1"/>
  <c r="W67" i="12" s="1"/>
  <c r="V68" i="12" s="1"/>
  <c r="U68" i="12" s="1"/>
  <c r="W68" i="12" s="1"/>
  <c r="V69" i="12" s="1"/>
  <c r="U69" i="12" s="1"/>
  <c r="W69" i="12" s="1"/>
  <c r="G93" i="12"/>
  <c r="F93" i="12"/>
  <c r="X64" i="12"/>
  <c r="G96" i="12"/>
  <c r="F96" i="12"/>
  <c r="H96" i="12"/>
  <c r="G98" i="12"/>
  <c r="F98" i="12"/>
  <c r="H98" i="12"/>
  <c r="I98" i="12" a="1"/>
  <c r="I98" i="12" s="1"/>
  <c r="G100" i="12"/>
  <c r="F100" i="12"/>
  <c r="I100" i="12" a="1"/>
  <c r="I100" i="12" s="1"/>
  <c r="H100" i="12"/>
  <c r="G102" i="12"/>
  <c r="F102" i="12"/>
  <c r="I102" i="12" a="1"/>
  <c r="I102" i="12" s="1"/>
  <c r="H102" i="12"/>
  <c r="H107" i="12"/>
  <c r="I107" i="12" a="1"/>
  <c r="I107" i="12" s="1"/>
  <c r="G107" i="12"/>
  <c r="F107" i="12"/>
  <c r="G99" i="12"/>
  <c r="I99" i="12" a="1"/>
  <c r="I99" i="12" s="1"/>
  <c r="H99" i="12"/>
  <c r="F99" i="12"/>
  <c r="G101" i="12"/>
  <c r="I101" i="12" a="1"/>
  <c r="I101" i="12" s="1"/>
  <c r="H101" i="12"/>
  <c r="F101" i="12"/>
  <c r="H108" i="12"/>
  <c r="G108" i="12"/>
  <c r="F108" i="12"/>
  <c r="I108" i="12" a="1"/>
  <c r="I108" i="12" s="1"/>
  <c r="G90" i="12"/>
  <c r="F90" i="12"/>
  <c r="H90" i="12"/>
  <c r="V62" i="12"/>
  <c r="U62" i="12" s="1"/>
  <c r="W62" i="12" s="1"/>
  <c r="V63" i="12" s="1"/>
  <c r="U63" i="12" s="1"/>
  <c r="W63" i="12" s="1"/>
  <c r="H111" i="12"/>
  <c r="I111" i="12" a="1"/>
  <c r="I111" i="12" s="1"/>
  <c r="G111" i="12"/>
  <c r="F111" i="12"/>
  <c r="G104" i="12"/>
  <c r="F104" i="12"/>
  <c r="I104" i="12" a="1"/>
  <c r="I104" i="12" s="1"/>
  <c r="H104" i="12"/>
  <c r="G97" i="12"/>
  <c r="H97" i="12"/>
  <c r="F97" i="12"/>
  <c r="H109" i="12"/>
  <c r="I109" i="12" a="1"/>
  <c r="I109" i="12" s="1"/>
  <c r="G109" i="12"/>
  <c r="F109" i="12"/>
  <c r="H95" i="12"/>
  <c r="G95" i="12"/>
  <c r="F95" i="12"/>
  <c r="G103" i="12"/>
  <c r="I103" i="12" a="1"/>
  <c r="I103" i="12" s="1"/>
  <c r="H103" i="12"/>
  <c r="F103" i="12"/>
  <c r="H110" i="12"/>
  <c r="G110" i="12"/>
  <c r="F110" i="12"/>
  <c r="I110" i="12" a="1"/>
  <c r="I110" i="12" s="1"/>
  <c r="H105" i="12"/>
  <c r="G105" i="12"/>
  <c r="I105" i="12" a="1"/>
  <c r="I105" i="12" s="1"/>
  <c r="F105" i="12"/>
  <c r="H61" i="12"/>
  <c r="V44" i="12"/>
  <c r="U44" i="12" s="1"/>
  <c r="W44" i="12" s="1"/>
  <c r="G94" i="12"/>
  <c r="F94" i="12"/>
  <c r="H94" i="12"/>
  <c r="S16" i="12"/>
  <c r="R13" i="12"/>
  <c r="T13" i="12"/>
  <c r="S15" i="12"/>
  <c r="Q13" i="12"/>
  <c r="S14" i="12"/>
  <c r="V49" i="12"/>
  <c r="U49" i="12" s="1"/>
  <c r="W49" i="12" s="1"/>
  <c r="V50" i="12" s="1"/>
  <c r="U50" i="12" s="1"/>
  <c r="W50" i="12" s="1"/>
  <c r="V51" i="12" s="1"/>
  <c r="U51" i="12" s="1"/>
  <c r="W51" i="12" s="1"/>
  <c r="X46" i="12"/>
  <c r="V57" i="12"/>
  <c r="U57" i="12" s="1"/>
  <c r="W57" i="12" s="1"/>
  <c r="G92" i="12"/>
  <c r="F92" i="12"/>
  <c r="H92" i="12"/>
  <c r="H55" i="12"/>
  <c r="V38" i="12"/>
  <c r="U38" i="12" s="1"/>
  <c r="W38" i="12" s="1"/>
  <c r="F112" i="12"/>
  <c r="I112" i="12" a="1"/>
  <c r="I112" i="12" s="1"/>
  <c r="H112" i="12"/>
  <c r="G112" i="12"/>
  <c r="H49" i="12"/>
  <c r="S13" i="11"/>
  <c r="T13" i="11" s="1"/>
  <c r="T15" i="11" s="1"/>
  <c r="E22" i="11"/>
  <c r="E31" i="11"/>
  <c r="E32" i="11"/>
  <c r="E34" i="11"/>
  <c r="E35" i="11"/>
  <c r="E27" i="11"/>
  <c r="E23" i="11"/>
  <c r="E28" i="11"/>
  <c r="E24" i="11"/>
  <c r="E29" i="11"/>
  <c r="E25" i="11"/>
  <c r="E30" i="11"/>
  <c r="E26" i="11"/>
  <c r="E33" i="11"/>
  <c r="E42" i="11"/>
  <c r="E44" i="11"/>
  <c r="E36" i="11"/>
  <c r="E37" i="11"/>
  <c r="E38" i="11"/>
  <c r="E39" i="11"/>
  <c r="E40" i="11"/>
  <c r="E41" i="11"/>
  <c r="E43" i="11"/>
  <c r="E45" i="11"/>
  <c r="U21" i="11"/>
  <c r="W21" i="11" s="1"/>
  <c r="T22" i="11"/>
  <c r="T23" i="11"/>
  <c r="T24" i="11"/>
  <c r="Q23" i="11"/>
  <c r="R23" i="11"/>
  <c r="Q22" i="11"/>
  <c r="R22" i="11"/>
  <c r="R24" i="11"/>
  <c r="Q24" i="11"/>
  <c r="V30" i="11"/>
  <c r="U30" i="11" s="1"/>
  <c r="W30" i="11" s="1"/>
  <c r="V31" i="11" s="1"/>
  <c r="U31" i="11" s="1"/>
  <c r="W31" i="11" s="1"/>
  <c r="V32" i="11" s="1"/>
  <c r="U32" i="11" s="1"/>
  <c r="W32" i="11" s="1"/>
  <c r="X40" i="11"/>
  <c r="X46" i="11"/>
  <c r="G93" i="11"/>
  <c r="F93" i="11"/>
  <c r="H95" i="11"/>
  <c r="G95" i="11"/>
  <c r="F95" i="11"/>
  <c r="H48" i="11"/>
  <c r="V55" i="11"/>
  <c r="U55" i="11" s="1"/>
  <c r="W55" i="11" s="1"/>
  <c r="H97" i="11"/>
  <c r="G97" i="11"/>
  <c r="F97" i="11"/>
  <c r="H110" i="11"/>
  <c r="G110" i="11"/>
  <c r="F110" i="11"/>
  <c r="X64" i="11"/>
  <c r="X52" i="11"/>
  <c r="W87" i="11"/>
  <c r="V87" i="11" s="1"/>
  <c r="X87" i="11" s="1"/>
  <c r="W88" i="11" s="1"/>
  <c r="V88" i="11" s="1"/>
  <c r="X88" i="11" s="1"/>
  <c r="H92" i="11" s="1"/>
  <c r="H99" i="11"/>
  <c r="G99" i="11"/>
  <c r="F99" i="11"/>
  <c r="R20" i="11"/>
  <c r="Q20" i="11"/>
  <c r="H101" i="11"/>
  <c r="G101" i="11"/>
  <c r="F101" i="11"/>
  <c r="H107" i="11"/>
  <c r="G107" i="11"/>
  <c r="F107" i="11"/>
  <c r="H109" i="11"/>
  <c r="G109" i="11"/>
  <c r="F109" i="11"/>
  <c r="H113" i="11"/>
  <c r="G113" i="11"/>
  <c r="F113" i="11"/>
  <c r="W46" i="11"/>
  <c r="H103" i="11"/>
  <c r="G103" i="11"/>
  <c r="F103" i="11"/>
  <c r="H105" i="11"/>
  <c r="G105" i="11"/>
  <c r="F105" i="11"/>
  <c r="H108" i="11"/>
  <c r="G108" i="11"/>
  <c r="F108" i="11"/>
  <c r="V67" i="11"/>
  <c r="U67" i="11" s="1"/>
  <c r="W67" i="11" s="1"/>
  <c r="V68" i="11" s="1"/>
  <c r="U68" i="11" s="1"/>
  <c r="W68" i="11" s="1"/>
  <c r="V69" i="11" s="1"/>
  <c r="U69" i="11" s="1"/>
  <c r="W69" i="11" s="1"/>
  <c r="G92" i="11"/>
  <c r="F92" i="11"/>
  <c r="X58" i="11"/>
  <c r="H54" i="11"/>
  <c r="V37" i="11"/>
  <c r="U37" i="11" s="1"/>
  <c r="W37" i="11" s="1"/>
  <c r="G94" i="11"/>
  <c r="F94" i="11"/>
  <c r="H94" i="11"/>
  <c r="W58" i="11"/>
  <c r="V44" i="11"/>
  <c r="U44" i="11" s="1"/>
  <c r="W44" i="11" s="1"/>
  <c r="H61" i="11"/>
  <c r="G90" i="11"/>
  <c r="F90" i="11"/>
  <c r="H90" i="11"/>
  <c r="R18" i="11"/>
  <c r="Q18" i="11"/>
  <c r="H112" i="11"/>
  <c r="G112" i="11"/>
  <c r="F112" i="11"/>
  <c r="G96" i="11"/>
  <c r="F96" i="11"/>
  <c r="H96" i="11"/>
  <c r="G106" i="11"/>
  <c r="F106" i="11"/>
  <c r="H106" i="11"/>
  <c r="G91" i="11"/>
  <c r="F91" i="11"/>
  <c r="T18" i="11"/>
  <c r="U17" i="11"/>
  <c r="W17" i="11" s="1"/>
  <c r="T19" i="11"/>
  <c r="T20" i="11"/>
  <c r="R19" i="11"/>
  <c r="Q19" i="11"/>
  <c r="G98" i="11"/>
  <c r="F98" i="11"/>
  <c r="H98" i="11"/>
  <c r="H111" i="11"/>
  <c r="G111" i="11"/>
  <c r="F111" i="11"/>
  <c r="G102" i="11"/>
  <c r="F102" i="11"/>
  <c r="H102" i="11"/>
  <c r="G100" i="11"/>
  <c r="F100" i="11"/>
  <c r="H100" i="11"/>
  <c r="V26" i="11"/>
  <c r="U26" i="11" s="1"/>
  <c r="W26" i="11" s="1"/>
  <c r="V27" i="11" s="1"/>
  <c r="U27" i="11" s="1"/>
  <c r="W27" i="11" s="1"/>
  <c r="V28" i="11" s="1"/>
  <c r="U28" i="11" s="1"/>
  <c r="W28" i="11" s="1"/>
  <c r="G104" i="11"/>
  <c r="F104" i="11"/>
  <c r="H104" i="11"/>
  <c r="I91" i="12" a="1"/>
  <c r="I96" i="12" a="1"/>
  <c r="I92" i="12" a="1"/>
  <c r="I93" i="12" a="1"/>
  <c r="I90" i="12" a="1"/>
  <c r="I94" i="12" a="1"/>
  <c r="I97" i="12" a="1"/>
  <c r="I95" i="12" a="1"/>
  <c r="H75" i="12" l="1"/>
  <c r="I95" i="12"/>
  <c r="I97" i="12"/>
  <c r="I94" i="12"/>
  <c r="I96" i="12"/>
  <c r="S9" i="12"/>
  <c r="Q9" i="12" s="1"/>
  <c r="E34" i="12"/>
  <c r="E24" i="12"/>
  <c r="E45" i="12"/>
  <c r="E39" i="12"/>
  <c r="F39" i="12" s="1"/>
  <c r="G39" i="12" s="1"/>
  <c r="E29" i="12"/>
  <c r="F29" i="12" s="1"/>
  <c r="G29" i="12" s="1"/>
  <c r="C29" i="12" s="1"/>
  <c r="E33" i="12"/>
  <c r="F33" i="12" s="1"/>
  <c r="G33" i="12" s="1"/>
  <c r="E44" i="12"/>
  <c r="F44" i="12" s="1"/>
  <c r="G44" i="12" s="1"/>
  <c r="E38" i="12"/>
  <c r="E27" i="12"/>
  <c r="E23" i="12"/>
  <c r="F23" i="12" s="1"/>
  <c r="E43" i="12"/>
  <c r="F43" i="12" s="1"/>
  <c r="G43" i="12" s="1"/>
  <c r="E32" i="12"/>
  <c r="F32" i="12" s="1"/>
  <c r="G32" i="12" s="1"/>
  <c r="E28" i="12"/>
  <c r="F28" i="12" s="1"/>
  <c r="E37" i="12"/>
  <c r="F37" i="12" s="1"/>
  <c r="G37" i="12" s="1"/>
  <c r="E42" i="12"/>
  <c r="E22" i="12"/>
  <c r="E36" i="12"/>
  <c r="E41" i="12"/>
  <c r="F41" i="12" s="1"/>
  <c r="G41" i="12" s="1"/>
  <c r="E26" i="12"/>
  <c r="F26" i="12" s="1"/>
  <c r="E31" i="12"/>
  <c r="F31" i="12" s="1"/>
  <c r="G31" i="12" s="1"/>
  <c r="E35" i="12"/>
  <c r="F35" i="12" s="1"/>
  <c r="G35" i="12" s="1"/>
  <c r="E40" i="12"/>
  <c r="F40" i="12" s="1"/>
  <c r="G40" i="12" s="1"/>
  <c r="E30" i="12"/>
  <c r="E25" i="12"/>
  <c r="F25" i="12" s="1"/>
  <c r="F22" i="12"/>
  <c r="F24" i="12"/>
  <c r="H50" i="12"/>
  <c r="H68" i="12" s="1"/>
  <c r="W46" i="12"/>
  <c r="H67" i="12"/>
  <c r="H74" i="12" s="1"/>
  <c r="W58" i="12"/>
  <c r="H66" i="11"/>
  <c r="H81" i="11" s="1"/>
  <c r="H84" i="11" s="1"/>
  <c r="I92" i="12"/>
  <c r="I91" i="12"/>
  <c r="I90" i="12"/>
  <c r="I93" i="12"/>
  <c r="T16" i="12"/>
  <c r="U13" i="12"/>
  <c r="W13" i="12" s="1"/>
  <c r="T15" i="12"/>
  <c r="T14" i="12"/>
  <c r="R16" i="12"/>
  <c r="Q16" i="12"/>
  <c r="W64" i="12"/>
  <c r="Q15" i="12"/>
  <c r="R15" i="12"/>
  <c r="V39" i="12"/>
  <c r="U39" i="12" s="1"/>
  <c r="W39" i="12" s="1"/>
  <c r="H57" i="12" s="1"/>
  <c r="H56" i="12"/>
  <c r="H51" i="12"/>
  <c r="W52" i="12"/>
  <c r="H62" i="12"/>
  <c r="V45" i="12"/>
  <c r="U45" i="12" s="1"/>
  <c r="W45" i="12" s="1"/>
  <c r="W40" i="12"/>
  <c r="Q14" i="12"/>
  <c r="R14" i="12"/>
  <c r="H91" i="11"/>
  <c r="S16" i="11"/>
  <c r="R13" i="11"/>
  <c r="T16" i="11"/>
  <c r="U13" i="11"/>
  <c r="W13" i="11" s="1"/>
  <c r="T14" i="11"/>
  <c r="Q13" i="11"/>
  <c r="S14" i="11"/>
  <c r="R14" i="11" s="1"/>
  <c r="S15" i="11"/>
  <c r="R15" i="11" s="1"/>
  <c r="V22" i="11"/>
  <c r="U22" i="11" s="1"/>
  <c r="W22" i="11" s="1"/>
  <c r="V23" i="11" s="1"/>
  <c r="U23" i="11" s="1"/>
  <c r="W23" i="11" s="1"/>
  <c r="W64" i="11"/>
  <c r="H55" i="11"/>
  <c r="V38" i="11"/>
  <c r="U38" i="11" s="1"/>
  <c r="W38" i="11" s="1"/>
  <c r="H62" i="11"/>
  <c r="V45" i="11"/>
  <c r="U45" i="11" s="1"/>
  <c r="W45" i="11" s="1"/>
  <c r="H49" i="11"/>
  <c r="V56" i="11"/>
  <c r="U56" i="11" s="1"/>
  <c r="W56" i="11" s="1"/>
  <c r="V18" i="11"/>
  <c r="U18" i="11" s="1"/>
  <c r="W18" i="11" s="1"/>
  <c r="W89" i="11"/>
  <c r="V89" i="11" s="1"/>
  <c r="X89" i="11" s="1"/>
  <c r="H93" i="11" s="1"/>
  <c r="F27" i="12" l="1"/>
  <c r="G27" i="12"/>
  <c r="F38" i="12"/>
  <c r="G38" i="12" s="1"/>
  <c r="F30" i="12"/>
  <c r="J30" i="12" s="1"/>
  <c r="G30" i="12"/>
  <c r="F34" i="12"/>
  <c r="J34" i="12" s="1"/>
  <c r="G34" i="12"/>
  <c r="G28" i="12"/>
  <c r="Q14" i="11"/>
  <c r="H80" i="12"/>
  <c r="C27" i="12"/>
  <c r="B28" i="12"/>
  <c r="B29" i="12"/>
  <c r="K29" i="12" s="1"/>
  <c r="C28" i="12"/>
  <c r="H41" i="12"/>
  <c r="B41" i="12"/>
  <c r="C41" i="12"/>
  <c r="F42" i="12"/>
  <c r="H42" i="12"/>
  <c r="H37" i="12"/>
  <c r="B37" i="12"/>
  <c r="C37" i="12"/>
  <c r="H32" i="12"/>
  <c r="C32" i="12"/>
  <c r="B32" i="12"/>
  <c r="V14" i="12"/>
  <c r="U14" i="12" s="1"/>
  <c r="W14" i="12" s="1"/>
  <c r="V15" i="12" s="1"/>
  <c r="U15" i="12" s="1"/>
  <c r="W15" i="12" s="1"/>
  <c r="H43" i="12"/>
  <c r="C43" i="12"/>
  <c r="B43" i="12"/>
  <c r="G26" i="12"/>
  <c r="C26" i="12" s="1"/>
  <c r="J26" i="12"/>
  <c r="G24" i="12"/>
  <c r="C24" i="12"/>
  <c r="B24" i="12"/>
  <c r="H38" i="12"/>
  <c r="B38" i="12"/>
  <c r="C38" i="12"/>
  <c r="G22" i="12"/>
  <c r="C22" i="12" s="1"/>
  <c r="J22" i="12"/>
  <c r="H44" i="12"/>
  <c r="B44" i="12"/>
  <c r="C44" i="12"/>
  <c r="H30" i="12"/>
  <c r="C30" i="12"/>
  <c r="B30" i="12"/>
  <c r="F36" i="12"/>
  <c r="I36" i="12" s="1"/>
  <c r="H36" i="12"/>
  <c r="G25" i="12"/>
  <c r="B25" i="12"/>
  <c r="C25" i="12"/>
  <c r="H33" i="12"/>
  <c r="B33" i="12"/>
  <c r="C33" i="12"/>
  <c r="G23" i="12"/>
  <c r="B23" i="12"/>
  <c r="C23" i="12"/>
  <c r="H39" i="12"/>
  <c r="C39" i="12"/>
  <c r="B39" i="12"/>
  <c r="F45" i="12"/>
  <c r="H45" i="12"/>
  <c r="H40" i="12"/>
  <c r="C40" i="12"/>
  <c r="B40" i="12"/>
  <c r="H35" i="12"/>
  <c r="B35" i="12"/>
  <c r="C35" i="12"/>
  <c r="H34" i="12"/>
  <c r="C34" i="12"/>
  <c r="B34" i="12"/>
  <c r="H31" i="12"/>
  <c r="C31" i="12"/>
  <c r="B31" i="12"/>
  <c r="S10" i="12"/>
  <c r="S11" i="12"/>
  <c r="R9" i="12"/>
  <c r="S12" i="12"/>
  <c r="T9" i="12"/>
  <c r="H85" i="12"/>
  <c r="H75" i="11"/>
  <c r="H67" i="11"/>
  <c r="H80" i="11" s="1"/>
  <c r="H85" i="11" s="1"/>
  <c r="H69" i="12"/>
  <c r="H63" i="12"/>
  <c r="I31" i="12"/>
  <c r="I26" i="12"/>
  <c r="H26" i="12" s="1"/>
  <c r="H79" i="12"/>
  <c r="H73" i="12"/>
  <c r="W34" i="12"/>
  <c r="Q15" i="11"/>
  <c r="Q16" i="11"/>
  <c r="R16" i="11"/>
  <c r="V14" i="11"/>
  <c r="U14" i="11" s="1"/>
  <c r="W14" i="11" s="1"/>
  <c r="V15" i="11" s="1"/>
  <c r="U15" i="11" s="1"/>
  <c r="W15" i="11" s="1"/>
  <c r="V16" i="11" s="1"/>
  <c r="U16" i="11" s="1"/>
  <c r="W16" i="11" s="1"/>
  <c r="V19" i="11"/>
  <c r="U19" i="11" s="1"/>
  <c r="W19" i="11" s="1"/>
  <c r="V24" i="11"/>
  <c r="U24" i="11" s="1"/>
  <c r="W24" i="11" s="1"/>
  <c r="H63" i="11"/>
  <c r="H56" i="11"/>
  <c r="V39" i="11"/>
  <c r="U39" i="11" s="1"/>
  <c r="W39" i="11" s="1"/>
  <c r="W34" i="11" s="1"/>
  <c r="H50" i="11"/>
  <c r="V57" i="11"/>
  <c r="U57" i="11" s="1"/>
  <c r="W57" i="11" s="1"/>
  <c r="W40" i="11"/>
  <c r="J38" i="12" l="1"/>
  <c r="B27" i="12"/>
  <c r="K27" i="12" s="1"/>
  <c r="K41" i="12"/>
  <c r="B22" i="12"/>
  <c r="K22" i="12" s="1"/>
  <c r="K28" i="12"/>
  <c r="K23" i="12"/>
  <c r="K33" i="12"/>
  <c r="K37" i="12"/>
  <c r="K34" i="12"/>
  <c r="K35" i="12"/>
  <c r="H74" i="11"/>
  <c r="K32" i="12"/>
  <c r="V16" i="12"/>
  <c r="U16" i="12" s="1"/>
  <c r="W16" i="12" s="1"/>
  <c r="I40" i="12"/>
  <c r="K43" i="12"/>
  <c r="K30" i="12"/>
  <c r="K40" i="12"/>
  <c r="K44" i="12"/>
  <c r="I32" i="12"/>
  <c r="K38" i="12"/>
  <c r="I33" i="12"/>
  <c r="K31" i="12"/>
  <c r="K39" i="12"/>
  <c r="I34" i="12"/>
  <c r="I27" i="12"/>
  <c r="H27" i="12" s="1"/>
  <c r="B26" i="12"/>
  <c r="K26" i="12" s="1"/>
  <c r="G36" i="12"/>
  <c r="C36" i="12" s="1"/>
  <c r="I35" i="12"/>
  <c r="I39" i="12"/>
  <c r="I28" i="12"/>
  <c r="H28" i="12" s="1"/>
  <c r="I44" i="12"/>
  <c r="U9" i="12"/>
  <c r="W9" i="12" s="1"/>
  <c r="I22" i="12" s="1"/>
  <c r="T10" i="12"/>
  <c r="T11" i="12"/>
  <c r="T12" i="12"/>
  <c r="I41" i="12"/>
  <c r="G45" i="12"/>
  <c r="B45" i="12" s="1"/>
  <c r="R11" i="12"/>
  <c r="Q11" i="12"/>
  <c r="I45" i="12" s="1"/>
  <c r="R12" i="12"/>
  <c r="Q12" i="12"/>
  <c r="R10" i="12"/>
  <c r="Q10" i="12"/>
  <c r="I30" i="12" s="1"/>
  <c r="I29" i="12"/>
  <c r="H29" i="12" s="1"/>
  <c r="G42" i="12"/>
  <c r="C42" i="12" s="1"/>
  <c r="J42" i="12"/>
  <c r="I38" i="12"/>
  <c r="I42" i="12"/>
  <c r="I43" i="12"/>
  <c r="I37" i="12"/>
  <c r="H68" i="11"/>
  <c r="H79" i="11" s="1"/>
  <c r="H86" i="11" s="1"/>
  <c r="K24" i="12"/>
  <c r="H86" i="12"/>
  <c r="H72" i="12"/>
  <c r="H78" i="12"/>
  <c r="V20" i="11"/>
  <c r="U20" i="11" s="1"/>
  <c r="W20" i="11" s="1"/>
  <c r="H51" i="11"/>
  <c r="W52" i="11"/>
  <c r="H57" i="11"/>
  <c r="H22" i="12" l="1"/>
  <c r="C45" i="12"/>
  <c r="K45" i="12" s="1"/>
  <c r="B42" i="12"/>
  <c r="K42" i="12" s="1"/>
  <c r="V10" i="12"/>
  <c r="U10" i="12" s="1"/>
  <c r="W10" i="12" s="1"/>
  <c r="B36" i="12"/>
  <c r="K36" i="12" s="1"/>
  <c r="H73" i="11"/>
  <c r="H69" i="11"/>
  <c r="H72" i="11" s="1"/>
  <c r="K25" i="12"/>
  <c r="H87" i="12"/>
  <c r="I23" i="12" l="1"/>
  <c r="H23" i="12" s="1"/>
  <c r="V11" i="12"/>
  <c r="U11" i="12" s="1"/>
  <c r="W11" i="12" s="1"/>
  <c r="H78" i="11"/>
  <c r="H87" i="11" s="1"/>
  <c r="V12" i="12" l="1"/>
  <c r="U12" i="12" s="1"/>
  <c r="W12" i="12" s="1"/>
  <c r="I25" i="12" s="1"/>
  <c r="H25" i="12" s="1"/>
  <c r="I24" i="12"/>
  <c r="H24" i="12" s="1"/>
  <c r="S9" i="11"/>
  <c r="R9" i="11" s="1"/>
  <c r="S10" i="11" l="1"/>
  <c r="T9" i="11"/>
  <c r="S12" i="11"/>
  <c r="S11" i="11"/>
  <c r="Q9" i="11"/>
  <c r="Q11" i="11" l="1"/>
  <c r="R11" i="11"/>
  <c r="T12" i="11"/>
  <c r="U9" i="11"/>
  <c r="W9" i="11" s="1"/>
  <c r="T10" i="11"/>
  <c r="T11" i="11"/>
  <c r="R10" i="11"/>
  <c r="Q10" i="11"/>
  <c r="R12" i="11"/>
  <c r="Q12" i="11"/>
  <c r="V10" i="11" l="1"/>
  <c r="U10" i="11" s="1"/>
  <c r="W10" i="11" s="1"/>
  <c r="V11" i="11" l="1"/>
  <c r="U11" i="11" s="1"/>
  <c r="W11" i="11" s="1"/>
  <c r="V12" i="11" l="1"/>
  <c r="U12" i="11" s="1"/>
  <c r="W12" i="11" s="1"/>
  <c r="H35" i="11"/>
  <c r="H34" i="11"/>
  <c r="H36" i="11"/>
  <c r="H37" i="11"/>
  <c r="H42" i="11"/>
  <c r="H44" i="11"/>
  <c r="H45" i="11"/>
  <c r="H43" i="11"/>
  <c r="H40" i="11"/>
  <c r="H33" i="11" l="1"/>
  <c r="H31" i="11"/>
  <c r="H32" i="11"/>
  <c r="H38" i="11"/>
  <c r="H41" i="11"/>
  <c r="H30" i="11"/>
  <c r="H39" i="11"/>
  <c r="F35" i="11" l="1"/>
  <c r="G35" i="11" s="1"/>
  <c r="I35" i="11" l="1"/>
  <c r="C35" i="11"/>
  <c r="B35" i="11"/>
  <c r="K35" i="11" l="1"/>
  <c r="F38" i="11"/>
  <c r="F32" i="11"/>
  <c r="F30" i="11"/>
  <c r="F39" i="11"/>
  <c r="I39" i="11" l="1"/>
  <c r="G39" i="11"/>
  <c r="B39" i="11" s="1"/>
  <c r="G32" i="11"/>
  <c r="I32" i="11" s="1"/>
  <c r="G30" i="11"/>
  <c r="C30" i="11" s="1"/>
  <c r="J30" i="11"/>
  <c r="I30" i="11"/>
  <c r="I38" i="11"/>
  <c r="J38" i="11"/>
  <c r="G38" i="11"/>
  <c r="B38" i="11" s="1"/>
  <c r="B30" i="11" l="1"/>
  <c r="K30" i="11" s="1"/>
  <c r="C39" i="11"/>
  <c r="K39" i="11" s="1"/>
  <c r="C32" i="11"/>
  <c r="C38" i="11"/>
  <c r="K38" i="11" s="1"/>
  <c r="B32" i="11"/>
  <c r="F43" i="11"/>
  <c r="K32" i="11" l="1"/>
  <c r="G43" i="11"/>
  <c r="B43" i="11" s="1"/>
  <c r="I43" i="11"/>
  <c r="C43" i="11" l="1"/>
  <c r="K43" i="11" s="1"/>
  <c r="F33" i="11" l="1"/>
  <c r="G33" i="11" l="1"/>
  <c r="B33" i="11" s="1"/>
  <c r="I33" i="11"/>
  <c r="F36" i="11"/>
  <c r="F31" i="11"/>
  <c r="C33" i="11" l="1"/>
  <c r="K33" i="11" s="1"/>
  <c r="G31" i="11"/>
  <c r="I31" i="11" s="1"/>
  <c r="I36" i="11"/>
  <c r="G36" i="11"/>
  <c r="B36" i="11" s="1"/>
  <c r="C36" i="11" l="1"/>
  <c r="K36" i="11" s="1"/>
  <c r="C31" i="11"/>
  <c r="B31" i="11"/>
  <c r="F26" i="11"/>
  <c r="I26" i="11" s="1"/>
  <c r="K31" i="11" l="1"/>
  <c r="J26" i="11"/>
  <c r="G26" i="11"/>
  <c r="C26" i="11" s="1"/>
  <c r="F41" i="11"/>
  <c r="F34" i="11"/>
  <c r="J34" i="11" s="1"/>
  <c r="B26" i="11" l="1"/>
  <c r="K26" i="11" s="1"/>
  <c r="H26" i="11" s="1"/>
  <c r="G41" i="11"/>
  <c r="I34" i="11"/>
  <c r="G34" i="11"/>
  <c r="C34" i="11" s="1"/>
  <c r="B34" i="11" l="1"/>
  <c r="K34" i="11" s="1"/>
  <c r="I41" i="11"/>
  <c r="B41" i="11"/>
  <c r="C41" i="11"/>
  <c r="F40" i="11"/>
  <c r="I40" i="11" s="1"/>
  <c r="K41" i="11" l="1"/>
  <c r="G40" i="11"/>
  <c r="C40" i="11" s="1"/>
  <c r="F44" i="11"/>
  <c r="I44" i="11" s="1"/>
  <c r="G44" i="11" l="1"/>
  <c r="B44" i="11" s="1"/>
  <c r="B40" i="11"/>
  <c r="K40" i="11" s="1"/>
  <c r="C44" i="11" l="1"/>
  <c r="K44" i="11" s="1"/>
  <c r="F28" i="11"/>
  <c r="I28" i="11" s="1"/>
  <c r="G28" i="11" l="1"/>
  <c r="B28" i="11" s="1"/>
  <c r="F42" i="11"/>
  <c r="J42" i="11" s="1"/>
  <c r="F45" i="11"/>
  <c r="F22" i="11"/>
  <c r="G22" i="11" s="1"/>
  <c r="I42" i="11"/>
  <c r="J22" i="11" l="1"/>
  <c r="C28" i="11"/>
  <c r="K28" i="11" s="1"/>
  <c r="H28" i="11" s="1"/>
  <c r="G42" i="11"/>
  <c r="B42" i="11" s="1"/>
  <c r="G45" i="11"/>
  <c r="B45" i="11" s="1"/>
  <c r="I45" i="11"/>
  <c r="I22" i="11"/>
  <c r="C22" i="11"/>
  <c r="B22" i="11"/>
  <c r="F27" i="11"/>
  <c r="F24" i="11"/>
  <c r="C45" i="11" l="1"/>
  <c r="K45" i="11" s="1"/>
  <c r="K22" i="11"/>
  <c r="H22" i="11" s="1"/>
  <c r="I24" i="11"/>
  <c r="I27" i="11"/>
  <c r="G27" i="11"/>
  <c r="C27" i="11" s="1"/>
  <c r="G24" i="11"/>
  <c r="C24" i="11" s="1"/>
  <c r="B24" i="11"/>
  <c r="C42" i="11"/>
  <c r="K42" i="11" s="1"/>
  <c r="B27" i="11" l="1"/>
  <c r="K27" i="11" s="1"/>
  <c r="K24" i="11"/>
  <c r="H24" i="11" s="1"/>
  <c r="H27" i="11"/>
  <c r="F23" i="11"/>
  <c r="I23" i="11" s="1"/>
  <c r="F37" i="11"/>
  <c r="I37" i="11" s="1"/>
  <c r="F25" i="11"/>
  <c r="B25" i="11" s="1"/>
  <c r="F29" i="11"/>
  <c r="I29" i="11" s="1"/>
  <c r="G23" i="11" l="1"/>
  <c r="B23" i="11" s="1"/>
  <c r="G29" i="11"/>
  <c r="C29" i="11" s="1"/>
  <c r="G25" i="11"/>
  <c r="C25" i="11" s="1"/>
  <c r="K25" i="11" s="1"/>
  <c r="I25" i="11"/>
  <c r="G37" i="11"/>
  <c r="B37" i="11" s="1"/>
  <c r="C23" i="11"/>
  <c r="K23" i="11" s="1"/>
  <c r="H23" i="11" s="1"/>
  <c r="B29" i="11" l="1"/>
  <c r="K29" i="11" s="1"/>
  <c r="H29" i="11" s="1"/>
  <c r="C37" i="11"/>
  <c r="K37" i="11" s="1"/>
  <c r="H25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<sst xmlns="http://schemas.openxmlformats.org/spreadsheetml/2006/main" count="694" uniqueCount="116">
  <si>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</si>
  <si>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</si>
  <si>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</si>
  <si>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</si>
  <si>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</si>
  <si>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</si>
  <si>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</si>
  <si>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</si>
  <si>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quantity_quality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</si>
  <si>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</si>
  <si>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</si>
  <si>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</si>
  <si>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</si>
  <si>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</si>
  <si>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</si>
  <si>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</si>
  <si>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</si>
  <si>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</si>
  <si>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</si>
  <si>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</si>
  <si>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</si>
  <si>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</si>
  <si>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</si>
  <si>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</si>
  <si>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</si>
  <si>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</si>
  <si>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</si>
  <si>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</si>
  <si>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</si>
  <si>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</si>
  <si>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</si>
  <si>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</si>
  <si>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ind i ga (15M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</si>
  <si>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</si>
  <si>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</si>
  <si>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</si>
  <si>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</si>
  <si>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</si>
  <si>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</si>
  <si>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</si>
  <si>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</si>
  <si>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</si>
  <si>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</si>
  <si>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el ud af ga (15M målepunkter)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</si>
  <si>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</si>
  <si>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</si>
  <si>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</si>
  <si>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</si>
  <si>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</si>
  <si>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</si>
  <si>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</si>
  <si>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</si>
  <si>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</si>
  <si>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</si>
  <si>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</si>
  <si>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</si>
  <si>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</si>
  <si>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</si>
  <si>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</si>
  <si>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</si>
  <si>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</si>
  <si>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</si>
  <si>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</si>
  <si>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</si>
  <si>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</si>
  <si>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</si>
  <si>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</si>
  <si>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</si>
  <si>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</si>
  <si>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</si>
  <si>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</si>
  <si>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</si>
  <si>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</si>
  <si>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</si>
  <si>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</si>
  <si>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</si>
  <si>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</si>
  <si>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</si>
  <si>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</si>
  <si>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</si>
  <si>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</si>
  <si>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</si>
  <si>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</si>
  <si>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</si>
  <si>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</si>
  <si>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</si>
  <si>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</si>
  <si>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</si>
  <si>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from_grid_area</t>
  </si>
  <si>
    <t>ga_brp_es</t>
  </si>
  <si>
    <t>E17</t>
  </si>
  <si>
    <t>D01</t>
  </si>
  <si>
    <t>PT1H</t>
  </si>
  <si>
    <t>1000000000000</t>
  </si>
  <si>
    <t>1100000000000</t>
  </si>
  <si>
    <t>800</t>
  </si>
  <si>
    <t>801</t>
  </si>
  <si>
    <t>glmp</t>
  </si>
  <si>
    <t>200000000000000001</t>
  </si>
  <si>
    <t>E18</t>
  </si>
  <si>
    <t>E20</t>
  </si>
  <si>
    <t>skmp</t>
  </si>
  <si>
    <t>PT15M</t>
  </si>
  <si>
    <t>2000000000000</t>
  </si>
  <si>
    <t>2200000000000</t>
  </si>
  <si>
    <t>All energy suppliers</t>
  </si>
  <si>
    <t>production</t>
  </si>
  <si>
    <t>All balance responsibles</t>
  </si>
  <si>
    <t>settlement method/type</t>
  </si>
  <si>
    <t>180000015000001000</t>
  </si>
  <si>
    <t>170000015000001000</t>
  </si>
  <si>
    <t>200000000000000002</t>
  </si>
  <si>
    <t>200000000000000003</t>
  </si>
  <si>
    <t>802</t>
  </si>
  <si>
    <t>200000000000000004</t>
  </si>
  <si>
    <t>flex_consumption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</si>
</sst>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40"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6B29EF-70AE-467E-96EB-50A1E80B914E}" name="Tabel13423234" displayName="Tabel13423234" ref="C1:N19" totalsRowShown="0" headerRowDxfId="39" dataDxfId="38">
  <autoFilter ref="C1:N19" xr:uid="{3814BBFA-A2E3-4A77-AAB1-6B1FF8D878B1}"/>
  <tableColumns count="12">
    <tableColumn id="1" xr3:uid="{A3A06534-7F85-40F5-B8E0-0D771CE26CB5}" name="mp id" dataDxfId="37"/>
    <tableColumn id="2" xr3:uid="{841C703A-9BA0-4F69-BA09-B5E0A1D4A9C1}" name="type" dataDxfId="36"/>
    <tableColumn id="3" xr3:uid="{AFE6E367-93A7-424D-8D93-F817ED34D222}" name="settlement_method" dataDxfId="35"/>
    <tableColumn id="4" xr3:uid="{691722AC-D158-4971-AAB2-6AF96C757CEB}" name="quantity" dataDxfId="34"/>
    <tableColumn id="5" xr3:uid="{85B47343-83A6-4407-B902-1D3FE526DB72}" name="quantity_quality" dataDxfId="33"/>
    <tableColumn id="6" xr3:uid="{6C46362C-259F-4DCE-A8B9-391E13A84CD9}" name="resolution" dataDxfId="32"/>
    <tableColumn id="7" xr3:uid="{27981C7E-4437-4001-AFFE-47128CB7F264}" name="es_id" dataDxfId="31"/>
    <tableColumn id="8" xr3:uid="{F736B847-BB31-40A2-A96E-DAF983D0C06E}" name="brp_id" dataDxfId="30"/>
    <tableColumn id="9" xr3:uid="{231A9F6A-C295-450F-A6FF-2FE6CCF6550C}" name="note" dataDxfId="29"/>
    <tableColumn id="10" xr3:uid="{42550C07-9FA7-4910-805E-03835DA5C066}" name="ga_id" dataDxfId="28"/>
    <tableColumn id="11" xr3:uid="{EADAF768-2B18-4C46-BE1A-189EC2FC656F}" name="from_ga" dataDxfId="27"/>
    <tableColumn id="12" xr3:uid="{A6E66F61-8086-4341-A84F-A633C3D72FCC}" name="to_ga" dataDxfId="2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el1342323" displayName="Tabel1342323" ref="C1:N19" totalsRowShown="0" headerRowDxfId="25" dataDxfId="24">
  <autoFilter ref="C1:N19" xr:uid="{3814BBFA-A2E3-4A77-AAB1-6B1FF8D878B1}"/>
  <tableColumns count="12">
    <tableColumn id="1" xr3:uid="{2B69152A-55A7-4D2B-873F-7F3FB6F402A7}" name="mp id" dataDxfId="23"/>
    <tableColumn id="2" xr3:uid="{DA52C48F-158B-4538-B6A3-FC8044FE7DD3}" name="type" dataDxfId="22"/>
    <tableColumn id="3" xr3:uid="{EF0BDE38-1365-4FBC-9631-C5B606CA358B}" name="settlement_method" dataDxfId="21"/>
    <tableColumn id="4" xr3:uid="{B562A6FB-BEDA-4307-A449-0F2082B19BCA}" name="quantity" dataDxfId="20"/>
    <tableColumn id="5" xr3:uid="{6DA11D4D-F616-4050-A443-FB1A76B379F3}" name="quantity_quality" dataDxfId="19"/>
    <tableColumn id="6" xr3:uid="{CD5BB13E-3854-4BA0-A8C2-7EB0351AE2FA}" name="resolution" dataDxfId="18"/>
    <tableColumn id="7" xr3:uid="{900BB657-25A0-4ECA-8FE6-633F1CAE8BD7}" name="es_id" dataDxfId="17"/>
    <tableColumn id="8" xr3:uid="{39625D12-7EE0-4C8F-8893-3E5902A7D039}" name="brp_id" dataDxfId="16"/>
    <tableColumn id="9" xr3:uid="{4035FFB8-60AE-4E2D-9CA8-C736A1B70CC6}" name="note" dataDxfId="15"/>
    <tableColumn id="10" xr3:uid="{F90F79EC-44B2-4BC6-8C23-82D64320CBD5}" name="ga_id" dataDxfId="14"/>
    <tableColumn id="11" xr3:uid="{CD53BB86-08E7-49A0-BC6E-CFD857B5FCB7}" name="from_ga" dataDxfId="13"/>
    <tableColumn id="12" xr3:uid="{75786D4A-9554-4C5E-B036-485331D1BE7F}" name="to_ga" dataDxfId="1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EE425-364F-4EAF-88A1-8147E091FABF}">
  <sheetPr>
    <tabColor rgb="FF92D050"/>
  </sheetPr>
  <dimension ref="A1:CL400"/>
  <sheetViews>
    <sheetView zoomScaleNormal="100" workbookViewId="0">
      <selection activeCell="B1" sqref="B1"/>
    </sheetView>
  </sheetViews>
  <sheetFormatPr defaultColWidth="8.7109375" defaultRowHeight="15" x14ac:dyDescent="0.25"/>
  <cols>
    <col min="1" max="1" width="16.42578125" style="1" bestFit="1" customWidth="1"/>
    <col min="2" max="2" width="36" style="1" bestFit="1" customWidth="1"/>
    <col min="3" max="3" width="27.140625" style="1" bestFit="1" customWidth="1"/>
    <col min="4" max="4" width="9.7109375" style="1" bestFit="1" customWidth="1"/>
    <col min="5" max="5" width="21.42578125" style="1" bestFit="1" customWidth="1"/>
    <col min="6" max="6" width="23.5703125" style="1" bestFit="1" customWidth="1"/>
    <col min="7" max="7" width="28.5703125" style="1" bestFit="1" customWidth="1"/>
    <col min="8" max="9" width="24.42578125" style="1" bestFit="1" customWidth="1"/>
    <col min="10" max="11" width="15.7109375" style="1" bestFit="1" customWidth="1"/>
    <col min="12" max="12" width="11" style="1" bestFit="1" customWidth="1"/>
    <col min="13" max="13" width="13.28515625" style="1" bestFit="1" customWidth="1"/>
    <col min="14" max="14" width="8.140625" style="1" bestFit="1" customWidth="1"/>
    <col min="15" max="15" width="11.7109375" style="1" hidden="1" customWidth="1"/>
    <col min="16" max="16" width="8.85546875" style="1" bestFit="1" customWidth="1"/>
    <col min="17" max="17" width="32.28515625" style="1" bestFit="1" customWidth="1"/>
    <col min="18" max="18" width="14.140625" style="1" bestFit="1" customWidth="1"/>
    <col min="19" max="19" width="33.42578125" style="1" bestFit="1" customWidth="1"/>
    <col min="20" max="20" width="15.7109375" style="1" bestFit="1" customWidth="1"/>
    <col min="21" max="22" width="13.28515625" style="1" bestFit="1" customWidth="1"/>
    <col min="23" max="23" width="11.7109375" style="1" bestFit="1" customWidth="1"/>
    <col min="24" max="24" width="12.42578125" style="1" bestFit="1" customWidth="1"/>
    <col min="25" max="25" width="4.140625" style="1" bestFit="1" customWidth="1"/>
    <col min="26" max="26" width="2.85546875" style="1" bestFit="1" customWidth="1"/>
    <col min="27" max="27" width="1.85546875" style="1" bestFit="1" customWidth="1"/>
    <col min="28" max="28" width="9.5703125" style="1" bestFit="1" customWidth="1"/>
    <col min="29" max="29" width="27.42578125" style="1" bestFit="1" customWidth="1"/>
    <col min="30" max="30" width="19.85546875" style="1" bestFit="1" customWidth="1"/>
    <col min="31" max="31" width="21.85546875" style="1" bestFit="1" customWidth="1"/>
    <col min="32" max="32" width="11.7109375" style="1" bestFit="1" customWidth="1"/>
    <col min="33" max="38" width="8.7109375" style="1" customWidth="1"/>
    <col min="39" max="16384" width="8.7109375" style="1"/>
  </cols>
  <sheetData>
    <row r="1" spans="1:90" ht="21" x14ac:dyDescent="0.35">
      <c r="A1" s="18" t="s">
        <v>23</v>
      </c>
      <c r="B1" s="38" t="s">
        <v>89</v>
      </c>
      <c r="C1" s="14" t="s">
        <v>7</v>
      </c>
      <c r="D1" s="14" t="s">
        <v>12</v>
      </c>
      <c r="E1" s="14" t="s">
        <v>13</v>
      </c>
      <c r="F1" s="14" t="s">
        <v>2</v>
      </c>
      <c r="G1" s="14" t="s">
        <v>8</v>
      </c>
      <c r="H1" s="14" t="s">
        <v>9</v>
      </c>
      <c r="I1" s="14" t="s">
        <v>10</v>
      </c>
      <c r="J1" s="14" t="s">
        <v>11</v>
      </c>
      <c r="K1" s="14" t="s">
        <v>14</v>
      </c>
      <c r="L1" s="14" t="s">
        <v>19</v>
      </c>
      <c r="M1" s="14" t="s">
        <v>82</v>
      </c>
      <c r="N1" s="14" t="s">
        <v>83</v>
      </c>
      <c r="P1" s="24"/>
      <c r="Q1" s="7" t="s">
        <v>36</v>
      </c>
      <c r="R1" s="9">
        <f>SUMIFS(Tabel13423234[quantity],Tabel13423234[settlement_method],"D01",Tabel13423234[resolution],"PT15M")</f>
        <v>0</v>
      </c>
      <c r="S1" s="24"/>
      <c r="T1" s="24"/>
      <c r="U1" s="24"/>
      <c r="V1" s="24"/>
      <c r="W1" s="24"/>
      <c r="X1" s="24"/>
      <c r="Y1" s="24"/>
      <c r="AA1" s="24"/>
      <c r="AB1" s="30" t="s">
        <v>20</v>
      </c>
      <c r="AC1" s="30" t="s">
        <v>17</v>
      </c>
      <c r="AD1" s="30" t="s">
        <v>18</v>
      </c>
      <c r="AE1" s="30" t="s">
        <v>108</v>
      </c>
      <c r="AF1" s="30" t="s">
        <v>84</v>
      </c>
      <c r="AG1" s="30"/>
      <c r="AH1" s="24"/>
    </row>
    <row r="2" spans="1:90" ht="21" x14ac:dyDescent="0.35">
      <c r="A2" s="18" t="s">
        <v>26</v>
      </c>
      <c r="B2" s="17" t="s">
        <v>115</v>
      </c>
      <c r="C2" s="10" t="s">
        <v>109</v>
      </c>
      <c r="D2" s="10" t="s">
        <v>99</v>
      </c>
      <c r="E2" s="11"/>
      <c r="F2" s="12"/>
      <c r="G2" s="10"/>
      <c r="H2" s="10" t="s">
        <v>102</v>
      </c>
      <c r="I2" s="10" t="s">
        <v>93</v>
      </c>
      <c r="J2" s="10" t="s">
        <v>94</v>
      </c>
      <c r="K2" s="10" t="s">
        <v>101</v>
      </c>
      <c r="L2" s="10" t="s">
        <v>95</v>
      </c>
      <c r="M2" s="29"/>
      <c r="N2" s="29"/>
      <c r="P2" s="24"/>
      <c r="Q2" s="7" t="s">
        <v>40</v>
      </c>
      <c r="R2" s="9">
        <f>SUMIFS(Tabel13423234[quantity],Tabel13423234[settlement_method],"E02",Tabel13423234[resolution],"PT15M")</f>
        <v>0</v>
      </c>
      <c r="S2" s="24"/>
      <c r="T2" s="24"/>
      <c r="U2" s="24"/>
      <c r="V2" s="24"/>
      <c r="W2" s="24"/>
      <c r="X2" s="24"/>
      <c r="Y2" s="24"/>
      <c r="AA2" s="24"/>
      <c r="AB2" s="27" t="str" cm="1">
        <f t="array" ref="AB2:AB3">_xlfn._xlws.SORT(_xlfn.UNIQUE(_xlfn._xlws.FILTER(Tabel13423234[ga_id],Tabel13423234[ga_id] &lt;&gt; "")))</f>
        <v>800</v>
      </c>
      <c r="AC2" s="27" t="str" cm="1">
        <f t="array" ref="AC2">_xlfn._xlws.SORT(_xlfn.UNIQUE(_xlfn._xlws.FILTER(AC28:AC40,AC28:AC40 &lt;&gt; "")))</f>
        <v>2000000000000</v>
      </c>
      <c r="AD2" s="27" t="str" cm="1">
        <f t="array" ref="AD2">_xlfn._xlws.SORT(_xlfn.UNIQUE(_xlfn._xlws.FILTER(AD28:AD40,AD28:AD40 &lt;&gt; "")))</f>
        <v>2200000000000</v>
      </c>
      <c r="AE2" s="27" t="str">
        <f>IF(B$2="production","E18",IF($B$2="flex_consumption","D01","E02"))</f>
        <v>D01</v>
      </c>
      <c r="AF2" s="27" t="str" cm="1">
        <f t="array" ref="AF2:AF4">_xlfn._xlws.SORT(_xlfn.UNIQUE(_xlfn.VSTACK(_xlfn._xlws.FILTER(Tabel13423234[from_ga],Tabel13423234[from_ga] &lt;&gt; ""),_xlfn._xlws.FILTER(Tabel13423234[to_ga],Tabel13423234[to_ga] &lt;&gt; ""))))</f>
        <v>800</v>
      </c>
      <c r="AG2" s="24"/>
      <c r="AH2" s="24"/>
    </row>
    <row r="3" spans="1:90" x14ac:dyDescent="0.25">
      <c r="C3" s="10" t="s">
        <v>110</v>
      </c>
      <c r="D3" s="10" t="s">
        <v>90</v>
      </c>
      <c r="E3" s="11" t="s">
        <v>91</v>
      </c>
      <c r="F3" s="12"/>
      <c r="G3" s="10"/>
      <c r="H3" s="10" t="s">
        <v>102</v>
      </c>
      <c r="I3" s="10" t="s">
        <v>103</v>
      </c>
      <c r="J3" s="10" t="s">
        <v>104</v>
      </c>
      <c r="K3" s="10" t="s">
        <v>97</v>
      </c>
      <c r="L3" s="10" t="s">
        <v>95</v>
      </c>
      <c r="M3" s="29"/>
      <c r="N3" s="29"/>
      <c r="P3" s="24"/>
      <c r="Q3" s="7" t="s">
        <v>29</v>
      </c>
      <c r="R3" s="9">
        <f>SUMIFS(Tabel13423234[quantity],Tabel13423234[type],"E18",Tabel13423234[resolution],"PT15M")</f>
        <v>0</v>
      </c>
      <c r="S3" s="24"/>
      <c r="T3" s="27"/>
      <c r="U3" s="24"/>
      <c r="V3" s="24"/>
      <c r="W3" s="24"/>
      <c r="X3" s="24"/>
      <c r="Y3" s="24"/>
      <c r="AA3" s="24"/>
      <c r="AB3" s="24" t="str">
        <v>801</v>
      </c>
      <c r="AC3" s="24"/>
      <c r="AD3" s="24"/>
      <c r="AE3" s="24"/>
      <c r="AF3" s="24" t="str">
        <v>801</v>
      </c>
      <c r="AG3" s="24"/>
      <c r="AH3" s="24"/>
    </row>
    <row r="4" spans="1:90" x14ac:dyDescent="0.25">
      <c r="C4" s="10" t="s">
        <v>98</v>
      </c>
      <c r="D4" s="10" t="s">
        <v>100</v>
      </c>
      <c r="E4" s="11"/>
      <c r="F4" s="12">
        <v>80</v>
      </c>
      <c r="G4" s="10"/>
      <c r="H4" s="10" t="s">
        <v>92</v>
      </c>
      <c r="I4" s="10"/>
      <c r="J4" s="10"/>
      <c r="K4" s="10"/>
      <c r="L4" s="10" t="s">
        <v>96</v>
      </c>
      <c r="M4" s="29" t="s">
        <v>96</v>
      </c>
      <c r="N4" s="29" t="s">
        <v>95</v>
      </c>
      <c r="P4" s="24"/>
      <c r="Q4" s="7" t="s">
        <v>27</v>
      </c>
      <c r="R4" s="9">
        <f>SUMIFS(Tabel13423234[quantity],Tabel13423234[type],"E17",Tabel13423234[resolution],"PT15M")</f>
        <v>0</v>
      </c>
      <c r="S4" s="24"/>
      <c r="T4" s="24"/>
      <c r="U4" s="24"/>
      <c r="V4" s="24"/>
      <c r="W4" s="24"/>
      <c r="X4" s="24"/>
      <c r="Y4" s="24"/>
      <c r="AA4" s="24"/>
      <c r="AB4" s="24"/>
      <c r="AC4" s="24"/>
      <c r="AD4" s="24"/>
      <c r="AE4" s="24"/>
      <c r="AF4" s="24" t="str">
        <v>802</v>
      </c>
      <c r="AG4" s="24"/>
      <c r="AH4" s="24"/>
    </row>
    <row r="5" spans="1:90" x14ac:dyDescent="0.25">
      <c r="C5" s="10" t="s">
        <v>111</v>
      </c>
      <c r="D5" s="10" t="s">
        <v>100</v>
      </c>
      <c r="E5" s="11"/>
      <c r="F5" s="12">
        <v>10</v>
      </c>
      <c r="G5" s="10"/>
      <c r="H5" s="10" t="s">
        <v>102</v>
      </c>
      <c r="I5" s="10"/>
      <c r="J5" s="10"/>
      <c r="K5" s="10"/>
      <c r="L5" s="10" t="s">
        <v>96</v>
      </c>
      <c r="M5" s="29" t="s">
        <v>96</v>
      </c>
      <c r="N5" s="29" t="s">
        <v>95</v>
      </c>
      <c r="P5" s="24"/>
      <c r="Q5" s="6" t="s">
        <v>32</v>
      </c>
      <c r="R5" s="9">
        <f>SUMIFS(Tabel13423234[quantity],Tabel13423234[type],"E20",Tabel13423234[resolution],"PT15M",Tabel13423234[to_ga],"800")</f>
        <v>10</v>
      </c>
      <c r="S5" s="24"/>
      <c r="T5" s="24"/>
      <c r="U5" s="24"/>
      <c r="V5" s="24"/>
      <c r="W5" s="24"/>
      <c r="X5" s="24"/>
      <c r="Y5" s="24"/>
      <c r="AA5" s="24"/>
      <c r="AB5" s="24"/>
      <c r="AC5" s="24"/>
      <c r="AD5" s="24"/>
      <c r="AE5" s="24"/>
      <c r="AF5" s="24"/>
      <c r="AG5" s="24"/>
      <c r="AH5" s="24"/>
    </row>
    <row r="6" spans="1:90" x14ac:dyDescent="0.25">
      <c r="C6" s="10" t="s">
        <v>112</v>
      </c>
      <c r="D6" s="10" t="s">
        <v>100</v>
      </c>
      <c r="E6" s="11"/>
      <c r="F6" s="12"/>
      <c r="G6" s="10"/>
      <c r="H6" s="10" t="s">
        <v>92</v>
      </c>
      <c r="I6" s="10"/>
      <c r="J6" s="10"/>
      <c r="K6" s="10"/>
      <c r="L6" s="10" t="s">
        <v>95</v>
      </c>
      <c r="M6" s="29" t="s">
        <v>95</v>
      </c>
      <c r="N6" s="29" t="s">
        <v>113</v>
      </c>
      <c r="P6" s="24"/>
      <c r="Q6" s="6" t="s">
        <v>43</v>
      </c>
      <c r="R6" s="9">
        <f>SUMIFS(Tabel13423234[quantity],Tabel13423234[type],"E20",Tabel13423234[resolution],"PT15M",Tabel13423234[from_ga],"800")</f>
        <v>0</v>
      </c>
      <c r="S6" s="24"/>
      <c r="T6" s="24"/>
      <c r="U6" s="24"/>
      <c r="V6" s="24"/>
      <c r="W6" s="24"/>
      <c r="X6" s="24"/>
      <c r="Y6" s="24"/>
      <c r="AA6" s="24"/>
      <c r="AB6" s="24"/>
      <c r="AC6" s="24"/>
      <c r="AD6" s="24"/>
      <c r="AE6" s="24"/>
      <c r="AF6" s="24"/>
      <c r="AG6" s="24"/>
      <c r="AH6" s="24"/>
    </row>
    <row r="7" spans="1:90" x14ac:dyDescent="0.25">
      <c r="C7" s="10" t="s">
        <v>114</v>
      </c>
      <c r="D7" s="10" t="s">
        <v>100</v>
      </c>
      <c r="E7" s="11"/>
      <c r="F7" s="12"/>
      <c r="G7" s="10"/>
      <c r="H7" s="10" t="s">
        <v>102</v>
      </c>
      <c r="I7" s="10"/>
      <c r="J7" s="10"/>
      <c r="K7" s="10"/>
      <c r="L7" s="10" t="s">
        <v>95</v>
      </c>
      <c r="M7" s="29" t="s">
        <v>95</v>
      </c>
      <c r="N7" s="29" t="s">
        <v>113</v>
      </c>
      <c r="P7" s="24"/>
      <c r="Q7" s="24"/>
      <c r="R7" s="24"/>
      <c r="S7" s="24"/>
      <c r="T7" s="24"/>
      <c r="U7" s="24"/>
      <c r="V7" s="24"/>
      <c r="W7" s="24"/>
      <c r="X7" s="24"/>
      <c r="Y7" s="24"/>
      <c r="AA7" s="24"/>
      <c r="AB7" s="24"/>
      <c r="AC7" s="24"/>
      <c r="AD7" s="24"/>
      <c r="AE7" s="24"/>
      <c r="AF7" s="24"/>
      <c r="AG7" s="24"/>
      <c r="AH7" s="24"/>
    </row>
    <row r="8" spans="1:90" x14ac:dyDescent="0.25">
      <c r="C8" s="10"/>
      <c r="D8" s="10"/>
      <c r="E8" s="11"/>
      <c r="F8" s="12"/>
      <c r="G8" s="10"/>
      <c r="H8" s="10"/>
      <c r="I8" s="10"/>
      <c r="J8" s="10"/>
      <c r="K8" s="10"/>
      <c r="L8" s="10"/>
      <c r="M8" s="29"/>
      <c r="N8" s="29"/>
      <c r="P8" s="24"/>
      <c r="Q8" s="25"/>
      <c r="R8" s="7" t="s">
        <v>11</v>
      </c>
      <c r="S8" s="7" t="s">
        <v>10</v>
      </c>
      <c r="T8" s="7" t="s">
        <v>86</v>
      </c>
      <c r="U8" s="7" t="s">
        <v>46</v>
      </c>
      <c r="V8" s="7" t="s">
        <v>47</v>
      </c>
      <c r="W8" s="7" t="s">
        <v>48</v>
      </c>
      <c r="X8" s="27"/>
      <c r="Y8" s="24"/>
      <c r="AA8" s="24"/>
      <c r="AB8" s="24"/>
      <c r="AC8" s="24"/>
      <c r="AD8" s="24"/>
      <c r="AE8" s="24"/>
      <c r="AF8" s="24"/>
      <c r="AG8" s="24"/>
      <c r="AH8" s="24"/>
    </row>
    <row r="9" spans="1:90" x14ac:dyDescent="0.25">
      <c r="C9" s="10"/>
      <c r="D9" s="10"/>
      <c r="E9" s="11"/>
      <c r="F9" s="12"/>
      <c r="G9" s="10"/>
      <c r="H9" s="10"/>
      <c r="I9" s="10"/>
      <c r="J9" s="10"/>
      <c r="K9" s="10"/>
      <c r="L9" s="10"/>
      <c r="M9" s="29"/>
      <c r="N9" s="29"/>
      <c r="P9" s="15" t="s">
        <v>75</v>
      </c>
      <c r="Q9" s="26" t="str">
        <f>_xlfn.IFNA(INDEX(Tabel13423234[ga_id],MATCH(S9,Tabel13423234[es_id],0)),"")</f>
        <v>800</v>
      </c>
      <c r="R9" s="26" t="str">
        <f>_xlfn.IFNA(INDEX(Tabel13423234[brp_id],MATCH(S9,Tabel13423234[es_id],0)),"")</f>
        <v>2200000000000</v>
      </c>
      <c r="S9" s="26" t="str">
        <f>IF(AC$2=0,"",AC$2)</f>
        <v>2000000000000</v>
      </c>
      <c r="T9" s="20">
        <f>SUMIFS(Tabel13423234[quantity],Tabel13423234[es_id],S9,IF(B$2="production",Tabel13423234[type],Tabel13423234[settlement_method]),AE$2,Tabel13423234[resolution],"PT1H")/4</f>
        <v>0</v>
      </c>
      <c r="U9" s="19">
        <f>T9</f>
        <v>0</v>
      </c>
      <c r="V9" s="19"/>
      <c r="W9" s="23">
        <f t="shared" ref="W9:W32" si="0">ROUND(U9, 3)</f>
        <v>0</v>
      </c>
      <c r="X9" s="27"/>
      <c r="Y9" s="24"/>
      <c r="AA9" s="24"/>
      <c r="AB9" s="35"/>
      <c r="AC9" s="35"/>
      <c r="AD9" s="35"/>
      <c r="AE9" s="35"/>
      <c r="AF9" s="35"/>
      <c r="AG9" s="24"/>
      <c r="AH9" s="24"/>
    </row>
    <row r="10" spans="1:90" x14ac:dyDescent="0.25">
      <c r="C10" s="10"/>
      <c r="D10" s="10"/>
      <c r="E10" s="11"/>
      <c r="F10" s="12"/>
      <c r="G10" s="10"/>
      <c r="H10" s="10"/>
      <c r="I10" s="10"/>
      <c r="J10" s="10"/>
      <c r="K10" s="10"/>
      <c r="L10" s="10"/>
      <c r="M10" s="29"/>
      <c r="N10" s="29"/>
      <c r="P10" s="15" t="s">
        <v>76</v>
      </c>
      <c r="Q10" s="26" t="str">
        <f>_xlfn.IFNA(INDEX(Tabel13423234[ga_id],MATCH(S10,Tabel13423234[es_id],0)),"")</f>
        <v>800</v>
      </c>
      <c r="R10" s="26" t="str">
        <f>_xlfn.IFNA(INDEX(Tabel13423234[brp_id],MATCH(S10,Tabel13423234[es_id],0)),"")</f>
        <v>2200000000000</v>
      </c>
      <c r="S10" s="26" t="str">
        <f t="shared" ref="S10:T12" si="1">S$9</f>
        <v>2000000000000</v>
      </c>
      <c r="T10" s="19">
        <f t="shared" si="1"/>
        <v>0</v>
      </c>
      <c r="U10" s="19">
        <f>V10+U9</f>
        <v>0</v>
      </c>
      <c r="V10" s="19">
        <f>T10-W9</f>
        <v>0</v>
      </c>
      <c r="W10" s="23">
        <f t="shared" si="0"/>
        <v>0</v>
      </c>
      <c r="X10" s="27"/>
      <c r="Y10" s="24"/>
      <c r="AA10" s="27"/>
      <c r="AB10" s="36"/>
      <c r="AC10" s="36"/>
      <c r="AD10" s="36"/>
      <c r="AE10" s="36"/>
      <c r="AF10" s="35"/>
      <c r="AG10" s="24"/>
      <c r="AH10" s="24"/>
    </row>
    <row r="11" spans="1:90" x14ac:dyDescent="0.25">
      <c r="C11" s="10"/>
      <c r="D11" s="10"/>
      <c r="E11" s="11"/>
      <c r="F11" s="12"/>
      <c r="G11" s="10"/>
      <c r="H11" s="10"/>
      <c r="I11" s="10"/>
      <c r="J11" s="10"/>
      <c r="K11" s="10"/>
      <c r="L11" s="10"/>
      <c r="M11" s="29"/>
      <c r="N11" s="29"/>
      <c r="P11" s="15" t="s">
        <v>77</v>
      </c>
      <c r="Q11" s="26" t="str">
        <f>_xlfn.IFNA(INDEX(Tabel13423234[ga_id],MATCH(S11,Tabel13423234[es_id],0)),"")</f>
        <v>800</v>
      </c>
      <c r="R11" s="26" t="str">
        <f>_xlfn.IFNA(INDEX(Tabel13423234[brp_id],MATCH(S11,Tabel13423234[es_id],0)),"")</f>
        <v>2200000000000</v>
      </c>
      <c r="S11" s="26" t="str">
        <f t="shared" si="1"/>
        <v>2000000000000</v>
      </c>
      <c r="T11" s="19">
        <f t="shared" si="1"/>
        <v>0</v>
      </c>
      <c r="U11" s="19">
        <f>V11+U10</f>
        <v>0</v>
      </c>
      <c r="V11" s="19">
        <f>T11-W10</f>
        <v>0</v>
      </c>
      <c r="W11" s="23">
        <f t="shared" si="0"/>
        <v>0</v>
      </c>
      <c r="X11" s="27"/>
      <c r="Y11" s="24"/>
      <c r="AA11" s="27"/>
      <c r="AB11" s="36"/>
      <c r="AC11" s="36"/>
      <c r="AD11" s="36"/>
      <c r="AE11" s="36"/>
      <c r="AF11" s="35"/>
      <c r="AG11" s="24"/>
      <c r="AH11" s="24"/>
    </row>
    <row r="12" spans="1:90" x14ac:dyDescent="0.25">
      <c r="C12" s="10"/>
      <c r="D12" s="10"/>
      <c r="E12" s="11"/>
      <c r="F12" s="12"/>
      <c r="G12" s="10"/>
      <c r="H12" s="10"/>
      <c r="I12" s="10"/>
      <c r="J12" s="10"/>
      <c r="K12" s="10"/>
      <c r="L12" s="10"/>
      <c r="M12" s="29"/>
      <c r="N12" s="29"/>
      <c r="P12" s="15" t="s">
        <v>78</v>
      </c>
      <c r="Q12" s="26" t="str">
        <f>_xlfn.IFNA(INDEX(Tabel13423234[ga_id],MATCH(S12,Tabel13423234[es_id],0)),"")</f>
        <v>800</v>
      </c>
      <c r="R12" s="26" t="str">
        <f>_xlfn.IFNA(INDEX(Tabel13423234[brp_id],MATCH(S12,Tabel13423234[es_id],0)),"")</f>
        <v>2200000000000</v>
      </c>
      <c r="S12" s="26" t="str">
        <f t="shared" si="1"/>
        <v>2000000000000</v>
      </c>
      <c r="T12" s="19">
        <f t="shared" si="1"/>
        <v>0</v>
      </c>
      <c r="U12" s="19">
        <f>V12+U11</f>
        <v>0</v>
      </c>
      <c r="V12" s="19">
        <f>T12-W11</f>
        <v>0</v>
      </c>
      <c r="W12" s="23">
        <f t="shared" si="0"/>
        <v>0</v>
      </c>
      <c r="X12" s="27"/>
      <c r="Y12" s="24"/>
      <c r="AA12" s="27"/>
      <c r="AB12" s="36"/>
      <c r="AC12" s="36" t="s">
        <v>105</v>
      </c>
      <c r="AD12" s="36" t="s">
        <v>107</v>
      </c>
      <c r="AE12" s="36"/>
      <c r="AF12" s="35"/>
      <c r="AG12" s="24"/>
      <c r="AH12" s="24"/>
    </row>
    <row r="13" spans="1:90" x14ac:dyDescent="0.25">
      <c r="C13" s="10"/>
      <c r="D13" s="10"/>
      <c r="E13" s="11"/>
      <c r="F13" s="12"/>
      <c r="G13" s="10"/>
      <c r="H13" s="10"/>
      <c r="I13" s="10"/>
      <c r="J13" s="10"/>
      <c r="K13" s="10"/>
      <c r="L13" s="10"/>
      <c r="M13" s="29"/>
      <c r="N13" s="29"/>
      <c r="P13" s="15" t="s">
        <v>75</v>
      </c>
      <c r="Q13" s="26" t="str">
        <f>_xlfn.IFNA(INDEX(Tabel13423234[ga_id],MATCH(S13,Tabel13423234[es_id],0)),"")</f>
        <v/>
      </c>
      <c r="R13" s="26" t="str">
        <f>_xlfn.IFNA(INDEX(Tabel13423234[brp_id],MATCH(S13,Tabel13423234[es_id],0)),"")</f>
        <v/>
      </c>
      <c r="S13" s="26" t="str">
        <f>IF(AC$3=0,"",AC$3)</f>
        <v/>
      </c>
      <c r="T13" s="20">
        <f>SUMIFS(Tabel13423234[quantity],Tabel13423234[es_id],S13,IF(B$2="production",Tabel13423234[type],Tabel13423234[settlement_method]),AE$2,Tabel13423234[resolution],"PT1H")/4</f>
        <v>0</v>
      </c>
      <c r="U13" s="19">
        <f>T13</f>
        <v>0</v>
      </c>
      <c r="V13" s="19"/>
      <c r="W13" s="23">
        <f t="shared" si="0"/>
        <v>0</v>
      </c>
      <c r="X13" s="27"/>
      <c r="Y13" s="24"/>
      <c r="AA13" s="2"/>
      <c r="AB13" s="36"/>
      <c r="AC13" s="36" t="str" cm="1">
        <f t="array" ref="AC13:AC14">_xlfn._xlws.SORT(_xlfn.UNIQUE(_xlfn._xlws.FILTER(Tabel13423234[es_id],Tabel13423234[es_id] &lt;&gt; "")))</f>
        <v>1000000000000</v>
      </c>
      <c r="AD13" s="36" t="str" cm="1">
        <f t="array" ref="AD13:AD14">_xlfn._xlws.SORT(_xlfn.UNIQUE(_xlfn._xlws.FILTER(Tabel13423234[brp_id],Tabel13423234[brp_id] &lt;&gt; "")))</f>
        <v>1100000000000</v>
      </c>
      <c r="AE13" s="36"/>
      <c r="AF13" s="35"/>
    </row>
    <row r="14" spans="1:90" x14ac:dyDescent="0.25">
      <c r="C14" s="10"/>
      <c r="D14" s="10"/>
      <c r="E14" s="11"/>
      <c r="F14" s="12"/>
      <c r="G14" s="10"/>
      <c r="H14" s="10"/>
      <c r="I14" s="10"/>
      <c r="J14" s="10"/>
      <c r="K14" s="10"/>
      <c r="L14" s="10"/>
      <c r="M14" s="29"/>
      <c r="N14" s="29"/>
      <c r="O14" s="2"/>
      <c r="P14" s="15" t="s">
        <v>76</v>
      </c>
      <c r="Q14" s="26" t="str">
        <f>_xlfn.IFNA(INDEX(Tabel13423234[ga_id],MATCH(S14,Tabel13423234[es_id],0)),"")</f>
        <v/>
      </c>
      <c r="R14" s="26" t="str">
        <f>_xlfn.IFNA(INDEX(Tabel13423234[brp_id],MATCH(S14,Tabel13423234[es_id],0)),"")</f>
        <v/>
      </c>
      <c r="S14" s="26" t="str">
        <f t="shared" ref="S14:T16" si="2">S$13</f>
        <v/>
      </c>
      <c r="T14" s="19">
        <f t="shared" si="2"/>
        <v>0</v>
      </c>
      <c r="U14" s="19">
        <f>V14+U13</f>
        <v>0</v>
      </c>
      <c r="V14" s="19">
        <f>T14-W13</f>
        <v>0</v>
      </c>
      <c r="W14" s="23">
        <f t="shared" si="0"/>
        <v>0</v>
      </c>
      <c r="X14" s="27"/>
      <c r="Y14" s="27"/>
      <c r="Z14" s="2"/>
      <c r="AA14" s="2"/>
      <c r="AB14" s="36"/>
      <c r="AC14" s="36" t="str">
        <v>2000000000000</v>
      </c>
      <c r="AD14" s="36" t="str">
        <v>2200000000000</v>
      </c>
      <c r="AE14" s="36"/>
      <c r="AF14" s="36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0" x14ac:dyDescent="0.25">
      <c r="C15" s="13"/>
      <c r="D15" s="10"/>
      <c r="E15" s="11"/>
      <c r="F15" s="12"/>
      <c r="G15" s="10"/>
      <c r="H15" s="10"/>
      <c r="I15" s="10"/>
      <c r="J15" s="10"/>
      <c r="K15" s="10"/>
      <c r="L15" s="10"/>
      <c r="M15" s="29"/>
      <c r="N15" s="29"/>
      <c r="O15" s="2"/>
      <c r="P15" s="15" t="s">
        <v>77</v>
      </c>
      <c r="Q15" s="26" t="str">
        <f>_xlfn.IFNA(INDEX(Tabel13423234[ga_id],MATCH(S15,Tabel13423234[es_id],0)),"")</f>
        <v/>
      </c>
      <c r="R15" s="26" t="str">
        <f>_xlfn.IFNA(INDEX(Tabel13423234[brp_id],MATCH(S15,Tabel13423234[es_id],0)),"")</f>
        <v/>
      </c>
      <c r="S15" s="26" t="str">
        <f t="shared" si="2"/>
        <v/>
      </c>
      <c r="T15" s="19">
        <f t="shared" si="2"/>
        <v>0</v>
      </c>
      <c r="U15" s="19">
        <f>V15+U14</f>
        <v>0</v>
      </c>
      <c r="V15" s="19">
        <f>T15-W14</f>
        <v>0</v>
      </c>
      <c r="W15" s="23">
        <f t="shared" si="0"/>
        <v>0</v>
      </c>
      <c r="X15" s="27"/>
      <c r="Y15" s="27"/>
      <c r="Z15" s="2"/>
      <c r="AA15" s="2"/>
      <c r="AB15" s="36"/>
      <c r="AC15" s="36"/>
      <c r="AD15" s="36"/>
      <c r="AE15" s="36"/>
      <c r="AF15" s="36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0" x14ac:dyDescent="0.25">
      <c r="C16" s="13"/>
      <c r="D16" s="10"/>
      <c r="E16" s="11"/>
      <c r="F16" s="12"/>
      <c r="G16" s="10"/>
      <c r="H16" s="10"/>
      <c r="I16" s="10"/>
      <c r="J16" s="10"/>
      <c r="K16" s="10"/>
      <c r="L16" s="10"/>
      <c r="M16" s="29"/>
      <c r="N16" s="29"/>
      <c r="O16" s="2"/>
      <c r="P16" s="15" t="s">
        <v>78</v>
      </c>
      <c r="Q16" s="26" t="str">
        <f>_xlfn.IFNA(INDEX(Tabel13423234[ga_id],MATCH(S16,Tabel13423234[es_id],0)),"")</f>
        <v/>
      </c>
      <c r="R16" s="26" t="str">
        <f>_xlfn.IFNA(INDEX(Tabel13423234[brp_id],MATCH(S16,Tabel13423234[es_id],0)),"")</f>
        <v/>
      </c>
      <c r="S16" s="26" t="str">
        <f t="shared" si="2"/>
        <v/>
      </c>
      <c r="T16" s="19">
        <f t="shared" si="2"/>
        <v>0</v>
      </c>
      <c r="U16" s="19">
        <f>V16+U15</f>
        <v>0</v>
      </c>
      <c r="V16" s="19">
        <f>T16-W15</f>
        <v>0</v>
      </c>
      <c r="W16" s="23">
        <f t="shared" si="0"/>
        <v>0</v>
      </c>
      <c r="X16" s="27"/>
      <c r="Y16" s="27"/>
      <c r="Z16" s="2"/>
      <c r="AA16" s="2"/>
      <c r="AB16" s="36"/>
      <c r="AC16" s="36"/>
      <c r="AD16" s="36"/>
      <c r="AE16" s="36"/>
      <c r="AF16" s="36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x14ac:dyDescent="0.25">
      <c r="C17" s="10"/>
      <c r="D17" s="10"/>
      <c r="E17" s="11"/>
      <c r="F17" s="12"/>
      <c r="G17" s="10"/>
      <c r="H17" s="10"/>
      <c r="I17" s="10"/>
      <c r="J17" s="10"/>
      <c r="K17" s="10"/>
      <c r="L17" s="10"/>
      <c r="M17" s="29"/>
      <c r="N17" s="29"/>
      <c r="O17" s="2"/>
      <c r="P17" s="15" t="s">
        <v>75</v>
      </c>
      <c r="Q17" s="26" t="str">
        <f>_xlfn.IFNA(INDEX(Tabel13423234[ga_id],MATCH(S17,Tabel13423234[es_id],0)),"")</f>
        <v/>
      </c>
      <c r="R17" s="26" t="str">
        <f>_xlfn.IFNA(INDEX(Tabel13423234[brp_id],MATCH(S17,Tabel13423234[es_id],0)),"")</f>
        <v/>
      </c>
      <c r="S17" s="26" t="str">
        <f>IF(AC$4=0,"",AC$4)</f>
        <v/>
      </c>
      <c r="T17" s="20">
        <f>SUMIFS(Tabel13423234[quantity],Tabel13423234[es_id],S17,IF(B$2="production",Tabel13423234[type],Tabel13423234[settlement_method]),AE$2,Tabel13423234[resolution],"PT1H")/4</f>
        <v>0</v>
      </c>
      <c r="U17" s="19">
        <f>T17</f>
        <v>0</v>
      </c>
      <c r="V17" s="19"/>
      <c r="W17" s="23">
        <f t="shared" si="0"/>
        <v>0</v>
      </c>
      <c r="X17" s="27"/>
      <c r="Y17" s="27"/>
      <c r="Z17" s="2"/>
      <c r="AA17" s="2"/>
      <c r="AB17" s="36"/>
      <c r="AC17" s="36"/>
      <c r="AD17" s="36"/>
      <c r="AE17" s="36"/>
      <c r="AF17" s="36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x14ac:dyDescent="0.25">
      <c r="C18" s="10"/>
      <c r="D18" s="10"/>
      <c r="E18" s="11"/>
      <c r="F18" s="12"/>
      <c r="G18" s="10"/>
      <c r="H18" s="10"/>
      <c r="I18" s="10"/>
      <c r="J18" s="10"/>
      <c r="K18" s="10"/>
      <c r="L18" s="10"/>
      <c r="M18" s="29"/>
      <c r="N18" s="29"/>
      <c r="O18" s="2"/>
      <c r="P18" s="15" t="s">
        <v>76</v>
      </c>
      <c r="Q18" s="26" t="str">
        <f>_xlfn.IFNA(INDEX(Tabel13423234[ga_id],MATCH(S18,Tabel13423234[es_id],0)),"")</f>
        <v/>
      </c>
      <c r="R18" s="26" t="str">
        <f>_xlfn.IFNA(INDEX(Tabel13423234[brp_id],MATCH(S18,Tabel13423234[es_id],0)),"")</f>
        <v/>
      </c>
      <c r="S18" s="26" t="str">
        <f t="shared" ref="S18:T19" si="3">S$17</f>
        <v/>
      </c>
      <c r="T18" s="19">
        <f t="shared" si="3"/>
        <v>0</v>
      </c>
      <c r="U18" s="19">
        <f>V18+U17</f>
        <v>0</v>
      </c>
      <c r="V18" s="19">
        <f>T18-W17</f>
        <v>0</v>
      </c>
      <c r="W18" s="23">
        <f t="shared" si="0"/>
        <v>0</v>
      </c>
      <c r="X18" s="27"/>
      <c r="Y18" s="27"/>
      <c r="Z18" s="2"/>
      <c r="AA18" s="2"/>
      <c r="AB18" s="36"/>
      <c r="AC18" s="35"/>
      <c r="AD18" s="36"/>
      <c r="AE18" s="36"/>
      <c r="AF18" s="36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x14ac:dyDescent="0.25">
      <c r="C19" s="10"/>
      <c r="D19" s="10"/>
      <c r="E19" s="11"/>
      <c r="F19" s="12"/>
      <c r="G19" s="10"/>
      <c r="H19" s="10"/>
      <c r="I19" s="10"/>
      <c r="J19" s="10"/>
      <c r="K19" s="10"/>
      <c r="L19" s="10"/>
      <c r="M19" s="29"/>
      <c r="N19" s="29"/>
      <c r="O19" s="2"/>
      <c r="P19" s="15" t="s">
        <v>77</v>
      </c>
      <c r="Q19" s="26" t="str">
        <f>_xlfn.IFNA(INDEX(Tabel13423234[ga_id],MATCH(S19,Tabel13423234[es_id],0)),"")</f>
        <v/>
      </c>
      <c r="R19" s="26" t="str">
        <f>_xlfn.IFNA(INDEX(Tabel13423234[brp_id],MATCH(S19,Tabel13423234[es_id],0)),"")</f>
        <v/>
      </c>
      <c r="S19" s="26" t="str">
        <f t="shared" si="3"/>
        <v/>
      </c>
      <c r="T19" s="19">
        <f t="shared" si="3"/>
        <v>0</v>
      </c>
      <c r="U19" s="19">
        <f>V19+U18</f>
        <v>0</v>
      </c>
      <c r="V19" s="19">
        <f>T19-W18</f>
        <v>0</v>
      </c>
      <c r="W19" s="23">
        <f t="shared" si="0"/>
        <v>0</v>
      </c>
      <c r="X19" s="27"/>
      <c r="Y19" s="27"/>
      <c r="Z19" s="2"/>
      <c r="AA19" s="2"/>
      <c r="AB19" s="36"/>
      <c r="AC19" s="36"/>
      <c r="AD19" s="36"/>
      <c r="AE19" s="36"/>
      <c r="AF19" s="36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ht="23.25" x14ac:dyDescent="0.35">
      <c r="E20" s="45" t="str">
        <f>CONCATENATE(B2,"_per_",B1)</f>
        <v>flex_consumption_per_ga_brp_es</v>
      </c>
      <c r="F20" s="45"/>
      <c r="G20" s="45"/>
      <c r="H20" s="45"/>
      <c r="I20" s="46" t="s">
        <v>22</v>
      </c>
      <c r="J20" s="47"/>
      <c r="K20" s="48"/>
      <c r="P20" s="15" t="s">
        <v>78</v>
      </c>
      <c r="Q20" s="26" t="str">
        <f>_xlfn.IFNA(INDEX(Tabel13423234[ga_id],MATCH(S20,Tabel13423234[es_id],0)),"")</f>
        <v/>
      </c>
      <c r="R20" s="26" t="str">
        <f>_xlfn.IFNA(INDEX(Tabel13423234[brp_id],MATCH(S20,Tabel13423234[es_id],0)),"")</f>
        <v/>
      </c>
      <c r="S20" s="26" t="str">
        <f>S$17</f>
        <v/>
      </c>
      <c r="T20" s="19">
        <f>T$17</f>
        <v>0</v>
      </c>
      <c r="U20" s="19">
        <f>V20+U19</f>
        <v>0</v>
      </c>
      <c r="V20" s="19">
        <f>T20-W19</f>
        <v>0</v>
      </c>
      <c r="W20" s="23">
        <f t="shared" si="0"/>
        <v>0</v>
      </c>
      <c r="X20" s="27"/>
      <c r="Y20" s="27"/>
      <c r="Z20" s="2"/>
      <c r="AA20" s="2"/>
      <c r="AB20" s="36"/>
      <c r="AC20" s="36"/>
      <c r="AD20" s="36"/>
      <c r="AE20" s="36"/>
      <c r="AF20" s="36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ht="18.75" x14ac:dyDescent="0.3">
      <c r="B21" s="3" t="s">
        <v>25</v>
      </c>
      <c r="C21" s="3" t="s">
        <v>24</v>
      </c>
      <c r="D21" s="4" t="s">
        <v>21</v>
      </c>
      <c r="E21" s="4" t="s">
        <v>19</v>
      </c>
      <c r="F21" s="5" t="s">
        <v>0</v>
      </c>
      <c r="G21" s="5" t="s">
        <v>1</v>
      </c>
      <c r="H21" s="5" t="s">
        <v>2</v>
      </c>
      <c r="I21" s="6" t="s">
        <v>16</v>
      </c>
      <c r="J21" s="6" t="s">
        <v>15</v>
      </c>
      <c r="K21" s="7" t="s">
        <v>79</v>
      </c>
      <c r="L21" s="2"/>
      <c r="M21" s="2"/>
      <c r="N21" s="2"/>
      <c r="O21" s="2"/>
      <c r="P21" s="15" t="s">
        <v>75</v>
      </c>
      <c r="Q21" s="26" t="str">
        <f>_xlfn.IFNA(INDEX(Tabel13423234[ga_id],MATCH(S21,Tabel13423234[es_id],0)),"")</f>
        <v/>
      </c>
      <c r="R21" s="26" t="str">
        <f>_xlfn.IFNA(INDEX(Tabel13423234[brp_id],MATCH(S21,Tabel13423234[es_id],0)),"")</f>
        <v/>
      </c>
      <c r="S21" s="26" t="str">
        <f>IF(AC$5=0,"",AC$5)</f>
        <v/>
      </c>
      <c r="T21" s="20">
        <f>SUMIFS(Tabel13423234[quantity],Tabel13423234[es_id],S21,IF(B$2="production",Tabel13423234[type],Tabel13423234[settlement_method]),AE$2,Tabel13423234[resolution],"PT1H")/4</f>
        <v>0</v>
      </c>
      <c r="U21" s="19">
        <f>T21</f>
        <v>0</v>
      </c>
      <c r="V21" s="19"/>
      <c r="W21" s="23">
        <f t="shared" si="0"/>
        <v>0</v>
      </c>
      <c r="X21" s="27"/>
      <c r="Y21" s="27"/>
      <c r="Z21" s="2"/>
      <c r="AA21" s="2"/>
      <c r="AB21" s="36"/>
      <c r="AC21" s="35"/>
      <c r="AD21" s="35"/>
      <c r="AE21" s="36"/>
      <c r="AF21" s="36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x14ac:dyDescent="0.25">
      <c r="A22" s="2"/>
      <c r="B22" s="16" t="str">
        <f>IF(AND(F22&lt;&gt;"null",F22&lt;&gt;""),IF(F22=INDEX(Tabel13423234[es_id],MATCH("GLMP",Tabel13423234[note],0),1),"glmp",""),IF(AND(G22&lt;&gt;"null",G22&lt;&gt;""),IF(G22=INDEX(Tabel13423234[brp_id],MATCH("GLMP",Tabel13423234[note],0),1),"glmp",""),IF(E22=INDEX(Tabel13423234[ga_id],MATCH("GLMP",Tabel13423234[note],0),1),"glmp","")))</f>
        <v>glmp</v>
      </c>
      <c r="C22" s="16" t="str">
        <f>IF(AND(F22&lt;&gt;"null",F22&lt;&gt;""),IF(F22=INDEX(Tabel13423234[es_id],MATCH("SKMP",Tabel13423234[note],0),1),"skmp",""),IF(AND(G22&lt;&gt;"null",G22&lt;&gt;""),IF(G22=INDEX(Tabel13423234[brp_id],MATCH("SKMP",Tabel13423234[note],0),1),"skmp",""),IF(E22=INDEX(Tabel13423234[ga_id],MATCH("SKMP",Tabel13423234[note],0),1),"skmp","")))</f>
        <v/>
      </c>
      <c r="D22" s="15" t="s">
        <v>75</v>
      </c>
      <c r="E22" s="31" t="str">
        <f t="shared" ref="E22:E45" si="4">IF(B$1="ga",IF(AND(ROW()&gt;21,ROW()&lt;26),"800",""),IF(OR(B$1="ga_es",B$1="ga_brp_es"),IF(AND(ROW()&lt;22+(COUNTA(AC$2:AC$11)*4),ROW()&gt;21),$AF$2,""),IF(B$1="ga_brp",IF(AND(ROW()&lt;22+(COUNTA(AD$2:AD$11)*4),ROW()&gt;21),$AF$2,""))))</f>
        <v>800</v>
      </c>
      <c r="F22" s="31" t="str">
        <f>IF(B$1="ga",IF(E22="","","null"),IF(OR(B$1="ga_es",B$1="ga_brp_es"),IF(AC$2=0,"",AC$2),IF(B$1="ga_brp",IF(G22="","","null"))))</f>
        <v>2000000000000</v>
      </c>
      <c r="G22" s="31" t="str">
        <f>IF(B$1="ga",IF(E22="","","null"),IF(B$1="ga_es",IF(F22="","","null"),IF(B$1="ga_brp",IF(AD$2=0,"",AD$2),IF(F22="","",INDEX(Tabel13423234[brp_id],MATCH(F22,Tabel13423234[es_id],0),1)))))</f>
        <v>2200000000000</v>
      </c>
      <c r="H22" s="33" t="str">
        <f>SUBSTITUTE(IF(E22="","",I22+J22+K22),",",".")</f>
        <v>30</v>
      </c>
      <c r="I22" s="9">
        <f t="shared" ref="I22:I45" si="5">SUMIFS(W$9:W$32,IF(OR(B$1="ga_es",B$1="ga_brp_es"),S$9:S$32,IF(B$1="ga_brp",R$9:R$32,Q$9:Q$32)),IF(OR(B$1="ga_es",B$1="ga_brp_es"),F22,IF(B$1="ga_brp",G22,E22)),P$9:P$32,D22)</f>
        <v>0</v>
      </c>
      <c r="J22" s="9">
        <f>IF(D22="Quarter1",SUMIFS(Tabel13423234[quantity],IF(OR(B$1="ga_es",B$1="ga_brp_es"),Tabel13423234[es_id],IF(B$1="ga_brp",Tabel13423234[brp_id],Tabel13423234[ga_id])),IF(OR(B$1="ga_es",B$1="ga_brp_es"),F22,IF(B$1="ga_brp",G22,E22)),IF(B$2="production",Tabel13423234[type],Tabel13423234[settlement_method]),AE$2,Tabel13423234[resolution],"PT15M"),0)</f>
        <v>0</v>
      </c>
      <c r="K22" s="9">
        <f t="shared" ref="K22:K45" si="6">IF(AND(C22="skmp",B$2="production"),VLOOKUP(D22,D$78:H$81,5,FALSE),IF(AND(B22="glmp",B$2="flex_consumption"),VLOOKUP(D22,D$72:H$75,5,FALSE),0))</f>
        <v>30</v>
      </c>
      <c r="L22" s="2"/>
      <c r="M22" s="2"/>
      <c r="N22" s="2"/>
      <c r="O22" s="2"/>
      <c r="P22" s="15" t="s">
        <v>76</v>
      </c>
      <c r="Q22" s="26" t="str">
        <f>_xlfn.IFNA(INDEX(Tabel13423234[ga_id],MATCH(S22,Tabel13423234[es_id],0)),"")</f>
        <v/>
      </c>
      <c r="R22" s="26" t="str">
        <f>_xlfn.IFNA(INDEX(Tabel13423234[brp_id],MATCH(S22,Tabel13423234[es_id],0)),"")</f>
        <v/>
      </c>
      <c r="S22" s="26" t="str">
        <f t="shared" ref="S22:T24" si="7">S$21</f>
        <v/>
      </c>
      <c r="T22" s="19">
        <f t="shared" si="7"/>
        <v>0</v>
      </c>
      <c r="U22" s="19">
        <f>V22+U21</f>
        <v>0</v>
      </c>
      <c r="V22" s="19">
        <f>T22-W21</f>
        <v>0</v>
      </c>
      <c r="W22" s="23">
        <f t="shared" si="0"/>
        <v>0</v>
      </c>
      <c r="X22" s="27"/>
      <c r="Y22" s="27"/>
      <c r="Z22" s="2"/>
      <c r="AA22" s="2"/>
      <c r="AB22" s="36"/>
      <c r="AC22" s="35"/>
      <c r="AD22" s="35"/>
      <c r="AE22" s="36"/>
      <c r="AF22" s="36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x14ac:dyDescent="0.25">
      <c r="B23" s="16" t="str">
        <f>IF(AND(F23&lt;&gt;"null",F23&lt;&gt;""),IF(F23=INDEX(Tabel13423234[es_id],MATCH("GLMP",Tabel13423234[note],0),1),"glmp",""),IF(AND(G23&lt;&gt;"null",G23&lt;&gt;""),IF(G23=INDEX(Tabel13423234[brp_id],MATCH("GLMP",Tabel13423234[note],0),1),"glmp",""),IF(E23=INDEX(Tabel13423234[ga_id],MATCH("GLMP",Tabel13423234[note],0),1),"glmp","")))</f>
        <v>glmp</v>
      </c>
      <c r="C23" s="16" t="str">
        <f>IF(AND(F23&lt;&gt;"null",F23&lt;&gt;""),IF(F23=INDEX(Tabel13423234[es_id],MATCH("SKMP",Tabel13423234[note],0),1),"skmp",""),IF(AND(G23&lt;&gt;"null",G23&lt;&gt;""),IF(G23=INDEX(Tabel13423234[brp_id],MATCH("SKMP",Tabel13423234[note],0),1),"skmp",""),IF(E23=INDEX(Tabel13423234[ga_id],MATCH("SKMP",Tabel13423234[note],0),1),"skmp","")))</f>
        <v/>
      </c>
      <c r="D23" s="15" t="s">
        <v>76</v>
      </c>
      <c r="E23" s="31" t="str">
        <f t="shared" si="4"/>
        <v>800</v>
      </c>
      <c r="F23" s="31" t="str">
        <f>IF(B$1="ga",IF(E23="","","null"),IF(OR(B$1="ga_es",B$1="ga_brp_es"),IF(AC$2=0,"",AC$2),IF(B$1="ga_brp",IF(G23="","","null"))))</f>
        <v>2000000000000</v>
      </c>
      <c r="G23" s="31" t="str">
        <f>IF(B$1="ga",IF(E23="","","null"),IF(B$1="ga_es",IF(F23="","","null"),IF(B$1="ga_brp",IF(AD$2=0,"",AD$2),IF(F23="","",INDEX(Tabel13423234[brp_id],MATCH(F23,Tabel13423234[es_id],0),1)))))</f>
        <v>2200000000000</v>
      </c>
      <c r="H23" s="33" t="str">
        <f t="shared" ref="H23:H45" si="8">SUBSTITUTE(IF(E23="","",I23+J23+K23),",",".")</f>
        <v>20</v>
      </c>
      <c r="I23" s="9">
        <f t="shared" si="5"/>
        <v>0</v>
      </c>
      <c r="J23" s="9">
        <f>IF(D23="Quarter1",SUMIFS(Tabel13423234[quantity],IF(OR(B$1="ga_es",B$1="ga_brp_es"),Tabel13423234[es_id],IF(B$1="ga_brp",Tabel13423234[brp_id],Tabel13423234[ga_id])),IF(OR(B$1="ga_es",B$1="ga_brp_es"),F23,IF(B$1="ga_brp",G23,E23)),IF(B$2="production",Tabel13423234[type],Tabel13423234[settlement_method]),AE$2,Tabel13423234[resolution],"PT15M"),0)</f>
        <v>0</v>
      </c>
      <c r="K23" s="9">
        <f t="shared" si="6"/>
        <v>20</v>
      </c>
      <c r="L23" s="2"/>
      <c r="M23" s="2"/>
      <c r="N23" s="2"/>
      <c r="O23" s="2"/>
      <c r="P23" s="15" t="s">
        <v>77</v>
      </c>
      <c r="Q23" s="26" t="str">
        <f>_xlfn.IFNA(INDEX(Tabel13423234[ga_id],MATCH(S23,Tabel13423234[es_id],0)),"")</f>
        <v/>
      </c>
      <c r="R23" s="26" t="str">
        <f>_xlfn.IFNA(INDEX(Tabel13423234[brp_id],MATCH(S23,Tabel13423234[es_id],0)),"")</f>
        <v/>
      </c>
      <c r="S23" s="26" t="str">
        <f t="shared" si="7"/>
        <v/>
      </c>
      <c r="T23" s="19">
        <f t="shared" si="7"/>
        <v>0</v>
      </c>
      <c r="U23" s="19">
        <f>V23+U22</f>
        <v>0</v>
      </c>
      <c r="V23" s="19">
        <f>T23-W22</f>
        <v>0</v>
      </c>
      <c r="W23" s="23">
        <f t="shared" si="0"/>
        <v>0</v>
      </c>
      <c r="X23" s="27" t="str" cm="1">
        <f t="array" ref="X23">_xlfn._xlws.SORT(_xlfn.UNIQUE(IFERROR(INDEX(_xlfn._xlws.FILTER(Tabel13423234[[type]:[brp_id]],(Tabel13423234[es_id]=AC6)*(Tabel13423234[settlement_method]="D01"),""),,6),"")))</f>
        <v/>
      </c>
      <c r="Y23" s="27"/>
      <c r="Z23" s="2"/>
      <c r="AA23" s="2"/>
      <c r="AB23" s="36"/>
      <c r="AC23" s="35"/>
      <c r="AD23" s="35"/>
      <c r="AE23" s="36"/>
      <c r="AF23" s="36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x14ac:dyDescent="0.25">
      <c r="B24" s="16" t="str">
        <f>IF(AND(F24&lt;&gt;"null",F24&lt;&gt;""),IF(F24=INDEX(Tabel13423234[es_id],MATCH("GLMP",Tabel13423234[note],0),1),"glmp",""),IF(AND(G24&lt;&gt;"null",G24&lt;&gt;""),IF(G24=INDEX(Tabel13423234[brp_id],MATCH("GLMP",Tabel13423234[note],0),1),"glmp",""),IF(E24=INDEX(Tabel13423234[ga_id],MATCH("GLMP",Tabel13423234[note],0),1),"glmp","")))</f>
        <v>glmp</v>
      </c>
      <c r="C24" s="16" t="str">
        <f>IF(AND(F24&lt;&gt;"null",F24&lt;&gt;""),IF(F24=INDEX(Tabel13423234[es_id],MATCH("SKMP",Tabel13423234[note],0),1),"skmp",""),IF(AND(G24&lt;&gt;"null",G24&lt;&gt;""),IF(G24=INDEX(Tabel13423234[brp_id],MATCH("SKMP",Tabel13423234[note],0),1),"skmp",""),IF(E24=INDEX(Tabel13423234[ga_id],MATCH("SKMP",Tabel13423234[note],0),1),"skmp","")))</f>
        <v/>
      </c>
      <c r="D24" s="15" t="s">
        <v>77</v>
      </c>
      <c r="E24" s="31" t="str">
        <f t="shared" si="4"/>
        <v>800</v>
      </c>
      <c r="F24" s="31" t="str">
        <f>IF(B$1="ga",IF(E24="","","null"),IF(OR(B$1="ga_es",B$1="ga_brp_es"),IF(AC$2=0,"",AC$2),IF(B$1="ga_brp",IF(G24="","","null"))))</f>
        <v>2000000000000</v>
      </c>
      <c r="G24" s="31" t="str">
        <f>IF(B$1="ga",IF(E24="","","null"),IF(B$1="ga_es",IF(F24="","","null"),IF(B$1="ga_brp",IF(AD$2=0,"",AD$2),IF(F24="","",INDEX(Tabel13423234[brp_id],MATCH(F24,Tabel13423234[es_id],0),1)))))</f>
        <v>2200000000000</v>
      </c>
      <c r="H24" s="33" t="str">
        <f t="shared" si="8"/>
        <v>20</v>
      </c>
      <c r="I24" s="9">
        <f t="shared" si="5"/>
        <v>0</v>
      </c>
      <c r="J24" s="9">
        <f>IF(D24="Quarter1",SUMIFS(Tabel13423234[quantity],IF(OR(B$1="ga_es",B$1="ga_brp_es"),Tabel13423234[es_id],IF(B$1="ga_brp",Tabel13423234[brp_id],Tabel13423234[ga_id])),IF(OR(B$1="ga_es",B$1="ga_brp_es"),F24,IF(B$1="ga_brp",G24,E24)),IF(B$2="production",Tabel13423234[type],Tabel13423234[settlement_method]),AE$2,Tabel13423234[resolution],"PT15M"),0)</f>
        <v>0</v>
      </c>
      <c r="K24" s="9">
        <f t="shared" si="6"/>
        <v>20</v>
      </c>
      <c r="L24" s="2"/>
      <c r="M24" s="2"/>
      <c r="N24" s="2"/>
      <c r="O24" s="2"/>
      <c r="P24" s="15" t="s">
        <v>78</v>
      </c>
      <c r="Q24" s="26" t="str">
        <f>_xlfn.IFNA(INDEX(Tabel13423234[ga_id],MATCH(S24,Tabel13423234[es_id],0)),"")</f>
        <v/>
      </c>
      <c r="R24" s="26" t="str">
        <f>_xlfn.IFNA(INDEX(Tabel13423234[brp_id],MATCH(S24,Tabel13423234[es_id],0)),"")</f>
        <v/>
      </c>
      <c r="S24" s="26" t="str">
        <f t="shared" si="7"/>
        <v/>
      </c>
      <c r="T24" s="19">
        <f t="shared" si="7"/>
        <v>0</v>
      </c>
      <c r="U24" s="19">
        <f>V24+U23</f>
        <v>0</v>
      </c>
      <c r="V24" s="19">
        <f>T24-W23</f>
        <v>0</v>
      </c>
      <c r="W24" s="23">
        <f t="shared" si="0"/>
        <v>0</v>
      </c>
      <c r="X24" s="27" t="str" cm="1">
        <f t="array" ref="X24">_xlfn._xlws.SORT(_xlfn.UNIQUE(IFERROR(INDEX(_xlfn._xlws.FILTER(Tabel13423234[[type]:[brp_id]],(Tabel13423234[es_id]=AC7)*(Tabel13423234[settlement_method]="D01"),""),,6),"")))</f>
        <v/>
      </c>
      <c r="Y24" s="27"/>
      <c r="Z24" s="2"/>
      <c r="AA24" s="2"/>
      <c r="AB24" s="36"/>
      <c r="AC24" s="35"/>
      <c r="AD24" s="35"/>
      <c r="AE24" s="36"/>
      <c r="AF24" s="36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x14ac:dyDescent="0.25">
      <c r="B25" s="16" t="str">
        <f>IF(AND(F25&lt;&gt;"null",F25&lt;&gt;""),IF(F25=INDEX(Tabel13423234[es_id],MATCH("GLMP",Tabel13423234[note],0),1),"glmp",""),IF(AND(G25&lt;&gt;"null",G25&lt;&gt;""),IF(G25=INDEX(Tabel13423234[brp_id],MATCH("GLMP",Tabel13423234[note],0),1),"glmp",""),IF(E25=INDEX(Tabel13423234[ga_id],MATCH("GLMP",Tabel13423234[note],0),1),"glmp","")))</f>
        <v>glmp</v>
      </c>
      <c r="C25" s="16" t="str">
        <f>IF(AND(F25&lt;&gt;"null",F25&lt;&gt;""),IF(F25=INDEX(Tabel13423234[es_id],MATCH("SKMP",Tabel13423234[note],0),1),"skmp",""),IF(AND(G25&lt;&gt;"null",G25&lt;&gt;""),IF(G25=INDEX(Tabel13423234[brp_id],MATCH("SKMP",Tabel13423234[note],0),1),"skmp",""),IF(E25=INDEX(Tabel13423234[ga_id],MATCH("SKMP",Tabel13423234[note],0),1),"skmp","")))</f>
        <v/>
      </c>
      <c r="D25" s="15" t="s">
        <v>78</v>
      </c>
      <c r="E25" s="31" t="str">
        <f t="shared" si="4"/>
        <v>800</v>
      </c>
      <c r="F25" s="31" t="str">
        <f>IF(B$1="ga",IF(E25="","","null"),IF(OR(B$1="ga_es",B$1="ga_brp_es"),IF(AC$2=0,"",AC$2),IF(B$1="ga_brp",IF(G25="","","null"))))</f>
        <v>2000000000000</v>
      </c>
      <c r="G25" s="31" t="str">
        <f>IF(B$1="ga",IF(E25="","","null"),IF(B$1="ga_es",IF(F25="","","null"),IF(B$1="ga_brp",IF(AD$2=0,"",AD$2),IF(F25="","",INDEX(Tabel13423234[brp_id],MATCH(F25,Tabel13423234[es_id],0),1)))))</f>
        <v>2200000000000</v>
      </c>
      <c r="H25" s="33" t="str">
        <f t="shared" si="8"/>
        <v>20</v>
      </c>
      <c r="I25" s="9">
        <f t="shared" si="5"/>
        <v>0</v>
      </c>
      <c r="J25" s="9">
        <f>IF(D25="Quarter1",SUMIFS(Tabel13423234[quantity],IF(OR(B$1="ga_es",B$1="ga_brp_es"),Tabel13423234[es_id],IF(B$1="ga_brp",Tabel13423234[brp_id],Tabel13423234[ga_id])),IF(OR(B$1="ga_es",B$1="ga_brp_es"),F25,IF(B$1="ga_brp",G25,E25)),IF(B$2="production",Tabel13423234[type],Tabel13423234[settlement_method]),AE$2,Tabel13423234[resolution],"PT15M"),0)</f>
        <v>0</v>
      </c>
      <c r="K25" s="9">
        <f t="shared" si="6"/>
        <v>20</v>
      </c>
      <c r="L25" s="2"/>
      <c r="M25" s="2"/>
      <c r="N25" s="2"/>
      <c r="O25" s="2"/>
      <c r="P25" s="15" t="s">
        <v>75</v>
      </c>
      <c r="Q25" s="26" t="str">
        <f>_xlfn.IFNA(INDEX(Tabel13423234[ga_id],MATCH(S25,Tabel13423234[es_id],0)),"")</f>
        <v/>
      </c>
      <c r="R25" s="26" t="str">
        <f>_xlfn.IFNA(INDEX(Tabel13423234[brp_id],MATCH(S25,Tabel13423234[es_id],0)),"")</f>
        <v/>
      </c>
      <c r="S25" s="26" t="str">
        <f>IF(AC$6=0,"",AC$6)</f>
        <v/>
      </c>
      <c r="T25" s="20">
        <f>SUMIFS(Tabel13423234[quantity],Tabel13423234[es_id],S25,IF(B$2="production",Tabel13423234[type],Tabel13423234[settlement_method]),AE$2,Tabel13423234[resolution],"PT1H")/4</f>
        <v>0</v>
      </c>
      <c r="U25" s="19">
        <f>T25</f>
        <v>0</v>
      </c>
      <c r="V25" s="19"/>
      <c r="W25" s="23">
        <f t="shared" si="0"/>
        <v>0</v>
      </c>
      <c r="X25" s="24"/>
      <c r="Y25" s="27"/>
      <c r="Z25" s="2"/>
      <c r="AA25" s="2"/>
      <c r="AB25" s="36"/>
      <c r="AC25" s="35"/>
      <c r="AD25" s="35"/>
      <c r="AE25" s="36"/>
      <c r="AF25" s="36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x14ac:dyDescent="0.25">
      <c r="B26" s="16" t="str">
        <f>IF(AND(F26&lt;&gt;"null",F26&lt;&gt;""),IF(F26=INDEX(Tabel13423234[es_id],MATCH("GLMP",Tabel13423234[note],0),1),"glmp",""),IF(AND(G26&lt;&gt;"null",G26&lt;&gt;""),IF(G26=INDEX(Tabel13423234[brp_id],MATCH("GLMP",Tabel13423234[note],0),1),"glmp",""),IF(E26=INDEX(Tabel13423234[ga_id],MATCH("GLMP",Tabel13423234[note],0),1),"glmp","")))</f>
        <v/>
      </c>
      <c r="C26" s="16" t="str">
        <f>IF(AND(F26&lt;&gt;"null",F26&lt;&gt;""),IF(F26=INDEX(Tabel13423234[es_id],MATCH("SKMP",Tabel13423234[note],0),1),"skmp",""),IF(AND(G26&lt;&gt;"null",G26&lt;&gt;""),IF(G26=INDEX(Tabel13423234[brp_id],MATCH("SKMP",Tabel13423234[note],0),1),"skmp",""),IF(E26=INDEX(Tabel13423234[ga_id],MATCH("SKMP",Tabel13423234[note],0),1),"skmp","")))</f>
        <v/>
      </c>
      <c r="D26" s="15" t="s">
        <v>75</v>
      </c>
      <c r="E26" s="31" t="str">
        <f t="shared" si="4"/>
        <v/>
      </c>
      <c r="F26" s="31" t="str">
        <f>IF(B$1="ga",IF(E26="","","null"),IF(OR(B$1="ga_es",B$1="ga_brp_es"),IF(AC$3=0,"",AC$3),IF(B$1="ga_brp",IF(G26="","","null"))))</f>
        <v/>
      </c>
      <c r="G26" s="31" t="str">
        <f>IF(B$1="ga",IF(E26="","","null"),IF(B$1="ga_es",IF(F26="","","null"),IF(B$1="ga_brp",IF(AD$3=0,"",AD$3),IF(F26="","",INDEX(Tabel13423234[brp_id],MATCH(F26,Tabel13423234[es_id],0),1)))))</f>
        <v/>
      </c>
      <c r="H26" s="33" t="str">
        <f t="shared" si="8"/>
        <v/>
      </c>
      <c r="I26" s="9">
        <f t="shared" si="5"/>
        <v>0</v>
      </c>
      <c r="J26" s="9">
        <f>IF(D26="Quarter1",SUMIFS(Tabel13423234[quantity],IF(OR(B$1="ga_es",B$1="ga_brp_es"),Tabel13423234[es_id],IF(B$1="ga_brp",Tabel13423234[brp_id],Tabel13423234[ga_id])),IF(OR(B$1="ga_es",B$1="ga_brp_es"),F26,IF(B$1="ga_brp",G26,E26)),IF(B$2="production",Tabel13423234[type],Tabel13423234[settlement_method]),AE$2,Tabel13423234[resolution],"PT15M"),0)</f>
        <v>0</v>
      </c>
      <c r="K26" s="9">
        <f t="shared" si="6"/>
        <v>0</v>
      </c>
      <c r="L26" s="2"/>
      <c r="M26" s="2"/>
      <c r="N26" s="2"/>
      <c r="O26" s="2"/>
      <c r="P26" s="15" t="s">
        <v>76</v>
      </c>
      <c r="Q26" s="26" t="str">
        <f>_xlfn.IFNA(INDEX(Tabel13423234[ga_id],MATCH(S26,Tabel13423234[es_id],0)),"")</f>
        <v/>
      </c>
      <c r="R26" s="26" t="str">
        <f>_xlfn.IFNA(INDEX(Tabel13423234[brp_id],MATCH(S26,Tabel13423234[es_id],0)),"")</f>
        <v/>
      </c>
      <c r="S26" s="26" t="str">
        <f t="shared" ref="S26:T28" si="9">S$25</f>
        <v/>
      </c>
      <c r="T26" s="19">
        <f t="shared" si="9"/>
        <v>0</v>
      </c>
      <c r="U26" s="19">
        <f>V26+U25</f>
        <v>0</v>
      </c>
      <c r="V26" s="19">
        <f>T26-W25</f>
        <v>0</v>
      </c>
      <c r="W26" s="23">
        <f t="shared" si="0"/>
        <v>0</v>
      </c>
      <c r="X26" s="24"/>
      <c r="Y26" s="27"/>
      <c r="Z26" s="2"/>
      <c r="AA26" s="2"/>
      <c r="AB26" s="36"/>
      <c r="AC26" s="35"/>
      <c r="AD26" s="35"/>
      <c r="AE26" s="36"/>
      <c r="AF26" s="36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x14ac:dyDescent="0.25">
      <c r="B27" s="16" t="str">
        <f>IF(AND(F27&lt;&gt;"null",F27&lt;&gt;""),IF(F27=INDEX(Tabel13423234[es_id],MATCH("GLMP",Tabel13423234[note],0),1),"glmp",""),IF(AND(G27&lt;&gt;"null",G27&lt;&gt;""),IF(G27=INDEX(Tabel13423234[brp_id],MATCH("GLMP",Tabel13423234[note],0),1),"glmp",""),IF(E27=INDEX(Tabel13423234[ga_id],MATCH("GLMP",Tabel13423234[note],0),1),"glmp","")))</f>
        <v/>
      </c>
      <c r="C27" s="16" t="str">
        <f>IF(AND(F27&lt;&gt;"null",F27&lt;&gt;""),IF(F27=INDEX(Tabel13423234[es_id],MATCH("SKMP",Tabel13423234[note],0),1),"skmp",""),IF(AND(G27&lt;&gt;"null",G27&lt;&gt;""),IF(G27=INDEX(Tabel13423234[brp_id],MATCH("SKMP",Tabel13423234[note],0),1),"skmp",""),IF(E27=INDEX(Tabel13423234[ga_id],MATCH("SKMP",Tabel13423234[note],0),1),"skmp","")))</f>
        <v/>
      </c>
      <c r="D27" s="15" t="s">
        <v>76</v>
      </c>
      <c r="E27" s="31" t="str">
        <f t="shared" si="4"/>
        <v/>
      </c>
      <c r="F27" s="31" t="str">
        <f>IF(B$1="ga",IF(E27="","","null"),IF(OR(B$1="ga_es",B$1="ga_brp_es"),IF(AC$3=0,"",AC$3),IF(B$1="ga_brp",IF(G27="","","null"))))</f>
        <v/>
      </c>
      <c r="G27" s="31" t="str">
        <f>IF(B$1="ga",IF(E27="","","null"),IF(B$1="ga_es",IF(F27="","","null"),IF(B$1="ga_brp",IF(AD$3=0,"",AD$3),IF(F27="","",INDEX(Tabel13423234[brp_id],MATCH(F27,Tabel13423234[es_id],0),1)))))</f>
        <v/>
      </c>
      <c r="H27" s="33" t="str">
        <f t="shared" si="8"/>
        <v/>
      </c>
      <c r="I27" s="9">
        <f t="shared" si="5"/>
        <v>0</v>
      </c>
      <c r="J27" s="9">
        <f>IF(D27="Quarter1",SUMIFS(Tabel13423234[quantity],IF(OR(B$1="ga_es",B$1="ga_brp_es"),Tabel13423234[es_id],IF(B$1="ga_brp",Tabel13423234[brp_id],Tabel13423234[ga_id])),IF(OR(B$1="ga_es",B$1="ga_brp_es"),F27,IF(B$1="ga_brp",G27,E27)),IF(B$2="production",Tabel13423234[type],Tabel13423234[settlement_method]),AE$2,Tabel13423234[resolution],"PT15M"),0)</f>
        <v>0</v>
      </c>
      <c r="K27" s="9">
        <f t="shared" si="6"/>
        <v>0</v>
      </c>
      <c r="L27" s="2"/>
      <c r="M27" s="2"/>
      <c r="N27" s="2"/>
      <c r="O27" s="2"/>
      <c r="P27" s="15" t="s">
        <v>77</v>
      </c>
      <c r="Q27" s="26" t="str">
        <f>_xlfn.IFNA(INDEX(Tabel13423234[ga_id],MATCH(S27,Tabel13423234[es_id],0)),"")</f>
        <v/>
      </c>
      <c r="R27" s="26" t="str">
        <f>_xlfn.IFNA(INDEX(Tabel13423234[brp_id],MATCH(S27,Tabel13423234[es_id],0)),"")</f>
        <v/>
      </c>
      <c r="S27" s="26" t="str">
        <f t="shared" si="9"/>
        <v/>
      </c>
      <c r="T27" s="19">
        <f t="shared" si="9"/>
        <v>0</v>
      </c>
      <c r="U27" s="19">
        <f>V27+U26</f>
        <v>0</v>
      </c>
      <c r="V27" s="19">
        <f>T27-W26</f>
        <v>0</v>
      </c>
      <c r="W27" s="23">
        <f t="shared" si="0"/>
        <v>0</v>
      </c>
      <c r="X27" s="24"/>
      <c r="Y27" s="27"/>
      <c r="Z27" s="2"/>
      <c r="AA27" s="2"/>
      <c r="AB27" s="36"/>
      <c r="AC27" s="36" t="str">
        <f>_xlfn.CONCAT("Energy suppliers for "&amp;B2)</f>
        <v>Energy suppliers for flex_consumption</v>
      </c>
      <c r="AD27" s="36" t="str">
        <f>_xlfn.CONCAT("Balance responsibles for "&amp;B2)</f>
        <v>Balance responsibles for flex_consumption</v>
      </c>
      <c r="AE27" s="36"/>
      <c r="AF27" s="36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x14ac:dyDescent="0.25">
      <c r="B28" s="16" t="str">
        <f>IF(AND(F28&lt;&gt;"null",F28&lt;&gt;""),IF(F28=INDEX(Tabel13423234[es_id],MATCH("GLMP",Tabel13423234[note],0),1),"glmp",""),IF(AND(G28&lt;&gt;"null",G28&lt;&gt;""),IF(G28=INDEX(Tabel13423234[brp_id],MATCH("GLMP",Tabel13423234[note],0),1),"glmp",""),IF(E28=INDEX(Tabel13423234[ga_id],MATCH("GLMP",Tabel13423234[note],0),1),"glmp","")))</f>
        <v/>
      </c>
      <c r="C28" s="16" t="str">
        <f>IF(AND(F28&lt;&gt;"null",F28&lt;&gt;""),IF(F28=INDEX(Tabel13423234[es_id],MATCH("SKMP",Tabel13423234[note],0),1),"skmp",""),IF(AND(G28&lt;&gt;"null",G28&lt;&gt;""),IF(G28=INDEX(Tabel13423234[brp_id],MATCH("SKMP",Tabel13423234[note],0),1),"skmp",""),IF(E28=INDEX(Tabel13423234[ga_id],MATCH("SKMP",Tabel13423234[note],0),1),"skmp","")))</f>
        <v/>
      </c>
      <c r="D28" s="15" t="s">
        <v>77</v>
      </c>
      <c r="E28" s="31" t="str">
        <f t="shared" si="4"/>
        <v/>
      </c>
      <c r="F28" s="31" t="str">
        <f>IF(B$1="ga",IF(E28="","","null"),IF(OR(B$1="ga_es",B$1="ga_brp_es"),IF(AC$3=0,"",AC$3),IF(B$1="ga_brp",IF(G28="","","null"))))</f>
        <v/>
      </c>
      <c r="G28" s="31" t="str">
        <f>IF(B$1="ga",IF(E28="","","null"),IF(B$1="ga_es",IF(F28="","","null"),IF(B$1="ga_brp",IF(AD$3=0,"",AD$3),IF(F28="","",INDEX(Tabel13423234[brp_id],MATCH(F28,Tabel13423234[es_id],0),1)))))</f>
        <v/>
      </c>
      <c r="H28" s="33" t="str">
        <f t="shared" si="8"/>
        <v/>
      </c>
      <c r="I28" s="9">
        <f t="shared" si="5"/>
        <v>0</v>
      </c>
      <c r="J28" s="9">
        <f>IF(D28="Quarter1",SUMIFS(Tabel13423234[quantity],IF(OR(B$1="ga_es",B$1="ga_brp_es"),Tabel13423234[es_id],IF(B$1="ga_brp",Tabel13423234[brp_id],Tabel13423234[ga_id])),IF(OR(B$1="ga_es",B$1="ga_brp_es"),F28,IF(B$1="ga_brp",G28,E28)),IF(B$2="production",Tabel13423234[type],Tabel13423234[settlement_method]),AE$2,Tabel13423234[resolution],"PT15M"),0)</f>
        <v>0</v>
      </c>
      <c r="K28" s="9">
        <f t="shared" si="6"/>
        <v>0</v>
      </c>
      <c r="L28" s="2"/>
      <c r="M28" s="2"/>
      <c r="N28" s="2"/>
      <c r="O28" s="2"/>
      <c r="P28" s="15" t="s">
        <v>78</v>
      </c>
      <c r="Q28" s="26" t="str">
        <f>_xlfn.IFNA(INDEX(Tabel13423234[ga_id],MATCH(S28,Tabel13423234[es_id],0)),"")</f>
        <v/>
      </c>
      <c r="R28" s="26" t="str">
        <f>_xlfn.IFNA(INDEX(Tabel13423234[brp_id],MATCH(S28,Tabel13423234[es_id],0)),"")</f>
        <v/>
      </c>
      <c r="S28" s="26" t="str">
        <f t="shared" si="9"/>
        <v/>
      </c>
      <c r="T28" s="19">
        <f t="shared" si="9"/>
        <v>0</v>
      </c>
      <c r="U28" s="19">
        <f>V28+U27</f>
        <v>0</v>
      </c>
      <c r="V28" s="19">
        <f>T28-W27</f>
        <v>0</v>
      </c>
      <c r="W28" s="23">
        <f t="shared" si="0"/>
        <v>0</v>
      </c>
      <c r="X28" s="24"/>
      <c r="Y28" s="27"/>
      <c r="Z28" s="2"/>
      <c r="AA28" s="2"/>
      <c r="AB28" s="36"/>
      <c r="AC28" s="36" t="str" cm="1">
        <f t="array" ref="AC28">IFERROR(IF($B$2="production",INDEX(_xlfn._xlws.FILTER(Tabel13423234[[type]:[brp_id]],(Tabel13423234[es_id]=AC13)*(Tabel13423234[type]="E18"),""),,6),INDEX(_xlfn._xlws.FILTER(Tabel13423234[[type]:[brp_id]],(Tabel13423234[es_id]=AC13)*(Tabel13423234[settlement_method]=AE$2),""),,6)),"")</f>
        <v/>
      </c>
      <c r="AD28" s="36" t="str" cm="1">
        <f t="array" ref="AD28">IFERROR(IF($B$2="production",INDEX(_xlfn._xlws.FILTER(Tabel13423234[[type]:[brp_id]],(Tabel13423234[brp_id]=AD13)*(Tabel13423234[type]=$AE$2),""),,7),INDEX(_xlfn._xlws.FILTER(Tabel13423234[[type]:[brp_id]],(Tabel13423234[brp_id]=AD13)*(Tabel13423234[settlement_method]=AE$2),""),,7)),"")</f>
        <v/>
      </c>
      <c r="AE28" s="36"/>
      <c r="AF28" s="36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x14ac:dyDescent="0.25">
      <c r="B29" s="16" t="str">
        <f>IF(AND(F29&lt;&gt;"null",F29&lt;&gt;""),IF(F29=INDEX(Tabel13423234[es_id],MATCH("GLMP",Tabel13423234[note],0),1),"glmp",""),IF(AND(G29&lt;&gt;"null",G29&lt;&gt;""),IF(G29=INDEX(Tabel13423234[brp_id],MATCH("GLMP",Tabel13423234[note],0),1),"glmp",""),IF(E29=INDEX(Tabel13423234[ga_id],MATCH("GLMP",Tabel13423234[note],0),1),"glmp","")))</f>
        <v/>
      </c>
      <c r="C29" s="16" t="str">
        <f>IF(AND(F29&lt;&gt;"null",F29&lt;&gt;""),IF(F29=INDEX(Tabel13423234[es_id],MATCH("SKMP",Tabel13423234[note],0),1),"skmp",""),IF(AND(G29&lt;&gt;"null",G29&lt;&gt;""),IF(G29=INDEX(Tabel13423234[brp_id],MATCH("SKMP",Tabel13423234[note],0),1),"skmp",""),IF(E29=INDEX(Tabel13423234[ga_id],MATCH("SKMP",Tabel13423234[note],0),1),"skmp","")))</f>
        <v/>
      </c>
      <c r="D29" s="15" t="s">
        <v>78</v>
      </c>
      <c r="E29" s="31" t="str">
        <f t="shared" si="4"/>
        <v/>
      </c>
      <c r="F29" s="31" t="str">
        <f>IF(B$1="ga",IF(E29="","","null"),IF(OR(B$1="ga_es",B$1="ga_brp_es"),IF(AC$3=0,"",AC$3),IF(B$1="ga_brp",IF(G29="","","null"))))</f>
        <v/>
      </c>
      <c r="G29" s="31" t="str">
        <f>IF(B$1="ga",IF(E29="","","null"),IF(B$1="ga_es",IF(F29="","","null"),IF(B$1="ga_brp",IF(AD$3=0,"",AD$3),IF(F29="","",INDEX(Tabel13423234[brp_id],MATCH(F29,Tabel13423234[es_id],0),1)))))</f>
        <v/>
      </c>
      <c r="H29" s="33" t="str">
        <f t="shared" si="8"/>
        <v/>
      </c>
      <c r="I29" s="9">
        <f t="shared" si="5"/>
        <v>0</v>
      </c>
      <c r="J29" s="9">
        <f>IF(D29="Quarter1",SUMIFS(Tabel13423234[quantity],IF(OR(B$1="ga_es",B$1="ga_brp_es"),Tabel13423234[es_id],IF(B$1="ga_brp",Tabel13423234[brp_id],Tabel13423234[ga_id])),IF(OR(B$1="ga_es",B$1="ga_brp_es"),F29,IF(B$1="ga_brp",G29,E29)),IF(B$2="production",Tabel13423234[type],Tabel13423234[settlement_method]),AE$2,Tabel13423234[resolution],"PT15M"),0)</f>
        <v>0</v>
      </c>
      <c r="K29" s="9">
        <f t="shared" si="6"/>
        <v>0</v>
      </c>
      <c r="L29" s="2"/>
      <c r="P29" s="15" t="s">
        <v>75</v>
      </c>
      <c r="Q29" s="26" t="str">
        <f>_xlfn.IFNA(INDEX(Tabel13423234[ga_id],MATCH(S29,Tabel13423234[es_id],0)),"")</f>
        <v/>
      </c>
      <c r="R29" s="26" t="str">
        <f>_xlfn.IFNA(INDEX(Tabel13423234[brp_id],MATCH(S29,Tabel13423234[es_id],0)),"")</f>
        <v/>
      </c>
      <c r="S29" s="26" t="str">
        <f>IF(AC$7=0,"",AC$7)</f>
        <v/>
      </c>
      <c r="T29" s="20">
        <f>SUMIFS(Tabel13423234[quantity],Tabel13423234[es_id],S29,IF(B$2="production",Tabel13423234[type],Tabel13423234[settlement_method]),AE$2,Tabel13423234[resolution],"PT1H")/4</f>
        <v>0</v>
      </c>
      <c r="U29" s="19">
        <f>T29</f>
        <v>0</v>
      </c>
      <c r="V29" s="19"/>
      <c r="W29" s="23">
        <f t="shared" si="0"/>
        <v>0</v>
      </c>
      <c r="X29" s="24"/>
      <c r="Y29" s="27"/>
      <c r="Z29" s="2"/>
      <c r="AA29" s="2"/>
      <c r="AB29" s="36"/>
      <c r="AC29" s="36" t="str" cm="1">
        <f t="array" ref="AC29">IFERROR(IF($B$2="production",INDEX(_xlfn._xlws.FILTER(Tabel13423234[[type]:[brp_id]],(Tabel13423234[es_id]=AC14)*(Tabel13423234[type]="E18"),""),,6),INDEX(_xlfn._xlws.FILTER(Tabel13423234[[type]:[brp_id]],(Tabel13423234[es_id]=AC14)*(Tabel13423234[settlement_method]=AE$2),""),,6)),"")</f>
        <v>2000000000000</v>
      </c>
      <c r="AD29" s="36" t="str" cm="1">
        <f t="array" ref="AD29">IFERROR(IF($B$2="production",INDEX(_xlfn._xlws.FILTER(Tabel13423234[[type]:[brp_id]],(Tabel13423234[brp_id]=AD14)*(Tabel13423234[type]=$AE$2),""),,7),INDEX(_xlfn._xlws.FILTER(Tabel13423234[[type]:[brp_id]],(Tabel13423234[brp_id]=AD14)*(Tabel13423234[settlement_method]=AE$2),""),,7)),"")</f>
        <v>2200000000000</v>
      </c>
      <c r="AE29" s="36"/>
      <c r="AF29" s="36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x14ac:dyDescent="0.25">
      <c r="B30" s="16" t="str">
        <f>IF(AND(F30&lt;&gt;"null",F30&lt;&gt;""),IF(F30=INDEX(Tabel13423234[es_id],MATCH("GLMP",Tabel13423234[note],0),1),"glmp",""),IF(AND(G30&lt;&gt;"null",G30&lt;&gt;""),IF(G30=INDEX(Tabel13423234[brp_id],MATCH("GLMP",Tabel13423234[note],0),1),"glmp",""),IF(E30=INDEX(Tabel13423234[ga_id],MATCH("GLMP",Tabel13423234[note],0),1),"glmp","")))</f>
        <v/>
      </c>
      <c r="C30" s="16" t="str">
        <f>IF(AND(F30&lt;&gt;"null",F30&lt;&gt;""),IF(F30=INDEX(Tabel13423234[es_id],MATCH("SKMP",Tabel13423234[note],0),1),"skmp",""),IF(AND(G30&lt;&gt;"null",G30&lt;&gt;""),IF(G30=INDEX(Tabel13423234[brp_id],MATCH("SKMP",Tabel13423234[note],0),1),"skmp",""),IF(E30=INDEX(Tabel13423234[ga_id],MATCH("SKMP",Tabel13423234[note],0),1),"skmp","")))</f>
        <v/>
      </c>
      <c r="D30" s="15" t="s">
        <v>75</v>
      </c>
      <c r="E30" s="31" t="str">
        <f t="shared" si="4"/>
        <v/>
      </c>
      <c r="F30" s="31" t="str">
        <f>IF(B$1="ga",IF(E30="","","null"),IF(OR(B$1="ga_es",B$1="ga_brp_es"),IF(AC$4=0,"",AC$4),IF(B$1="ga_brp",IF(G30="","","null"))))</f>
        <v/>
      </c>
      <c r="G30" s="31" t="str">
        <f>IF(B$1="ga",IF(E30="","","null"),IF(B$1="ga_es",IF(F30="","","null"),IF(B$1="ga_brp",IF(AD$4=0,"",AD$4),IF(F30="","",INDEX(Tabel13423234[brp_id],MATCH(F30,Tabel13423234[es_id],0),1)))))</f>
        <v/>
      </c>
      <c r="H30" s="33" t="str">
        <f t="shared" si="8"/>
        <v/>
      </c>
      <c r="I30" s="9">
        <f t="shared" si="5"/>
        <v>0</v>
      </c>
      <c r="J30" s="9">
        <f>IF(D30="Quarter1",SUMIFS(Tabel13423234[quantity],IF(OR(B$1="ga_es",B$1="ga_brp_es"),Tabel13423234[es_id],IF(B$1="ga_brp",Tabel13423234[brp_id],Tabel13423234[ga_id])),IF(OR(B$1="ga_es",B$1="ga_brp_es"),F30,IF(B$1="ga_brp",G30,E30)),IF(B$2="production",Tabel13423234[type],Tabel13423234[settlement_method]),AE$2,Tabel13423234[resolution],"PT15M"),0)</f>
        <v>0</v>
      </c>
      <c r="K30" s="9">
        <f t="shared" si="6"/>
        <v>0</v>
      </c>
      <c r="L30" s="2"/>
      <c r="P30" s="15" t="s">
        <v>76</v>
      </c>
      <c r="Q30" s="26" t="str">
        <f>_xlfn.IFNA(INDEX(Tabel13423234[ga_id],MATCH(S30,Tabel13423234[es_id],0)),"")</f>
        <v/>
      </c>
      <c r="R30" s="26" t="str">
        <f>_xlfn.IFNA(INDEX(Tabel13423234[brp_id],MATCH(S30,Tabel13423234[es_id],0)),"")</f>
        <v/>
      </c>
      <c r="S30" s="26" t="str">
        <f t="shared" ref="S30:T32" si="10">S$29</f>
        <v/>
      </c>
      <c r="T30" s="19">
        <f t="shared" si="10"/>
        <v>0</v>
      </c>
      <c r="U30" s="19">
        <f>V30+U29</f>
        <v>0</v>
      </c>
      <c r="V30" s="19">
        <f>T30-W29</f>
        <v>0</v>
      </c>
      <c r="W30" s="23">
        <f t="shared" si="0"/>
        <v>0</v>
      </c>
      <c r="X30" s="24"/>
      <c r="Y30" s="27"/>
      <c r="Z30" s="2"/>
      <c r="AA30" s="2"/>
      <c r="AB30" s="36"/>
      <c r="AC30" s="36" t="str" cm="1">
        <f t="array" ref="AC30">IFERROR(IF($B$2="production",INDEX(_xlfn._xlws.FILTER(Tabel13423234[[type]:[brp_id]],(Tabel13423234[es_id]=AC15)*(Tabel13423234[type]="E18"),""),,6),INDEX(_xlfn._xlws.FILTER(Tabel13423234[[type]:[brp_id]],(Tabel13423234[es_id]=AC15)*(Tabel13423234[settlement_method]=AE$2),""),,6)),"")</f>
        <v/>
      </c>
      <c r="AD30" s="36" t="str" cm="1">
        <f t="array" ref="AD30">IFERROR(IF($B$2="production",INDEX(_xlfn._xlws.FILTER(Tabel13423234[[type]:[brp_id]],(Tabel13423234[brp_id]=AD15)*(Tabel13423234[type]=$AE$2),""),,7),INDEX(_xlfn._xlws.FILTER(Tabel13423234[[type]:[brp_id]],(Tabel13423234[brp_id]=AD15)*(Tabel13423234[settlement_method]=AE$2),""),,7)),"")</f>
        <v/>
      </c>
      <c r="AE30" s="36"/>
      <c r="AF30" s="36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x14ac:dyDescent="0.25">
      <c r="B31" s="16" t="str">
        <f>IF(AND(F31&lt;&gt;"null",F31&lt;&gt;""),IF(F31=INDEX(Tabel13423234[es_id],MATCH("GLMP",Tabel13423234[note],0),1),"glmp",""),IF(AND(G31&lt;&gt;"null",G31&lt;&gt;""),IF(G31=INDEX(Tabel13423234[brp_id],MATCH("GLMP",Tabel13423234[note],0),1),"glmp",""),IF(E31=INDEX(Tabel13423234[ga_id],MATCH("GLMP",Tabel13423234[note],0),1),"glmp","")))</f>
        <v/>
      </c>
      <c r="C31" s="16" t="str">
        <f>IF(AND(F31&lt;&gt;"null",F31&lt;&gt;""),IF(F31=INDEX(Tabel13423234[es_id],MATCH("SKMP",Tabel13423234[note],0),1),"skmp",""),IF(AND(G31&lt;&gt;"null",G31&lt;&gt;""),IF(G31=INDEX(Tabel13423234[brp_id],MATCH("SKMP",Tabel13423234[note],0),1),"skmp",""),IF(E31=INDEX(Tabel13423234[ga_id],MATCH("SKMP",Tabel13423234[note],0),1),"skmp","")))</f>
        <v/>
      </c>
      <c r="D31" s="15" t="s">
        <v>76</v>
      </c>
      <c r="E31" s="31" t="str">
        <f t="shared" si="4"/>
        <v/>
      </c>
      <c r="F31" s="31" t="str">
        <f>IF(B$1="ga",IF(E31="","","null"),IF(OR(B$1="ga_es",B$1="ga_brp_es"),IF(AC$4=0,"",AC$4),IF(B$1="ga_brp",IF(G31="","","null"))))</f>
        <v/>
      </c>
      <c r="G31" s="31" t="str">
        <f>IF(B$1="ga",IF(E31="","","null"),IF(B$1="ga_es",IF(F31="","","null"),IF(B$1="ga_brp",IF(AD$4=0,"",AD$4),IF(F31="","",INDEX(Tabel13423234[brp_id],MATCH(F31,Tabel13423234[es_id],0),1)))))</f>
        <v/>
      </c>
      <c r="H31" s="33" t="str">
        <f t="shared" si="8"/>
        <v/>
      </c>
      <c r="I31" s="9">
        <f t="shared" si="5"/>
        <v>0</v>
      </c>
      <c r="J31" s="9">
        <f>IF(D31="Quarter1",SUMIFS(Tabel13423234[quantity],IF(OR(B$1="ga_es",B$1="ga_brp_es"),Tabel13423234[es_id],IF(B$1="ga_brp",Tabel13423234[brp_id],Tabel13423234[ga_id])),IF(OR(B$1="ga_es",B$1="ga_brp_es"),F31,IF(B$1="ga_brp",G31,E31)),IF(B$2="production",Tabel13423234[type],Tabel13423234[settlement_method]),AE$2,Tabel13423234[resolution],"PT15M"),0)</f>
        <v>0</v>
      </c>
      <c r="K31" s="9">
        <f t="shared" si="6"/>
        <v>0</v>
      </c>
      <c r="L31" s="2"/>
      <c r="P31" s="15" t="s">
        <v>77</v>
      </c>
      <c r="Q31" s="26" t="str">
        <f>_xlfn.IFNA(INDEX(Tabel13423234[ga_id],MATCH(S31,Tabel13423234[es_id],0)),"")</f>
        <v/>
      </c>
      <c r="R31" s="26" t="str">
        <f>_xlfn.IFNA(INDEX(Tabel13423234[brp_id],MATCH(S31,Tabel13423234[es_id],0)),"")</f>
        <v/>
      </c>
      <c r="S31" s="26" t="str">
        <f t="shared" si="10"/>
        <v/>
      </c>
      <c r="T31" s="19">
        <f t="shared" si="10"/>
        <v>0</v>
      </c>
      <c r="U31" s="19">
        <f>V31+U30</f>
        <v>0</v>
      </c>
      <c r="V31" s="19">
        <f>T31-W30</f>
        <v>0</v>
      </c>
      <c r="W31" s="23">
        <f t="shared" si="0"/>
        <v>0</v>
      </c>
      <c r="X31" s="24"/>
      <c r="Y31" s="27"/>
      <c r="Z31" s="2"/>
      <c r="AA31" s="2"/>
      <c r="AB31" s="36"/>
      <c r="AC31" s="36" t="str" cm="1">
        <f t="array" ref="AC31">IFERROR(IF($B$2="production",INDEX(_xlfn._xlws.FILTER(Tabel13423234[[type]:[brp_id]],(Tabel13423234[es_id]=AC16)*(Tabel13423234[type]="E18"),""),,6),INDEX(_xlfn._xlws.FILTER(Tabel13423234[[type]:[brp_id]],(Tabel13423234[es_id]=AC16)*(Tabel13423234[settlement_method]=AE$2),""),,6)),"")</f>
        <v/>
      </c>
      <c r="AD31" s="36" t="str" cm="1">
        <f t="array" ref="AD31">IFERROR(IF($B$2="production",INDEX(_xlfn._xlws.FILTER(Tabel13423234[[type]:[brp_id]],(Tabel13423234[brp_id]=AD16)*(Tabel13423234[type]=$AE$2),""),,7),INDEX(_xlfn._xlws.FILTER(Tabel13423234[[type]:[brp_id]],(Tabel13423234[brp_id]=AD16)*(Tabel13423234[settlement_method]=AE$2),""),,7)),"")</f>
        <v/>
      </c>
      <c r="AE31" s="36"/>
      <c r="AF31" s="36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x14ac:dyDescent="0.25">
      <c r="B32" s="16" t="str">
        <f>IF(AND(F32&lt;&gt;"null",F32&lt;&gt;""),IF(F32=INDEX(Tabel13423234[es_id],MATCH("GLMP",Tabel13423234[note],0),1),"glmp",""),IF(AND(G32&lt;&gt;"null",G32&lt;&gt;""),IF(G32=INDEX(Tabel13423234[brp_id],MATCH("GLMP",Tabel13423234[note],0),1),"glmp",""),IF(E32=INDEX(Tabel13423234[ga_id],MATCH("GLMP",Tabel13423234[note],0),1),"glmp","")))</f>
        <v/>
      </c>
      <c r="C32" s="16" t="str">
        <f>IF(AND(F32&lt;&gt;"null",F32&lt;&gt;""),IF(F32=INDEX(Tabel13423234[es_id],MATCH("SKMP",Tabel13423234[note],0),1),"skmp",""),IF(AND(G32&lt;&gt;"null",G32&lt;&gt;""),IF(G32=INDEX(Tabel13423234[brp_id],MATCH("SKMP",Tabel13423234[note],0),1),"skmp",""),IF(E32=INDEX(Tabel13423234[ga_id],MATCH("SKMP",Tabel13423234[note],0),1),"skmp","")))</f>
        <v/>
      </c>
      <c r="D32" s="15" t="s">
        <v>77</v>
      </c>
      <c r="E32" s="31" t="str">
        <f t="shared" si="4"/>
        <v/>
      </c>
      <c r="F32" s="31" t="str">
        <f>IF(B$1="ga",IF(E32="","","null"),IF(OR(B$1="ga_es",B$1="ga_brp_es"),IF(AC$4=0,"",AC$4),IF(B$1="ga_brp",IF(G32="","","null"))))</f>
        <v/>
      </c>
      <c r="G32" s="31" t="str">
        <f>IF(B$1="ga",IF(E32="","","null"),IF(B$1="ga_es",IF(F32="","","null"),IF(B$1="ga_brp",IF(AD$4=0,"",AD$4),IF(F32="","",INDEX(Tabel13423234[brp_id],MATCH(F32,Tabel13423234[es_id],0),1)))))</f>
        <v/>
      </c>
      <c r="H32" s="33" t="str">
        <f t="shared" si="8"/>
        <v/>
      </c>
      <c r="I32" s="9">
        <f t="shared" si="5"/>
        <v>0</v>
      </c>
      <c r="J32" s="9">
        <f>IF(D32="Quarter1",SUMIFS(Tabel13423234[quantity],IF(OR(B$1="ga_es",B$1="ga_brp_es"),Tabel13423234[es_id],IF(B$1="ga_brp",Tabel13423234[brp_id],Tabel13423234[ga_id])),IF(OR(B$1="ga_es",B$1="ga_brp_es"),F32,IF(B$1="ga_brp",G32,E32)),IF(B$2="production",Tabel13423234[type],Tabel13423234[settlement_method]),AE$2,Tabel13423234[resolution],"PT15M"),0)</f>
        <v>0</v>
      </c>
      <c r="K32" s="9">
        <f t="shared" si="6"/>
        <v>0</v>
      </c>
      <c r="L32" s="2"/>
      <c r="P32" s="15" t="s">
        <v>78</v>
      </c>
      <c r="Q32" s="26" t="str">
        <f>_xlfn.IFNA(INDEX(Tabel13423234[ga_id],MATCH(S32,Tabel13423234[es_id],0)),"")</f>
        <v/>
      </c>
      <c r="R32" s="26" t="str">
        <f>_xlfn.IFNA(INDEX(Tabel13423234[brp_id],MATCH(S32,Tabel13423234[es_id],0)),"")</f>
        <v/>
      </c>
      <c r="S32" s="26" t="str">
        <f t="shared" si="10"/>
        <v/>
      </c>
      <c r="T32" s="19">
        <f t="shared" si="10"/>
        <v>0</v>
      </c>
      <c r="U32" s="19">
        <f>V32+U31</f>
        <v>0</v>
      </c>
      <c r="V32" s="19">
        <f>T32-W31</f>
        <v>0</v>
      </c>
      <c r="W32" s="23">
        <f t="shared" si="0"/>
        <v>0</v>
      </c>
      <c r="X32" s="24"/>
      <c r="Y32" s="27"/>
      <c r="Z32" s="2"/>
      <c r="AA32" s="2"/>
      <c r="AB32" s="36"/>
      <c r="AC32" s="36" t="str" cm="1">
        <f t="array" ref="AC32">IFERROR(IF($B$2="production",INDEX(_xlfn._xlws.FILTER(Tabel13423234[[type]:[brp_id]],(Tabel13423234[es_id]=AC17)*(Tabel13423234[type]="E18"),""),,6),INDEX(_xlfn._xlws.FILTER(Tabel13423234[[type]:[brp_id]],(Tabel13423234[es_id]=AC17)*(Tabel13423234[settlement_method]=AE$2),""),,6)),"")</f>
        <v/>
      </c>
      <c r="AD32" s="36" t="str" cm="1">
        <f t="array" ref="AD32">IFERROR(IF($B$2="production",INDEX(_xlfn._xlws.FILTER(Tabel13423234[[type]:[brp_id]],(Tabel13423234[brp_id]=AD17)*(Tabel13423234[type]=$AE$2),""),,7),INDEX(_xlfn._xlws.FILTER(Tabel13423234[[type]:[brp_id]],(Tabel13423234[brp_id]=AD17)*(Tabel13423234[settlement_method]=AE$2),""),,7)),"")</f>
        <v/>
      </c>
      <c r="AE32" s="36"/>
      <c r="AF32" s="36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x14ac:dyDescent="0.25">
      <c r="B33" s="16" t="str">
        <f>IF(AND(F33&lt;&gt;"null",F33&lt;&gt;""),IF(F33=INDEX(Tabel13423234[es_id],MATCH("GLMP",Tabel13423234[note],0),1),"glmp",""),IF(AND(G33&lt;&gt;"null",G33&lt;&gt;""),IF(G33=INDEX(Tabel13423234[brp_id],MATCH("GLMP",Tabel13423234[note],0),1),"glmp",""),IF(E33=INDEX(Tabel13423234[ga_id],MATCH("GLMP",Tabel13423234[note],0),1),"glmp","")))</f>
        <v/>
      </c>
      <c r="C33" s="16" t="str">
        <f>IF(AND(F33&lt;&gt;"null",F33&lt;&gt;""),IF(F33=INDEX(Tabel13423234[es_id],MATCH("SKMP",Tabel13423234[note],0),1),"skmp",""),IF(AND(G33&lt;&gt;"null",G33&lt;&gt;""),IF(G33=INDEX(Tabel13423234[brp_id],MATCH("SKMP",Tabel13423234[note],0),1),"skmp",""),IF(E33=INDEX(Tabel13423234[ga_id],MATCH("SKMP",Tabel13423234[note],0),1),"skmp","")))</f>
        <v/>
      </c>
      <c r="D33" s="15" t="s">
        <v>78</v>
      </c>
      <c r="E33" s="31" t="str">
        <f t="shared" si="4"/>
        <v/>
      </c>
      <c r="F33" s="31" t="str">
        <f>IF(B$1="ga",IF(E33="","","null"),IF(OR(B$1="ga_es",B$1="ga_brp_es"),IF(AC$4=0,"",AC$4),IF(B$1="ga_brp",IF(G33="","","null"))))</f>
        <v/>
      </c>
      <c r="G33" s="31" t="str">
        <f>IF(B$1="ga",IF(E33="","","null"),IF(B$1="ga_es",IF(F33="","","null"),IF(B$1="ga_brp",IF(AD$4=0,"",AD$4),IF(F33="","",INDEX(Tabel13423234[brp_id],MATCH(F33,Tabel13423234[es_id],0),1)))))</f>
        <v/>
      </c>
      <c r="H33" s="33" t="str">
        <f t="shared" si="8"/>
        <v/>
      </c>
      <c r="I33" s="9">
        <f t="shared" si="5"/>
        <v>0</v>
      </c>
      <c r="J33" s="9">
        <f>IF(D33="Quarter1",SUMIFS(Tabel13423234[quantity],IF(OR(B$1="ga_es",B$1="ga_brp_es"),Tabel13423234[es_id],IF(B$1="ga_brp",Tabel13423234[brp_id],Tabel13423234[ga_id])),IF(OR(B$1="ga_es",B$1="ga_brp_es"),F33,IF(B$1="ga_brp",G33,E33)),IF(B$2="production",Tabel13423234[type],Tabel13423234[settlement_method]),AE$2,Tabel13423234[resolution],"PT15M"),0)</f>
        <v>0</v>
      </c>
      <c r="K33" s="9">
        <f t="shared" si="6"/>
        <v>0</v>
      </c>
      <c r="L33" s="2"/>
      <c r="P33" s="24"/>
      <c r="Q33" s="24"/>
      <c r="R33" s="24"/>
      <c r="S33" s="24"/>
      <c r="T33" s="24"/>
      <c r="U33" s="24"/>
      <c r="V33" s="24"/>
      <c r="W33" s="24"/>
      <c r="X33" s="24"/>
      <c r="Y33" s="27"/>
      <c r="Z33" s="2"/>
      <c r="AA33" s="2"/>
      <c r="AB33" s="36"/>
      <c r="AC33" s="36" t="str" cm="1">
        <f t="array" ref="AC33">IFERROR(IF($B$2="production",INDEX(_xlfn._xlws.FILTER(Tabel13423234[[type]:[brp_id]],(Tabel13423234[es_id]=AC18)*(Tabel13423234[type]="E18"),""),,6),INDEX(_xlfn._xlws.FILTER(Tabel13423234[[type]:[brp_id]],(Tabel13423234[es_id]=AC18)*(Tabel13423234[settlement_method]=AE$2),""),,6)),"")</f>
        <v/>
      </c>
      <c r="AD33" s="36" t="str" cm="1">
        <f t="array" ref="AD33">IFERROR(IF($B$2="production",INDEX(_xlfn._xlws.FILTER(Tabel13423234[[type]:[brp_id]],(Tabel13423234[brp_id]=AD18)*(Tabel13423234[type]=$AE$2),""),,7),INDEX(_xlfn._xlws.FILTER(Tabel13423234[[type]:[brp_id]],(Tabel13423234[brp_id]=AD18)*(Tabel13423234[settlement_method]=AE$2),""),,7)),"")</f>
        <v/>
      </c>
      <c r="AE33" s="36"/>
      <c r="AF33" s="36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x14ac:dyDescent="0.25">
      <c r="B34" s="16" t="str">
        <f>IF(AND(F34&lt;&gt;"null",F34&lt;&gt;""),IF(F34=INDEX(Tabel13423234[es_id],MATCH("GLMP",Tabel13423234[note],0),1),"glmp",""),IF(AND(G34&lt;&gt;"null",G34&lt;&gt;""),IF(G34=INDEX(Tabel13423234[brp_id],MATCH("GLMP",Tabel13423234[note],0),1),"glmp",""),IF(E34=INDEX(Tabel13423234[ga_id],MATCH("GLMP",Tabel13423234[note],0),1),"glmp","")))</f>
        <v/>
      </c>
      <c r="C34" s="16" t="str">
        <f>IF(AND(F34&lt;&gt;"null",F34&lt;&gt;""),IF(F34=INDEX(Tabel13423234[es_id],MATCH("SKMP",Tabel13423234[note],0),1),"skmp",""),IF(AND(G34&lt;&gt;"null",G34&lt;&gt;""),IF(G34=INDEX(Tabel13423234[brp_id],MATCH("SKMP",Tabel13423234[note],0),1),"skmp",""),IF(E34=INDEX(Tabel13423234[ga_id],MATCH("SKMP",Tabel13423234[note],0),1),"skmp","")))</f>
        <v/>
      </c>
      <c r="D34" s="15" t="s">
        <v>75</v>
      </c>
      <c r="E34" s="31" t="str">
        <f t="shared" si="4"/>
        <v/>
      </c>
      <c r="F34" s="31" t="str">
        <f>IF(B$1="ga",IF(E34="","","null"),IF(OR(B$1="ga_es",B$1="ga_brp_es"),IF(AC$5=0,"",AC$5),IF(B$1="ga_brp",IF(G34="","","null"))))</f>
        <v/>
      </c>
      <c r="G34" s="31" t="str">
        <f>IF(B$1="ga",IF(E34="","","null"),IF(B$1="ga_es",IF(F34="","","null"),IF(B$1="ga_brp",IF(AD$5=0,"",AD$5),IF(F34="","",INDEX(Tabel13423234[brp_id],MATCH(F34,Tabel13423234[es_id],0),1)))))</f>
        <v/>
      </c>
      <c r="H34" s="33" t="str">
        <f t="shared" si="8"/>
        <v/>
      </c>
      <c r="I34" s="9">
        <f t="shared" si="5"/>
        <v>0</v>
      </c>
      <c r="J34" s="9">
        <f>IF(D34="Quarter1",SUMIFS(Tabel13423234[quantity],IF(OR(B$1="ga_es",B$1="ga_brp_es"),Tabel13423234[es_id],IF(B$1="ga_brp",Tabel13423234[brp_id],Tabel13423234[ga_id])),IF(OR(B$1="ga_es",B$1="ga_brp_es"),F34,IF(B$1="ga_brp",G34,E34)),IF(B$2="production",Tabel13423234[type],Tabel13423234[settlement_method]),AE$2,Tabel13423234[resolution],"PT15M"),0)</f>
        <v>0</v>
      </c>
      <c r="K34" s="9">
        <f t="shared" si="6"/>
        <v>0</v>
      </c>
      <c r="L34" s="2"/>
      <c r="P34" s="24"/>
      <c r="Q34" s="24"/>
      <c r="R34" s="24"/>
      <c r="S34" s="24"/>
      <c r="T34" s="28">
        <f>SUMIFS(Tabel13423234[quantity],Tabel13423234[settlement_method],"D01",Tabel13423234[resolution],"PT1H")</f>
        <v>0</v>
      </c>
      <c r="U34" s="49" t="s">
        <v>50</v>
      </c>
      <c r="V34" s="49"/>
      <c r="W34" s="28">
        <f>SUM(W36:W39)</f>
        <v>0</v>
      </c>
      <c r="X34" s="21">
        <f>SUM(X36:X39)</f>
        <v>0</v>
      </c>
      <c r="Y34" s="27"/>
      <c r="Z34" s="2"/>
      <c r="AA34" s="2"/>
      <c r="AB34" s="36"/>
      <c r="AC34" s="36" t="str" cm="1">
        <f t="array" ref="AC34">IFERROR(IF($B$2="production",INDEX(_xlfn._xlws.FILTER(Tabel13423234[[type]:[brp_id]],(Tabel13423234[es_id]=AC19)*(Tabel13423234[type]="E18"),""),,6),INDEX(_xlfn._xlws.FILTER(Tabel13423234[[type]:[brp_id]],(Tabel13423234[es_id]=AC19)*(Tabel13423234[settlement_method]=AE$2),""),,6)),"")</f>
        <v/>
      </c>
      <c r="AD34" s="36" t="str" cm="1">
        <f t="array" ref="AD34">IFERROR(IF($B$2="production",INDEX(_xlfn._xlws.FILTER(Tabel13423234[[type]:[brp_id]],(Tabel13423234[brp_id]=AD19)*(Tabel13423234[type]=$AE$2),""),,7),INDEX(_xlfn._xlws.FILTER(Tabel13423234[[type]:[brp_id]],(Tabel13423234[brp_id]=AD19)*(Tabel13423234[settlement_method]=AE$2),""),,7)),"")</f>
        <v/>
      </c>
      <c r="AE34" s="36"/>
      <c r="AF34" s="36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x14ac:dyDescent="0.25">
      <c r="B35" s="16" t="str">
        <f>IF(AND(F35&lt;&gt;"null",F35&lt;&gt;""),IF(F35=INDEX(Tabel13423234[es_id],MATCH("GLMP",Tabel13423234[note],0),1),"glmp",""),IF(AND(G35&lt;&gt;"null",G35&lt;&gt;""),IF(G35=INDEX(Tabel13423234[brp_id],MATCH("GLMP",Tabel13423234[note],0),1),"glmp",""),IF(E35=INDEX(Tabel13423234[ga_id],MATCH("GLMP",Tabel13423234[note],0),1),"glmp","")))</f>
        <v/>
      </c>
      <c r="C35" s="16" t="str">
        <f>IF(AND(F35&lt;&gt;"null",F35&lt;&gt;""),IF(F35=INDEX(Tabel13423234[es_id],MATCH("SKMP",Tabel13423234[note],0),1),"skmp",""),IF(AND(G35&lt;&gt;"null",G35&lt;&gt;""),IF(G35=INDEX(Tabel13423234[brp_id],MATCH("SKMP",Tabel13423234[note],0),1),"skmp",""),IF(E35=INDEX(Tabel13423234[ga_id],MATCH("SKMP",Tabel13423234[note],0),1),"skmp","")))</f>
        <v/>
      </c>
      <c r="D35" s="15" t="s">
        <v>76</v>
      </c>
      <c r="E35" s="31" t="str">
        <f t="shared" si="4"/>
        <v/>
      </c>
      <c r="F35" s="31" t="str">
        <f>IF(B$1="ga",IF(E35="","","null"),IF(OR(B$1="ga_es",B$1="ga_brp_es"),IF(AC$5=0,"",AC$5),IF(B$1="ga_brp",IF(G35="","","null"))))</f>
        <v/>
      </c>
      <c r="G35" s="31" t="str">
        <f>IF(B$1="ga",IF(E35="","","null"),IF(B$1="ga_es",IF(F35="","","null"),IF(B$1="ga_brp",IF(AD$5=0,"",AD$5),IF(F35="","",INDEX(Tabel13423234[brp_id],MATCH(F35,Tabel13423234[es_id],0),1)))))</f>
        <v/>
      </c>
      <c r="H35" s="33" t="str">
        <f t="shared" si="8"/>
        <v/>
      </c>
      <c r="I35" s="9">
        <f t="shared" si="5"/>
        <v>0</v>
      </c>
      <c r="J35" s="9">
        <f>IF(D35="Quarter1",SUMIFS(Tabel13423234[quantity],IF(OR(B$1="ga_es",B$1="ga_brp_es"),Tabel13423234[es_id],IF(B$1="ga_brp",Tabel13423234[brp_id],Tabel13423234[ga_id])),IF(OR(B$1="ga_es",B$1="ga_brp_es"),F35,IF(B$1="ga_brp",G35,E35)),IF(B$2="production",Tabel13423234[type],Tabel13423234[settlement_method]),AE$2,Tabel13423234[resolution],"PT15M"),0)</f>
        <v>0</v>
      </c>
      <c r="K35" s="9">
        <f t="shared" si="6"/>
        <v>0</v>
      </c>
      <c r="L35" s="2"/>
      <c r="P35" s="24"/>
      <c r="Q35" s="24"/>
      <c r="R35" s="24"/>
      <c r="S35" s="7" t="s">
        <v>44</v>
      </c>
      <c r="T35" s="20">
        <f>SUMIFS(Tabel13423234[quantity],Tabel13423234[settlement_method],"D01",Tabel13423234[resolution],"PT1H")/4</f>
        <v>0</v>
      </c>
      <c r="U35" s="7" t="s">
        <v>46</v>
      </c>
      <c r="V35" s="7" t="s">
        <v>47</v>
      </c>
      <c r="W35" s="7" t="s">
        <v>48</v>
      </c>
      <c r="X35" s="7" t="s">
        <v>49</v>
      </c>
      <c r="Y35" s="27"/>
      <c r="Z35" s="2"/>
      <c r="AA35" s="2"/>
      <c r="AB35" s="36"/>
      <c r="AC35" s="36" t="str" cm="1">
        <f t="array" ref="AC35">IFERROR(IF($B$2="production",INDEX(_xlfn._xlws.FILTER(Tabel13423234[[type]:[brp_id]],(Tabel13423234[es_id]=AC20)*(Tabel13423234[type]="E18"),""),,6),INDEX(_xlfn._xlws.FILTER(Tabel13423234[[type]:[brp_id]],(Tabel13423234[es_id]=AC20)*(Tabel13423234[settlement_method]=AE$2),""),,6)),"")</f>
        <v/>
      </c>
      <c r="AD35" s="36" t="str" cm="1">
        <f t="array" ref="AD35">IFERROR(IF($B$2="production",INDEX(_xlfn._xlws.FILTER(Tabel13423234[[type]:[brp_id]],(Tabel13423234[brp_id]=AD20)*(Tabel13423234[type]=$AE$2),""),,7),INDEX(_xlfn._xlws.FILTER(Tabel13423234[[type]:[brp_id]],(Tabel13423234[brp_id]=AD20)*(Tabel13423234[settlement_method]=AE$2),""),,7)),"")</f>
        <v/>
      </c>
      <c r="AE35" s="36"/>
      <c r="AF35" s="36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x14ac:dyDescent="0.25">
      <c r="B36" s="16" t="str">
        <f>IF(AND(F36&lt;&gt;"null",F36&lt;&gt;""),IF(F36=INDEX(Tabel13423234[es_id],MATCH("GLMP",Tabel13423234[note],0),1),"glmp",""),IF(AND(G36&lt;&gt;"null",G36&lt;&gt;""),IF(G36=INDEX(Tabel13423234[brp_id],MATCH("GLMP",Tabel13423234[note],0),1),"glmp",""),IF(E36=INDEX(Tabel13423234[ga_id],MATCH("GLMP",Tabel13423234[note],0),1),"glmp","")))</f>
        <v/>
      </c>
      <c r="C36" s="16" t="str">
        <f>IF(AND(F36&lt;&gt;"null",F36&lt;&gt;""),IF(F36=INDEX(Tabel13423234[es_id],MATCH("SKMP",Tabel13423234[note],0),1),"skmp",""),IF(AND(G36&lt;&gt;"null",G36&lt;&gt;""),IF(G36=INDEX(Tabel13423234[brp_id],MATCH("SKMP",Tabel13423234[note],0),1),"skmp",""),IF(E36=INDEX(Tabel13423234[ga_id],MATCH("SKMP",Tabel13423234[note],0),1),"skmp","")))</f>
        <v/>
      </c>
      <c r="D36" s="15" t="s">
        <v>77</v>
      </c>
      <c r="E36" s="31" t="str">
        <f t="shared" si="4"/>
        <v/>
      </c>
      <c r="F36" s="31" t="str">
        <f>IF(B$1="ga",IF(E36="","","null"),IF(OR(B$1="ga_es",B$1="ga_brp_es"),IF(AC$5=0,"",AC$5),IF(B$1="ga_brp",IF(G36="","","null"))))</f>
        <v/>
      </c>
      <c r="G36" s="31" t="str">
        <f>IF(B$1="ga",IF(E36="","","null"),IF(B$1="ga_es",IF(F36="","","null"),IF(B$1="ga_brp",IF(AD$5=0,"",AD$5),IF(F36="","",INDEX(Tabel13423234[brp_id],MATCH(F36,Tabel13423234[es_id],0),1)))))</f>
        <v/>
      </c>
      <c r="H36" s="33" t="str">
        <f t="shared" si="8"/>
        <v/>
      </c>
      <c r="I36" s="9">
        <f t="shared" si="5"/>
        <v>0</v>
      </c>
      <c r="J36" s="9">
        <f>IF(D36="Quarter1",SUMIFS(Tabel13423234[quantity],IF(OR(B$1="ga_es",B$1="ga_brp_es"),Tabel13423234[es_id],IF(B$1="ga_brp",Tabel13423234[brp_id],Tabel13423234[ga_id])),IF(OR(B$1="ga_es",B$1="ga_brp_es"),F36,IF(B$1="ga_brp",G36,E36)),IF(B$2="production",Tabel13423234[type],Tabel13423234[settlement_method]),AE$2,Tabel13423234[resolution],"PT15M"),0)</f>
        <v>0</v>
      </c>
      <c r="K36" s="9">
        <f t="shared" si="6"/>
        <v>0</v>
      </c>
      <c r="L36" s="2"/>
      <c r="P36" s="24"/>
      <c r="Q36" s="24"/>
      <c r="R36" s="24"/>
      <c r="S36" s="15" t="s">
        <v>55</v>
      </c>
      <c r="T36" s="19">
        <f>T$35</f>
        <v>0</v>
      </c>
      <c r="U36" s="19">
        <f>T36</f>
        <v>0</v>
      </c>
      <c r="V36" s="19"/>
      <c r="W36" s="23">
        <f>ROUND(U36, 3)</f>
        <v>0</v>
      </c>
      <c r="X36" s="23">
        <f>ROUND(T36,3)</f>
        <v>0</v>
      </c>
      <c r="Y36" s="27"/>
      <c r="Z36" s="2"/>
      <c r="AA36" s="2"/>
      <c r="AB36" s="36"/>
      <c r="AC36" s="36" t="str" cm="1">
        <f t="array" ref="AC36">IFERROR(IF($B$2="production",INDEX(_xlfn._xlws.FILTER(Tabel13423234[[type]:[brp_id]],(Tabel13423234[es_id]=AC21)*(Tabel13423234[type]="E18"),""),,6),INDEX(_xlfn._xlws.FILTER(Tabel13423234[[type]:[brp_id]],(Tabel13423234[es_id]=AC21)*(Tabel13423234[settlement_method]=AE$2),""),,6)),"")</f>
        <v/>
      </c>
      <c r="AD36" s="36" t="str" cm="1">
        <f t="array" ref="AD36">IFERROR(IF($B$2="production",INDEX(_xlfn._xlws.FILTER(Tabel13423234[[type]:[brp_id]],(Tabel13423234[brp_id]=AD21)*(Tabel13423234[type]=$AE$2),""),,7),INDEX(_xlfn._xlws.FILTER(Tabel13423234[[type]:[brp_id]],(Tabel13423234[brp_id]=AD21)*(Tabel13423234[settlement_method]=AE$2),""),,7)),"")</f>
        <v/>
      </c>
      <c r="AE36" s="36"/>
      <c r="AF36" s="36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x14ac:dyDescent="0.25">
      <c r="B37" s="16" t="str">
        <f>IF(AND(F37&lt;&gt;"null",F37&lt;&gt;""),IF(F37=INDEX(Tabel13423234[es_id],MATCH("GLMP",Tabel13423234[note],0),1),"glmp",""),IF(AND(G37&lt;&gt;"null",G37&lt;&gt;""),IF(G37=INDEX(Tabel13423234[brp_id],MATCH("GLMP",Tabel13423234[note],0),1),"glmp",""),IF(E37=INDEX(Tabel13423234[ga_id],MATCH("GLMP",Tabel13423234[note],0),1),"glmp","")))</f>
        <v/>
      </c>
      <c r="C37" s="16" t="str">
        <f>IF(AND(F37&lt;&gt;"null",F37&lt;&gt;""),IF(F37=INDEX(Tabel13423234[es_id],MATCH("SKMP",Tabel13423234[note],0),1),"skmp",""),IF(AND(G37&lt;&gt;"null",G37&lt;&gt;""),IF(G37=INDEX(Tabel13423234[brp_id],MATCH("SKMP",Tabel13423234[note],0),1),"skmp",""),IF(E37=INDEX(Tabel13423234[ga_id],MATCH("SKMP",Tabel13423234[note],0),1),"skmp","")))</f>
        <v/>
      </c>
      <c r="D37" s="15" t="s">
        <v>78</v>
      </c>
      <c r="E37" s="31" t="str">
        <f t="shared" si="4"/>
        <v/>
      </c>
      <c r="F37" s="31" t="str">
        <f>IF(B$1="ga",IF(E37="","","null"),IF(OR(B$1="ga_es",B$1="ga_brp_es"),IF(AC$5=0,"",AC$5),IF(B$1="ga_brp",IF(G37="","","null"))))</f>
        <v/>
      </c>
      <c r="G37" s="31" t="str">
        <f>IF(B$1="ga",IF(E37="","","null"),IF(B$1="ga_es",IF(F37="","","null"),IF(B$1="ga_brp",IF(AD$5=0,"",AD$5),IF(F37="","",INDEX(Tabel13423234[brp_id],MATCH(F37,Tabel13423234[es_id],0),1)))))</f>
        <v/>
      </c>
      <c r="H37" s="33" t="str">
        <f t="shared" si="8"/>
        <v/>
      </c>
      <c r="I37" s="9">
        <f t="shared" si="5"/>
        <v>0</v>
      </c>
      <c r="J37" s="9">
        <f>IF(D37="Quarter1",SUMIFS(Tabel13423234[quantity],IF(OR(B$1="ga_es",B$1="ga_brp_es"),Tabel13423234[es_id],IF(B$1="ga_brp",Tabel13423234[brp_id],Tabel13423234[ga_id])),IF(OR(B$1="ga_es",B$1="ga_brp_es"),F37,IF(B$1="ga_brp",G37,E37)),IF(B$2="production",Tabel13423234[type],Tabel13423234[settlement_method]),AE$2,Tabel13423234[resolution],"PT15M"),0)</f>
        <v>0</v>
      </c>
      <c r="K37" s="9">
        <f t="shared" si="6"/>
        <v>0</v>
      </c>
      <c r="L37" s="2"/>
      <c r="P37" s="24"/>
      <c r="Q37" s="24"/>
      <c r="R37" s="24"/>
      <c r="S37" s="15" t="s">
        <v>56</v>
      </c>
      <c r="T37" s="19">
        <f>T$35</f>
        <v>0</v>
      </c>
      <c r="U37" s="19">
        <f>V37+U36</f>
        <v>0</v>
      </c>
      <c r="V37" s="19">
        <f>T37-W36</f>
        <v>0</v>
      </c>
      <c r="W37" s="23">
        <f>ROUND(U37, 3)</f>
        <v>0</v>
      </c>
      <c r="X37" s="23">
        <f>ROUND(T37,3)</f>
        <v>0</v>
      </c>
      <c r="Y37" s="27"/>
      <c r="Z37" s="2"/>
      <c r="AA37" s="2"/>
      <c r="AB37" s="36"/>
      <c r="AC37" s="36" t="str" cm="1">
        <f t="array" ref="AC37">IFERROR(IF($B$2="production",INDEX(_xlfn._xlws.FILTER(Tabel13423234[[type]:[brp_id]],(Tabel13423234[es_id]=AC22)*(Tabel13423234[type]="E18"),""),,6),INDEX(_xlfn._xlws.FILTER(Tabel13423234[[type]:[brp_id]],(Tabel13423234[es_id]=AC22)*(Tabel13423234[settlement_method]=AE$2),""),,6)),"")</f>
        <v/>
      </c>
      <c r="AD37" s="36" t="str" cm="1">
        <f t="array" ref="AD37">IFERROR(IF($B$2="production",INDEX(_xlfn._xlws.FILTER(Tabel13423234[[type]:[brp_id]],(Tabel13423234[brp_id]=AD22)*(Tabel13423234[type]=$AE$2),""),,7),INDEX(_xlfn._xlws.FILTER(Tabel13423234[[type]:[brp_id]],(Tabel13423234[brp_id]=AD22)*(Tabel13423234[settlement_method]=AE$2),""),,7)),"")</f>
        <v/>
      </c>
      <c r="AE37" s="36"/>
      <c r="AF37" s="36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x14ac:dyDescent="0.25">
      <c r="B38" s="16" t="str">
        <f>IF(AND(F38&lt;&gt;"null",F38&lt;&gt;""),IF(F38=INDEX(Tabel13423234[es_id],MATCH("GLMP",Tabel13423234[note],0),1),"glmp",""),IF(AND(G38&lt;&gt;"null",G38&lt;&gt;""),IF(G38=INDEX(Tabel13423234[brp_id],MATCH("GLMP",Tabel13423234[note],0),1),"glmp",""),IF(E38=INDEX(Tabel13423234[ga_id],MATCH("GLMP",Tabel13423234[note],0),1),"glmp","")))</f>
        <v/>
      </c>
      <c r="C38" s="16" t="str">
        <f>IF(AND(F38&lt;&gt;"null",F38&lt;&gt;""),IF(F38=INDEX(Tabel13423234[es_id],MATCH("SKMP",Tabel13423234[note],0),1),"skmp",""),IF(AND(G38&lt;&gt;"null",G38&lt;&gt;""),IF(G38=INDEX(Tabel13423234[brp_id],MATCH("SKMP",Tabel13423234[note],0),1),"skmp",""),IF(E38=INDEX(Tabel13423234[ga_id],MATCH("SKMP",Tabel13423234[note],0),1),"skmp","")))</f>
        <v/>
      </c>
      <c r="D38" s="15" t="s">
        <v>75</v>
      </c>
      <c r="E38" s="31" t="str">
        <f t="shared" si="4"/>
        <v/>
      </c>
      <c r="F38" s="31" t="str">
        <f>IF(B$1="ga",IF(E38="","","null"),IF(OR(B$1="ga_es",B$1="ga_brp_es"),IF(AC$6=0,"",AC$5),IF(B$1="ga_brp",IF(G38="","","null"))))</f>
        <v/>
      </c>
      <c r="G38" s="31" t="str">
        <f>IF(B$1="ga",IF(E38="","","null"),IF(B$1="ga_es",IF(F38="","","null"),IF(B$1="ga_brp",IF(AD$5=0,"",AD$5),IF(F38="","",INDEX(Tabel13423234[brp_id],MATCH(F38,Tabel13423234[es_id],0),1)))))</f>
        <v/>
      </c>
      <c r="H38" s="33" t="str">
        <f t="shared" si="8"/>
        <v/>
      </c>
      <c r="I38" s="9">
        <f t="shared" si="5"/>
        <v>0</v>
      </c>
      <c r="J38" s="9">
        <f>IF(D38="Quarter1",SUMIFS(Tabel13423234[quantity],IF(OR(B$1="ga_es",B$1="ga_brp_es"),Tabel13423234[es_id],IF(B$1="ga_brp",Tabel13423234[brp_id],Tabel13423234[ga_id])),IF(OR(B$1="ga_es",B$1="ga_brp_es"),F38,IF(B$1="ga_brp",G38,E38)),IF(B$2="production",Tabel13423234[type],Tabel13423234[settlement_method]),AE$2,Tabel13423234[resolution],"PT15M"),0)</f>
        <v>0</v>
      </c>
      <c r="K38" s="9">
        <f t="shared" si="6"/>
        <v>0</v>
      </c>
      <c r="L38" s="2"/>
      <c r="P38" s="24"/>
      <c r="Q38" s="24"/>
      <c r="R38" s="24"/>
      <c r="S38" s="15" t="s">
        <v>57</v>
      </c>
      <c r="T38" s="19">
        <f>T$35</f>
        <v>0</v>
      </c>
      <c r="U38" s="19">
        <f>V38+U37</f>
        <v>0</v>
      </c>
      <c r="V38" s="19">
        <f>T38-W37</f>
        <v>0</v>
      </c>
      <c r="W38" s="23">
        <f>ROUND(U38, 3)</f>
        <v>0</v>
      </c>
      <c r="X38" s="23">
        <f>ROUND(T38,3)</f>
        <v>0</v>
      </c>
      <c r="Y38" s="27"/>
      <c r="Z38" s="2"/>
      <c r="AA38" s="2"/>
      <c r="AB38" s="36"/>
      <c r="AC38" s="36" t="str" cm="1">
        <f t="array" ref="AC38">IFERROR(IF($B$2="production",INDEX(_xlfn._xlws.FILTER(Tabel13423234[[type]:[brp_id]],(Tabel13423234[es_id]=AC23)*(Tabel13423234[type]="E18"),""),,6),INDEX(_xlfn._xlws.FILTER(Tabel13423234[[type]:[brp_id]],(Tabel13423234[es_id]=AC23)*(Tabel13423234[settlement_method]=AE$2),""),,6)),"")</f>
        <v/>
      </c>
      <c r="AD38" s="36" t="str" cm="1">
        <f t="array" ref="AD38">IFERROR(IF($B$2="production",INDEX(_xlfn._xlws.FILTER(Tabel13423234[[type]:[brp_id]],(Tabel13423234[brp_id]=AD23)*(Tabel13423234[type]=$AE$2),""),,7),INDEX(_xlfn._xlws.FILTER(Tabel13423234[[type]:[brp_id]],(Tabel13423234[brp_id]=AD23)*(Tabel13423234[settlement_method]=AE$2),""),,7)),"")</f>
        <v/>
      </c>
      <c r="AE38" s="36"/>
      <c r="AF38" s="36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x14ac:dyDescent="0.25">
      <c r="B39" s="16" t="str">
        <f>IF(AND(F39&lt;&gt;"null",F39&lt;&gt;""),IF(F39=INDEX(Tabel13423234[es_id],MATCH("GLMP",Tabel13423234[note],0),1),"glmp",""),IF(AND(G39&lt;&gt;"null",G39&lt;&gt;""),IF(G39=INDEX(Tabel13423234[brp_id],MATCH("GLMP",Tabel13423234[note],0),1),"glmp",""),IF(E39=INDEX(Tabel13423234[ga_id],MATCH("GLMP",Tabel13423234[note],0),1),"glmp","")))</f>
        <v/>
      </c>
      <c r="C39" s="16" t="str">
        <f>IF(AND(F39&lt;&gt;"null",F39&lt;&gt;""),IF(F39=INDEX(Tabel13423234[es_id],MATCH("SKMP",Tabel13423234[note],0),1),"skmp",""),IF(AND(G39&lt;&gt;"null",G39&lt;&gt;""),IF(G39=INDEX(Tabel13423234[brp_id],MATCH("SKMP",Tabel13423234[note],0),1),"skmp",""),IF(E39=INDEX(Tabel13423234[ga_id],MATCH("SKMP",Tabel13423234[note],0),1),"skmp","")))</f>
        <v/>
      </c>
      <c r="D39" s="15" t="s">
        <v>76</v>
      </c>
      <c r="E39" s="31" t="str">
        <f t="shared" si="4"/>
        <v/>
      </c>
      <c r="F39" s="31" t="str">
        <f t="shared" ref="F39:F41" si="11">IF(B$1="ga",IF(E39="","","null"),IF(OR(B$1="ga_es",B$1="ga_brp_es"),IF(AC$6=0,"",AC$5),IF(B$1="ga_brp",IF(G39="","","null"))))</f>
        <v/>
      </c>
      <c r="G39" s="31" t="str">
        <f>IF(B$1="ga",IF(E39="","","null"),IF(B$1="ga_es",IF(F39="","","null"),IF(B$1="ga_brp",IF(AD$5=0,"",AD$5),IF(F39="","",INDEX(Tabel13423234[brp_id],MATCH(F39,Tabel13423234[es_id],0),1)))))</f>
        <v/>
      </c>
      <c r="H39" s="33" t="str">
        <f t="shared" si="8"/>
        <v/>
      </c>
      <c r="I39" s="9">
        <f t="shared" si="5"/>
        <v>0</v>
      </c>
      <c r="J39" s="9">
        <f>IF(D39="Quarter1",SUMIFS(Tabel13423234[quantity],IF(OR(B$1="ga_es",B$1="ga_brp_es"),Tabel13423234[es_id],IF(B$1="ga_brp",Tabel13423234[brp_id],Tabel13423234[ga_id])),IF(OR(B$1="ga_es",B$1="ga_brp_es"),F39,IF(B$1="ga_brp",G39,E39)),IF(B$2="production",Tabel13423234[type],Tabel13423234[settlement_method]),AE$2,Tabel13423234[resolution],"PT15M"),0)</f>
        <v>0</v>
      </c>
      <c r="K39" s="9">
        <f t="shared" si="6"/>
        <v>0</v>
      </c>
      <c r="L39" s="2"/>
      <c r="P39" s="24"/>
      <c r="Q39" s="24"/>
      <c r="R39" s="24"/>
      <c r="S39" s="15" t="s">
        <v>58</v>
      </c>
      <c r="T39" s="19">
        <f>T$35</f>
        <v>0</v>
      </c>
      <c r="U39" s="19">
        <f>V39+U38</f>
        <v>0</v>
      </c>
      <c r="V39" s="19">
        <f>T39-W38</f>
        <v>0</v>
      </c>
      <c r="W39" s="23">
        <f>ROUND(U39, 3)</f>
        <v>0</v>
      </c>
      <c r="X39" s="23">
        <f>ROUND(T39,3)</f>
        <v>0</v>
      </c>
      <c r="Y39" s="27"/>
      <c r="Z39" s="2"/>
      <c r="AA39" s="2"/>
      <c r="AB39" s="36"/>
      <c r="AC39" s="36" t="str" cm="1">
        <f t="array" ref="AC39">IFERROR(IF($B$2="production",INDEX(_xlfn._xlws.FILTER(Tabel13423234[[type]:[brp_id]],(Tabel13423234[es_id]=AC24)*(Tabel13423234[type]="E18"),""),,6),INDEX(_xlfn._xlws.FILTER(Tabel13423234[[type]:[brp_id]],(Tabel13423234[es_id]=AC24)*(Tabel13423234[settlement_method]=AE$2),""),,6)),"")</f>
        <v/>
      </c>
      <c r="AD39" s="36" t="str" cm="1">
        <f t="array" ref="AD39">IFERROR(IF($B$2="production",INDEX(_xlfn._xlws.FILTER(Tabel13423234[[type]:[brp_id]],(Tabel13423234[brp_id]=AD24)*(Tabel13423234[type]=$AE$2),""),,7),INDEX(_xlfn._xlws.FILTER(Tabel13423234[[type]:[brp_id]],(Tabel13423234[brp_id]=AD24)*(Tabel13423234[settlement_method]=AE$2),""),,7)),"")</f>
        <v/>
      </c>
      <c r="AE39" s="36"/>
      <c r="AF39" s="36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x14ac:dyDescent="0.25">
      <c r="B40" s="16" t="str">
        <f>IF(AND(F40&lt;&gt;"null",F40&lt;&gt;""),IF(F40=INDEX(Tabel13423234[es_id],MATCH("GLMP",Tabel13423234[note],0),1),"glmp",""),IF(AND(G40&lt;&gt;"null",G40&lt;&gt;""),IF(G40=INDEX(Tabel13423234[brp_id],MATCH("GLMP",Tabel13423234[note],0),1),"glmp",""),IF(E40=INDEX(Tabel13423234[ga_id],MATCH("GLMP",Tabel13423234[note],0),1),"glmp","")))</f>
        <v/>
      </c>
      <c r="C40" s="16" t="str">
        <f>IF(AND(F40&lt;&gt;"null",F40&lt;&gt;""),IF(F40=INDEX(Tabel13423234[es_id],MATCH("SKMP",Tabel13423234[note],0),1),"skmp",""),IF(AND(G40&lt;&gt;"null",G40&lt;&gt;""),IF(G40=INDEX(Tabel13423234[brp_id],MATCH("SKMP",Tabel13423234[note],0),1),"skmp",""),IF(E40=INDEX(Tabel13423234[ga_id],MATCH("SKMP",Tabel13423234[note],0),1),"skmp","")))</f>
        <v/>
      </c>
      <c r="D40" s="15" t="s">
        <v>77</v>
      </c>
      <c r="E40" s="31" t="str">
        <f t="shared" si="4"/>
        <v/>
      </c>
      <c r="F40" s="31" t="str">
        <f t="shared" si="11"/>
        <v/>
      </c>
      <c r="G40" s="31" t="str">
        <f>IF(B$1="ga",IF(E40="","","null"),IF(B$1="ga_es",IF(F40="","","null"),IF(B$1="ga_brp",IF(AD$5=0,"",AD$5),IF(F40="","",INDEX(Tabel13423234[brp_id],MATCH(F40,Tabel13423234[es_id],0),1)))))</f>
        <v/>
      </c>
      <c r="H40" s="33" t="str">
        <f t="shared" si="8"/>
        <v/>
      </c>
      <c r="I40" s="9">
        <f t="shared" si="5"/>
        <v>0</v>
      </c>
      <c r="J40" s="9">
        <f>IF(D40="Quarter1",SUMIFS(Tabel13423234[quantity],IF(OR(B$1="ga_es",B$1="ga_brp_es"),Tabel13423234[es_id],IF(B$1="ga_brp",Tabel13423234[brp_id],Tabel13423234[ga_id])),IF(OR(B$1="ga_es",B$1="ga_brp_es"),F40,IF(B$1="ga_brp",G40,E40)),IF(B$2="production",Tabel13423234[type],Tabel13423234[settlement_method]),AE$2,Tabel13423234[resolution],"PT15M"),0)</f>
        <v>0</v>
      </c>
      <c r="K40" s="9">
        <f t="shared" si="6"/>
        <v>0</v>
      </c>
      <c r="L40" s="2"/>
      <c r="P40" s="24"/>
      <c r="Q40" s="24"/>
      <c r="R40" s="24"/>
      <c r="S40" s="24"/>
      <c r="T40" s="28">
        <f>SUMIFS(Tabel13423234[quantity],Tabel13423234[type],"E18",Tabel13423234[resolution],"PT1H")</f>
        <v>0</v>
      </c>
      <c r="U40" s="43" t="s">
        <v>50</v>
      </c>
      <c r="V40" s="44"/>
      <c r="W40" s="28">
        <f>SUM(W42:W45)</f>
        <v>0</v>
      </c>
      <c r="X40" s="21">
        <f>SUM(X42:X45)</f>
        <v>0</v>
      </c>
      <c r="Y40" s="27"/>
      <c r="Z40" s="2"/>
      <c r="AA40" s="2"/>
      <c r="AB40" s="36"/>
      <c r="AC40" s="36" t="str" cm="1">
        <f t="array" ref="AC40">IFERROR(IF($B$2="production",INDEX(_xlfn._xlws.FILTER(Tabel13423234[[type]:[brp_id]],(Tabel13423234[es_id]=AC25)*(Tabel13423234[type]="E18"),""),,6),INDEX(_xlfn._xlws.FILTER(Tabel13423234[[type]:[brp_id]],(Tabel13423234[es_id]=AC25)*(Tabel13423234[settlement_method]=AE$2),""),,6)),"")</f>
        <v/>
      </c>
      <c r="AD40" s="36" t="str" cm="1">
        <f t="array" ref="AD40">IFERROR(IF($B$2="production",INDEX(_xlfn._xlws.FILTER(Tabel13423234[[type]:[brp_id]],(Tabel13423234[brp_id]=AD25)*(Tabel13423234[type]=$AE$2),""),,7),INDEX(_xlfn._xlws.FILTER(Tabel13423234[[type]:[brp_id]],(Tabel13423234[brp_id]=AD25)*(Tabel13423234[settlement_method]=AE$2),""),,7)),"")</f>
        <v/>
      </c>
      <c r="AE40" s="36"/>
      <c r="AF40" s="36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x14ac:dyDescent="0.25">
      <c r="B41" s="16" t="str">
        <f>IF(AND(F41&lt;&gt;"null",F41&lt;&gt;""),IF(F41=INDEX(Tabel13423234[es_id],MATCH("GLMP",Tabel13423234[note],0),1),"glmp",""),IF(AND(G41&lt;&gt;"null",G41&lt;&gt;""),IF(G41=INDEX(Tabel13423234[brp_id],MATCH("GLMP",Tabel13423234[note],0),1),"glmp",""),IF(E41=INDEX(Tabel13423234[ga_id],MATCH("GLMP",Tabel13423234[note],0),1),"glmp","")))</f>
        <v/>
      </c>
      <c r="C41" s="16" t="str">
        <f>IF(AND(F41&lt;&gt;"null",F41&lt;&gt;""),IF(F41=INDEX(Tabel13423234[es_id],MATCH("SKMP",Tabel13423234[note],0),1),"skmp",""),IF(AND(G41&lt;&gt;"null",G41&lt;&gt;""),IF(G41=INDEX(Tabel13423234[brp_id],MATCH("SKMP",Tabel13423234[note],0),1),"skmp",""),IF(E41=INDEX(Tabel13423234[ga_id],MATCH("SKMP",Tabel13423234[note],0),1),"skmp","")))</f>
        <v/>
      </c>
      <c r="D41" s="15" t="s">
        <v>78</v>
      </c>
      <c r="E41" s="31" t="str">
        <f t="shared" si="4"/>
        <v/>
      </c>
      <c r="F41" s="31" t="str">
        <f t="shared" si="11"/>
        <v/>
      </c>
      <c r="G41" s="31" t="str">
        <f>IF(B$1="ga",IF(E41="","","null"),IF(B$1="ga_es",IF(F41="","","null"),IF(B$1="ga_brp",IF(AD$5=0,"",AD$5),IF(F41="","",INDEX(Tabel13423234[brp_id],MATCH(F41,Tabel13423234[es_id],0),1)))))</f>
        <v/>
      </c>
      <c r="H41" s="33" t="str">
        <f t="shared" si="8"/>
        <v/>
      </c>
      <c r="I41" s="9">
        <f t="shared" si="5"/>
        <v>0</v>
      </c>
      <c r="J41" s="9">
        <f>IF(D41="Quarter1",SUMIFS(Tabel13423234[quantity],IF(OR(B$1="ga_es",B$1="ga_brp_es"),Tabel13423234[es_id],IF(B$1="ga_brp",Tabel13423234[brp_id],Tabel13423234[ga_id])),IF(OR(B$1="ga_es",B$1="ga_brp_es"),F41,IF(B$1="ga_brp",G41,E41)),IF(B$2="production",Tabel13423234[type],Tabel13423234[settlement_method]),AE$2,Tabel13423234[resolution],"PT15M"),0)</f>
        <v>0</v>
      </c>
      <c r="K41" s="9">
        <f t="shared" si="6"/>
        <v>0</v>
      </c>
      <c r="L41" s="2"/>
      <c r="P41" s="24"/>
      <c r="Q41" s="24"/>
      <c r="R41" s="24"/>
      <c r="S41" s="7" t="s">
        <v>30</v>
      </c>
      <c r="T41" s="22">
        <f>SUMIFS(Tabel13423234[quantity],Tabel13423234[type],"E18",Tabel13423234[resolution],"PT1H")/4</f>
        <v>0</v>
      </c>
      <c r="U41" s="7" t="s">
        <v>46</v>
      </c>
      <c r="V41" s="7" t="s">
        <v>47</v>
      </c>
      <c r="W41" s="7" t="s">
        <v>48</v>
      </c>
      <c r="X41" s="7" t="s">
        <v>49</v>
      </c>
      <c r="Y41" s="27"/>
      <c r="Z41" s="2"/>
      <c r="AA41" s="2"/>
      <c r="AB41" s="36"/>
      <c r="AC41" s="36"/>
      <c r="AD41" s="36" t="str" cm="1">
        <f t="array" ref="AD41">IFERROR(IF($B$2="production",INDEX(_xlfn._xlws.FILTER(Tabel13423234[[type]:[brp_id]],(Tabel13423234[brp_id]=AD26)*(Tabel13423234[type]=$AE$2),""),,7),INDEX(_xlfn._xlws.FILTER(Tabel13423234[[type]:[brp_id]],(Tabel13423234[brp_id]=AD26)*(Tabel13423234[settlement_method]=AE$2),""),,7)),"")</f>
        <v/>
      </c>
      <c r="AE41" s="36"/>
      <c r="AF41" s="36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x14ac:dyDescent="0.25">
      <c r="B42" s="16" t="str">
        <f>IF(AND(F42&lt;&gt;"null",F42&lt;&gt;""),IF(F42=INDEX(Tabel13423234[es_id],MATCH("GLMP",Tabel13423234[note],0),1),"glmp",""),IF(AND(G42&lt;&gt;"null",G42&lt;&gt;""),IF(G42=INDEX(Tabel13423234[brp_id],MATCH("GLMP",Tabel13423234[note],0),1),"glmp",""),IF(E42=INDEX(Tabel13423234[ga_id],MATCH("GLMP",Tabel13423234[note],0),1),"glmp","")))</f>
        <v/>
      </c>
      <c r="C42" s="16" t="str">
        <f>IF(AND(F42&lt;&gt;"null",F42&lt;&gt;""),IF(F42=INDEX(Tabel13423234[es_id],MATCH("SKMP",Tabel13423234[note],0),1),"skmp",""),IF(AND(G42&lt;&gt;"null",G42&lt;&gt;""),IF(G42=INDEX(Tabel13423234[brp_id],MATCH("SKMP",Tabel13423234[note],0),1),"skmp",""),IF(E42=INDEX(Tabel13423234[ga_id],MATCH("SKMP",Tabel13423234[note],0),1),"skmp","")))</f>
        <v/>
      </c>
      <c r="D42" s="15" t="s">
        <v>75</v>
      </c>
      <c r="E42" s="31" t="str">
        <f t="shared" si="4"/>
        <v/>
      </c>
      <c r="F42" s="31" t="str">
        <f>IF(B$1="ga",IF(E42="","","null"),IF(OR(B$1="ga_es",B$1="ga_brp_es"),IF(AC$7=0,"",AC$5),IF(B$1="ga_brp",IF(G42="","","null"))))</f>
        <v/>
      </c>
      <c r="G42" s="31" t="str">
        <f>IF(B$1="ga",IF(E42="","","null"),IF(B$1="ga_es",IF(F42="","","null"),IF(B$1="ga_brp",IF(AD$5=0,"",AD$5),IF(F42="","",INDEX(Tabel13423234[brp_id],MATCH(F42,Tabel13423234[es_id],0),1)))))</f>
        <v/>
      </c>
      <c r="H42" s="33" t="str">
        <f t="shared" si="8"/>
        <v/>
      </c>
      <c r="I42" s="9">
        <f t="shared" si="5"/>
        <v>0</v>
      </c>
      <c r="J42" s="9">
        <f>IF(D42="Quarter1",SUMIFS(Tabel13423234[quantity],IF(OR(B$1="ga_es",B$1="ga_brp_es"),Tabel13423234[es_id],IF(B$1="ga_brp",Tabel13423234[brp_id],Tabel13423234[ga_id])),IF(OR(B$1="ga_es",B$1="ga_brp_es"),F42,IF(B$1="ga_brp",G42,E42)),IF(B$2="production",Tabel13423234[type],Tabel13423234[settlement_method]),AE$2,Tabel13423234[resolution],"PT15M"),0)</f>
        <v>0</v>
      </c>
      <c r="K42" s="9">
        <f t="shared" si="6"/>
        <v>0</v>
      </c>
      <c r="L42" s="2"/>
      <c r="P42" s="24"/>
      <c r="Q42" s="24"/>
      <c r="R42" s="24"/>
      <c r="S42" s="15" t="s">
        <v>51</v>
      </c>
      <c r="T42" s="19">
        <f>T$41</f>
        <v>0</v>
      </c>
      <c r="U42" s="19">
        <f>T42</f>
        <v>0</v>
      </c>
      <c r="V42" s="19"/>
      <c r="W42" s="23">
        <f>ROUND(U42, 3)</f>
        <v>0</v>
      </c>
      <c r="X42" s="23">
        <f>ROUND(T42,3)</f>
        <v>0</v>
      </c>
      <c r="Y42" s="27"/>
      <c r="Z42" s="2"/>
      <c r="AA42" s="2"/>
      <c r="AB42" s="36"/>
      <c r="AC42" s="36" t="str" cm="1">
        <f t="array" ref="AC42">IFERROR(IF($B$2="production",INDEX(_xlfn._xlws.FILTER(Tabel13423234[[type]:[brp_id]],(Tabel13423234[es_id]=AC27)*(Tabel13423234[type]="E18"),""),,6),INDEX(_xlfn._xlws.FILTER(Tabel13423234[[type]:[brp_id]],(Tabel13423234[es_id]=AC27)*(Tabel13423234[settlement_method]=AE$2),""),,6)),"")</f>
        <v/>
      </c>
      <c r="AD42" s="36"/>
      <c r="AE42" s="36"/>
      <c r="AF42" s="36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x14ac:dyDescent="0.25">
      <c r="B43" s="16" t="str">
        <f>IF(AND(F43&lt;&gt;"null",F43&lt;&gt;""),IF(F43=INDEX(Tabel13423234[es_id],MATCH("GLMP",Tabel13423234[note],0),1),"glmp",""),IF(AND(G43&lt;&gt;"null",G43&lt;&gt;""),IF(G43=INDEX(Tabel13423234[brp_id],MATCH("GLMP",Tabel13423234[note],0),1),"glmp",""),IF(E43=INDEX(Tabel13423234[ga_id],MATCH("GLMP",Tabel13423234[note],0),1),"glmp","")))</f>
        <v/>
      </c>
      <c r="C43" s="16" t="str">
        <f>IF(AND(F43&lt;&gt;"null",F43&lt;&gt;""),IF(F43=INDEX(Tabel13423234[es_id],MATCH("SKMP",Tabel13423234[note],0),1),"skmp",""),IF(AND(G43&lt;&gt;"null",G43&lt;&gt;""),IF(G43=INDEX(Tabel13423234[brp_id],MATCH("SKMP",Tabel13423234[note],0),1),"skmp",""),IF(E43=INDEX(Tabel13423234[ga_id],MATCH("SKMP",Tabel13423234[note],0),1),"skmp","")))</f>
        <v/>
      </c>
      <c r="D43" s="15" t="s">
        <v>76</v>
      </c>
      <c r="E43" s="31" t="str">
        <f t="shared" si="4"/>
        <v/>
      </c>
      <c r="F43" s="31" t="str">
        <f t="shared" ref="F43:F45" si="12">IF(B$1="ga",IF(E43="","","null"),IF(OR(B$1="ga_es",B$1="ga_brp_es"),IF(AC$7=0,"",AC$5),IF(B$1="ga_brp",IF(G43="","","null"))))</f>
        <v/>
      </c>
      <c r="G43" s="31" t="str">
        <f>IF(B$1="ga",IF(E43="","","null"),IF(B$1="ga_es",IF(F43="","","null"),IF(B$1="ga_brp",IF(AD$5=0,"",AD$5),IF(F43="","",INDEX(Tabel13423234[brp_id],MATCH(F43,Tabel13423234[es_id],0),1)))))</f>
        <v/>
      </c>
      <c r="H43" s="33" t="str">
        <f t="shared" si="8"/>
        <v/>
      </c>
      <c r="I43" s="9">
        <f t="shared" si="5"/>
        <v>0</v>
      </c>
      <c r="J43" s="9">
        <f>IF(D43="Quarter1",SUMIFS(Tabel13423234[quantity],IF(OR(B$1="ga_es",B$1="ga_brp_es"),Tabel13423234[es_id],IF(B$1="ga_brp",Tabel13423234[brp_id],Tabel13423234[ga_id])),IF(OR(B$1="ga_es",B$1="ga_brp_es"),F43,IF(B$1="ga_brp",G43,E43)),IF(B$2="production",Tabel13423234[type],Tabel13423234[settlement_method]),AE$2,Tabel13423234[resolution],"PT15M"),0)</f>
        <v>0</v>
      </c>
      <c r="K43" s="9">
        <f t="shared" si="6"/>
        <v>0</v>
      </c>
      <c r="L43" s="2"/>
      <c r="P43" s="24"/>
      <c r="Q43" s="24"/>
      <c r="R43" s="24"/>
      <c r="S43" s="15" t="s">
        <v>52</v>
      </c>
      <c r="T43" s="19">
        <f>T$41</f>
        <v>0</v>
      </c>
      <c r="U43" s="19">
        <f>V43+U42</f>
        <v>0</v>
      </c>
      <c r="V43" s="19">
        <f>T43-W42</f>
        <v>0</v>
      </c>
      <c r="W43" s="23">
        <f>ROUND(U43, 3)</f>
        <v>0</v>
      </c>
      <c r="X43" s="23">
        <f>ROUND(T43,3)</f>
        <v>0</v>
      </c>
      <c r="Y43" s="27"/>
      <c r="Z43" s="2"/>
      <c r="AA43" s="2"/>
      <c r="AB43" s="36"/>
      <c r="AC43" s="36"/>
      <c r="AD43" s="36"/>
      <c r="AE43" s="36"/>
      <c r="AF43" s="36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x14ac:dyDescent="0.25">
      <c r="B44" s="16" t="str">
        <f>IF(AND(F44&lt;&gt;"null",F44&lt;&gt;""),IF(F44=INDEX(Tabel13423234[es_id],MATCH("GLMP",Tabel13423234[note],0),1),"glmp",""),IF(AND(G44&lt;&gt;"null",G44&lt;&gt;""),IF(G44=INDEX(Tabel13423234[brp_id],MATCH("GLMP",Tabel13423234[note],0),1),"glmp",""),IF(E44=INDEX(Tabel13423234[ga_id],MATCH("GLMP",Tabel13423234[note],0),1),"glmp","")))</f>
        <v/>
      </c>
      <c r="C44" s="16" t="str">
        <f>IF(AND(F44&lt;&gt;"null",F44&lt;&gt;""),IF(F44=INDEX(Tabel13423234[es_id],MATCH("SKMP",Tabel13423234[note],0),1),"skmp",""),IF(AND(G44&lt;&gt;"null",G44&lt;&gt;""),IF(G44=INDEX(Tabel13423234[brp_id],MATCH("SKMP",Tabel13423234[note],0),1),"skmp",""),IF(E44=INDEX(Tabel13423234[ga_id],MATCH("SKMP",Tabel13423234[note],0),1),"skmp","")))</f>
        <v/>
      </c>
      <c r="D44" s="15" t="s">
        <v>77</v>
      </c>
      <c r="E44" s="31" t="str">
        <f t="shared" si="4"/>
        <v/>
      </c>
      <c r="F44" s="31" t="str">
        <f t="shared" si="12"/>
        <v/>
      </c>
      <c r="G44" s="31" t="str">
        <f>IF(B$1="ga",IF(E44="","","null"),IF(B$1="ga_es",IF(F44="","","null"),IF(B$1="ga_brp",IF(AD$5=0,"",AD$5),IF(F44="","",INDEX(Tabel13423234[brp_id],MATCH(F44,Tabel13423234[es_id],0),1)))))</f>
        <v/>
      </c>
      <c r="H44" s="33" t="str">
        <f t="shared" si="8"/>
        <v/>
      </c>
      <c r="I44" s="9">
        <f t="shared" si="5"/>
        <v>0</v>
      </c>
      <c r="J44" s="9">
        <f>IF(D44="Quarter1",SUMIFS(Tabel13423234[quantity],IF(OR(B$1="ga_es",B$1="ga_brp_es"),Tabel13423234[es_id],IF(B$1="ga_brp",Tabel13423234[brp_id],Tabel13423234[ga_id])),IF(OR(B$1="ga_es",B$1="ga_brp_es"),F44,IF(B$1="ga_brp",G44,E44)),IF(B$2="production",Tabel13423234[type],Tabel13423234[settlement_method]),AE$2,Tabel13423234[resolution],"PT15M"),0)</f>
        <v>0</v>
      </c>
      <c r="K44" s="9">
        <f t="shared" si="6"/>
        <v>0</v>
      </c>
      <c r="L44" s="2"/>
      <c r="P44" s="24"/>
      <c r="Q44" s="24"/>
      <c r="R44" s="24"/>
      <c r="S44" s="15" t="s">
        <v>53</v>
      </c>
      <c r="T44" s="19">
        <f>T$41</f>
        <v>0</v>
      </c>
      <c r="U44" s="19">
        <f>V44+U43</f>
        <v>0</v>
      </c>
      <c r="V44" s="19">
        <f>T44-W43</f>
        <v>0</v>
      </c>
      <c r="W44" s="23">
        <f>ROUND(U44, 3)</f>
        <v>0</v>
      </c>
      <c r="X44" s="23">
        <f>ROUND(T44,3)</f>
        <v>0</v>
      </c>
      <c r="Y44" s="27"/>
      <c r="Z44" s="2"/>
      <c r="AA44" s="2"/>
      <c r="AB44" s="36"/>
      <c r="AC44" s="36"/>
      <c r="AD44" s="36"/>
      <c r="AE44" s="36"/>
      <c r="AF44" s="36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x14ac:dyDescent="0.25">
      <c r="B45" s="16" t="str">
        <f>IF(AND(F45&lt;&gt;"null",F45&lt;&gt;""),IF(F45=INDEX(Tabel13423234[es_id],MATCH("GLMP",Tabel13423234[note],0),1),"glmp",""),IF(AND(G45&lt;&gt;"null",G45&lt;&gt;""),IF(G45=INDEX(Tabel13423234[brp_id],MATCH("GLMP",Tabel13423234[note],0),1),"glmp",""),IF(E45=INDEX(Tabel13423234[ga_id],MATCH("GLMP",Tabel13423234[note],0),1),"glmp","")))</f>
        <v/>
      </c>
      <c r="C45" s="16" t="str">
        <f>IF(AND(F45&lt;&gt;"null",F45&lt;&gt;""),IF(F45=INDEX(Tabel13423234[es_id],MATCH("SKMP",Tabel13423234[note],0),1),"skmp",""),IF(AND(G45&lt;&gt;"null",G45&lt;&gt;""),IF(G45=INDEX(Tabel13423234[brp_id],MATCH("SKMP",Tabel13423234[note],0),1),"skmp",""),IF(E45=INDEX(Tabel13423234[ga_id],MATCH("SKMP",Tabel13423234[note],0),1),"skmp","")))</f>
        <v/>
      </c>
      <c r="D45" s="15" t="s">
        <v>78</v>
      </c>
      <c r="E45" s="31" t="str">
        <f t="shared" si="4"/>
        <v/>
      </c>
      <c r="F45" s="31" t="str">
        <f t="shared" si="12"/>
        <v/>
      </c>
      <c r="G45" s="31" t="str">
        <f>IF(B$1="ga",IF(E45="","","null"),IF(B$1="ga_es",IF(F45="","","null"),IF(B$1="ga_brp",IF(AD$5=0,"",AD$5),IF(F45="","",INDEX(Tabel13423234[brp_id],MATCH(F45,Tabel13423234[es_id],0),1)))))</f>
        <v/>
      </c>
      <c r="H45" s="33" t="str">
        <f t="shared" si="8"/>
        <v/>
      </c>
      <c r="I45" s="9">
        <f t="shared" si="5"/>
        <v>0</v>
      </c>
      <c r="J45" s="9">
        <f>IF(D45="Quarter1",SUMIFS(Tabel13423234[quantity],IF(OR(B$1="ga_es",B$1="ga_brp_es"),Tabel13423234[es_id],IF(B$1="ga_brp",Tabel13423234[brp_id],Tabel13423234[ga_id])),IF(OR(B$1="ga_es",B$1="ga_brp_es"),F45,IF(B$1="ga_brp",G45,E45)),IF(B$2="production",Tabel13423234[type],Tabel13423234[settlement_method]),AE$2,Tabel13423234[resolution],"PT15M"),0)</f>
        <v>0</v>
      </c>
      <c r="K45" s="9">
        <f t="shared" si="6"/>
        <v>0</v>
      </c>
      <c r="L45" s="2"/>
      <c r="P45" s="24"/>
      <c r="Q45" s="24"/>
      <c r="R45" s="24"/>
      <c r="S45" s="15" t="s">
        <v>54</v>
      </c>
      <c r="T45" s="19">
        <f>T$41</f>
        <v>0</v>
      </c>
      <c r="U45" s="19">
        <f>V45+U44</f>
        <v>0</v>
      </c>
      <c r="V45" s="19">
        <f>T45-W44</f>
        <v>0</v>
      </c>
      <c r="W45" s="23">
        <f>ROUND(U45, 3)</f>
        <v>0</v>
      </c>
      <c r="X45" s="23">
        <f>ROUND(T45,3)</f>
        <v>0</v>
      </c>
      <c r="Y45" s="27"/>
      <c r="Z45" s="2"/>
      <c r="AA45" s="2"/>
      <c r="AB45" s="36"/>
      <c r="AC45" s="36"/>
      <c r="AD45" s="36"/>
      <c r="AE45" s="36"/>
      <c r="AF45" s="36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ht="23.25" x14ac:dyDescent="0.35">
      <c r="C46" s="2"/>
      <c r="E46" s="45" t="s">
        <v>35</v>
      </c>
      <c r="F46" s="45"/>
      <c r="G46" s="45"/>
      <c r="H46" s="45"/>
      <c r="P46" s="24"/>
      <c r="Q46" s="24"/>
      <c r="R46" s="24"/>
      <c r="S46" s="24"/>
      <c r="T46" s="28">
        <f>SUMIFS(Tabel13423234[quantity],Tabel13423234[settlement_method],"E02",Tabel13423234[resolution],"PT1H")</f>
        <v>0</v>
      </c>
      <c r="U46" s="43" t="s">
        <v>50</v>
      </c>
      <c r="V46" s="44"/>
      <c r="W46" s="28">
        <f>SUM(W48:W51)</f>
        <v>0</v>
      </c>
      <c r="X46" s="21">
        <f>SUM(X48:X51)</f>
        <v>0</v>
      </c>
      <c r="Y46" s="27"/>
      <c r="Z46" s="2"/>
      <c r="AA46" s="2"/>
      <c r="AB46" s="36"/>
      <c r="AC46" s="36"/>
      <c r="AD46" s="36"/>
      <c r="AE46" s="36"/>
      <c r="AF46" s="36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ht="18.75" x14ac:dyDescent="0.3">
      <c r="C47" s="2"/>
      <c r="D47" s="4" t="s">
        <v>21</v>
      </c>
      <c r="E47" s="4" t="s">
        <v>19</v>
      </c>
      <c r="F47" s="5" t="s">
        <v>0</v>
      </c>
      <c r="G47" s="5" t="s">
        <v>1</v>
      </c>
      <c r="H47" s="5" t="s">
        <v>2</v>
      </c>
      <c r="P47" s="24"/>
      <c r="Q47" s="24"/>
      <c r="R47" s="24"/>
      <c r="S47" s="7" t="s">
        <v>45</v>
      </c>
      <c r="T47" s="9">
        <f>SUMIFS(Tabel13423234[quantity],Tabel13423234[settlement_method],"E02",Tabel13423234[resolution],"PT1H")/4</f>
        <v>0</v>
      </c>
      <c r="U47" s="7" t="s">
        <v>46</v>
      </c>
      <c r="V47" s="7" t="s">
        <v>47</v>
      </c>
      <c r="W47" s="7" t="s">
        <v>48</v>
      </c>
      <c r="X47" s="7" t="s">
        <v>49</v>
      </c>
      <c r="Y47" s="27"/>
      <c r="Z47" s="2"/>
      <c r="AA47" s="2"/>
      <c r="AB47" s="36"/>
      <c r="AC47" s="36"/>
      <c r="AD47" s="36"/>
      <c r="AE47" s="36"/>
      <c r="AF47" s="36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x14ac:dyDescent="0.25">
      <c r="A48" s="2"/>
      <c r="B48" s="2"/>
      <c r="C48" s="2"/>
      <c r="D48" s="8" t="s">
        <v>3</v>
      </c>
      <c r="E48" s="31" t="str">
        <f>$AF$2</f>
        <v>800</v>
      </c>
      <c r="F48" s="31" t="s">
        <v>34</v>
      </c>
      <c r="G48" s="31" t="s">
        <v>34</v>
      </c>
      <c r="H48" s="32">
        <f>powerIn1H_quarter1+powerIn15M-powerOut1H_quarter1-powerOut15M</f>
        <v>30</v>
      </c>
      <c r="P48" s="24"/>
      <c r="Q48" s="24"/>
      <c r="R48" s="24"/>
      <c r="S48" s="15" t="s">
        <v>59</v>
      </c>
      <c r="T48" s="19">
        <f>T$47</f>
        <v>0</v>
      </c>
      <c r="U48" s="19">
        <f>T48</f>
        <v>0</v>
      </c>
      <c r="V48" s="19"/>
      <c r="W48" s="23">
        <f>ROUND(U48, 3)</f>
        <v>0</v>
      </c>
      <c r="X48" s="23">
        <f>ROUND(T48,3)</f>
        <v>0</v>
      </c>
      <c r="Y48" s="27"/>
      <c r="Z48" s="2"/>
      <c r="AA48" s="2"/>
      <c r="AB48" s="36"/>
      <c r="AC48" s="36"/>
      <c r="AD48" s="36"/>
      <c r="AE48" s="36"/>
      <c r="AF48" s="36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x14ac:dyDescent="0.25">
      <c r="A49" s="2"/>
      <c r="B49" s="2"/>
      <c r="C49" s="2"/>
      <c r="D49" s="8" t="s">
        <v>4</v>
      </c>
      <c r="E49" s="31" t="str">
        <f>$AF$2</f>
        <v>800</v>
      </c>
      <c r="F49" s="31" t="s">
        <v>34</v>
      </c>
      <c r="G49" s="31" t="s">
        <v>34</v>
      </c>
      <c r="H49" s="32">
        <f>powerIn1H_quarter2-powerOut1H_quarter2</f>
        <v>20</v>
      </c>
      <c r="P49" s="24"/>
      <c r="Q49" s="24"/>
      <c r="R49" s="24"/>
      <c r="S49" s="15" t="s">
        <v>60</v>
      </c>
      <c r="T49" s="19">
        <f>T$47</f>
        <v>0</v>
      </c>
      <c r="U49" s="19">
        <f>V49+U48</f>
        <v>0</v>
      </c>
      <c r="V49" s="19">
        <f>T49-W48</f>
        <v>0</v>
      </c>
      <c r="W49" s="23">
        <f>ROUND(U49, 3)</f>
        <v>0</v>
      </c>
      <c r="X49" s="23">
        <f>ROUND(T49,3)</f>
        <v>0</v>
      </c>
      <c r="Y49" s="27"/>
      <c r="Z49" s="2"/>
      <c r="AA49" s="2"/>
      <c r="AB49" s="2"/>
      <c r="AC49" s="2"/>
      <c r="AD49" s="2"/>
      <c r="AE49" s="27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x14ac:dyDescent="0.25">
      <c r="A50" s="2"/>
      <c r="B50" s="2"/>
      <c r="C50" s="2"/>
      <c r="D50" s="8" t="s">
        <v>5</v>
      </c>
      <c r="E50" s="31" t="str">
        <f>$AF$2</f>
        <v>800</v>
      </c>
      <c r="F50" s="31" t="s">
        <v>34</v>
      </c>
      <c r="G50" s="31" t="s">
        <v>34</v>
      </c>
      <c r="H50" s="32">
        <f>powerIn1H_quarter3-powerOut1H_quarter3</f>
        <v>20</v>
      </c>
      <c r="P50" s="24"/>
      <c r="Q50" s="24"/>
      <c r="R50" s="24"/>
      <c r="S50" s="15" t="s">
        <v>61</v>
      </c>
      <c r="T50" s="19">
        <f>T$47</f>
        <v>0</v>
      </c>
      <c r="U50" s="19">
        <f>V50+U49</f>
        <v>0</v>
      </c>
      <c r="V50" s="19">
        <f>T50-W49</f>
        <v>0</v>
      </c>
      <c r="W50" s="23">
        <f>ROUND(U50, 3)</f>
        <v>0</v>
      </c>
      <c r="X50" s="23">
        <f>ROUND(T50,3)</f>
        <v>0</v>
      </c>
      <c r="Y50" s="24"/>
      <c r="Z50" s="2"/>
      <c r="AA50" s="2"/>
      <c r="AB50" s="2"/>
      <c r="AC50" s="2"/>
      <c r="AD50" s="2"/>
      <c r="AE50" s="27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x14ac:dyDescent="0.25">
      <c r="A51" s="2"/>
      <c r="B51" s="2"/>
      <c r="C51" s="2"/>
      <c r="D51" s="8" t="s">
        <v>6</v>
      </c>
      <c r="E51" s="31" t="str">
        <f>$AF$2</f>
        <v>800</v>
      </c>
      <c r="F51" s="31" t="s">
        <v>34</v>
      </c>
      <c r="G51" s="31" t="s">
        <v>34</v>
      </c>
      <c r="H51" s="32">
        <f>powerIn1H_quarter4-powerOut1H_quarter4</f>
        <v>20</v>
      </c>
      <c r="P51" s="24"/>
      <c r="Q51" s="24"/>
      <c r="R51" s="24"/>
      <c r="S51" s="15" t="s">
        <v>62</v>
      </c>
      <c r="T51" s="19">
        <f>T$47</f>
        <v>0</v>
      </c>
      <c r="U51" s="19">
        <f>V51+U50</f>
        <v>0</v>
      </c>
      <c r="V51" s="19">
        <f>T51-W50</f>
        <v>0</v>
      </c>
      <c r="W51" s="23">
        <f>ROUND(U51, 3)</f>
        <v>0</v>
      </c>
      <c r="X51" s="23">
        <f>ROUND(T51,3)</f>
        <v>0</v>
      </c>
      <c r="Y51" s="24"/>
      <c r="Z51" s="2"/>
      <c r="AA51" s="2"/>
      <c r="AB51" s="2"/>
      <c r="AC51" s="2"/>
      <c r="AD51" s="2"/>
      <c r="AE51" s="27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ht="23.25" x14ac:dyDescent="0.35">
      <c r="A52" s="2"/>
      <c r="B52" s="2"/>
      <c r="C52" s="2"/>
      <c r="E52" s="39" t="s">
        <v>37</v>
      </c>
      <c r="F52" s="40"/>
      <c r="G52" s="40"/>
      <c r="H52" s="41"/>
      <c r="P52" s="24"/>
      <c r="Q52" s="24"/>
      <c r="R52" s="24"/>
      <c r="S52" s="24"/>
      <c r="T52" s="28">
        <f>ROUND(SUMIFS(Tabel13423234[quantity],Tabel13423234[type],"E20",Tabel13423234[resolution],"PT1H",Tabel13423234[to_ga],"800"),3)</f>
        <v>80</v>
      </c>
      <c r="U52" s="43" t="s">
        <v>50</v>
      </c>
      <c r="V52" s="44"/>
      <c r="W52" s="28">
        <f>ROUND(SUM(W54:W57),3)</f>
        <v>80</v>
      </c>
      <c r="X52" s="21">
        <f>SUM(X54:X57)</f>
        <v>80</v>
      </c>
      <c r="Y52" s="24"/>
      <c r="Z52" s="2"/>
      <c r="AA52" s="2"/>
      <c r="AB52" s="2"/>
      <c r="AC52" s="2"/>
      <c r="AD52" s="2"/>
      <c r="AE52" s="27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ht="18.75" x14ac:dyDescent="0.3">
      <c r="A53" s="2"/>
      <c r="B53" s="2"/>
      <c r="C53" s="2"/>
      <c r="D53" s="4" t="s">
        <v>21</v>
      </c>
      <c r="E53" s="4" t="s">
        <v>19</v>
      </c>
      <c r="F53" s="5" t="s">
        <v>0</v>
      </c>
      <c r="G53" s="5" t="s">
        <v>1</v>
      </c>
      <c r="H53" s="5" t="s">
        <v>2</v>
      </c>
      <c r="P53" s="24"/>
      <c r="Q53" s="24"/>
      <c r="R53" s="24"/>
      <c r="S53" s="6" t="s">
        <v>31</v>
      </c>
      <c r="T53" s="9">
        <f>SUMIFS(Tabel13423234[quantity],Tabel13423234[type],"E20",Tabel13423234[resolution],"PT1H",Tabel13423234[to_ga],"800")/4</f>
        <v>20</v>
      </c>
      <c r="U53" s="7" t="s">
        <v>46</v>
      </c>
      <c r="V53" s="7" t="s">
        <v>47</v>
      </c>
      <c r="W53" s="7" t="s">
        <v>48</v>
      </c>
      <c r="X53" s="7" t="s">
        <v>49</v>
      </c>
      <c r="Y53" s="24"/>
      <c r="Z53" s="2"/>
      <c r="AA53" s="2"/>
      <c r="AB53" s="2"/>
      <c r="AC53" s="2"/>
      <c r="AD53" s="2"/>
      <c r="AE53" s="27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x14ac:dyDescent="0.25">
      <c r="A54" s="2"/>
      <c r="B54" s="2"/>
      <c r="C54" s="2"/>
      <c r="D54" s="8" t="s">
        <v>3</v>
      </c>
      <c r="E54" s="31" t="str">
        <f>$AF$2</f>
        <v>800</v>
      </c>
      <c r="F54" s="31" t="s">
        <v>34</v>
      </c>
      <c r="G54" s="31" t="s">
        <v>34</v>
      </c>
      <c r="H54" s="32">
        <f>totalFlex1H_quarter1+totalFlex15M</f>
        <v>0</v>
      </c>
      <c r="P54" s="24"/>
      <c r="Q54" s="24"/>
      <c r="R54" s="24"/>
      <c r="S54" s="15" t="s">
        <v>63</v>
      </c>
      <c r="T54" s="19">
        <f>T$53</f>
        <v>20</v>
      </c>
      <c r="U54" s="19">
        <f>T54</f>
        <v>20</v>
      </c>
      <c r="V54" s="19"/>
      <c r="W54" s="23">
        <f>ROUND(U54, 3)</f>
        <v>20</v>
      </c>
      <c r="X54" s="23">
        <f>ROUND(T54,3)</f>
        <v>20</v>
      </c>
      <c r="Y54" s="24"/>
      <c r="Z54" s="2"/>
      <c r="AA54" s="2"/>
      <c r="AB54" s="2"/>
      <c r="AC54" s="2"/>
      <c r="AD54" s="2"/>
      <c r="AE54" s="27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x14ac:dyDescent="0.25">
      <c r="A55" s="2"/>
      <c r="B55" s="2"/>
      <c r="C55" s="2"/>
      <c r="D55" s="8" t="s">
        <v>4</v>
      </c>
      <c r="E55" s="31" t="str">
        <f>$AF$2</f>
        <v>800</v>
      </c>
      <c r="F55" s="31" t="s">
        <v>34</v>
      </c>
      <c r="G55" s="31" t="s">
        <v>34</v>
      </c>
      <c r="H55" s="32">
        <f>totalFlex1H_quarter2</f>
        <v>0</v>
      </c>
      <c r="P55" s="24"/>
      <c r="Q55" s="24"/>
      <c r="R55" s="24"/>
      <c r="S55" s="15" t="s">
        <v>64</v>
      </c>
      <c r="T55" s="19">
        <f>T$53</f>
        <v>20</v>
      </c>
      <c r="U55" s="19">
        <f>V55+U54</f>
        <v>20</v>
      </c>
      <c r="V55" s="19">
        <f>T55-W54</f>
        <v>0</v>
      </c>
      <c r="W55" s="23">
        <f>ROUND(U55, 3)</f>
        <v>20</v>
      </c>
      <c r="X55" s="23">
        <f>ROUND(T55,3)</f>
        <v>20</v>
      </c>
      <c r="Y55" s="24"/>
      <c r="Z55" s="2"/>
      <c r="AA55" s="2"/>
      <c r="AB55" s="2"/>
      <c r="AC55" s="2"/>
      <c r="AD55" s="2"/>
      <c r="AE55" s="27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x14ac:dyDescent="0.25">
      <c r="A56" s="2"/>
      <c r="B56" s="2"/>
      <c r="C56" s="2"/>
      <c r="D56" s="8" t="s">
        <v>5</v>
      </c>
      <c r="E56" s="31" t="str">
        <f>$AF$2</f>
        <v>800</v>
      </c>
      <c r="F56" s="31" t="s">
        <v>34</v>
      </c>
      <c r="G56" s="31" t="s">
        <v>34</v>
      </c>
      <c r="H56" s="32">
        <f>totalFlex1H_quarter3</f>
        <v>0</v>
      </c>
      <c r="P56" s="24"/>
      <c r="Q56" s="24"/>
      <c r="R56" s="24"/>
      <c r="S56" s="15" t="s">
        <v>65</v>
      </c>
      <c r="T56" s="19">
        <f>T$53</f>
        <v>20</v>
      </c>
      <c r="U56" s="19">
        <f>V56+U55</f>
        <v>20</v>
      </c>
      <c r="V56" s="19">
        <f>T56-W55</f>
        <v>0</v>
      </c>
      <c r="W56" s="23">
        <f>ROUND(U56, 3)</f>
        <v>20</v>
      </c>
      <c r="X56" s="23">
        <f>ROUND(T56,3)</f>
        <v>20</v>
      </c>
      <c r="Y56" s="24"/>
      <c r="Z56" s="2"/>
      <c r="AA56" s="2"/>
      <c r="AB56" s="2"/>
      <c r="AC56" s="2"/>
      <c r="AD56" s="2"/>
      <c r="AE56" s="27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x14ac:dyDescent="0.25">
      <c r="A57" s="2"/>
      <c r="B57" s="2"/>
      <c r="C57" s="2"/>
      <c r="D57" s="8" t="s">
        <v>6</v>
      </c>
      <c r="E57" s="31" t="str">
        <f>$AF$2</f>
        <v>800</v>
      </c>
      <c r="F57" s="31" t="s">
        <v>34</v>
      </c>
      <c r="G57" s="31" t="s">
        <v>34</v>
      </c>
      <c r="H57" s="32">
        <f>totalFlex1H_quarter4</f>
        <v>0</v>
      </c>
      <c r="P57" s="24"/>
      <c r="Q57" s="24"/>
      <c r="R57" s="24"/>
      <c r="S57" s="15" t="s">
        <v>66</v>
      </c>
      <c r="T57" s="19">
        <f>T$53</f>
        <v>20</v>
      </c>
      <c r="U57" s="19">
        <f>V57+U56</f>
        <v>20</v>
      </c>
      <c r="V57" s="19">
        <f>T57-W56</f>
        <v>0</v>
      </c>
      <c r="W57" s="23">
        <f>ROUND(U57, 3)</f>
        <v>20</v>
      </c>
      <c r="X57" s="23">
        <f>ROUND(T57,3)</f>
        <v>20</v>
      </c>
      <c r="Y57" s="27"/>
      <c r="Z57" s="2"/>
      <c r="AA57" s="2"/>
      <c r="AB57" s="2"/>
      <c r="AC57" s="2"/>
      <c r="AD57" s="2"/>
      <c r="AE57" s="27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ht="23.25" x14ac:dyDescent="0.35">
      <c r="A58" s="2"/>
      <c r="B58" s="2"/>
      <c r="C58" s="2"/>
      <c r="E58" s="39" t="s">
        <v>38</v>
      </c>
      <c r="F58" s="40"/>
      <c r="G58" s="40"/>
      <c r="H58" s="41"/>
      <c r="P58" s="24"/>
      <c r="Q58" s="24"/>
      <c r="R58" s="24"/>
      <c r="S58" s="24"/>
      <c r="T58" s="28">
        <f>ROUND(SUMIFS(Tabel13423234[quantity],Tabel13423234[type],"E20",Tabel13423234[resolution],"PT1H",Tabel13423234[from_ga],"800"),3)</f>
        <v>0</v>
      </c>
      <c r="U58" s="43" t="s">
        <v>50</v>
      </c>
      <c r="V58" s="44"/>
      <c r="W58" s="28">
        <f>ROUND(SUM(W60:W63),3)</f>
        <v>0</v>
      </c>
      <c r="X58" s="21">
        <f>SUM(X60:X63)</f>
        <v>0</v>
      </c>
      <c r="Y58" s="27"/>
      <c r="Z58" s="2"/>
      <c r="AA58" s="2"/>
      <c r="AB58" s="2"/>
      <c r="AC58" s="2"/>
      <c r="AD58" s="2"/>
      <c r="AE58" s="27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ht="18.75" x14ac:dyDescent="0.3">
      <c r="A59" s="2"/>
      <c r="B59" s="2"/>
      <c r="C59" s="2"/>
      <c r="D59" s="4" t="s">
        <v>21</v>
      </c>
      <c r="E59" s="4" t="s">
        <v>19</v>
      </c>
      <c r="F59" s="5" t="s">
        <v>0</v>
      </c>
      <c r="G59" s="5" t="s">
        <v>1</v>
      </c>
      <c r="H59" s="5" t="s">
        <v>2</v>
      </c>
      <c r="P59" s="24"/>
      <c r="Q59" s="24"/>
      <c r="R59" s="24"/>
      <c r="S59" s="6" t="s">
        <v>33</v>
      </c>
      <c r="T59" s="9">
        <f>SUMIFS(Tabel13423234[quantity],Tabel13423234[type],"E20",Tabel13423234[resolution],"PT1H",Tabel13423234[from_ga],"800")/4</f>
        <v>0</v>
      </c>
      <c r="U59" s="7" t="s">
        <v>46</v>
      </c>
      <c r="V59" s="7" t="s">
        <v>47</v>
      </c>
      <c r="W59" s="7" t="s">
        <v>48</v>
      </c>
      <c r="X59" s="7" t="s">
        <v>49</v>
      </c>
      <c r="Y59" s="27"/>
      <c r="Z59" s="2"/>
      <c r="AA59" s="2"/>
      <c r="AB59" s="2"/>
      <c r="AC59" s="2"/>
      <c r="AD59" s="2"/>
      <c r="AE59" s="27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x14ac:dyDescent="0.25">
      <c r="C60" s="2"/>
      <c r="D60" s="8" t="s">
        <v>3</v>
      </c>
      <c r="E60" s="31" t="str">
        <f>$AF$2</f>
        <v>800</v>
      </c>
      <c r="F60" s="31" t="s">
        <v>34</v>
      </c>
      <c r="G60" s="31" t="s">
        <v>34</v>
      </c>
      <c r="H60" s="32">
        <f>totalProduction1H_quarter1+totalProduction15M</f>
        <v>0</v>
      </c>
      <c r="P60" s="24"/>
      <c r="Q60" s="24"/>
      <c r="R60" s="24"/>
      <c r="S60" s="15" t="s">
        <v>67</v>
      </c>
      <c r="T60" s="19">
        <f>T$59</f>
        <v>0</v>
      </c>
      <c r="U60" s="19">
        <f>T60</f>
        <v>0</v>
      </c>
      <c r="V60" s="19"/>
      <c r="W60" s="23">
        <f>ROUND(U60, 3)</f>
        <v>0</v>
      </c>
      <c r="X60" s="23">
        <f>ROUND(T60,3)</f>
        <v>0</v>
      </c>
      <c r="Y60" s="27"/>
      <c r="Z60" s="2"/>
      <c r="AA60" s="2"/>
      <c r="AB60" s="2"/>
      <c r="AC60" s="2"/>
      <c r="AD60" s="2"/>
      <c r="AE60" s="27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x14ac:dyDescent="0.25">
      <c r="C61" s="2"/>
      <c r="D61" s="8" t="s">
        <v>4</v>
      </c>
      <c r="E61" s="31" t="str">
        <f>$AF$2</f>
        <v>800</v>
      </c>
      <c r="F61" s="31" t="s">
        <v>34</v>
      </c>
      <c r="G61" s="31" t="s">
        <v>34</v>
      </c>
      <c r="H61" s="32">
        <f>totalProduction1H_quarter2</f>
        <v>0</v>
      </c>
      <c r="P61" s="24"/>
      <c r="Q61" s="24"/>
      <c r="R61" s="24"/>
      <c r="S61" s="15" t="s">
        <v>68</v>
      </c>
      <c r="T61" s="19">
        <f>T$59</f>
        <v>0</v>
      </c>
      <c r="U61" s="19">
        <f>V61+U60</f>
        <v>0</v>
      </c>
      <c r="V61" s="19">
        <f>T61-W60</f>
        <v>0</v>
      </c>
      <c r="W61" s="23">
        <f>ROUND(U61, 3)</f>
        <v>0</v>
      </c>
      <c r="X61" s="23">
        <f>ROUND(T61,3)</f>
        <v>0</v>
      </c>
      <c r="Y61" s="27"/>
      <c r="Z61" s="2"/>
      <c r="AA61" s="2"/>
      <c r="AB61" s="2"/>
      <c r="AC61" s="2"/>
      <c r="AD61" s="2"/>
      <c r="AE61" s="27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x14ac:dyDescent="0.25">
      <c r="C62" s="2"/>
      <c r="D62" s="8" t="s">
        <v>5</v>
      </c>
      <c r="E62" s="31" t="str">
        <f>$AF$2</f>
        <v>800</v>
      </c>
      <c r="F62" s="31" t="s">
        <v>34</v>
      </c>
      <c r="G62" s="31" t="s">
        <v>34</v>
      </c>
      <c r="H62" s="32">
        <f>totalProduction1H_quarter3</f>
        <v>0</v>
      </c>
      <c r="P62" s="24"/>
      <c r="Q62" s="24"/>
      <c r="R62" s="24"/>
      <c r="S62" s="15" t="s">
        <v>69</v>
      </c>
      <c r="T62" s="19">
        <f>T$59</f>
        <v>0</v>
      </c>
      <c r="U62" s="19">
        <f>V62+U61</f>
        <v>0</v>
      </c>
      <c r="V62" s="19">
        <f>T62-W61</f>
        <v>0</v>
      </c>
      <c r="W62" s="23">
        <f>ROUND(U62, 3)</f>
        <v>0</v>
      </c>
      <c r="X62" s="23">
        <f>ROUND(T62,3)</f>
        <v>0</v>
      </c>
      <c r="Y62" s="27"/>
      <c r="Z62" s="2"/>
      <c r="AA62" s="2"/>
      <c r="AB62" s="2"/>
      <c r="AC62" s="2"/>
      <c r="AD62" s="2"/>
      <c r="AE62" s="27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x14ac:dyDescent="0.25">
      <c r="C63" s="2"/>
      <c r="D63" s="8" t="s">
        <v>6</v>
      </c>
      <c r="E63" s="31" t="str">
        <f>$AF$2</f>
        <v>800</v>
      </c>
      <c r="F63" s="31" t="s">
        <v>34</v>
      </c>
      <c r="G63" s="31" t="s">
        <v>34</v>
      </c>
      <c r="H63" s="32">
        <f>totalProduction1H_quarter4</f>
        <v>0</v>
      </c>
      <c r="P63" s="24"/>
      <c r="Q63" s="24"/>
      <c r="R63" s="24"/>
      <c r="S63" s="15" t="s">
        <v>70</v>
      </c>
      <c r="T63" s="19">
        <f>T$59</f>
        <v>0</v>
      </c>
      <c r="U63" s="19">
        <f>V63+U62</f>
        <v>0</v>
      </c>
      <c r="V63" s="19">
        <f>T63-W62</f>
        <v>0</v>
      </c>
      <c r="W63" s="23">
        <f>ROUND(U63, 3)</f>
        <v>0</v>
      </c>
      <c r="X63" s="23">
        <f>ROUND(T63,3)</f>
        <v>0</v>
      </c>
      <c r="Y63" s="27"/>
      <c r="Z63" s="2"/>
      <c r="AA63" s="2"/>
      <c r="AB63" s="2"/>
      <c r="AC63" s="2"/>
      <c r="AD63" s="2"/>
      <c r="AE63" s="27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ht="23.25" x14ac:dyDescent="0.35">
      <c r="C64" s="2"/>
      <c r="E64" s="39" t="s">
        <v>39</v>
      </c>
      <c r="F64" s="40"/>
      <c r="G64" s="40"/>
      <c r="H64" s="41"/>
      <c r="P64" s="24"/>
      <c r="Q64" s="24"/>
      <c r="R64" s="24"/>
      <c r="S64" s="24"/>
      <c r="T64" s="28">
        <f>ROUND(SUMIFS(Tabel13423234[quantity],Tabel13423234[type],"E17",Tabel13423234[resolution],"PT1H"),3)</f>
        <v>0</v>
      </c>
      <c r="U64" s="43" t="s">
        <v>50</v>
      </c>
      <c r="V64" s="44"/>
      <c r="W64" s="28">
        <f>ROUND(SUM(W66:W69),3)</f>
        <v>0</v>
      </c>
      <c r="X64" s="21">
        <f>SUM(X66:X69)</f>
        <v>0</v>
      </c>
      <c r="Y64" s="27"/>
      <c r="Z64" s="2"/>
      <c r="AA64" s="2"/>
      <c r="AB64" s="2"/>
      <c r="AC64" s="2"/>
      <c r="AD64" s="2"/>
      <c r="AE64" s="27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3:90" ht="18.75" x14ac:dyDescent="0.3">
      <c r="C65" s="2"/>
      <c r="D65" s="4" t="s">
        <v>21</v>
      </c>
      <c r="E65" s="4" t="s">
        <v>19</v>
      </c>
      <c r="F65" s="5" t="s">
        <v>0</v>
      </c>
      <c r="G65" s="5" t="s">
        <v>1</v>
      </c>
      <c r="H65" s="5" t="s">
        <v>2</v>
      </c>
      <c r="P65" s="24"/>
      <c r="Q65" s="24"/>
      <c r="R65" s="24"/>
      <c r="S65" s="7" t="s">
        <v>28</v>
      </c>
      <c r="T65" s="9">
        <f>SUMIFS(Tabel13423234[quantity],Tabel13423234[type],"E17",Tabel13423234[resolution],"PT1H")/4</f>
        <v>0</v>
      </c>
      <c r="U65" s="7" t="s">
        <v>46</v>
      </c>
      <c r="V65" s="7" t="s">
        <v>47</v>
      </c>
      <c r="W65" s="7" t="s">
        <v>48</v>
      </c>
      <c r="X65" s="7" t="s">
        <v>49</v>
      </c>
      <c r="Y65" s="27"/>
      <c r="Z65" s="2"/>
      <c r="AA65" s="2"/>
      <c r="AB65" s="2"/>
      <c r="AC65" s="2"/>
      <c r="AD65" s="2"/>
      <c r="AE65" s="27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3:90" x14ac:dyDescent="0.25">
      <c r="C66" s="2"/>
      <c r="D66" s="8" t="s">
        <v>3</v>
      </c>
      <c r="E66" s="31" t="str">
        <f>$AF$2</f>
        <v>800</v>
      </c>
      <c r="F66" s="31" t="s">
        <v>34</v>
      </c>
      <c r="G66" s="31" t="s">
        <v>34</v>
      </c>
      <c r="H66" s="32">
        <f>totalProduction1H_quarter1+totalProduction15M+netEx_quarter1-totalFlex1H_quarter1-totalFlex15M-totalNonprofiled1H_quarter1-totalNonprofiled15M</f>
        <v>30</v>
      </c>
      <c r="P66" s="24"/>
      <c r="Q66" s="24"/>
      <c r="R66" s="24"/>
      <c r="S66" s="15" t="s">
        <v>71</v>
      </c>
      <c r="T66" s="19">
        <f>T$65</f>
        <v>0</v>
      </c>
      <c r="U66" s="19">
        <f>T66</f>
        <v>0</v>
      </c>
      <c r="V66" s="19"/>
      <c r="W66" s="23">
        <f>ROUND(U66, 3)</f>
        <v>0</v>
      </c>
      <c r="X66" s="23">
        <f>ROUND(T66,3)</f>
        <v>0</v>
      </c>
      <c r="Y66" s="27"/>
      <c r="Z66" s="2"/>
      <c r="AA66" s="2"/>
      <c r="AB66" s="2"/>
      <c r="AC66" s="2"/>
      <c r="AD66" s="2"/>
      <c r="AE66" s="27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3:90" x14ac:dyDescent="0.25">
      <c r="C67" s="2"/>
      <c r="D67" s="8" t="s">
        <v>4</v>
      </c>
      <c r="E67" s="31" t="str">
        <f>$AF$2</f>
        <v>800</v>
      </c>
      <c r="F67" s="31" t="s">
        <v>34</v>
      </c>
      <c r="G67" s="31" t="s">
        <v>34</v>
      </c>
      <c r="H67" s="32">
        <f>totalProduction1H_quarter2+netEx_quarter2-totalFlex1H_quarter2-totalNonprofiled1H_quarter2</f>
        <v>20</v>
      </c>
      <c r="P67" s="24"/>
      <c r="Q67" s="24"/>
      <c r="R67" s="24"/>
      <c r="S67" s="15" t="s">
        <v>72</v>
      </c>
      <c r="T67" s="19">
        <f>T$65</f>
        <v>0</v>
      </c>
      <c r="U67" s="19">
        <f>V67+U66</f>
        <v>0</v>
      </c>
      <c r="V67" s="19">
        <f>T67-W66</f>
        <v>0</v>
      </c>
      <c r="W67" s="23">
        <f>ROUND(U67, 3)</f>
        <v>0</v>
      </c>
      <c r="X67" s="23">
        <f>ROUND(T67,3)</f>
        <v>0</v>
      </c>
      <c r="Y67" s="27"/>
      <c r="Z67" s="2"/>
      <c r="AA67" s="2"/>
      <c r="AB67" s="2"/>
      <c r="AC67" s="2"/>
      <c r="AD67" s="2"/>
      <c r="AE67" s="27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3:90" x14ac:dyDescent="0.25">
      <c r="C68" s="2"/>
      <c r="D68" s="8" t="s">
        <v>5</v>
      </c>
      <c r="E68" s="31" t="str">
        <f>$AF$2</f>
        <v>800</v>
      </c>
      <c r="F68" s="31" t="s">
        <v>34</v>
      </c>
      <c r="G68" s="31" t="s">
        <v>34</v>
      </c>
      <c r="H68" s="32">
        <f>totalProduction1H_quarter3+netEx_quarter3-totalFlex1H_quarter3-totalNonprofiled1H_quarter3</f>
        <v>20</v>
      </c>
      <c r="P68" s="24"/>
      <c r="Q68" s="24"/>
      <c r="R68" s="24"/>
      <c r="S68" s="15" t="s">
        <v>73</v>
      </c>
      <c r="T68" s="19">
        <f>T$65</f>
        <v>0</v>
      </c>
      <c r="U68" s="19">
        <f>V68+U67</f>
        <v>0</v>
      </c>
      <c r="V68" s="19">
        <f>T68-W67</f>
        <v>0</v>
      </c>
      <c r="W68" s="23">
        <f>ROUND(U68, 3)</f>
        <v>0</v>
      </c>
      <c r="X68" s="23">
        <f>ROUND(T68,3)</f>
        <v>0</v>
      </c>
      <c r="Y68" s="27"/>
      <c r="Z68" s="2"/>
      <c r="AA68" s="2"/>
      <c r="AB68" s="2"/>
      <c r="AC68" s="2"/>
      <c r="AD68" s="2"/>
      <c r="AE68" s="27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3:90" x14ac:dyDescent="0.25">
      <c r="C69" s="2"/>
      <c r="D69" s="8" t="s">
        <v>6</v>
      </c>
      <c r="E69" s="31" t="str">
        <f>$AF$2</f>
        <v>800</v>
      </c>
      <c r="F69" s="31" t="s">
        <v>34</v>
      </c>
      <c r="G69" s="31" t="s">
        <v>34</v>
      </c>
      <c r="H69" s="32">
        <f>totalProduction1H_quarter4+netEx_quarter4-totalFlex1H_quarter4-totalNonprofiled1H_quarter4</f>
        <v>20</v>
      </c>
      <c r="J69" s="2"/>
      <c r="P69" s="24"/>
      <c r="Q69" s="24"/>
      <c r="R69" s="27"/>
      <c r="S69" s="15" t="s">
        <v>74</v>
      </c>
      <c r="T69" s="19">
        <f>T$65</f>
        <v>0</v>
      </c>
      <c r="U69" s="19">
        <f>V69+U68</f>
        <v>0</v>
      </c>
      <c r="V69" s="19">
        <f>T69-W68</f>
        <v>0</v>
      </c>
      <c r="W69" s="23">
        <f>ROUND(U69, 3)</f>
        <v>0</v>
      </c>
      <c r="X69" s="23">
        <f>ROUND(T69,3)</f>
        <v>0</v>
      </c>
      <c r="Y69" s="27"/>
      <c r="Z69" s="2"/>
      <c r="AA69" s="2"/>
      <c r="AB69" s="2"/>
      <c r="AC69" s="2"/>
      <c r="AD69" s="2"/>
      <c r="AE69" s="27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3:90" ht="23.25" x14ac:dyDescent="0.35">
      <c r="C70" s="2"/>
      <c r="E70" s="39" t="s">
        <v>41</v>
      </c>
      <c r="F70" s="40"/>
      <c r="G70" s="40"/>
      <c r="H70" s="41"/>
      <c r="P70" s="24"/>
      <c r="Q70" s="27"/>
      <c r="R70" s="27"/>
      <c r="S70" s="24"/>
      <c r="T70" s="24"/>
      <c r="U70" s="24"/>
      <c r="V70" s="24"/>
      <c r="W70" s="24"/>
      <c r="X70" s="24"/>
      <c r="Y70" s="27"/>
      <c r="Z70" s="2"/>
      <c r="AA70" s="2"/>
      <c r="AB70" s="2"/>
      <c r="AC70" s="2"/>
      <c r="AD70" s="2"/>
      <c r="AE70" s="27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3:90" ht="18.75" x14ac:dyDescent="0.3">
      <c r="C71" s="2"/>
      <c r="D71" s="4" t="s">
        <v>21</v>
      </c>
      <c r="E71" s="4" t="s">
        <v>19</v>
      </c>
      <c r="F71" s="5" t="s">
        <v>0</v>
      </c>
      <c r="G71" s="5" t="s">
        <v>1</v>
      </c>
      <c r="H71" s="5" t="s">
        <v>2</v>
      </c>
      <c r="P71" s="24"/>
      <c r="Q71" s="27"/>
      <c r="R71" s="27"/>
      <c r="S71" s="24"/>
      <c r="T71" s="24"/>
      <c r="U71" s="24"/>
      <c r="V71" s="24"/>
      <c r="W71" s="24"/>
      <c r="X71" s="24"/>
      <c r="Y71" s="27"/>
      <c r="Z71" s="2"/>
      <c r="AA71" s="2"/>
      <c r="AB71" s="2"/>
      <c r="AC71" s="2"/>
      <c r="AD71" s="2"/>
      <c r="AE71" s="27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3:90" x14ac:dyDescent="0.25">
      <c r="C72" s="2"/>
      <c r="D72" s="15" t="s">
        <v>78</v>
      </c>
      <c r="E72" s="31" t="str">
        <f>$AF$2</f>
        <v>800</v>
      </c>
      <c r="F72" s="31" t="s">
        <v>34</v>
      </c>
      <c r="G72" s="31" t="s">
        <v>34</v>
      </c>
      <c r="H72" s="32">
        <f>IF(gridLoss1H_quarter4&gt;0,gridLoss1H_quarter4,0)</f>
        <v>20</v>
      </c>
      <c r="P72" s="24"/>
      <c r="Q72" s="27"/>
      <c r="R72" s="27"/>
      <c r="S72" s="24"/>
      <c r="T72" s="24"/>
      <c r="U72" s="24"/>
      <c r="V72" s="24"/>
      <c r="W72" s="24"/>
      <c r="X72" s="24"/>
      <c r="Y72" s="27"/>
      <c r="Z72" s="2"/>
      <c r="AA72" s="2"/>
      <c r="AB72" s="2"/>
      <c r="AC72" s="2"/>
      <c r="AD72" s="2"/>
      <c r="AE72" s="27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3:90" x14ac:dyDescent="0.25">
      <c r="C73" s="2"/>
      <c r="D73" s="15" t="s">
        <v>77</v>
      </c>
      <c r="E73" s="31" t="str">
        <f>$AF$2</f>
        <v>800</v>
      </c>
      <c r="F73" s="31" t="s">
        <v>34</v>
      </c>
      <c r="G73" s="31" t="s">
        <v>34</v>
      </c>
      <c r="H73" s="32">
        <f>IF(gridLoss1H_quarter3&gt;0,gridLoss1H_quarter3,0)</f>
        <v>20</v>
      </c>
      <c r="Q73" s="2"/>
      <c r="R73" s="2"/>
      <c r="Y73" s="2"/>
      <c r="Z73" s="2"/>
      <c r="AA73" s="2"/>
      <c r="AB73" s="2"/>
      <c r="AC73" s="2"/>
      <c r="AD73" s="2"/>
      <c r="AE73" s="27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3:90" x14ac:dyDescent="0.25">
      <c r="C74" s="2"/>
      <c r="D74" s="15" t="s">
        <v>76</v>
      </c>
      <c r="E74" s="31" t="str">
        <f>$AF$2</f>
        <v>800</v>
      </c>
      <c r="F74" s="31" t="s">
        <v>34</v>
      </c>
      <c r="G74" s="31" t="s">
        <v>34</v>
      </c>
      <c r="H74" s="32">
        <f>IF(gridLoss1H_quarter2&gt;0,gridLoss1H_quarter2,0)</f>
        <v>20</v>
      </c>
      <c r="I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7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3:90" x14ac:dyDescent="0.25">
      <c r="C75" s="2"/>
      <c r="D75" s="15" t="s">
        <v>75</v>
      </c>
      <c r="E75" s="31" t="str">
        <f>$AF$2</f>
        <v>800</v>
      </c>
      <c r="F75" s="31" t="s">
        <v>34</v>
      </c>
      <c r="G75" s="31" t="s">
        <v>34</v>
      </c>
      <c r="H75" s="32">
        <f>IF(gridLoss1H_quarter1&gt;0,gridLoss1H_quarter1,0)</f>
        <v>30</v>
      </c>
      <c r="I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7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</row>
    <row r="76" spans="3:90" ht="23.25" x14ac:dyDescent="0.35">
      <c r="C76" s="2"/>
      <c r="E76" s="39" t="s">
        <v>42</v>
      </c>
      <c r="F76" s="40"/>
      <c r="G76" s="40"/>
      <c r="H76" s="4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7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</row>
    <row r="77" spans="3:90" ht="18.75" x14ac:dyDescent="0.3">
      <c r="C77" s="2"/>
      <c r="D77" s="4" t="s">
        <v>21</v>
      </c>
      <c r="E77" s="4" t="s">
        <v>19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7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</row>
    <row r="78" spans="3:90" x14ac:dyDescent="0.25">
      <c r="C78" s="2"/>
      <c r="D78" s="15" t="s">
        <v>78</v>
      </c>
      <c r="E78" s="31" t="str">
        <f>$AF$2</f>
        <v>800</v>
      </c>
      <c r="F78" s="31" t="s">
        <v>34</v>
      </c>
      <c r="G78" s="31" t="s">
        <v>34</v>
      </c>
      <c r="H78" s="32">
        <f>IF(gridLoss1H_quarter4&lt;0,gridLoss1H_quarter4*-1,0)</f>
        <v>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7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</row>
    <row r="79" spans="3:90" x14ac:dyDescent="0.25">
      <c r="C79" s="2"/>
      <c r="D79" s="15" t="s">
        <v>77</v>
      </c>
      <c r="E79" s="31" t="str">
        <f>$AF$2</f>
        <v>800</v>
      </c>
      <c r="F79" s="31" t="s">
        <v>34</v>
      </c>
      <c r="G79" s="31" t="s">
        <v>34</v>
      </c>
      <c r="H79" s="32">
        <f>IF(gridLoss1H_quarter3&lt;0,gridLoss1H_quarter3*-1,0)</f>
        <v>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7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</row>
    <row r="80" spans="3:90" x14ac:dyDescent="0.25">
      <c r="C80" s="2"/>
      <c r="D80" s="15" t="s">
        <v>76</v>
      </c>
      <c r="E80" s="31" t="str">
        <f>$AF$2</f>
        <v>800</v>
      </c>
      <c r="F80" s="31" t="s">
        <v>34</v>
      </c>
      <c r="G80" s="31" t="s">
        <v>34</v>
      </c>
      <c r="H80" s="32">
        <f>IF(gridLoss1H_quarter2&lt;0,gridLoss1H_quarter2*-1,0)</f>
        <v>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7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</row>
    <row r="81" spans="3:90" x14ac:dyDescent="0.25">
      <c r="C81" s="2"/>
      <c r="D81" s="15" t="s">
        <v>75</v>
      </c>
      <c r="E81" s="31" t="str">
        <f>$AF$2</f>
        <v>800</v>
      </c>
      <c r="F81" s="31" t="s">
        <v>34</v>
      </c>
      <c r="G81" s="31" t="s">
        <v>34</v>
      </c>
      <c r="H81" s="32">
        <f>IF(gridLoss1H_quarter1&lt;0,(gridLoss1H_quarter1)*-1,0)</f>
        <v>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7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</row>
    <row r="82" spans="3:90" ht="23.25" x14ac:dyDescent="0.35">
      <c r="C82" s="2"/>
      <c r="E82" s="39" t="s">
        <v>80</v>
      </c>
      <c r="F82" s="40"/>
      <c r="G82" s="40"/>
      <c r="H82" s="4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7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</row>
    <row r="83" spans="3:90" ht="18.75" x14ac:dyDescent="0.3">
      <c r="C83" s="2"/>
      <c r="D83" s="4" t="s">
        <v>21</v>
      </c>
      <c r="E83" s="4" t="s">
        <v>19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7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</row>
    <row r="84" spans="3:90" x14ac:dyDescent="0.25">
      <c r="C84" s="2"/>
      <c r="D84" s="15" t="s">
        <v>75</v>
      </c>
      <c r="E84" s="31" t="str">
        <f>$AF$2</f>
        <v>800</v>
      </c>
      <c r="F84" s="31" t="s">
        <v>34</v>
      </c>
      <c r="G84" s="31" t="s">
        <v>34</v>
      </c>
      <c r="H84" s="32" t="str">
        <f>SUBSTITUTE(netEx_quarter1+totalProduction1H_quarter1+totalProduction15M+negGridLossQuarter1,",",".")</f>
        <v>30</v>
      </c>
      <c r="I84" s="37"/>
      <c r="J84" s="2"/>
      <c r="S84" s="2"/>
      <c r="T84" s="42" t="s">
        <v>85</v>
      </c>
      <c r="U84" s="42"/>
      <c r="V84" s="42"/>
      <c r="W84" s="42"/>
      <c r="X84" s="42"/>
      <c r="Y84" s="2"/>
      <c r="Z84" s="2"/>
      <c r="AA84" s="2"/>
      <c r="AB84" s="2"/>
      <c r="AC84" s="2"/>
      <c r="AD84" s="2"/>
      <c r="AE84" s="27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</row>
    <row r="85" spans="3:90" x14ac:dyDescent="0.25">
      <c r="C85" s="2"/>
      <c r="D85" s="15" t="s">
        <v>76</v>
      </c>
      <c r="E85" s="31" t="str">
        <f>$AF$2</f>
        <v>800</v>
      </c>
      <c r="F85" s="31" t="s">
        <v>34</v>
      </c>
      <c r="G85" s="31" t="s">
        <v>34</v>
      </c>
      <c r="H85" s="32" t="str">
        <f>SUBSTITUTE(netEx_quarter2+totalProduction1H_quarter2+negGridLossQuarter2,",",".")</f>
        <v>20</v>
      </c>
      <c r="I85" s="2"/>
      <c r="J85" s="2"/>
      <c r="K85" s="2"/>
      <c r="S85" s="2"/>
      <c r="T85" s="6" t="s">
        <v>15</v>
      </c>
      <c r="U85" s="6" t="s">
        <v>87</v>
      </c>
      <c r="V85" s="6" t="s">
        <v>46</v>
      </c>
      <c r="W85" s="6" t="s">
        <v>47</v>
      </c>
      <c r="X85" s="6" t="s">
        <v>48</v>
      </c>
      <c r="Y85" s="2"/>
      <c r="Z85" s="2"/>
      <c r="AA85" s="2"/>
      <c r="AB85" s="2"/>
      <c r="AC85" s="2"/>
      <c r="AD85" s="2"/>
      <c r="AE85" s="27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</row>
    <row r="86" spans="3:90" x14ac:dyDescent="0.25">
      <c r="C86" s="2"/>
      <c r="D86" s="15" t="s">
        <v>77</v>
      </c>
      <c r="E86" s="31" t="str">
        <f>$AF$2</f>
        <v>800</v>
      </c>
      <c r="F86" s="31" t="s">
        <v>34</v>
      </c>
      <c r="G86" s="31" t="s">
        <v>34</v>
      </c>
      <c r="H86" s="32" t="str">
        <f>SUBSTITUTE(netEx_quarter3+totalProduction1H_quarter3+negGridLossQuarter3,",",".")</f>
        <v>20</v>
      </c>
      <c r="I86" s="2"/>
      <c r="J86" s="2"/>
      <c r="S86" s="2"/>
      <c r="T86" s="26">
        <f>SUMIFS(Tabel13423234[quantity],Tabel13423234[resolution],"PT15M",Tabel13423234[from_ga],AF$3)-SUMIFS(Tabel13423234[quantity],Tabel13423234[resolution],"PT15M",Tabel13423234[to_ga],AF$3)</f>
        <v>10</v>
      </c>
      <c r="U86" s="6">
        <f>(SUMIFS(Tabel13423234[quantity],Tabel13423234[resolution],"PT1H",Tabel13423234[from_ga],AF$3)-SUMIFS(Tabel13423234[quantity],Tabel13423234[resolution],"PT1H",Tabel13423234[to_ga],AF$3))/4</f>
        <v>20</v>
      </c>
      <c r="V86" s="16">
        <f>U86</f>
        <v>20</v>
      </c>
      <c r="W86" s="16"/>
      <c r="X86" s="16">
        <f t="shared" ref="X86:X109" si="13">ROUND(V86, 3)</f>
        <v>20</v>
      </c>
      <c r="Y86" s="2"/>
      <c r="Z86" s="2"/>
      <c r="AA86" s="2"/>
      <c r="AB86" s="2"/>
      <c r="AC86" s="2"/>
      <c r="AD86" s="2"/>
      <c r="AE86" s="27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</row>
    <row r="87" spans="3:90" x14ac:dyDescent="0.25">
      <c r="C87" s="2"/>
      <c r="D87" s="15" t="s">
        <v>78</v>
      </c>
      <c r="E87" s="31" t="str">
        <f>$AF$2</f>
        <v>800</v>
      </c>
      <c r="F87" s="34" t="s">
        <v>34</v>
      </c>
      <c r="G87" s="34" t="s">
        <v>34</v>
      </c>
      <c r="H87" s="32" t="str">
        <f>SUBSTITUTE(netEx_quarter4+totalProduction1H_quarter4+negGridLossQuarter4,",",".")</f>
        <v>20</v>
      </c>
      <c r="I87" s="2"/>
      <c r="J87" s="2"/>
      <c r="S87" s="2"/>
      <c r="T87" s="26"/>
      <c r="U87" s="16">
        <f>U$86</f>
        <v>20</v>
      </c>
      <c r="V87" s="16">
        <f>W87+V86</f>
        <v>20</v>
      </c>
      <c r="W87" s="16">
        <f>U87-X86</f>
        <v>0</v>
      </c>
      <c r="X87" s="16">
        <f t="shared" si="13"/>
        <v>20</v>
      </c>
      <c r="Y87" s="2"/>
      <c r="Z87" s="2"/>
      <c r="AA87" s="2"/>
      <c r="AB87" s="2"/>
      <c r="AC87" s="2"/>
      <c r="AD87" s="2"/>
      <c r="AE87" s="27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</row>
    <row r="88" spans="3:90" ht="23.25" x14ac:dyDescent="0.35">
      <c r="C88" s="2"/>
      <c r="E88" s="39" t="s">
        <v>81</v>
      </c>
      <c r="F88" s="40"/>
      <c r="G88" s="40"/>
      <c r="H88" s="40"/>
      <c r="I88" s="41"/>
      <c r="J88" s="2"/>
      <c r="S88" s="2"/>
      <c r="T88" s="26"/>
      <c r="U88" s="16">
        <f>U$86</f>
        <v>20</v>
      </c>
      <c r="V88" s="16">
        <f>W88+V87</f>
        <v>20</v>
      </c>
      <c r="W88" s="16">
        <f>U88-X87</f>
        <v>0</v>
      </c>
      <c r="X88" s="16">
        <f t="shared" si="13"/>
        <v>20</v>
      </c>
      <c r="Y88" s="2"/>
      <c r="Z88" s="2"/>
      <c r="AA88" s="2"/>
      <c r="AB88" s="2"/>
      <c r="AC88" s="2"/>
      <c r="AD88" s="2"/>
      <c r="AE88" s="27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</row>
    <row r="89" spans="3:90" ht="18.75" x14ac:dyDescent="0.3">
      <c r="C89" s="2"/>
      <c r="D89" s="4" t="s">
        <v>21</v>
      </c>
      <c r="E89" s="4" t="s">
        <v>19</v>
      </c>
      <c r="F89" s="5" t="s">
        <v>0</v>
      </c>
      <c r="G89" s="5" t="s">
        <v>1</v>
      </c>
      <c r="H89" s="5" t="s">
        <v>2</v>
      </c>
      <c r="I89" s="5" t="s">
        <v>88</v>
      </c>
      <c r="J89" s="2"/>
      <c r="S89" s="2"/>
      <c r="T89" s="26"/>
      <c r="U89" s="16">
        <f>U$86</f>
        <v>20</v>
      </c>
      <c r="V89" s="16">
        <f>W89+V88</f>
        <v>20</v>
      </c>
      <c r="W89" s="16">
        <f>U89-X88</f>
        <v>0</v>
      </c>
      <c r="X89" s="16">
        <f t="shared" si="13"/>
        <v>20</v>
      </c>
      <c r="Y89" s="2"/>
      <c r="Z89" s="2"/>
      <c r="AA89" s="2"/>
      <c r="AB89" s="2"/>
      <c r="AC89" s="2"/>
      <c r="AD89" s="2"/>
      <c r="AE89" s="27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</row>
    <row r="90" spans="3:90" x14ac:dyDescent="0.25">
      <c r="C90" s="2"/>
      <c r="D90" s="15" t="s">
        <v>75</v>
      </c>
      <c r="E90" s="31" t="str">
        <f>IF(AND(ROW()&lt;86+(COUNTA(AF$2:AF$21)*4),ROW()&gt;89),$AF$2,"")</f>
        <v>800</v>
      </c>
      <c r="F90" s="31" t="str">
        <f>IF(E90&lt;&gt;"","null","")</f>
        <v>null</v>
      </c>
      <c r="G90" s="31" t="str">
        <f>IF(E90&lt;&gt;"","null","")</f>
        <v>null</v>
      </c>
      <c r="H90" s="32" t="str">
        <f>SUBSTITUTE(IF(E90="","",IF(D90="Quarter1",T86+X86,X86)),",",".")</f>
        <v>30</v>
      </c>
      <c r="I90" s="32" t="str" cm="1">
        <f t="array" aca="1" ref="I90" ca="1">IF(E90="","",INDIRECT("AF"&amp;ROUND((ROW()-80)*0.25,0)))</f>
        <v>801</v>
      </c>
      <c r="J90" s="2"/>
      <c r="S90" s="2"/>
      <c r="T90" s="26">
        <f>SUMIFS(Tabel13423234[quantity],Tabel13423234[resolution],"PT15M",Tabel13423234[from_ga],AF$4)-SUMIFS(Tabel13423234[quantity],Tabel13423234[resolution],"PT15M",Tabel13423234[to_ga],AF$4)</f>
        <v>0</v>
      </c>
      <c r="U90" s="6">
        <f>(SUMIFS(Tabel13423234[quantity],Tabel13423234[resolution],"PT1H",Tabel13423234[from_ga],AF$4)-SUMIFS(Tabel13423234[quantity],Tabel13423234[resolution],"PT1H",Tabel13423234[to_ga],AF$4))/4</f>
        <v>0</v>
      </c>
      <c r="V90" s="16">
        <f>U90</f>
        <v>0</v>
      </c>
      <c r="W90" s="16"/>
      <c r="X90" s="16">
        <f t="shared" si="13"/>
        <v>0</v>
      </c>
      <c r="Y90" s="2"/>
      <c r="Z90" s="2"/>
      <c r="AA90" s="2"/>
      <c r="AB90" s="2"/>
      <c r="AC90" s="2"/>
      <c r="AD90" s="2"/>
      <c r="AE90" s="27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</row>
    <row r="91" spans="3:90" x14ac:dyDescent="0.25">
      <c r="C91" s="2"/>
      <c r="D91" s="15" t="s">
        <v>76</v>
      </c>
      <c r="E91" s="31" t="str">
        <f t="shared" ref="E91:E113" si="14">IF(AND(ROW()&lt;86+(COUNTA(AF$2:AF$21)*4),ROW()&gt;89),$AF$2,"")</f>
        <v>800</v>
      </c>
      <c r="F91" s="31" t="str">
        <f t="shared" ref="F91:F113" si="15">IF(E91&lt;&gt;"","null","")</f>
        <v>null</v>
      </c>
      <c r="G91" s="31" t="str">
        <f t="shared" ref="G91:G113" si="16">IF(E91&lt;&gt;"","null","")</f>
        <v>null</v>
      </c>
      <c r="H91" s="32" t="str">
        <f t="shared" ref="H91:H113" si="17">SUBSTITUTE(IF(E91="","",IF(D91="Quarter1",T87+X87,X87)),",",".")</f>
        <v>20</v>
      </c>
      <c r="I91" s="32" t="str" cm="1">
        <f t="array" aca="1" ref="I91" ca="1">IF(E91="","",INDIRECT("AF"&amp;ROUND((ROW()-80)*0.25,0)))</f>
        <v>801</v>
      </c>
      <c r="J91" s="2"/>
      <c r="S91" s="2"/>
      <c r="T91" s="26"/>
      <c r="U91" s="16">
        <f>U$90</f>
        <v>0</v>
      </c>
      <c r="V91" s="16">
        <f>W91+V90</f>
        <v>0</v>
      </c>
      <c r="W91" s="16">
        <f>U91-X90</f>
        <v>0</v>
      </c>
      <c r="X91" s="16">
        <f t="shared" si="13"/>
        <v>0</v>
      </c>
      <c r="Y91" s="2"/>
      <c r="Z91" s="2"/>
      <c r="AA91" s="2"/>
      <c r="AB91" s="2"/>
      <c r="AC91" s="2"/>
      <c r="AD91" s="2"/>
      <c r="AE91" s="27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</row>
    <row r="92" spans="3:90" x14ac:dyDescent="0.25">
      <c r="C92" s="2"/>
      <c r="D92" s="15" t="s">
        <v>77</v>
      </c>
      <c r="E92" s="31" t="str">
        <f t="shared" si="14"/>
        <v>800</v>
      </c>
      <c r="F92" s="31" t="str">
        <f t="shared" si="15"/>
        <v>null</v>
      </c>
      <c r="G92" s="31" t="str">
        <f t="shared" si="16"/>
        <v>null</v>
      </c>
      <c r="H92" s="32" t="str">
        <f t="shared" si="17"/>
        <v>20</v>
      </c>
      <c r="I92" s="32" t="str" cm="1">
        <f t="array" aca="1" ref="I92" ca="1">IF(E92="","",INDIRECT("AF"&amp;ROUND((ROW()-80)*0.25,0)))</f>
        <v>801</v>
      </c>
      <c r="J92" s="2"/>
      <c r="S92" s="2"/>
      <c r="T92" s="26"/>
      <c r="U92" s="16">
        <f>U$90</f>
        <v>0</v>
      </c>
      <c r="V92" s="16">
        <f>W92+V91</f>
        <v>0</v>
      </c>
      <c r="W92" s="16">
        <f>U92-X91</f>
        <v>0</v>
      </c>
      <c r="X92" s="16">
        <f t="shared" si="13"/>
        <v>0</v>
      </c>
      <c r="Y92" s="2"/>
      <c r="Z92" s="2"/>
      <c r="AA92" s="2"/>
      <c r="AB92" s="2"/>
      <c r="AC92" s="2"/>
      <c r="AD92" s="2"/>
      <c r="AE92" s="27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</row>
    <row r="93" spans="3:90" x14ac:dyDescent="0.25">
      <c r="C93" s="2"/>
      <c r="D93" s="15" t="s">
        <v>78</v>
      </c>
      <c r="E93" s="31" t="str">
        <f t="shared" si="14"/>
        <v>800</v>
      </c>
      <c r="F93" s="31" t="str">
        <f t="shared" si="15"/>
        <v>null</v>
      </c>
      <c r="G93" s="31" t="str">
        <f t="shared" si="16"/>
        <v>null</v>
      </c>
      <c r="H93" s="32" t="str">
        <f t="shared" si="17"/>
        <v>20</v>
      </c>
      <c r="I93" s="32" t="str" cm="1">
        <f t="array" aca="1" ref="I93" ca="1">IF(E93="","",INDIRECT("AF"&amp;ROUND((ROW()-80)*0.25,0)))</f>
        <v>801</v>
      </c>
      <c r="J93" s="2"/>
      <c r="S93" s="2"/>
      <c r="T93" s="26"/>
      <c r="U93" s="16">
        <f>U$90</f>
        <v>0</v>
      </c>
      <c r="V93" s="16">
        <f>W93+V92</f>
        <v>0</v>
      </c>
      <c r="W93" s="16">
        <f>U93-X92</f>
        <v>0</v>
      </c>
      <c r="X93" s="16">
        <f t="shared" si="13"/>
        <v>0</v>
      </c>
      <c r="Y93" s="2"/>
      <c r="Z93" s="2"/>
      <c r="AA93" s="2"/>
      <c r="AB93" s="2"/>
      <c r="AC93" s="2"/>
      <c r="AD93" s="2"/>
      <c r="AE93" s="27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</row>
    <row r="94" spans="3:90" x14ac:dyDescent="0.25">
      <c r="C94" s="2"/>
      <c r="D94" s="15" t="s">
        <v>75</v>
      </c>
      <c r="E94" s="31" t="str">
        <f t="shared" si="14"/>
        <v>800</v>
      </c>
      <c r="F94" s="31" t="str">
        <f t="shared" si="15"/>
        <v>null</v>
      </c>
      <c r="G94" s="31" t="str">
        <f t="shared" si="16"/>
        <v>null</v>
      </c>
      <c r="H94" s="32" t="str">
        <f t="shared" si="17"/>
        <v>0</v>
      </c>
      <c r="I94" s="32" t="str" cm="1">
        <f t="array" aca="1" ref="I94" ca="1">IF(E94="","",INDIRECT("AF"&amp;ROUND((ROW()-80)*0.25,0)))</f>
        <v>802</v>
      </c>
      <c r="J94" s="2"/>
      <c r="S94" s="2"/>
      <c r="T94" s="26">
        <f>SUMIFS(Tabel13423234[quantity],Tabel13423234[resolution],"PT15M",Tabel13423234[from_ga],AF$5)-SUMIFS(Tabel13423234[quantity],Tabel13423234[resolution],"PT15M",Tabel13423234[to_ga],AF$5)</f>
        <v>0</v>
      </c>
      <c r="U94" s="6">
        <f>SUMIFS(Tabel13423234[quantity],Tabel13423234[resolution],"PT1H",Tabel13423234[from_ga],AF$5)-SUMIFS(Tabel13423234[quantity],Tabel13423234[resolution],"PT1H",Tabel13423234[to_ga],AF$5)/4</f>
        <v>0</v>
      </c>
      <c r="V94" s="16">
        <f>U94</f>
        <v>0</v>
      </c>
      <c r="W94" s="16"/>
      <c r="X94" s="16">
        <f t="shared" si="13"/>
        <v>0</v>
      </c>
      <c r="Y94" s="2"/>
      <c r="Z94" s="2"/>
      <c r="AA94" s="2"/>
      <c r="AB94" s="2"/>
      <c r="AC94" s="2"/>
      <c r="AD94" s="2"/>
      <c r="AE94" s="27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</row>
    <row r="95" spans="3:90" x14ac:dyDescent="0.25">
      <c r="C95" s="2"/>
      <c r="D95" s="15" t="s">
        <v>76</v>
      </c>
      <c r="E95" s="31" t="str">
        <f t="shared" si="14"/>
        <v>800</v>
      </c>
      <c r="F95" s="31" t="str">
        <f t="shared" si="15"/>
        <v>null</v>
      </c>
      <c r="G95" s="31" t="str">
        <f t="shared" si="16"/>
        <v>null</v>
      </c>
      <c r="H95" s="32" t="str">
        <f t="shared" si="17"/>
        <v>0</v>
      </c>
      <c r="I95" s="32" t="str" cm="1">
        <f t="array" aca="1" ref="I95" ca="1">IF(E95="","",INDIRECT("AF"&amp;ROUND((ROW()-80)*0.25,0)))</f>
        <v>802</v>
      </c>
      <c r="J95" s="2"/>
      <c r="S95" s="2"/>
      <c r="T95" s="26"/>
      <c r="U95" s="16">
        <f>U$94</f>
        <v>0</v>
      </c>
      <c r="V95" s="16">
        <f>W95+V94</f>
        <v>0</v>
      </c>
      <c r="W95" s="16">
        <f>U95-X94</f>
        <v>0</v>
      </c>
      <c r="X95" s="16">
        <f t="shared" si="13"/>
        <v>0</v>
      </c>
      <c r="Y95" s="2"/>
      <c r="Z95" s="2"/>
      <c r="AA95" s="2"/>
      <c r="AB95" s="2"/>
      <c r="AC95" s="2"/>
      <c r="AD95" s="2"/>
      <c r="AE95" s="27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</row>
    <row r="96" spans="3:90" x14ac:dyDescent="0.25">
      <c r="C96" s="2"/>
      <c r="D96" s="15" t="s">
        <v>77</v>
      </c>
      <c r="E96" s="31" t="str">
        <f t="shared" si="14"/>
        <v>800</v>
      </c>
      <c r="F96" s="31" t="str">
        <f t="shared" si="15"/>
        <v>null</v>
      </c>
      <c r="G96" s="31" t="str">
        <f t="shared" si="16"/>
        <v>null</v>
      </c>
      <c r="H96" s="32" t="str">
        <f t="shared" si="17"/>
        <v>0</v>
      </c>
      <c r="I96" s="32" t="str" cm="1">
        <f t="array" aca="1" ref="I96" ca="1">IF(E96="","",INDIRECT("AF"&amp;ROUND((ROW()-80)*0.25,0)))</f>
        <v>802</v>
      </c>
      <c r="J96" s="2"/>
      <c r="S96" s="2"/>
      <c r="T96" s="26"/>
      <c r="U96" s="16">
        <f>U$94</f>
        <v>0</v>
      </c>
      <c r="V96" s="16">
        <f>W96+V95</f>
        <v>0</v>
      </c>
      <c r="W96" s="16">
        <f>U96-X95</f>
        <v>0</v>
      </c>
      <c r="X96" s="16">
        <f t="shared" si="13"/>
        <v>0</v>
      </c>
      <c r="Y96" s="2"/>
      <c r="Z96" s="2"/>
      <c r="AA96" s="2"/>
      <c r="AB96" s="2"/>
      <c r="AC96" s="2"/>
      <c r="AD96" s="2"/>
      <c r="AE96" s="27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</row>
    <row r="97" spans="3:90" x14ac:dyDescent="0.25">
      <c r="C97" s="2"/>
      <c r="D97" s="15" t="s">
        <v>78</v>
      </c>
      <c r="E97" s="31" t="str">
        <f t="shared" si="14"/>
        <v>800</v>
      </c>
      <c r="F97" s="31" t="str">
        <f t="shared" si="15"/>
        <v>null</v>
      </c>
      <c r="G97" s="31" t="str">
        <f t="shared" si="16"/>
        <v>null</v>
      </c>
      <c r="H97" s="32" t="str">
        <f t="shared" si="17"/>
        <v>0</v>
      </c>
      <c r="I97" s="32" t="str" cm="1">
        <f t="array" aca="1" ref="I97" ca="1">IF(E97="","",INDIRECT("AF"&amp;ROUND((ROW()-80)*0.25,0)))</f>
        <v>802</v>
      </c>
      <c r="J97" s="2"/>
      <c r="S97" s="2"/>
      <c r="T97" s="26"/>
      <c r="U97" s="16">
        <f>U$94</f>
        <v>0</v>
      </c>
      <c r="V97" s="16">
        <f>W97+V96</f>
        <v>0</v>
      </c>
      <c r="W97" s="16">
        <f>U97-X96</f>
        <v>0</v>
      </c>
      <c r="X97" s="16">
        <f t="shared" si="13"/>
        <v>0</v>
      </c>
      <c r="Y97" s="2"/>
      <c r="Z97" s="2"/>
      <c r="AA97" s="2"/>
      <c r="AB97" s="2"/>
      <c r="AC97" s="2"/>
      <c r="AD97" s="2"/>
      <c r="AE97" s="27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</row>
    <row r="98" spans="3:90" x14ac:dyDescent="0.25">
      <c r="C98" s="2"/>
      <c r="D98" s="15" t="s">
        <v>75</v>
      </c>
      <c r="E98" s="31" t="str">
        <f t="shared" si="14"/>
        <v/>
      </c>
      <c r="F98" s="31" t="str">
        <f t="shared" si="15"/>
        <v/>
      </c>
      <c r="G98" s="31" t="str">
        <f t="shared" si="16"/>
        <v/>
      </c>
      <c r="H98" s="32" t="str">
        <f t="shared" si="17"/>
        <v/>
      </c>
      <c r="I98" s="32" t="str" cm="1">
        <f t="array" aca="1" ref="I98" ca="1">IF(E98="","",INDIRECT("AF"&amp;ROUND((ROW()-80)*0.25,0)))</f>
        <v/>
      </c>
      <c r="J98" s="2"/>
      <c r="S98" s="2"/>
      <c r="T98" s="26">
        <f>SUMIFS(Tabel13423234[quantity],Tabel13423234[resolution],"PT15M",Tabel13423234[from_ga],AF$6)-SUMIFS(Tabel13423234[quantity],Tabel13423234[resolution],"PT15M",Tabel13423234[to_ga],AF$6)</f>
        <v>0</v>
      </c>
      <c r="U98" s="6">
        <f>(SUMIFS(Tabel13423234[quantity],Tabel13423234[resolution],"PT1H",Tabel13423234[from_ga],AF$6)-SUMIFS(Tabel13423234[quantity],Tabel13423234[resolution],"PT1H",Tabel13423234[to_ga],AF$6))/4</f>
        <v>0</v>
      </c>
      <c r="V98" s="16">
        <f>U98</f>
        <v>0</v>
      </c>
      <c r="W98" s="16"/>
      <c r="X98" s="16">
        <f t="shared" si="13"/>
        <v>0</v>
      </c>
      <c r="Y98" s="2"/>
      <c r="Z98" s="2"/>
      <c r="AA98" s="2"/>
      <c r="AB98" s="2"/>
      <c r="AC98" s="2"/>
      <c r="AD98" s="2"/>
      <c r="AE98" s="27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</row>
    <row r="99" spans="3:90" x14ac:dyDescent="0.25">
      <c r="C99" s="2"/>
      <c r="D99" s="15" t="s">
        <v>76</v>
      </c>
      <c r="E99" s="31" t="str">
        <f t="shared" si="14"/>
        <v/>
      </c>
      <c r="F99" s="31" t="str">
        <f t="shared" si="15"/>
        <v/>
      </c>
      <c r="G99" s="31" t="str">
        <f t="shared" si="16"/>
        <v/>
      </c>
      <c r="H99" s="32" t="str">
        <f t="shared" si="17"/>
        <v/>
      </c>
      <c r="I99" s="32" t="str" cm="1">
        <f t="array" aca="1" ref="I99" ca="1">IF(E99="","",INDIRECT("AF"&amp;ROUND((ROW()-80)*0.25,0)))</f>
        <v/>
      </c>
      <c r="J99" s="2"/>
      <c r="S99" s="2"/>
      <c r="T99" s="26"/>
      <c r="U99" s="16">
        <f>U$98</f>
        <v>0</v>
      </c>
      <c r="V99" s="16">
        <f>W99+V98</f>
        <v>0</v>
      </c>
      <c r="W99" s="16">
        <f>U99-X98</f>
        <v>0</v>
      </c>
      <c r="X99" s="16">
        <f t="shared" si="13"/>
        <v>0</v>
      </c>
      <c r="Y99" s="2"/>
      <c r="Z99" s="2"/>
      <c r="AA99" s="2"/>
      <c r="AB99" s="2"/>
      <c r="AC99" s="2"/>
      <c r="AD99" s="2"/>
      <c r="AE99" s="27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</row>
    <row r="100" spans="3:90" x14ac:dyDescent="0.25">
      <c r="C100" s="2"/>
      <c r="D100" s="15" t="s">
        <v>77</v>
      </c>
      <c r="E100" s="31" t="str">
        <f t="shared" si="14"/>
        <v/>
      </c>
      <c r="F100" s="31" t="str">
        <f t="shared" si="15"/>
        <v/>
      </c>
      <c r="G100" s="31" t="str">
        <f t="shared" si="16"/>
        <v/>
      </c>
      <c r="H100" s="32" t="str">
        <f t="shared" si="17"/>
        <v/>
      </c>
      <c r="I100" s="32" t="str" cm="1">
        <f t="array" aca="1" ref="I100" ca="1">IF(E100="","",INDIRECT("AF"&amp;ROUND((ROW()-80)*0.25,0)))</f>
        <v/>
      </c>
      <c r="J100" s="2"/>
      <c r="S100" s="2"/>
      <c r="T100" s="26"/>
      <c r="U100" s="16">
        <f>U$98</f>
        <v>0</v>
      </c>
      <c r="V100" s="16">
        <f>W100+V99</f>
        <v>0</v>
      </c>
      <c r="W100" s="16">
        <f>U100-X99</f>
        <v>0</v>
      </c>
      <c r="X100" s="16">
        <f t="shared" si="13"/>
        <v>0</v>
      </c>
      <c r="Y100" s="2"/>
      <c r="Z100" s="2"/>
      <c r="AA100" s="2"/>
      <c r="AB100" s="2"/>
      <c r="AC100" s="2"/>
      <c r="AD100" s="2"/>
      <c r="AE100" s="27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</row>
    <row r="101" spans="3:90" x14ac:dyDescent="0.25">
      <c r="C101" s="2"/>
      <c r="D101" s="15" t="s">
        <v>78</v>
      </c>
      <c r="E101" s="31" t="str">
        <f t="shared" si="14"/>
        <v/>
      </c>
      <c r="F101" s="31" t="str">
        <f t="shared" si="15"/>
        <v/>
      </c>
      <c r="G101" s="31" t="str">
        <f t="shared" si="16"/>
        <v/>
      </c>
      <c r="H101" s="32" t="str">
        <f t="shared" si="17"/>
        <v/>
      </c>
      <c r="I101" s="32" t="str" cm="1">
        <f t="array" aca="1" ref="I101" ca="1">IF(E101="","",INDIRECT("AF"&amp;ROUND((ROW()-80)*0.25,0)))</f>
        <v/>
      </c>
      <c r="J101" s="2"/>
      <c r="S101" s="2"/>
      <c r="T101" s="26"/>
      <c r="U101" s="16">
        <f>U$98</f>
        <v>0</v>
      </c>
      <c r="V101" s="16">
        <f>W101+V100</f>
        <v>0</v>
      </c>
      <c r="W101" s="16">
        <f>U101-X100</f>
        <v>0</v>
      </c>
      <c r="X101" s="16">
        <f t="shared" si="13"/>
        <v>0</v>
      </c>
      <c r="Y101" s="2"/>
      <c r="Z101" s="2"/>
      <c r="AA101" s="2"/>
      <c r="AB101" s="2"/>
      <c r="AC101" s="2"/>
      <c r="AD101" s="2"/>
      <c r="AE101" s="27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</row>
    <row r="102" spans="3:90" x14ac:dyDescent="0.25">
      <c r="C102" s="2"/>
      <c r="D102" s="15" t="s">
        <v>75</v>
      </c>
      <c r="E102" s="31" t="str">
        <f t="shared" si="14"/>
        <v/>
      </c>
      <c r="F102" s="31" t="str">
        <f t="shared" si="15"/>
        <v/>
      </c>
      <c r="G102" s="31" t="str">
        <f t="shared" si="16"/>
        <v/>
      </c>
      <c r="H102" s="32" t="str">
        <f t="shared" si="17"/>
        <v/>
      </c>
      <c r="I102" s="32" t="str" cm="1">
        <f t="array" aca="1" ref="I102" ca="1">IF(E102="","",INDIRECT("AF"&amp;ROUND((ROW()-80)*0.25,0)))</f>
        <v/>
      </c>
      <c r="J102" s="2"/>
      <c r="S102" s="2"/>
      <c r="T102" s="26">
        <f>SUMIFS(Tabel13423234[quantity],Tabel13423234[resolution],"PT15M",Tabel13423234[from_ga],AF$7)-SUMIFS(Tabel13423234[quantity],Tabel13423234[resolution],"PT15M",Tabel13423234[to_ga],AF$7)</f>
        <v>0</v>
      </c>
      <c r="U102" s="6">
        <f>(SUMIFS(Tabel13423234[quantity],Tabel13423234[resolution],"PT1H",Tabel13423234[from_ga],AF$7)-SUMIFS(Tabel13423234[quantity],Tabel13423234[resolution],"PT1H",Tabel13423234[to_ga],AF$7))/4</f>
        <v>0</v>
      </c>
      <c r="V102" s="16">
        <f>U102</f>
        <v>0</v>
      </c>
      <c r="W102" s="16"/>
      <c r="X102" s="16">
        <f t="shared" si="13"/>
        <v>0</v>
      </c>
      <c r="Y102" s="2"/>
      <c r="Z102" s="2"/>
      <c r="AA102" s="2"/>
      <c r="AB102" s="2"/>
      <c r="AC102" s="2"/>
      <c r="AD102" s="2"/>
      <c r="AE102" s="27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</row>
    <row r="103" spans="3:90" x14ac:dyDescent="0.25">
      <c r="C103" s="2"/>
      <c r="D103" s="15" t="s">
        <v>76</v>
      </c>
      <c r="E103" s="31" t="str">
        <f t="shared" si="14"/>
        <v/>
      </c>
      <c r="F103" s="31" t="str">
        <f t="shared" si="15"/>
        <v/>
      </c>
      <c r="G103" s="31" t="str">
        <f t="shared" si="16"/>
        <v/>
      </c>
      <c r="H103" s="32" t="str">
        <f t="shared" si="17"/>
        <v/>
      </c>
      <c r="I103" s="32" t="str" cm="1">
        <f t="array" aca="1" ref="I103" ca="1">IF(E103="","",INDIRECT("AF"&amp;ROUND((ROW()-80)*0.25,0)))</f>
        <v/>
      </c>
      <c r="J103" s="2"/>
      <c r="S103" s="2"/>
      <c r="T103" s="26"/>
      <c r="U103" s="16">
        <f>U$102</f>
        <v>0</v>
      </c>
      <c r="V103" s="16">
        <f>W103+V102</f>
        <v>0</v>
      </c>
      <c r="W103" s="16">
        <f>U103-X102</f>
        <v>0</v>
      </c>
      <c r="X103" s="16">
        <f t="shared" si="13"/>
        <v>0</v>
      </c>
      <c r="Y103" s="2"/>
      <c r="Z103" s="2"/>
      <c r="AA103" s="2"/>
      <c r="AB103" s="2"/>
      <c r="AC103" s="2"/>
      <c r="AD103" s="2"/>
      <c r="AE103" s="27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</row>
    <row r="104" spans="3:90" x14ac:dyDescent="0.25">
      <c r="C104" s="2"/>
      <c r="D104" s="15" t="s">
        <v>77</v>
      </c>
      <c r="E104" s="31" t="str">
        <f t="shared" si="14"/>
        <v/>
      </c>
      <c r="F104" s="31" t="str">
        <f t="shared" si="15"/>
        <v/>
      </c>
      <c r="G104" s="31" t="str">
        <f t="shared" si="16"/>
        <v/>
      </c>
      <c r="H104" s="32" t="str">
        <f t="shared" si="17"/>
        <v/>
      </c>
      <c r="I104" s="32" t="str" cm="1">
        <f t="array" aca="1" ref="I104" ca="1">IF(E104="","",INDIRECT("AF"&amp;ROUND((ROW()-80)*0.25,0)))</f>
        <v/>
      </c>
      <c r="J104" s="2"/>
      <c r="S104" s="2"/>
      <c r="T104" s="26"/>
      <c r="U104" s="16">
        <f>U$102</f>
        <v>0</v>
      </c>
      <c r="V104" s="16">
        <f>W104+V103</f>
        <v>0</v>
      </c>
      <c r="W104" s="16">
        <f>U104-X103</f>
        <v>0</v>
      </c>
      <c r="X104" s="16">
        <f t="shared" si="13"/>
        <v>0</v>
      </c>
      <c r="Y104" s="2"/>
      <c r="Z104" s="2"/>
      <c r="AA104" s="2"/>
      <c r="AB104" s="2"/>
      <c r="AC104" s="2"/>
      <c r="AD104" s="2"/>
      <c r="AE104" s="27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</row>
    <row r="105" spans="3:90" x14ac:dyDescent="0.25">
      <c r="C105" s="2"/>
      <c r="D105" s="15" t="s">
        <v>78</v>
      </c>
      <c r="E105" s="31" t="str">
        <f t="shared" si="14"/>
        <v/>
      </c>
      <c r="F105" s="31" t="str">
        <f t="shared" si="15"/>
        <v/>
      </c>
      <c r="G105" s="31" t="str">
        <f t="shared" si="16"/>
        <v/>
      </c>
      <c r="H105" s="32" t="str">
        <f t="shared" si="17"/>
        <v/>
      </c>
      <c r="I105" s="32" t="str" cm="1">
        <f t="array" aca="1" ref="I105" ca="1">IF(E105="","",INDIRECT("AF"&amp;ROUND((ROW()-80)*0.25,0)))</f>
        <v/>
      </c>
      <c r="J105" s="2"/>
      <c r="S105" s="2"/>
      <c r="T105" s="26"/>
      <c r="U105" s="16">
        <f>U$102</f>
        <v>0</v>
      </c>
      <c r="V105" s="16">
        <f>W105+V104</f>
        <v>0</v>
      </c>
      <c r="W105" s="16">
        <f>U105-X104</f>
        <v>0</v>
      </c>
      <c r="X105" s="16">
        <f t="shared" si="13"/>
        <v>0</v>
      </c>
      <c r="Y105" s="2"/>
      <c r="Z105" s="2"/>
      <c r="AA105" s="2"/>
      <c r="AB105" s="2"/>
      <c r="AC105" s="2"/>
      <c r="AD105" s="2"/>
      <c r="AE105" s="27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</row>
    <row r="106" spans="3:90" x14ac:dyDescent="0.25">
      <c r="C106" s="2"/>
      <c r="D106" s="15" t="s">
        <v>75</v>
      </c>
      <c r="E106" s="31" t="str">
        <f t="shared" si="14"/>
        <v/>
      </c>
      <c r="F106" s="31" t="str">
        <f t="shared" si="15"/>
        <v/>
      </c>
      <c r="G106" s="31" t="str">
        <f t="shared" si="16"/>
        <v/>
      </c>
      <c r="H106" s="32" t="str">
        <f t="shared" si="17"/>
        <v/>
      </c>
      <c r="I106" s="32" t="str" cm="1">
        <f t="array" aca="1" ref="I106" ca="1">IF(E106="","",INDIRECT("AF"&amp;ROUND((ROW()-80)*0.25,0)))</f>
        <v/>
      </c>
      <c r="J106" s="2"/>
      <c r="S106" s="2"/>
      <c r="T106" s="26"/>
      <c r="U106" s="6">
        <f>(SUMIFS(Tabel13423234[quantity],Tabel13423234[resolution],"PT1H",Tabel13423234[from_ga],AF$8)-SUMIFS(Tabel13423234[quantity],Tabel13423234[resolution],"PT1H",Tabel13423234[to_ga],AF$8))/4</f>
        <v>0</v>
      </c>
      <c r="V106" s="16">
        <f>U106</f>
        <v>0</v>
      </c>
      <c r="W106" s="16"/>
      <c r="X106" s="16">
        <f t="shared" si="13"/>
        <v>0</v>
      </c>
      <c r="Y106" s="2"/>
      <c r="Z106" s="2"/>
      <c r="AA106" s="2"/>
      <c r="AB106" s="2"/>
      <c r="AC106" s="2"/>
      <c r="AD106" s="2"/>
      <c r="AE106" s="27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</row>
    <row r="107" spans="3:90" x14ac:dyDescent="0.25">
      <c r="C107" s="2"/>
      <c r="D107" s="15" t="s">
        <v>76</v>
      </c>
      <c r="E107" s="31" t="str">
        <f t="shared" si="14"/>
        <v/>
      </c>
      <c r="F107" s="31" t="str">
        <f t="shared" si="15"/>
        <v/>
      </c>
      <c r="G107" s="31" t="str">
        <f t="shared" si="16"/>
        <v/>
      </c>
      <c r="H107" s="32" t="str">
        <f t="shared" si="17"/>
        <v/>
      </c>
      <c r="I107" s="32" t="str" cm="1">
        <f t="array" aca="1" ref="I107" ca="1">IF(E107="","",INDIRECT("AF"&amp;ROUND((ROW()-80)*0.25,0)))</f>
        <v/>
      </c>
      <c r="J107" s="2"/>
      <c r="S107" s="2"/>
      <c r="T107" s="26"/>
      <c r="U107" s="16">
        <f>U$106</f>
        <v>0</v>
      </c>
      <c r="V107" s="16">
        <f>W107+V106</f>
        <v>0</v>
      </c>
      <c r="W107" s="16">
        <f>U107-X106</f>
        <v>0</v>
      </c>
      <c r="X107" s="16">
        <f t="shared" si="13"/>
        <v>0</v>
      </c>
      <c r="Y107" s="2"/>
      <c r="Z107" s="2"/>
      <c r="AA107" s="2"/>
      <c r="AB107" s="2"/>
      <c r="AC107" s="2"/>
      <c r="AD107" s="2"/>
      <c r="AE107" s="27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</row>
    <row r="108" spans="3:90" x14ac:dyDescent="0.25">
      <c r="C108" s="2"/>
      <c r="D108" s="15" t="s">
        <v>77</v>
      </c>
      <c r="E108" s="31" t="str">
        <f t="shared" si="14"/>
        <v/>
      </c>
      <c r="F108" s="31" t="str">
        <f t="shared" si="15"/>
        <v/>
      </c>
      <c r="G108" s="31" t="str">
        <f t="shared" si="16"/>
        <v/>
      </c>
      <c r="H108" s="32" t="str">
        <f t="shared" si="17"/>
        <v/>
      </c>
      <c r="I108" s="32" t="str" cm="1">
        <f t="array" aca="1" ref="I108" ca="1">IF(E108="","",INDIRECT("AF"&amp;ROUND((ROW()-80)*0.25,0)))</f>
        <v/>
      </c>
      <c r="J108" s="2"/>
      <c r="S108" s="2"/>
      <c r="T108" s="26"/>
      <c r="U108" s="16">
        <f>U$106</f>
        <v>0</v>
      </c>
      <c r="V108" s="16">
        <f>W108+V107</f>
        <v>0</v>
      </c>
      <c r="W108" s="16">
        <f>U108-X107</f>
        <v>0</v>
      </c>
      <c r="X108" s="16">
        <f t="shared" si="13"/>
        <v>0</v>
      </c>
      <c r="Y108" s="2"/>
      <c r="Z108" s="2"/>
      <c r="AA108" s="2"/>
      <c r="AB108" s="2"/>
      <c r="AC108" s="2"/>
      <c r="AD108" s="2"/>
      <c r="AE108" s="27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</row>
    <row r="109" spans="3:90" x14ac:dyDescent="0.25">
      <c r="C109" s="2"/>
      <c r="D109" s="15" t="s">
        <v>78</v>
      </c>
      <c r="E109" s="31" t="str">
        <f t="shared" si="14"/>
        <v/>
      </c>
      <c r="F109" s="31" t="str">
        <f t="shared" si="15"/>
        <v/>
      </c>
      <c r="G109" s="31" t="str">
        <f t="shared" si="16"/>
        <v/>
      </c>
      <c r="H109" s="32" t="str">
        <f t="shared" si="17"/>
        <v/>
      </c>
      <c r="I109" s="32" t="str" cm="1">
        <f t="array" aca="1" ref="I109" ca="1">IF(E109="","",INDIRECT("AF"&amp;ROUND((ROW()-80)*0.25,0)))</f>
        <v/>
      </c>
      <c r="J109" s="2"/>
      <c r="S109" s="2"/>
      <c r="T109" s="26"/>
      <c r="U109" s="16">
        <f>U$106</f>
        <v>0</v>
      </c>
      <c r="V109" s="16">
        <f>W109+V108</f>
        <v>0</v>
      </c>
      <c r="W109" s="16">
        <f>U109-X108</f>
        <v>0</v>
      </c>
      <c r="X109" s="16">
        <f t="shared" si="13"/>
        <v>0</v>
      </c>
      <c r="Y109" s="2"/>
      <c r="Z109" s="2"/>
      <c r="AA109" s="2"/>
      <c r="AB109" s="2"/>
      <c r="AC109" s="2"/>
      <c r="AD109" s="2"/>
      <c r="AE109" s="27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</row>
    <row r="110" spans="3:90" x14ac:dyDescent="0.25">
      <c r="C110" s="2"/>
      <c r="D110" s="15" t="s">
        <v>75</v>
      </c>
      <c r="E110" s="31" t="str">
        <f t="shared" si="14"/>
        <v/>
      </c>
      <c r="F110" s="31" t="str">
        <f t="shared" si="15"/>
        <v/>
      </c>
      <c r="G110" s="31" t="str">
        <f t="shared" si="16"/>
        <v/>
      </c>
      <c r="H110" s="32" t="str">
        <f t="shared" si="17"/>
        <v/>
      </c>
      <c r="I110" s="32" t="str" cm="1">
        <f t="array" aca="1" ref="I110" ca="1">IF(E110="","",INDIRECT("AF"&amp;ROUND((ROW()-80)*0.25,0)))</f>
        <v/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7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</row>
    <row r="111" spans="3:90" x14ac:dyDescent="0.25">
      <c r="C111" s="2"/>
      <c r="D111" s="15" t="s">
        <v>76</v>
      </c>
      <c r="E111" s="31" t="str">
        <f t="shared" si="14"/>
        <v/>
      </c>
      <c r="F111" s="31" t="str">
        <f t="shared" si="15"/>
        <v/>
      </c>
      <c r="G111" s="31" t="str">
        <f t="shared" si="16"/>
        <v/>
      </c>
      <c r="H111" s="32" t="str">
        <f t="shared" si="17"/>
        <v/>
      </c>
      <c r="I111" s="32" t="str" cm="1">
        <f t="array" aca="1" ref="I111" ca="1">IF(E111="","",INDIRECT("AF"&amp;ROUND((ROW()-80)*0.25,0)))</f>
        <v/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7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</row>
    <row r="112" spans="3:90" x14ac:dyDescent="0.25">
      <c r="C112" s="2"/>
      <c r="D112" s="15" t="s">
        <v>77</v>
      </c>
      <c r="E112" s="31" t="str">
        <f t="shared" si="14"/>
        <v/>
      </c>
      <c r="F112" s="31" t="str">
        <f t="shared" si="15"/>
        <v/>
      </c>
      <c r="G112" s="31" t="str">
        <f t="shared" si="16"/>
        <v/>
      </c>
      <c r="H112" s="32" t="str">
        <f t="shared" si="17"/>
        <v/>
      </c>
      <c r="I112" s="32" t="str" cm="1">
        <f t="array" aca="1" ref="I112" ca="1">IF(E112="","",INDIRECT("AF"&amp;ROUND((ROW()-80)*0.25,0)))</f>
        <v/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7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</row>
    <row r="113" spans="3:90" x14ac:dyDescent="0.25">
      <c r="C113" s="2"/>
      <c r="D113" s="15" t="s">
        <v>78</v>
      </c>
      <c r="E113" s="31" t="str">
        <f t="shared" si="14"/>
        <v/>
      </c>
      <c r="F113" s="31" t="str">
        <f t="shared" si="15"/>
        <v/>
      </c>
      <c r="G113" s="31" t="str">
        <f t="shared" si="16"/>
        <v/>
      </c>
      <c r="H113" s="32" t="str">
        <f t="shared" si="17"/>
        <v/>
      </c>
      <c r="I113" s="32" t="str" cm="1">
        <f t="array" aca="1" ref="I113" ca="1">IF(E113="","",INDIRECT("AF"&amp;ROUND((ROW()-80)*0.25,0)))</f>
        <v/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7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</row>
    <row r="114" spans="3:90" x14ac:dyDescent="0.2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7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</row>
    <row r="115" spans="3:90" x14ac:dyDescent="0.2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7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</row>
    <row r="116" spans="3:90" x14ac:dyDescent="0.2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7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</row>
    <row r="117" spans="3:90" x14ac:dyDescent="0.2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7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</row>
    <row r="118" spans="3:90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7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</row>
    <row r="119" spans="3:90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7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</row>
    <row r="120" spans="3:90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7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</row>
    <row r="121" spans="3:90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7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</row>
    <row r="122" spans="3:90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7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</row>
    <row r="123" spans="3:90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7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</row>
    <row r="124" spans="3:90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7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</row>
    <row r="125" spans="3:90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7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</row>
    <row r="126" spans="3:90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7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</row>
    <row r="127" spans="3:90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7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</row>
    <row r="128" spans="3:90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7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</row>
    <row r="129" spans="3:90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7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</row>
    <row r="130" spans="3:90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7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</row>
    <row r="131" spans="3:90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7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</row>
    <row r="132" spans="3:90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7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</row>
    <row r="133" spans="3:90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7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</row>
    <row r="134" spans="3:90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7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</row>
    <row r="135" spans="3:90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7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</row>
    <row r="136" spans="3:90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7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</row>
    <row r="137" spans="3:90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7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</row>
    <row r="138" spans="3:90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7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</row>
    <row r="139" spans="3:90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7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</row>
    <row r="140" spans="3:90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7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</row>
    <row r="141" spans="3:90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7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</row>
    <row r="142" spans="3:90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7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</row>
    <row r="143" spans="3:90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7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</row>
    <row r="144" spans="3:90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7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</row>
    <row r="145" spans="3:90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7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</row>
    <row r="146" spans="3:90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7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</row>
    <row r="147" spans="3:90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7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</row>
    <row r="148" spans="3:90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7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</row>
    <row r="149" spans="3:90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7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</row>
    <row r="150" spans="3:90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7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</row>
    <row r="151" spans="3:90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7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</row>
    <row r="152" spans="3:90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7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</row>
    <row r="153" spans="3:90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7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</row>
    <row r="154" spans="3:90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7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</row>
    <row r="155" spans="3:90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7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</row>
    <row r="156" spans="3:90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7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</row>
    <row r="157" spans="3:90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7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</row>
    <row r="158" spans="3:90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7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</row>
    <row r="159" spans="3:90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7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</row>
    <row r="160" spans="3:90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7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</row>
    <row r="161" spans="3:90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7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</row>
    <row r="162" spans="3:90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7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</row>
    <row r="163" spans="3:90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7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</row>
    <row r="164" spans="3:90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7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</row>
    <row r="165" spans="3:90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7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</row>
    <row r="166" spans="3:90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7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</row>
    <row r="167" spans="3:90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7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</row>
    <row r="168" spans="3:90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7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</row>
    <row r="169" spans="3:90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7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</row>
    <row r="170" spans="3:90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7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</row>
    <row r="171" spans="3:90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7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</row>
    <row r="172" spans="3:90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7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</row>
    <row r="173" spans="3:90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7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</row>
    <row r="174" spans="3:90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7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</row>
    <row r="175" spans="3:90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7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</row>
    <row r="176" spans="3:90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7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</row>
    <row r="177" spans="3:90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7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</row>
    <row r="178" spans="3:90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7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</row>
    <row r="179" spans="3:90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7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</row>
    <row r="180" spans="3:90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7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</row>
    <row r="181" spans="3:90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7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</row>
    <row r="182" spans="3:90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7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</row>
    <row r="183" spans="3:90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7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</row>
    <row r="184" spans="3:90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7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</row>
    <row r="185" spans="3:90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7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</row>
    <row r="186" spans="3:90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7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</row>
    <row r="187" spans="3:90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7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</row>
    <row r="188" spans="3:90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7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</row>
    <row r="189" spans="3:90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7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</row>
    <row r="190" spans="3:90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7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</row>
    <row r="191" spans="3:90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7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</row>
    <row r="192" spans="3:90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7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</row>
    <row r="193" spans="3:90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7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</row>
    <row r="194" spans="3:90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7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</row>
    <row r="195" spans="3:90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7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</row>
    <row r="196" spans="3:90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7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</row>
    <row r="197" spans="3:90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7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</row>
    <row r="198" spans="3:90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7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</row>
    <row r="199" spans="3:90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7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</row>
    <row r="200" spans="3:90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7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</row>
    <row r="201" spans="3:90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7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</row>
    <row r="202" spans="3:90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7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</row>
    <row r="203" spans="3:90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7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</row>
    <row r="204" spans="3:90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7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</row>
    <row r="205" spans="3:90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7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</row>
    <row r="206" spans="3:90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7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</row>
    <row r="207" spans="3:90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7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</row>
    <row r="208" spans="3:90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7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</row>
    <row r="209" spans="3:90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7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</row>
    <row r="210" spans="3:90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7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</row>
    <row r="211" spans="3:90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7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</row>
    <row r="212" spans="3:90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7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</row>
    <row r="213" spans="3:90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7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</row>
    <row r="214" spans="3:90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7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</row>
    <row r="215" spans="3:90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7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</row>
    <row r="216" spans="3:90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7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</row>
    <row r="217" spans="3:90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7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</row>
    <row r="218" spans="3:90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7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</row>
    <row r="219" spans="3:90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7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</row>
    <row r="220" spans="3:90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7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</row>
    <row r="221" spans="3:90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7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</row>
    <row r="222" spans="3:90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7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</row>
    <row r="223" spans="3:90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7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</row>
    <row r="224" spans="3:90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7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</row>
    <row r="225" spans="3:90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7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</row>
    <row r="226" spans="3:90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7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</row>
    <row r="227" spans="3:90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7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</row>
    <row r="228" spans="3:90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7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</row>
    <row r="229" spans="3:90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7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</row>
    <row r="230" spans="3:90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7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</row>
    <row r="231" spans="3:90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7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</row>
    <row r="232" spans="3:90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7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</row>
    <row r="233" spans="3:90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7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</row>
    <row r="234" spans="3:90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7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</row>
    <row r="235" spans="3:90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7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</row>
    <row r="236" spans="3:90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7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</row>
    <row r="237" spans="3:90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7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</row>
    <row r="238" spans="3:90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7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</row>
    <row r="239" spans="3:90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7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</row>
    <row r="240" spans="3:90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7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</row>
    <row r="241" spans="3:90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7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</row>
    <row r="242" spans="3:90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7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</row>
    <row r="243" spans="3:90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7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</row>
    <row r="244" spans="3:90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7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</row>
    <row r="245" spans="3:90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7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</row>
    <row r="246" spans="3:90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7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</row>
    <row r="247" spans="3:90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7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</row>
    <row r="248" spans="3:90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7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</row>
    <row r="249" spans="3:90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</row>
    <row r="250" spans="3:90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</row>
    <row r="251" spans="3:90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</row>
    <row r="252" spans="3:90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</row>
    <row r="253" spans="3:90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</row>
    <row r="254" spans="3:90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</row>
    <row r="255" spans="3:90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</row>
    <row r="256" spans="3:90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</row>
    <row r="257" spans="3:90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</row>
    <row r="258" spans="3:90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</row>
    <row r="259" spans="3:90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</row>
    <row r="260" spans="3:90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</row>
    <row r="261" spans="3:90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</row>
    <row r="262" spans="3:90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</row>
    <row r="263" spans="3:90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</row>
    <row r="264" spans="3:90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</row>
    <row r="265" spans="3:90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</row>
    <row r="266" spans="3:90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</row>
    <row r="267" spans="3:90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</row>
    <row r="268" spans="3:90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</row>
    <row r="269" spans="3:90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</row>
    <row r="270" spans="3:90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</row>
    <row r="271" spans="3:90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</row>
    <row r="272" spans="3:90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</row>
    <row r="273" spans="3:90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</row>
    <row r="274" spans="3:90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</row>
    <row r="275" spans="3:90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</row>
    <row r="276" spans="3:90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</row>
    <row r="277" spans="3:90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</row>
    <row r="278" spans="3:90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</row>
    <row r="279" spans="3:90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</row>
    <row r="280" spans="3:90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</row>
    <row r="281" spans="3:90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</row>
    <row r="282" spans="3:90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</row>
    <row r="283" spans="3:90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</row>
    <row r="284" spans="3:90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</row>
    <row r="285" spans="3:90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</row>
    <row r="286" spans="3:90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</row>
    <row r="287" spans="3:90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</row>
    <row r="288" spans="3:90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</row>
    <row r="289" spans="3:90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</row>
    <row r="290" spans="3:90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</row>
    <row r="291" spans="3:90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</row>
    <row r="292" spans="3:90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</row>
    <row r="293" spans="3:90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</row>
    <row r="294" spans="3:90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</row>
    <row r="295" spans="3:90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</row>
    <row r="296" spans="3:90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</row>
    <row r="297" spans="3:90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</row>
    <row r="298" spans="3:90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</row>
    <row r="299" spans="3:90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</row>
    <row r="300" spans="3:90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</row>
    <row r="301" spans="3:90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</row>
    <row r="302" spans="3:90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</row>
    <row r="303" spans="3:90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</row>
    <row r="304" spans="3:90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</row>
    <row r="305" spans="3:90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</row>
    <row r="306" spans="3:90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</row>
    <row r="307" spans="3:90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</row>
    <row r="308" spans="3:90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</row>
    <row r="309" spans="3:90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</row>
    <row r="310" spans="3:90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</row>
    <row r="311" spans="3:90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</row>
    <row r="312" spans="3:90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</row>
    <row r="313" spans="3:90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</row>
    <row r="314" spans="3:90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</row>
    <row r="315" spans="3:90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</row>
    <row r="316" spans="3:90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</row>
    <row r="317" spans="3:90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</row>
    <row r="318" spans="3:90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</row>
    <row r="319" spans="3:90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</row>
    <row r="320" spans="3:90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</row>
    <row r="321" spans="3:90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</row>
    <row r="322" spans="3:90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</row>
    <row r="323" spans="3:90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</row>
    <row r="324" spans="3:90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</row>
    <row r="325" spans="3:90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</row>
    <row r="326" spans="3:90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</row>
    <row r="327" spans="3:90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</row>
    <row r="328" spans="3:90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</row>
    <row r="329" spans="3:90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</row>
    <row r="330" spans="3:90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</row>
    <row r="331" spans="3:90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</row>
    <row r="332" spans="3:90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</row>
    <row r="333" spans="3:90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</row>
    <row r="334" spans="3:90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</row>
    <row r="335" spans="3:90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</row>
    <row r="336" spans="3:90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</row>
    <row r="337" spans="3:90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</row>
    <row r="338" spans="3:90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</row>
    <row r="339" spans="3:90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</row>
    <row r="340" spans="3:90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</row>
    <row r="341" spans="3:90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</row>
    <row r="342" spans="3:90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</row>
    <row r="343" spans="3:90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</row>
    <row r="344" spans="3:90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</row>
    <row r="345" spans="3:90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</row>
    <row r="346" spans="3:90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</row>
    <row r="347" spans="3:90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</row>
    <row r="348" spans="3:90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</row>
    <row r="349" spans="3:90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</row>
    <row r="350" spans="3:90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</row>
    <row r="351" spans="3:90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</row>
    <row r="352" spans="3:90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</row>
    <row r="353" spans="3:90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</row>
    <row r="354" spans="3:90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</row>
    <row r="355" spans="3:90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</row>
    <row r="356" spans="3:90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</row>
    <row r="357" spans="3:90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</row>
    <row r="358" spans="3:90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</row>
    <row r="359" spans="3:90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</row>
    <row r="360" spans="3:90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</row>
    <row r="361" spans="3:90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</row>
    <row r="362" spans="3:90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</row>
    <row r="363" spans="3:90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</row>
    <row r="364" spans="3:90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</row>
    <row r="365" spans="3:90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</row>
    <row r="366" spans="3:90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</row>
    <row r="367" spans="3:90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</row>
    <row r="368" spans="3:90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</row>
    <row r="369" spans="3:90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</row>
    <row r="370" spans="3:90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</row>
    <row r="371" spans="3:90" x14ac:dyDescent="0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</row>
    <row r="372" spans="3:90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</row>
    <row r="373" spans="3:90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</row>
    <row r="374" spans="3:90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</row>
    <row r="375" spans="3:90" x14ac:dyDescent="0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</row>
    <row r="376" spans="3:90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</row>
    <row r="377" spans="3:90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</row>
    <row r="378" spans="3:90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</row>
    <row r="379" spans="3:90" x14ac:dyDescent="0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</row>
    <row r="380" spans="3:90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</row>
    <row r="381" spans="3:90" x14ac:dyDescent="0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</row>
    <row r="382" spans="3:90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</row>
    <row r="383" spans="3:90" x14ac:dyDescent="0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</row>
    <row r="384" spans="3:90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</row>
    <row r="385" spans="3:90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</row>
    <row r="386" spans="3:90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</row>
    <row r="387" spans="3:90" x14ac:dyDescent="0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</row>
    <row r="388" spans="3:90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</row>
    <row r="389" spans="3:90" x14ac:dyDescent="0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</row>
    <row r="390" spans="3:90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</row>
    <row r="391" spans="3:90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</row>
    <row r="392" spans="3:90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</row>
    <row r="393" spans="3:90" x14ac:dyDescent="0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</row>
    <row r="394" spans="3:90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</row>
    <row r="395" spans="3:90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</row>
    <row r="396" spans="3:90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</row>
    <row r="397" spans="3:90" x14ac:dyDescent="0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</row>
    <row r="398" spans="3:90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</row>
    <row r="399" spans="3:90" x14ac:dyDescent="0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</row>
    <row r="400" spans="3:90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</row>
  </sheetData>
  <mergeCells count="17">
    <mergeCell ref="E20:H20"/>
    <mergeCell ref="I20:K20"/>
    <mergeCell ref="U34:V34"/>
    <mergeCell ref="U40:V40"/>
    <mergeCell ref="E46:H46"/>
    <mergeCell ref="U46:V46"/>
    <mergeCell ref="E52:H52"/>
    <mergeCell ref="U52:V52"/>
    <mergeCell ref="E58:H58"/>
    <mergeCell ref="U58:V58"/>
    <mergeCell ref="E64:H64"/>
    <mergeCell ref="U64:V64"/>
    <mergeCell ref="E70:H70"/>
    <mergeCell ref="E76:H76"/>
    <mergeCell ref="E82:H82"/>
    <mergeCell ref="T84:X84"/>
    <mergeCell ref="E88:I88"/>
  </mergeCells>
  <conditionalFormatting sqref="T34 W34">
    <cfRule type="expression" dxfId="11" priority="6">
      <formula>$T$34=$W$34</formula>
    </cfRule>
  </conditionalFormatting>
  <conditionalFormatting sqref="T40 W40">
    <cfRule type="expression" dxfId="10" priority="5">
      <formula>$T$40=$W$40</formula>
    </cfRule>
  </conditionalFormatting>
  <conditionalFormatting sqref="T46 W46">
    <cfRule type="expression" dxfId="9" priority="4">
      <formula>$T$46=$W$46</formula>
    </cfRule>
  </conditionalFormatting>
  <conditionalFormatting sqref="T52 W52">
    <cfRule type="expression" dxfId="8" priority="3">
      <formula>$T$52=$W$52</formula>
    </cfRule>
  </conditionalFormatting>
  <conditionalFormatting sqref="T58 W58">
    <cfRule type="expression" dxfId="7" priority="2">
      <formula>$T$58=$W$58</formula>
    </cfRule>
  </conditionalFormatting>
  <conditionalFormatting sqref="T64 W64">
    <cfRule type="expression" dxfId="6" priority="1">
      <formula>$T$64=$W$64</formula>
    </cfRule>
  </conditionalFormatting>
  <dataValidations count="5">
    <dataValidation type="list" allowBlank="1" showInputMessage="1" showErrorMessage="1" sqref="B2" xr:uid="{9C12C44D-1D52-43B6-AB6D-D38975C04CF1}">
      <formula1>"flex_consumption,nonprofiled_consumption,production"</formula1>
    </dataValidation>
    <dataValidation type="list" allowBlank="1" showInputMessage="1" showErrorMessage="1" sqref="B1" xr:uid="{2FEB76B8-B1EE-4EEA-88A2-C3AF2711199E}">
      <formula1>"ga,ga_es,ga_brp,ga_brp_es"</formula1>
    </dataValidation>
    <dataValidation type="list" allowBlank="1" showInputMessage="1" showErrorMessage="1" sqref="H2:H19" xr:uid="{1B98DDD7-906C-45C6-B71C-0BE4EC1CCC14}">
      <formula1>"PT15M,PT1H"</formula1>
    </dataValidation>
    <dataValidation type="list" allowBlank="1" showInputMessage="1" showErrorMessage="1" sqref="K2:K19" xr:uid="{353E3E6E-FACC-40B2-BA5F-7491C373D927}">
      <formula1>"glmp,skmp"</formula1>
    </dataValidation>
    <dataValidation type="list" allowBlank="1" showInputMessage="1" showErrorMessage="1" sqref="E2:E19" xr:uid="{E49E86CB-B5C0-4A05-9674-047F3FD645EC}">
      <formula1>"D01,E02"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L400"/>
  <sheetViews>
    <sheetView tabSelected="1" topLeftCell="A57" zoomScaleNormal="100" workbookViewId="0">
      <selection activeCell="B2" sqref="B2"/>
    </sheetView>
  </sheetViews>
  <sheetFormatPr defaultColWidth="8.7109375" defaultRowHeight="15" x14ac:dyDescent="0.25"/>
  <cols>
    <col min="1" max="1" width="16.42578125" style="1" bestFit="1" customWidth="1"/>
    <col min="2" max="2" width="36" style="1" bestFit="1" customWidth="1"/>
    <col min="3" max="3" width="27.140625" style="1" bestFit="1" customWidth="1"/>
    <col min="4" max="4" width="9.7109375" style="1" bestFit="1" customWidth="1"/>
    <col min="5" max="5" width="21.42578125" style="1" bestFit="1" customWidth="1"/>
    <col min="6" max="6" width="23.5703125" style="1" bestFit="1" customWidth="1"/>
    <col min="7" max="7" width="28.5703125" style="1" bestFit="1" customWidth="1"/>
    <col min="8" max="9" width="24.42578125" style="1" bestFit="1" customWidth="1"/>
    <col min="10" max="11" width="15.7109375" style="1" bestFit="1" customWidth="1"/>
    <col min="12" max="12" width="11" style="1" bestFit="1" customWidth="1"/>
    <col min="13" max="13" width="13.28515625" style="1" bestFit="1" customWidth="1"/>
    <col min="14" max="14" width="8.140625" style="1" bestFit="1" customWidth="1"/>
    <col min="15" max="15" width="11.7109375" style="1" hidden="1" customWidth="1"/>
    <col min="16" max="16" width="8.85546875" style="1" bestFit="1" customWidth="1"/>
    <col min="17" max="17" width="32.28515625" style="1" bestFit="1" customWidth="1"/>
    <col min="18" max="18" width="14.140625" style="1" bestFit="1" customWidth="1"/>
    <col min="19" max="19" width="33.42578125" style="1" bestFit="1" customWidth="1"/>
    <col min="20" max="20" width="15.7109375" style="1" bestFit="1" customWidth="1"/>
    <col min="21" max="22" width="13.28515625" style="1" bestFit="1" customWidth="1"/>
    <col min="23" max="23" width="11.7109375" style="1" bestFit="1" customWidth="1"/>
    <col min="24" max="24" width="12.42578125" style="1" bestFit="1" customWidth="1"/>
    <col min="25" max="25" width="4.140625" style="1" bestFit="1" customWidth="1"/>
    <col min="26" max="26" width="2.85546875" style="1" bestFit="1" customWidth="1"/>
    <col min="27" max="27" width="1.85546875" style="1" bestFit="1" customWidth="1"/>
    <col min="28" max="28" width="9.5703125" style="1" bestFit="1" customWidth="1"/>
    <col min="29" max="29" width="27.42578125" style="1" bestFit="1" customWidth="1"/>
    <col min="30" max="30" width="19.85546875" style="1" bestFit="1" customWidth="1"/>
    <col min="31" max="31" width="21.85546875" style="1" bestFit="1" customWidth="1"/>
    <col min="32" max="32" width="11.7109375" style="1" bestFit="1" customWidth="1"/>
    <col min="33" max="38" width="8.7109375" style="1" customWidth="1"/>
    <col min="39" max="16384" width="8.7109375" style="1"/>
  </cols>
  <sheetData>
    <row r="1" spans="1:90" ht="21" x14ac:dyDescent="0.35">
      <c r="A1" s="18" t="s">
        <v>23</v>
      </c>
      <c r="B1" s="38" t="s">
        <v>89</v>
      </c>
      <c r="C1" s="14" t="s">
        <v>7</v>
      </c>
      <c r="D1" s="14" t="s">
        <v>12</v>
      </c>
      <c r="E1" s="14" t="s">
        <v>13</v>
      </c>
      <c r="F1" s="14" t="s">
        <v>2</v>
      </c>
      <c r="G1" s="14" t="s">
        <v>8</v>
      </c>
      <c r="H1" s="14" t="s">
        <v>9</v>
      </c>
      <c r="I1" s="14" t="s">
        <v>10</v>
      </c>
      <c r="J1" s="14" t="s">
        <v>11</v>
      </c>
      <c r="K1" s="14" t="s">
        <v>14</v>
      </c>
      <c r="L1" s="14" t="s">
        <v>19</v>
      </c>
      <c r="M1" s="14" t="s">
        <v>82</v>
      </c>
      <c r="N1" s="14" t="s">
        <v>83</v>
      </c>
      <c r="P1" s="24"/>
      <c r="Q1" s="7" t="s">
        <v>36</v>
      </c>
      <c r="R1" s="9">
        <f>SUMIFS(Tabel1342323[quantity],Tabel1342323[settlement_method],"D01",Tabel1342323[resolution],"PT15M")</f>
        <v>0</v>
      </c>
      <c r="S1" s="24"/>
      <c r="T1" s="24"/>
      <c r="U1" s="24"/>
      <c r="V1" s="24"/>
      <c r="W1" s="24"/>
      <c r="X1" s="24"/>
      <c r="Y1" s="24"/>
      <c r="AA1" s="24"/>
      <c r="AB1" s="30" t="s">
        <v>20</v>
      </c>
      <c r="AC1" s="30" t="s">
        <v>17</v>
      </c>
      <c r="AD1" s="30" t="s">
        <v>18</v>
      </c>
      <c r="AE1" s="30" t="s">
        <v>108</v>
      </c>
      <c r="AF1" s="30" t="s">
        <v>84</v>
      </c>
      <c r="AG1" s="30"/>
      <c r="AH1" s="24"/>
    </row>
    <row r="2" spans="1:90" ht="21" x14ac:dyDescent="0.35">
      <c r="A2" s="18" t="s">
        <v>26</v>
      </c>
      <c r="B2" s="17" t="s">
        <v>106</v>
      </c>
      <c r="C2" s="10" t="s">
        <v>109</v>
      </c>
      <c r="D2" s="10" t="s">
        <v>99</v>
      </c>
      <c r="E2" s="11"/>
      <c r="F2" s="12"/>
      <c r="G2" s="10"/>
      <c r="H2" s="10" t="s">
        <v>102</v>
      </c>
      <c r="I2" s="10" t="s">
        <v>93</v>
      </c>
      <c r="J2" s="10" t="s">
        <v>94</v>
      </c>
      <c r="K2" s="10" t="s">
        <v>101</v>
      </c>
      <c r="L2" s="10" t="s">
        <v>95</v>
      </c>
      <c r="M2" s="29"/>
      <c r="N2" s="29"/>
      <c r="P2" s="24"/>
      <c r="Q2" s="7" t="s">
        <v>40</v>
      </c>
      <c r="R2" s="9">
        <f>SUMIFS(Tabel1342323[quantity],Tabel1342323[settlement_method],"E02",Tabel1342323[resolution],"PT15M")</f>
        <v>0</v>
      </c>
      <c r="S2" s="24"/>
      <c r="T2" s="24"/>
      <c r="U2" s="24"/>
      <c r="V2" s="24"/>
      <c r="W2" s="24"/>
      <c r="X2" s="24"/>
      <c r="Y2" s="24"/>
      <c r="AA2" s="24"/>
      <c r="AB2" s="27" t="str" cm="1">
        <f t="array" ref="AB2:AB3">_xlfn._xlws.SORT(_xlfn.UNIQUE(_xlfn._xlws.FILTER(Tabel1342323[ga_id],Tabel1342323[ga_id] &lt;&gt; "")))</f>
        <v>800</v>
      </c>
      <c r="AC2" s="27" t="str" cm="1">
        <f t="array" ref="AC2">_xlfn._xlws.SORT(_xlfn.UNIQUE(_xlfn._xlws.FILTER(AC28:AC40,AC28:AC40 &lt;&gt; "")))</f>
        <v>1000000000000</v>
      </c>
      <c r="AD2" s="27" t="str" cm="1">
        <f t="array" ref="AD2">_xlfn._xlws.SORT(_xlfn.UNIQUE(_xlfn._xlws.FILTER(AD28:AD40,AD28:AD40 &lt;&gt; "")))</f>
        <v>1100000000000</v>
      </c>
      <c r="AE2" s="27" t="str">
        <f>IF(B$2="production","E18",IF($B$2="flex_consumption","D01","E02"))</f>
        <v>E18</v>
      </c>
      <c r="AF2" s="27" t="str" cm="1">
        <f t="array" ref="AF2:AF3">_xlfn._xlws.SORT(_xlfn.UNIQUE(_xlfn.VSTACK(_xlfn._xlws.FILTER(Tabel1342323[from_ga],Tabel1342323[from_ga] &lt;&gt; ""),_xlfn._xlws.FILTER(Tabel1342323[to_ga],Tabel1342323[to_ga] &lt;&gt; ""))))</f>
        <v>800</v>
      </c>
      <c r="AG2" s="24"/>
      <c r="AH2" s="24"/>
    </row>
    <row r="3" spans="1:90" x14ac:dyDescent="0.25">
      <c r="C3" s="10" t="s">
        <v>110</v>
      </c>
      <c r="D3" s="10" t="s">
        <v>90</v>
      </c>
      <c r="E3" s="11" t="s">
        <v>91</v>
      </c>
      <c r="F3" s="12"/>
      <c r="G3" s="10"/>
      <c r="H3" s="10" t="s">
        <v>102</v>
      </c>
      <c r="I3" s="10" t="s">
        <v>103</v>
      </c>
      <c r="J3" s="10" t="s">
        <v>104</v>
      </c>
      <c r="K3" s="10" t="s">
        <v>97</v>
      </c>
      <c r="L3" s="10" t="s">
        <v>95</v>
      </c>
      <c r="M3" s="29"/>
      <c r="N3" s="29"/>
      <c r="P3" s="24"/>
      <c r="Q3" s="7" t="s">
        <v>29</v>
      </c>
      <c r="R3" s="9">
        <f>SUMIFS(Tabel1342323[quantity],Tabel1342323[type],"E18",Tabel1342323[resolution],"PT15M")</f>
        <v>0</v>
      </c>
      <c r="S3" s="24"/>
      <c r="T3" s="27"/>
      <c r="U3" s="24"/>
      <c r="V3" s="24"/>
      <c r="W3" s="24"/>
      <c r="X3" s="24"/>
      <c r="Y3" s="24"/>
      <c r="AA3" s="24"/>
      <c r="AB3" s="24" t="str">
        <v>801</v>
      </c>
      <c r="AC3" s="24"/>
      <c r="AD3" s="24"/>
      <c r="AE3" s="24"/>
      <c r="AF3" s="24" t="str">
        <v>801</v>
      </c>
      <c r="AG3" s="24"/>
      <c r="AH3" s="24"/>
    </row>
    <row r="4" spans="1:90" x14ac:dyDescent="0.25">
      <c r="C4" s="10" t="s">
        <v>98</v>
      </c>
      <c r="D4" s="10" t="s">
        <v>100</v>
      </c>
      <c r="E4" s="11"/>
      <c r="F4" s="12">
        <v>30.332999999999998</v>
      </c>
      <c r="G4" s="10"/>
      <c r="H4" s="10" t="s">
        <v>92</v>
      </c>
      <c r="I4" s="10"/>
      <c r="J4" s="10"/>
      <c r="K4" s="10"/>
      <c r="L4" s="10" t="s">
        <v>96</v>
      </c>
      <c r="M4" s="29" t="s">
        <v>96</v>
      </c>
      <c r="N4" s="29" t="s">
        <v>95</v>
      </c>
      <c r="P4" s="24"/>
      <c r="Q4" s="7" t="s">
        <v>27</v>
      </c>
      <c r="R4" s="9">
        <f>SUMIFS(Tabel1342323[quantity],Tabel1342323[type],"E17",Tabel1342323[resolution],"PT15M")</f>
        <v>0</v>
      </c>
      <c r="S4" s="24"/>
      <c r="T4" s="24"/>
      <c r="U4" s="24"/>
      <c r="V4" s="24"/>
      <c r="W4" s="24"/>
      <c r="X4" s="24"/>
      <c r="Y4" s="24"/>
      <c r="AA4" s="24"/>
      <c r="AB4" s="24"/>
      <c r="AC4" s="24"/>
      <c r="AD4" s="24"/>
      <c r="AE4" s="24"/>
      <c r="AF4" s="24"/>
      <c r="AG4" s="24"/>
      <c r="AH4" s="24"/>
    </row>
    <row r="5" spans="1:90" x14ac:dyDescent="0.25">
      <c r="C5" s="10"/>
      <c r="D5" s="10"/>
      <c r="E5" s="11"/>
      <c r="F5" s="12"/>
      <c r="G5" s="10"/>
      <c r="H5" s="10"/>
      <c r="I5" s="10"/>
      <c r="J5" s="10"/>
      <c r="K5" s="10"/>
      <c r="L5" s="10"/>
      <c r="M5" s="29"/>
      <c r="N5" s="29"/>
      <c r="P5" s="24"/>
      <c r="Q5" s="6" t="s">
        <v>32</v>
      </c>
      <c r="R5" s="9">
        <f>SUMIFS(Tabel1342323[quantity],Tabel1342323[type],"E20",Tabel1342323[resolution],"PT15M",Tabel1342323[to_ga],"800")</f>
        <v>0</v>
      </c>
      <c r="S5" s="24"/>
      <c r="T5" s="24"/>
      <c r="U5" s="24"/>
      <c r="V5" s="24"/>
      <c r="W5" s="24"/>
      <c r="X5" s="24"/>
      <c r="Y5" s="24"/>
      <c r="AA5" s="24"/>
      <c r="AB5" s="24"/>
      <c r="AC5" s="24"/>
      <c r="AD5" s="24"/>
      <c r="AE5" s="24"/>
      <c r="AF5" s="24"/>
      <c r="AG5" s="24"/>
      <c r="AH5" s="24"/>
    </row>
    <row r="6" spans="1:90" x14ac:dyDescent="0.25">
      <c r="C6" s="10"/>
      <c r="D6" s="10"/>
      <c r="E6" s="11"/>
      <c r="F6" s="12"/>
      <c r="G6" s="10"/>
      <c r="H6" s="10"/>
      <c r="I6" s="10"/>
      <c r="J6" s="10"/>
      <c r="K6" s="10"/>
      <c r="L6" s="10"/>
      <c r="M6" s="29"/>
      <c r="N6" s="29"/>
      <c r="P6" s="24"/>
      <c r="Q6" s="6" t="s">
        <v>43</v>
      </c>
      <c r="R6" s="9">
        <f>SUMIFS(Tabel1342323[quantity],Tabel1342323[type],"E20",Tabel1342323[resolution],"PT15M",Tabel1342323[from_ga],"800")</f>
        <v>0</v>
      </c>
      <c r="S6" s="24"/>
      <c r="T6" s="24"/>
      <c r="U6" s="24"/>
      <c r="V6" s="24"/>
      <c r="W6" s="24"/>
      <c r="X6" s="24"/>
      <c r="Y6" s="24"/>
      <c r="AA6" s="24"/>
      <c r="AB6" s="24"/>
      <c r="AC6" s="24"/>
      <c r="AD6" s="24"/>
      <c r="AE6" s="24"/>
      <c r="AF6" s="24"/>
      <c r="AG6" s="24"/>
      <c r="AH6" s="24"/>
    </row>
    <row r="7" spans="1:90" x14ac:dyDescent="0.25">
      <c r="C7" s="10"/>
      <c r="D7" s="10"/>
      <c r="E7" s="11"/>
      <c r="F7" s="12"/>
      <c r="G7" s="10"/>
      <c r="H7" s="10"/>
      <c r="I7" s="10"/>
      <c r="J7" s="10"/>
      <c r="K7" s="10"/>
      <c r="L7" s="10"/>
      <c r="M7" s="29"/>
      <c r="N7" s="29"/>
      <c r="P7" s="24"/>
      <c r="Q7" s="24"/>
      <c r="R7" s="24"/>
      <c r="S7" s="24"/>
      <c r="T7" s="24"/>
      <c r="U7" s="24"/>
      <c r="V7" s="24"/>
      <c r="W7" s="24"/>
      <c r="X7" s="24"/>
      <c r="Y7" s="24"/>
      <c r="AA7" s="24"/>
      <c r="AB7" s="24"/>
      <c r="AC7" s="24"/>
      <c r="AD7" s="24"/>
      <c r="AE7" s="24"/>
      <c r="AF7" s="24"/>
      <c r="AG7" s="24"/>
      <c r="AH7" s="24"/>
    </row>
    <row r="8" spans="1:90" x14ac:dyDescent="0.25">
      <c r="C8" s="10"/>
      <c r="D8" s="10"/>
      <c r="E8" s="11"/>
      <c r="F8" s="12"/>
      <c r="G8" s="10"/>
      <c r="H8" s="10"/>
      <c r="I8" s="10"/>
      <c r="J8" s="10"/>
      <c r="K8" s="10"/>
      <c r="L8" s="10"/>
      <c r="M8" s="29"/>
      <c r="N8" s="29"/>
      <c r="P8" s="24"/>
      <c r="Q8" s="25"/>
      <c r="R8" s="7" t="s">
        <v>11</v>
      </c>
      <c r="S8" s="7" t="s">
        <v>10</v>
      </c>
      <c r="T8" s="7" t="s">
        <v>86</v>
      </c>
      <c r="U8" s="7" t="s">
        <v>46</v>
      </c>
      <c r="V8" s="7" t="s">
        <v>47</v>
      </c>
      <c r="W8" s="7" t="s">
        <v>48</v>
      </c>
      <c r="X8" s="27"/>
      <c r="Y8" s="24"/>
      <c r="AA8" s="24"/>
      <c r="AB8" s="24"/>
      <c r="AC8" s="24"/>
      <c r="AD8" s="24"/>
      <c r="AE8" s="24"/>
      <c r="AF8" s="24"/>
      <c r="AG8" s="24"/>
      <c r="AH8" s="24"/>
    </row>
    <row r="9" spans="1:90" x14ac:dyDescent="0.25">
      <c r="C9" s="10"/>
      <c r="D9" s="10"/>
      <c r="E9" s="11"/>
      <c r="F9" s="12"/>
      <c r="G9" s="10"/>
      <c r="H9" s="10"/>
      <c r="I9" s="10"/>
      <c r="J9" s="10"/>
      <c r="K9" s="10"/>
      <c r="L9" s="10"/>
      <c r="M9" s="29"/>
      <c r="N9" s="29"/>
      <c r="P9" s="15" t="s">
        <v>75</v>
      </c>
      <c r="Q9" s="26" t="str">
        <f>_xlfn.IFNA(INDEX(Tabel1342323[ga_id],MATCH(S9,Tabel1342323[es_id],0)),"")</f>
        <v>800</v>
      </c>
      <c r="R9" s="26" t="str">
        <f>_xlfn.IFNA(INDEX(Tabel1342323[brp_id],MATCH(S9,Tabel1342323[es_id],0)),"")</f>
        <v>1100000000000</v>
      </c>
      <c r="S9" s="26" t="str">
        <f>IF(AC$2=0,"",AC$2)</f>
        <v>1000000000000</v>
      </c>
      <c r="T9" s="20">
        <f>SUMIFS(Tabel1342323[quantity],Tabel1342323[es_id],S9,IF(B$2="production",Tabel1342323[type],Tabel1342323[settlement_method]),AE$2,Tabel1342323[resolution],"PT1H")/4</f>
        <v>0</v>
      </c>
      <c r="U9" s="19">
        <f>T9</f>
        <v>0</v>
      </c>
      <c r="V9" s="19"/>
      <c r="W9" s="23">
        <f t="shared" ref="W9:W32" si="0">ROUND(U9, 3)</f>
        <v>0</v>
      </c>
      <c r="X9" s="27"/>
      <c r="Y9" s="24"/>
      <c r="AA9" s="24"/>
      <c r="AB9" s="35"/>
      <c r="AC9" s="35"/>
      <c r="AD9" s="35"/>
      <c r="AE9" s="35"/>
      <c r="AF9" s="35"/>
      <c r="AG9" s="24"/>
      <c r="AH9" s="24"/>
    </row>
    <row r="10" spans="1:90" x14ac:dyDescent="0.25">
      <c r="C10" s="10"/>
      <c r="D10" s="10"/>
      <c r="E10" s="11"/>
      <c r="F10" s="12"/>
      <c r="G10" s="10"/>
      <c r="H10" s="10"/>
      <c r="I10" s="10"/>
      <c r="J10" s="10"/>
      <c r="K10" s="10"/>
      <c r="L10" s="10"/>
      <c r="M10" s="29"/>
      <c r="N10" s="29"/>
      <c r="P10" s="15" t="s">
        <v>76</v>
      </c>
      <c r="Q10" s="26" t="str">
        <f>_xlfn.IFNA(INDEX(Tabel1342323[ga_id],MATCH(S10,Tabel1342323[es_id],0)),"")</f>
        <v>800</v>
      </c>
      <c r="R10" s="26" t="str">
        <f>_xlfn.IFNA(INDEX(Tabel1342323[brp_id],MATCH(S10,Tabel1342323[es_id],0)),"")</f>
        <v>1100000000000</v>
      </c>
      <c r="S10" s="26" t="str">
        <f t="shared" ref="S10:T12" si="1">S$9</f>
        <v>1000000000000</v>
      </c>
      <c r="T10" s="19">
        <f t="shared" si="1"/>
        <v>0</v>
      </c>
      <c r="U10" s="19">
        <f>V10+U9</f>
        <v>0</v>
      </c>
      <c r="V10" s="19">
        <f>T10-W9</f>
        <v>0</v>
      </c>
      <c r="W10" s="23">
        <f t="shared" si="0"/>
        <v>0</v>
      </c>
      <c r="X10" s="27"/>
      <c r="Y10" s="24"/>
      <c r="AA10" s="27"/>
      <c r="AB10" s="36"/>
      <c r="AC10" s="36"/>
      <c r="AD10" s="36"/>
      <c r="AE10" s="36"/>
      <c r="AF10" s="35"/>
      <c r="AG10" s="24"/>
      <c r="AH10" s="24"/>
    </row>
    <row r="11" spans="1:90" x14ac:dyDescent="0.25">
      <c r="C11" s="10"/>
      <c r="D11" s="10"/>
      <c r="E11" s="11"/>
      <c r="F11" s="12"/>
      <c r="G11" s="10"/>
      <c r="H11" s="10"/>
      <c r="I11" s="10"/>
      <c r="J11" s="10"/>
      <c r="K11" s="10"/>
      <c r="L11" s="10"/>
      <c r="M11" s="29"/>
      <c r="N11" s="29"/>
      <c r="P11" s="15" t="s">
        <v>77</v>
      </c>
      <c r="Q11" s="26" t="str">
        <f>_xlfn.IFNA(INDEX(Tabel1342323[ga_id],MATCH(S11,Tabel1342323[es_id],0)),"")</f>
        <v>800</v>
      </c>
      <c r="R11" s="26" t="str">
        <f>_xlfn.IFNA(INDEX(Tabel1342323[brp_id],MATCH(S11,Tabel1342323[es_id],0)),"")</f>
        <v>1100000000000</v>
      </c>
      <c r="S11" s="26" t="str">
        <f t="shared" si="1"/>
        <v>1000000000000</v>
      </c>
      <c r="T11" s="19">
        <f t="shared" si="1"/>
        <v>0</v>
      </c>
      <c r="U11" s="19">
        <f>V11+U10</f>
        <v>0</v>
      </c>
      <c r="V11" s="19">
        <f>T11-W10</f>
        <v>0</v>
      </c>
      <c r="W11" s="23">
        <f t="shared" si="0"/>
        <v>0</v>
      </c>
      <c r="X11" s="27"/>
      <c r="Y11" s="24"/>
      <c r="AA11" s="27"/>
      <c r="AB11" s="36"/>
      <c r="AC11" s="36"/>
      <c r="AD11" s="36"/>
      <c r="AE11" s="36"/>
      <c r="AF11" s="35"/>
      <c r="AG11" s="24"/>
      <c r="AH11" s="24"/>
    </row>
    <row r="12" spans="1:90" x14ac:dyDescent="0.25">
      <c r="C12" s="10"/>
      <c r="D12" s="10"/>
      <c r="E12" s="11"/>
      <c r="F12" s="12"/>
      <c r="G12" s="10"/>
      <c r="H12" s="10"/>
      <c r="I12" s="10"/>
      <c r="J12" s="10"/>
      <c r="K12" s="10"/>
      <c r="L12" s="10"/>
      <c r="M12" s="29"/>
      <c r="N12" s="29"/>
      <c r="P12" s="15" t="s">
        <v>78</v>
      </c>
      <c r="Q12" s="26" t="str">
        <f>_xlfn.IFNA(INDEX(Tabel1342323[ga_id],MATCH(S12,Tabel1342323[es_id],0)),"")</f>
        <v>800</v>
      </c>
      <c r="R12" s="26" t="str">
        <f>_xlfn.IFNA(INDEX(Tabel1342323[brp_id],MATCH(S12,Tabel1342323[es_id],0)),"")</f>
        <v>1100000000000</v>
      </c>
      <c r="S12" s="26" t="str">
        <f t="shared" si="1"/>
        <v>1000000000000</v>
      </c>
      <c r="T12" s="19">
        <f t="shared" si="1"/>
        <v>0</v>
      </c>
      <c r="U12" s="19">
        <f>V12+U11</f>
        <v>0</v>
      </c>
      <c r="V12" s="19">
        <f>T12-W11</f>
        <v>0</v>
      </c>
      <c r="W12" s="23">
        <f t="shared" si="0"/>
        <v>0</v>
      </c>
      <c r="X12" s="27"/>
      <c r="Y12" s="24"/>
      <c r="AA12" s="27"/>
      <c r="AB12" s="36"/>
      <c r="AC12" s="36" t="s">
        <v>105</v>
      </c>
      <c r="AD12" s="36" t="s">
        <v>107</v>
      </c>
      <c r="AE12" s="36"/>
      <c r="AF12" s="35"/>
      <c r="AG12" s="24"/>
      <c r="AH12" s="24"/>
    </row>
    <row r="13" spans="1:90" x14ac:dyDescent="0.25">
      <c r="C13" s="10"/>
      <c r="D13" s="10"/>
      <c r="E13" s="11"/>
      <c r="F13" s="12"/>
      <c r="G13" s="10"/>
      <c r="H13" s="10"/>
      <c r="I13" s="10"/>
      <c r="J13" s="10"/>
      <c r="K13" s="10"/>
      <c r="L13" s="10"/>
      <c r="M13" s="29"/>
      <c r="N13" s="29"/>
      <c r="P13" s="15" t="s">
        <v>75</v>
      </c>
      <c r="Q13" s="26" t="str">
        <f>_xlfn.IFNA(INDEX(Tabel1342323[ga_id],MATCH(S13,Tabel1342323[es_id],0)),"")</f>
        <v/>
      </c>
      <c r="R13" s="26" t="str">
        <f>_xlfn.IFNA(INDEX(Tabel1342323[brp_id],MATCH(S13,Tabel1342323[es_id],0)),"")</f>
        <v/>
      </c>
      <c r="S13" s="26" t="str">
        <f>IF(AC$3=0,"",AC$3)</f>
        <v/>
      </c>
      <c r="T13" s="20">
        <f>SUMIFS(Tabel1342323[quantity],Tabel1342323[es_id],S13,IF(B$2="production",Tabel1342323[type],Tabel1342323[settlement_method]),AE$2,Tabel1342323[resolution],"PT1H")/4</f>
        <v>0</v>
      </c>
      <c r="U13" s="19">
        <f>T13</f>
        <v>0</v>
      </c>
      <c r="V13" s="19"/>
      <c r="W13" s="23">
        <f t="shared" si="0"/>
        <v>0</v>
      </c>
      <c r="X13" s="27"/>
      <c r="Y13" s="24"/>
      <c r="AA13" s="2"/>
      <c r="AB13" s="36"/>
      <c r="AC13" s="36" t="str" cm="1">
        <f t="array" ref="AC13:AC14">_xlfn._xlws.SORT(_xlfn.UNIQUE(_xlfn._xlws.FILTER(Tabel1342323[es_id],Tabel1342323[es_id] &lt;&gt; "")))</f>
        <v>1000000000000</v>
      </c>
      <c r="AD13" s="36" t="str" cm="1">
        <f t="array" ref="AD13:AD14">_xlfn._xlws.SORT(_xlfn.UNIQUE(_xlfn._xlws.FILTER(Tabel1342323[brp_id],Tabel1342323[brp_id] &lt;&gt; "")))</f>
        <v>1100000000000</v>
      </c>
      <c r="AE13" s="36"/>
      <c r="AF13" s="35"/>
    </row>
    <row r="14" spans="1:90" x14ac:dyDescent="0.25">
      <c r="C14" s="10"/>
      <c r="D14" s="10"/>
      <c r="E14" s="11"/>
      <c r="F14" s="12"/>
      <c r="G14" s="10"/>
      <c r="H14" s="10"/>
      <c r="I14" s="10"/>
      <c r="J14" s="10"/>
      <c r="K14" s="10"/>
      <c r="L14" s="10"/>
      <c r="M14" s="29"/>
      <c r="N14" s="29"/>
      <c r="O14" s="2"/>
      <c r="P14" s="15" t="s">
        <v>76</v>
      </c>
      <c r="Q14" s="26" t="str">
        <f>_xlfn.IFNA(INDEX(Tabel1342323[ga_id],MATCH(S14,Tabel1342323[es_id],0)),"")</f>
        <v/>
      </c>
      <c r="R14" s="26" t="str">
        <f>_xlfn.IFNA(INDEX(Tabel1342323[brp_id],MATCH(S14,Tabel1342323[es_id],0)),"")</f>
        <v/>
      </c>
      <c r="S14" s="26" t="str">
        <f t="shared" ref="S14:T16" si="2">S$13</f>
        <v/>
      </c>
      <c r="T14" s="19">
        <f t="shared" si="2"/>
        <v>0</v>
      </c>
      <c r="U14" s="19">
        <f>V14+U13</f>
        <v>0</v>
      </c>
      <c r="V14" s="19">
        <f>T14-W13</f>
        <v>0</v>
      </c>
      <c r="W14" s="23">
        <f t="shared" si="0"/>
        <v>0</v>
      </c>
      <c r="X14" s="27"/>
      <c r="Y14" s="27"/>
      <c r="Z14" s="2"/>
      <c r="AA14" s="2"/>
      <c r="AB14" s="36"/>
      <c r="AC14" s="36" t="str">
        <v>2000000000000</v>
      </c>
      <c r="AD14" s="36" t="str">
        <v>2200000000000</v>
      </c>
      <c r="AE14" s="36"/>
      <c r="AF14" s="36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0" x14ac:dyDescent="0.25">
      <c r="C15" s="13"/>
      <c r="D15" s="10"/>
      <c r="E15" s="11"/>
      <c r="F15" s="12"/>
      <c r="G15" s="10"/>
      <c r="H15" s="10"/>
      <c r="I15" s="10"/>
      <c r="J15" s="10"/>
      <c r="K15" s="10"/>
      <c r="L15" s="10"/>
      <c r="M15" s="29"/>
      <c r="N15" s="29"/>
      <c r="O15" s="2"/>
      <c r="P15" s="15" t="s">
        <v>77</v>
      </c>
      <c r="Q15" s="26" t="str">
        <f>_xlfn.IFNA(INDEX(Tabel1342323[ga_id],MATCH(S15,Tabel1342323[es_id],0)),"")</f>
        <v/>
      </c>
      <c r="R15" s="26" t="str">
        <f>_xlfn.IFNA(INDEX(Tabel1342323[brp_id],MATCH(S15,Tabel1342323[es_id],0)),"")</f>
        <v/>
      </c>
      <c r="S15" s="26" t="str">
        <f t="shared" si="2"/>
        <v/>
      </c>
      <c r="T15" s="19">
        <f t="shared" si="2"/>
        <v>0</v>
      </c>
      <c r="U15" s="19">
        <f>V15+U14</f>
        <v>0</v>
      </c>
      <c r="V15" s="19">
        <f>T15-W14</f>
        <v>0</v>
      </c>
      <c r="W15" s="23">
        <f t="shared" si="0"/>
        <v>0</v>
      </c>
      <c r="X15" s="27"/>
      <c r="Y15" s="27"/>
      <c r="Z15" s="2"/>
      <c r="AA15" s="2"/>
      <c r="AB15" s="36"/>
      <c r="AC15" s="36"/>
      <c r="AD15" s="36"/>
      <c r="AE15" s="36"/>
      <c r="AF15" s="36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0" x14ac:dyDescent="0.25">
      <c r="C16" s="13"/>
      <c r="D16" s="10"/>
      <c r="E16" s="11"/>
      <c r="F16" s="12"/>
      <c r="G16" s="10"/>
      <c r="H16" s="10"/>
      <c r="I16" s="10"/>
      <c r="J16" s="10"/>
      <c r="K16" s="10"/>
      <c r="L16" s="10"/>
      <c r="M16" s="29"/>
      <c r="N16" s="29"/>
      <c r="O16" s="2"/>
      <c r="P16" s="15" t="s">
        <v>78</v>
      </c>
      <c r="Q16" s="26" t="str">
        <f>_xlfn.IFNA(INDEX(Tabel1342323[ga_id],MATCH(S16,Tabel1342323[es_id],0)),"")</f>
        <v/>
      </c>
      <c r="R16" s="26" t="str">
        <f>_xlfn.IFNA(INDEX(Tabel1342323[brp_id],MATCH(S16,Tabel1342323[es_id],0)),"")</f>
        <v/>
      </c>
      <c r="S16" s="26" t="str">
        <f t="shared" si="2"/>
        <v/>
      </c>
      <c r="T16" s="19">
        <f t="shared" si="2"/>
        <v>0</v>
      </c>
      <c r="U16" s="19">
        <f>V16+U15</f>
        <v>0</v>
      </c>
      <c r="V16" s="19">
        <f>T16-W15</f>
        <v>0</v>
      </c>
      <c r="W16" s="23">
        <f t="shared" si="0"/>
        <v>0</v>
      </c>
      <c r="X16" s="27"/>
      <c r="Y16" s="27"/>
      <c r="Z16" s="2"/>
      <c r="AA16" s="2"/>
      <c r="AB16" s="36"/>
      <c r="AC16" s="36"/>
      <c r="AD16" s="36"/>
      <c r="AE16" s="36"/>
      <c r="AF16" s="36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x14ac:dyDescent="0.25">
      <c r="C17" s="10"/>
      <c r="D17" s="10"/>
      <c r="E17" s="11"/>
      <c r="F17" s="12"/>
      <c r="G17" s="10"/>
      <c r="H17" s="10"/>
      <c r="I17" s="10"/>
      <c r="J17" s="10"/>
      <c r="K17" s="10"/>
      <c r="L17" s="10"/>
      <c r="M17" s="29"/>
      <c r="N17" s="29"/>
      <c r="O17" s="2"/>
      <c r="P17" s="15" t="s">
        <v>75</v>
      </c>
      <c r="Q17" s="26" t="str">
        <f>_xlfn.IFNA(INDEX(Tabel1342323[ga_id],MATCH(S17,Tabel1342323[es_id],0)),"")</f>
        <v/>
      </c>
      <c r="R17" s="26" t="str">
        <f>_xlfn.IFNA(INDEX(Tabel1342323[brp_id],MATCH(S17,Tabel1342323[es_id],0)),"")</f>
        <v/>
      </c>
      <c r="S17" s="26" t="str">
        <f>IF(AC$4=0,"",AC$4)</f>
        <v/>
      </c>
      <c r="T17" s="20">
        <f>SUMIFS(Tabel1342323[quantity],Tabel1342323[es_id],S17,IF(B$2="production",Tabel1342323[type],Tabel1342323[settlement_method]),AE$2,Tabel1342323[resolution],"PT1H")/4</f>
        <v>0</v>
      </c>
      <c r="U17" s="19">
        <f>T17</f>
        <v>0</v>
      </c>
      <c r="V17" s="19"/>
      <c r="W17" s="23">
        <f t="shared" si="0"/>
        <v>0</v>
      </c>
      <c r="X17" s="27"/>
      <c r="Y17" s="27"/>
      <c r="Z17" s="2"/>
      <c r="AA17" s="2"/>
      <c r="AB17" s="36"/>
      <c r="AC17" s="36"/>
      <c r="AD17" s="36"/>
      <c r="AE17" s="36"/>
      <c r="AF17" s="36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x14ac:dyDescent="0.25">
      <c r="C18" s="10"/>
      <c r="D18" s="10"/>
      <c r="E18" s="11"/>
      <c r="F18" s="12"/>
      <c r="G18" s="10"/>
      <c r="H18" s="10"/>
      <c r="I18" s="10"/>
      <c r="J18" s="10"/>
      <c r="K18" s="10"/>
      <c r="L18" s="10"/>
      <c r="M18" s="29"/>
      <c r="N18" s="29"/>
      <c r="O18" s="2"/>
      <c r="P18" s="15" t="s">
        <v>76</v>
      </c>
      <c r="Q18" s="26" t="str">
        <f>_xlfn.IFNA(INDEX(Tabel1342323[ga_id],MATCH(S18,Tabel1342323[es_id],0)),"")</f>
        <v/>
      </c>
      <c r="R18" s="26" t="str">
        <f>_xlfn.IFNA(INDEX(Tabel1342323[brp_id],MATCH(S18,Tabel1342323[es_id],0)),"")</f>
        <v/>
      </c>
      <c r="S18" s="26" t="str">
        <f t="shared" ref="S18:T19" si="3">S$17</f>
        <v/>
      </c>
      <c r="T18" s="19">
        <f t="shared" si="3"/>
        <v>0</v>
      </c>
      <c r="U18" s="19">
        <f>V18+U17</f>
        <v>0</v>
      </c>
      <c r="V18" s="19">
        <f>T18-W17</f>
        <v>0</v>
      </c>
      <c r="W18" s="23">
        <f t="shared" si="0"/>
        <v>0</v>
      </c>
      <c r="X18" s="27"/>
      <c r="Y18" s="27"/>
      <c r="Z18" s="2"/>
      <c r="AA18" s="2"/>
      <c r="AB18" s="36"/>
      <c r="AC18" s="35"/>
      <c r="AD18" s="36"/>
      <c r="AE18" s="36"/>
      <c r="AF18" s="36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x14ac:dyDescent="0.25">
      <c r="C19" s="10"/>
      <c r="D19" s="10"/>
      <c r="E19" s="11"/>
      <c r="F19" s="12"/>
      <c r="G19" s="10"/>
      <c r="H19" s="10"/>
      <c r="I19" s="10"/>
      <c r="J19" s="10"/>
      <c r="K19" s="10"/>
      <c r="L19" s="10"/>
      <c r="M19" s="29"/>
      <c r="N19" s="29"/>
      <c r="O19" s="2"/>
      <c r="P19" s="15" t="s">
        <v>77</v>
      </c>
      <c r="Q19" s="26" t="str">
        <f>_xlfn.IFNA(INDEX(Tabel1342323[ga_id],MATCH(S19,Tabel1342323[es_id],0)),"")</f>
        <v/>
      </c>
      <c r="R19" s="26" t="str">
        <f>_xlfn.IFNA(INDEX(Tabel1342323[brp_id],MATCH(S19,Tabel1342323[es_id],0)),"")</f>
        <v/>
      </c>
      <c r="S19" s="26" t="str">
        <f t="shared" si="3"/>
        <v/>
      </c>
      <c r="T19" s="19">
        <f t="shared" si="3"/>
        <v>0</v>
      </c>
      <c r="U19" s="19">
        <f>V19+U18</f>
        <v>0</v>
      </c>
      <c r="V19" s="19">
        <f>T19-W18</f>
        <v>0</v>
      </c>
      <c r="W19" s="23">
        <f t="shared" si="0"/>
        <v>0</v>
      </c>
      <c r="X19" s="27"/>
      <c r="Y19" s="27"/>
      <c r="Z19" s="2"/>
      <c r="AA19" s="2"/>
      <c r="AB19" s="36"/>
      <c r="AC19" s="36"/>
      <c r="AD19" s="36"/>
      <c r="AE19" s="36"/>
      <c r="AF19" s="36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ht="23.25" x14ac:dyDescent="0.35">
      <c r="E20" s="45" t="str">
        <f>CONCATENATE(B2,"_per_",B1)</f>
        <v>production_per_ga_brp_es</v>
      </c>
      <c r="F20" s="45"/>
      <c r="G20" s="45"/>
      <c r="H20" s="45"/>
      <c r="I20" s="46" t="s">
        <v>22</v>
      </c>
      <c r="J20" s="47"/>
      <c r="K20" s="48"/>
      <c r="P20" s="15" t="s">
        <v>78</v>
      </c>
      <c r="Q20" s="26" t="str">
        <f>_xlfn.IFNA(INDEX(Tabel1342323[ga_id],MATCH(S20,Tabel1342323[es_id],0)),"")</f>
        <v/>
      </c>
      <c r="R20" s="26" t="str">
        <f>_xlfn.IFNA(INDEX(Tabel1342323[brp_id],MATCH(S20,Tabel1342323[es_id],0)),"")</f>
        <v/>
      </c>
      <c r="S20" s="26" t="str">
        <f>S$17</f>
        <v/>
      </c>
      <c r="T20" s="19">
        <f>T$17</f>
        <v>0</v>
      </c>
      <c r="U20" s="19">
        <f>V20+U19</f>
        <v>0</v>
      </c>
      <c r="V20" s="19">
        <f>T20-W19</f>
        <v>0</v>
      </c>
      <c r="W20" s="23">
        <f t="shared" si="0"/>
        <v>0</v>
      </c>
      <c r="X20" s="27"/>
      <c r="Y20" s="27"/>
      <c r="Z20" s="2"/>
      <c r="AA20" s="2"/>
      <c r="AB20" s="36"/>
      <c r="AC20" s="36"/>
      <c r="AD20" s="36"/>
      <c r="AE20" s="36"/>
      <c r="AF20" s="36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ht="18.75" x14ac:dyDescent="0.3">
      <c r="B21" s="3" t="s">
        <v>25</v>
      </c>
      <c r="C21" s="3" t="s">
        <v>24</v>
      </c>
      <c r="D21" s="4" t="s">
        <v>21</v>
      </c>
      <c r="E21" s="4" t="s">
        <v>19</v>
      </c>
      <c r="F21" s="5" t="s">
        <v>0</v>
      </c>
      <c r="G21" s="5" t="s">
        <v>1</v>
      </c>
      <c r="H21" s="5" t="s">
        <v>2</v>
      </c>
      <c r="I21" s="6" t="s">
        <v>16</v>
      </c>
      <c r="J21" s="6" t="s">
        <v>15</v>
      </c>
      <c r="K21" s="7" t="s">
        <v>79</v>
      </c>
      <c r="L21" s="2"/>
      <c r="M21" s="2"/>
      <c r="N21" s="2"/>
      <c r="O21" s="2"/>
      <c r="P21" s="15" t="s">
        <v>75</v>
      </c>
      <c r="Q21" s="26" t="str">
        <f>_xlfn.IFNA(INDEX(Tabel1342323[ga_id],MATCH(S21,Tabel1342323[es_id],0)),"")</f>
        <v/>
      </c>
      <c r="R21" s="26" t="str">
        <f>_xlfn.IFNA(INDEX(Tabel1342323[brp_id],MATCH(S21,Tabel1342323[es_id],0)),"")</f>
        <v/>
      </c>
      <c r="S21" s="26" t="str">
        <f>IF(AC$5=0,"",AC$5)</f>
        <v/>
      </c>
      <c r="T21" s="20">
        <f>SUMIFS(Tabel1342323[quantity],Tabel1342323[es_id],S21,IF(B$2="production",Tabel1342323[type],Tabel1342323[settlement_method]),AE$2,Tabel1342323[resolution],"PT1H")/4</f>
        <v>0</v>
      </c>
      <c r="U21" s="19">
        <f>T21</f>
        <v>0</v>
      </c>
      <c r="V21" s="19"/>
      <c r="W21" s="23">
        <f t="shared" si="0"/>
        <v>0</v>
      </c>
      <c r="X21" s="27"/>
      <c r="Y21" s="27"/>
      <c r="Z21" s="2"/>
      <c r="AA21" s="2"/>
      <c r="AB21" s="36"/>
      <c r="AC21" s="35"/>
      <c r="AD21" s="35"/>
      <c r="AE21" s="36"/>
      <c r="AF21" s="36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x14ac:dyDescent="0.25">
      <c r="A22" s="2"/>
      <c r="B22" s="16" t="str">
        <f>IF(AND(F22&lt;&gt;"null",F22&lt;&gt;""),IF(F22=INDEX(Tabel1342323[es_id],MATCH("GLMP",Tabel1342323[note],0),1),"glmp",""),IF(AND(G22&lt;&gt;"null",G22&lt;&gt;""),IF(G22=INDEX(Tabel1342323[brp_id],MATCH("GLMP",Tabel1342323[note],0),1),"glmp",""),IF(E22=INDEX(Tabel1342323[ga_id],MATCH("GLMP",Tabel1342323[note],0),1),"glmp","")))</f>
        <v/>
      </c>
      <c r="C22" s="16" t="str">
        <f>IF(AND(F22&lt;&gt;"null",F22&lt;&gt;""),IF(F22=INDEX(Tabel1342323[es_id],MATCH("SKMP",Tabel1342323[note],0),1),"skmp",""),IF(AND(G22&lt;&gt;"null",G22&lt;&gt;""),IF(G22=INDEX(Tabel1342323[brp_id],MATCH("SKMP",Tabel1342323[note],0),1),"skmp",""),IF(E22=INDEX(Tabel1342323[ga_id],MATCH("SKMP",Tabel1342323[note],0),1),"skmp","")))</f>
        <v>skmp</v>
      </c>
      <c r="D22" s="15" t="s">
        <v>75</v>
      </c>
      <c r="E22" s="31" t="str">
        <f t="shared" ref="E22:E45" si="4">IF(B$1="ga",IF(AND(ROW()&gt;21,ROW()&lt;26),"800",""),IF(OR(B$1="ga_es",B$1="ga_brp_es"),IF(AND(ROW()&lt;22+(COUNTA(AC$2:AC$11)*4),ROW()&gt;21),$AF$2,""),IF(B$1="ga_brp",IF(AND(ROW()&lt;22+(COUNTA(AD$2:AD$11)*4),ROW()&gt;21),$AF$2,""))))</f>
        <v>800</v>
      </c>
      <c r="F22" s="31" t="str">
        <f>IF(B$1="ga",IF(E22="","","null"),IF(OR(B$1="ga_es",B$1="ga_brp_es"),IF(AC$2=0,"",AC$2),IF(B$1="ga_brp",IF(G22="","","null"))))</f>
        <v>1000000000000</v>
      </c>
      <c r="G22" s="31" t="str">
        <f>IF(B$1="ga",IF(E22="","","null"),IF(B$1="ga_es",IF(F22="","","null"),IF(B$1="ga_brp",IF(AD$2=0,"",AD$2),IF(F22="","",INDEX(Tabel1342323[brp_id],MATCH(F22,Tabel1342323[es_id],0),1)))))</f>
        <v>1100000000000</v>
      </c>
      <c r="H22" s="33" t="str">
        <f>SUBSTITUTE(IF(E22="","",I22+J22+K22),",",".")</f>
        <v>0</v>
      </c>
      <c r="I22" s="9">
        <f t="shared" ref="I22:I45" si="5">SUMIFS(W$9:W$32,IF(OR(B$1="ga_es",B$1="ga_brp_es"),S$9:S$32,IF(B$1="ga_brp",R$9:R$32,Q$9:Q$32)),IF(OR(B$1="ga_es",B$1="ga_brp_es"),F22,IF(B$1="ga_brp",G22,E22)),P$9:P$32,D22)</f>
        <v>0</v>
      </c>
      <c r="J22" s="9">
        <f>IF(D22="Quarter1",SUMIFS(Tabel1342323[quantity],IF(OR(B$1="ga_es",B$1="ga_brp_es"),Tabel1342323[es_id],IF(B$1="ga_brp",Tabel1342323[brp_id],Tabel1342323[ga_id])),IF(OR(B$1="ga_es",B$1="ga_brp_es"),F22,IF(B$1="ga_brp",G22,E22)),IF(B$2="production",Tabel1342323[type],Tabel1342323[settlement_method]),AE$2,Tabel1342323[resolution],"PT15M"),0)</f>
        <v>0</v>
      </c>
      <c r="K22" s="9">
        <f t="shared" ref="K22:K45" si="6">IF(AND(C22="skmp",B$2="production"),VLOOKUP(D22,D$78:H$81,5,FALSE),IF(AND(B22="glmp",B$2="flex_consumption"),VLOOKUP(D22,D$72:H$75,5,FALSE),0))</f>
        <v>0</v>
      </c>
      <c r="L22" s="2"/>
      <c r="M22" s="2"/>
      <c r="N22" s="2"/>
      <c r="O22" s="2"/>
      <c r="P22" s="15" t="s">
        <v>76</v>
      </c>
      <c r="Q22" s="26" t="str">
        <f>_xlfn.IFNA(INDEX(Tabel1342323[ga_id],MATCH(S22,Tabel1342323[es_id],0)),"")</f>
        <v/>
      </c>
      <c r="R22" s="26" t="str">
        <f>_xlfn.IFNA(INDEX(Tabel1342323[brp_id],MATCH(S22,Tabel1342323[es_id],0)),"")</f>
        <v/>
      </c>
      <c r="S22" s="26" t="str">
        <f t="shared" ref="S22:T24" si="7">S$21</f>
        <v/>
      </c>
      <c r="T22" s="19">
        <f t="shared" si="7"/>
        <v>0</v>
      </c>
      <c r="U22" s="19">
        <f>V22+U21</f>
        <v>0</v>
      </c>
      <c r="V22" s="19">
        <f>T22-W21</f>
        <v>0</v>
      </c>
      <c r="W22" s="23">
        <f t="shared" si="0"/>
        <v>0</v>
      </c>
      <c r="X22" s="27"/>
      <c r="Y22" s="27"/>
      <c r="Z22" s="2"/>
      <c r="AA22" s="2"/>
      <c r="AB22" s="36"/>
      <c r="AC22" s="35"/>
      <c r="AD22" s="35"/>
      <c r="AE22" s="36"/>
      <c r="AF22" s="36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x14ac:dyDescent="0.25">
      <c r="B23" s="16" t="str">
        <f>IF(AND(F23&lt;&gt;"null",F23&lt;&gt;""),IF(F23=INDEX(Tabel1342323[es_id],MATCH("GLMP",Tabel1342323[note],0),1),"glmp",""),IF(AND(G23&lt;&gt;"null",G23&lt;&gt;""),IF(G23=INDEX(Tabel1342323[brp_id],MATCH("GLMP",Tabel1342323[note],0),1),"glmp",""),IF(E23=INDEX(Tabel1342323[ga_id],MATCH("GLMP",Tabel1342323[note],0),1),"glmp","")))</f>
        <v/>
      </c>
      <c r="C23" s="16" t="str">
        <f>IF(AND(F23&lt;&gt;"null",F23&lt;&gt;""),IF(F23=INDEX(Tabel1342323[es_id],MATCH("SKMP",Tabel1342323[note],0),1),"skmp",""),IF(AND(G23&lt;&gt;"null",G23&lt;&gt;""),IF(G23=INDEX(Tabel1342323[brp_id],MATCH("SKMP",Tabel1342323[note],0),1),"skmp",""),IF(E23=INDEX(Tabel1342323[ga_id],MATCH("SKMP",Tabel1342323[note],0),1),"skmp","")))</f>
        <v>skmp</v>
      </c>
      <c r="D23" s="15" t="s">
        <v>76</v>
      </c>
      <c r="E23" s="31" t="str">
        <f t="shared" si="4"/>
        <v>800</v>
      </c>
      <c r="F23" s="31" t="str">
        <f>IF(B$1="ga",IF(E23="","","null"),IF(OR(B$1="ga_es",B$1="ga_brp_es"),IF(AC$2=0,"",AC$2),IF(B$1="ga_brp",IF(G23="","","null"))))</f>
        <v>1000000000000</v>
      </c>
      <c r="G23" s="31" t="str">
        <f>IF(B$1="ga",IF(E23="","","null"),IF(B$1="ga_es",IF(F23="","","null"),IF(B$1="ga_brp",IF(AD$2=0,"",AD$2),IF(F23="","",INDEX(Tabel1342323[brp_id],MATCH(F23,Tabel1342323[es_id],0),1)))))</f>
        <v>1100000000000</v>
      </c>
      <c r="H23" s="33" t="str">
        <f t="shared" ref="H23:H45" si="8">SUBSTITUTE(IF(E23="","",I23+J23+K23),",",".")</f>
        <v>0</v>
      </c>
      <c r="I23" s="9">
        <f t="shared" si="5"/>
        <v>0</v>
      </c>
      <c r="J23" s="9">
        <f>IF(D23="Quarter1",SUMIFS(Tabel1342323[quantity],IF(OR(B$1="ga_es",B$1="ga_brp_es"),Tabel1342323[es_id],IF(B$1="ga_brp",Tabel1342323[brp_id],Tabel1342323[ga_id])),IF(OR(B$1="ga_es",B$1="ga_brp_es"),F23,IF(B$1="ga_brp",G23,E23)),IF(B$2="production",Tabel1342323[type],Tabel1342323[settlement_method]),AE$2,Tabel1342323[resolution],"PT15M"),0)</f>
        <v>0</v>
      </c>
      <c r="K23" s="9">
        <f t="shared" si="6"/>
        <v>0</v>
      </c>
      <c r="L23" s="2"/>
      <c r="M23" s="2"/>
      <c r="N23" s="2"/>
      <c r="O23" s="2"/>
      <c r="P23" s="15" t="s">
        <v>77</v>
      </c>
      <c r="Q23" s="26" t="str">
        <f>_xlfn.IFNA(INDEX(Tabel1342323[ga_id],MATCH(S23,Tabel1342323[es_id],0)),"")</f>
        <v/>
      </c>
      <c r="R23" s="26" t="str">
        <f>_xlfn.IFNA(INDEX(Tabel1342323[brp_id],MATCH(S23,Tabel1342323[es_id],0)),"")</f>
        <v/>
      </c>
      <c r="S23" s="26" t="str">
        <f t="shared" si="7"/>
        <v/>
      </c>
      <c r="T23" s="19">
        <f t="shared" si="7"/>
        <v>0</v>
      </c>
      <c r="U23" s="19">
        <f>V23+U22</f>
        <v>0</v>
      </c>
      <c r="V23" s="19">
        <f>T23-W22</f>
        <v>0</v>
      </c>
      <c r="W23" s="23">
        <f t="shared" si="0"/>
        <v>0</v>
      </c>
      <c r="X23" s="27" t="str" cm="1">
        <f t="array" ref="X23">_xlfn._xlws.SORT(_xlfn.UNIQUE(IFERROR(INDEX(_xlfn._xlws.FILTER(Tabel1342323[[type]:[brp_id]],(Tabel1342323[es_id]=AC6)*(Tabel1342323[settlement_method]="D01"),""),,6),"")))</f>
        <v/>
      </c>
      <c r="Y23" s="27"/>
      <c r="Z23" s="2"/>
      <c r="AA23" s="2"/>
      <c r="AB23" s="36"/>
      <c r="AC23" s="35"/>
      <c r="AD23" s="35"/>
      <c r="AE23" s="36"/>
      <c r="AF23" s="36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x14ac:dyDescent="0.25">
      <c r="B24" s="16" t="str">
        <f>IF(AND(F24&lt;&gt;"null",F24&lt;&gt;""),IF(F24=INDEX(Tabel1342323[es_id],MATCH("GLMP",Tabel1342323[note],0),1),"glmp",""),IF(AND(G24&lt;&gt;"null",G24&lt;&gt;""),IF(G24=INDEX(Tabel1342323[brp_id],MATCH("GLMP",Tabel1342323[note],0),1),"glmp",""),IF(E24=INDEX(Tabel1342323[ga_id],MATCH("GLMP",Tabel1342323[note],0),1),"glmp","")))</f>
        <v/>
      </c>
      <c r="C24" s="16" t="str">
        <f>IF(AND(F24&lt;&gt;"null",F24&lt;&gt;""),IF(F24=INDEX(Tabel1342323[es_id],MATCH("SKMP",Tabel1342323[note],0),1),"skmp",""),IF(AND(G24&lt;&gt;"null",G24&lt;&gt;""),IF(G24=INDEX(Tabel1342323[brp_id],MATCH("SKMP",Tabel1342323[note],0),1),"skmp",""),IF(E24=INDEX(Tabel1342323[ga_id],MATCH("SKMP",Tabel1342323[note],0),1),"skmp","")))</f>
        <v>skmp</v>
      </c>
      <c r="D24" s="15" t="s">
        <v>77</v>
      </c>
      <c r="E24" s="31" t="str">
        <f t="shared" si="4"/>
        <v>800</v>
      </c>
      <c r="F24" s="31" t="str">
        <f>IF(B$1="ga",IF(E24="","","null"),IF(OR(B$1="ga_es",B$1="ga_brp_es"),IF(AC$2=0,"",AC$2),IF(B$1="ga_brp",IF(G24="","","null"))))</f>
        <v>1000000000000</v>
      </c>
      <c r="G24" s="31" t="str">
        <f>IF(B$1="ga",IF(E24="","","null"),IF(B$1="ga_es",IF(F24="","","null"),IF(B$1="ga_brp",IF(AD$2=0,"",AD$2),IF(F24="","",INDEX(Tabel1342323[brp_id],MATCH(F24,Tabel1342323[es_id],0),1)))))</f>
        <v>1100000000000</v>
      </c>
      <c r="H24" s="33" t="str">
        <f t="shared" si="8"/>
        <v>0</v>
      </c>
      <c r="I24" s="9">
        <f t="shared" si="5"/>
        <v>0</v>
      </c>
      <c r="J24" s="9">
        <f>IF(D24="Quarter1",SUMIFS(Tabel1342323[quantity],IF(OR(B$1="ga_es",B$1="ga_brp_es"),Tabel1342323[es_id],IF(B$1="ga_brp",Tabel1342323[brp_id],Tabel1342323[ga_id])),IF(OR(B$1="ga_es",B$1="ga_brp_es"),F24,IF(B$1="ga_brp",G24,E24)),IF(B$2="production",Tabel1342323[type],Tabel1342323[settlement_method]),AE$2,Tabel1342323[resolution],"PT15M"),0)</f>
        <v>0</v>
      </c>
      <c r="K24" s="9">
        <f t="shared" si="6"/>
        <v>0</v>
      </c>
      <c r="L24" s="2"/>
      <c r="M24" s="2"/>
      <c r="N24" s="2"/>
      <c r="O24" s="2"/>
      <c r="P24" s="15" t="s">
        <v>78</v>
      </c>
      <c r="Q24" s="26" t="str">
        <f>_xlfn.IFNA(INDEX(Tabel1342323[ga_id],MATCH(S24,Tabel1342323[es_id],0)),"")</f>
        <v/>
      </c>
      <c r="R24" s="26" t="str">
        <f>_xlfn.IFNA(INDEX(Tabel1342323[brp_id],MATCH(S24,Tabel1342323[es_id],0)),"")</f>
        <v/>
      </c>
      <c r="S24" s="26" t="str">
        <f t="shared" si="7"/>
        <v/>
      </c>
      <c r="T24" s="19">
        <f t="shared" si="7"/>
        <v>0</v>
      </c>
      <c r="U24" s="19">
        <f>V24+U23</f>
        <v>0</v>
      </c>
      <c r="V24" s="19">
        <f>T24-W23</f>
        <v>0</v>
      </c>
      <c r="W24" s="23">
        <f t="shared" si="0"/>
        <v>0</v>
      </c>
      <c r="X24" s="27" t="str" cm="1">
        <f t="array" ref="X24">_xlfn._xlws.SORT(_xlfn.UNIQUE(IFERROR(INDEX(_xlfn._xlws.FILTER(Tabel1342323[[type]:[brp_id]],(Tabel1342323[es_id]=AC7)*(Tabel1342323[settlement_method]="D01"),""),,6),"")))</f>
        <v/>
      </c>
      <c r="Y24" s="27"/>
      <c r="Z24" s="2"/>
      <c r="AA24" s="2"/>
      <c r="AB24" s="36"/>
      <c r="AC24" s="35"/>
      <c r="AD24" s="35"/>
      <c r="AE24" s="36"/>
      <c r="AF24" s="36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x14ac:dyDescent="0.25">
      <c r="B25" s="16" t="str">
        <f>IF(AND(F25&lt;&gt;"null",F25&lt;&gt;""),IF(F25=INDEX(Tabel1342323[es_id],MATCH("GLMP",Tabel1342323[note],0),1),"glmp",""),IF(AND(G25&lt;&gt;"null",G25&lt;&gt;""),IF(G25=INDEX(Tabel1342323[brp_id],MATCH("GLMP",Tabel1342323[note],0),1),"glmp",""),IF(E25=INDEX(Tabel1342323[ga_id],MATCH("GLMP",Tabel1342323[note],0),1),"glmp","")))</f>
        <v/>
      </c>
      <c r="C25" s="16" t="str">
        <f>IF(AND(F25&lt;&gt;"null",F25&lt;&gt;""),IF(F25=INDEX(Tabel1342323[es_id],MATCH("SKMP",Tabel1342323[note],0),1),"skmp",""),IF(AND(G25&lt;&gt;"null",G25&lt;&gt;""),IF(G25=INDEX(Tabel1342323[brp_id],MATCH("SKMP",Tabel1342323[note],0),1),"skmp",""),IF(E25=INDEX(Tabel1342323[ga_id],MATCH("SKMP",Tabel1342323[note],0),1),"skmp","")))</f>
        <v>skmp</v>
      </c>
      <c r="D25" s="15" t="s">
        <v>78</v>
      </c>
      <c r="E25" s="31" t="str">
        <f t="shared" si="4"/>
        <v>800</v>
      </c>
      <c r="F25" s="31" t="str">
        <f>IF(B$1="ga",IF(E25="","","null"),IF(OR(B$1="ga_es",B$1="ga_brp_es"),IF(AC$2=0,"",AC$2),IF(B$1="ga_brp",IF(G25="","","null"))))</f>
        <v>1000000000000</v>
      </c>
      <c r="G25" s="31" t="str">
        <f>IF(B$1="ga",IF(E25="","","null"),IF(B$1="ga_es",IF(F25="","","null"),IF(B$1="ga_brp",IF(AD$2=0,"",AD$2),IF(F25="","",INDEX(Tabel1342323[brp_id],MATCH(F25,Tabel1342323[es_id],0),1)))))</f>
        <v>1100000000000</v>
      </c>
      <c r="H25" s="33" t="str">
        <f t="shared" si="8"/>
        <v>0</v>
      </c>
      <c r="I25" s="9">
        <f t="shared" si="5"/>
        <v>0</v>
      </c>
      <c r="J25" s="9">
        <f>IF(D25="Quarter1",SUMIFS(Tabel1342323[quantity],IF(OR(B$1="ga_es",B$1="ga_brp_es"),Tabel1342323[es_id],IF(B$1="ga_brp",Tabel1342323[brp_id],Tabel1342323[ga_id])),IF(OR(B$1="ga_es",B$1="ga_brp_es"),F25,IF(B$1="ga_brp",G25,E25)),IF(B$2="production",Tabel1342323[type],Tabel1342323[settlement_method]),AE$2,Tabel1342323[resolution],"PT15M"),0)</f>
        <v>0</v>
      </c>
      <c r="K25" s="9">
        <f t="shared" si="6"/>
        <v>0</v>
      </c>
      <c r="L25" s="2"/>
      <c r="M25" s="2"/>
      <c r="N25" s="2"/>
      <c r="O25" s="2"/>
      <c r="P25" s="15" t="s">
        <v>75</v>
      </c>
      <c r="Q25" s="26" t="str">
        <f>_xlfn.IFNA(INDEX(Tabel1342323[ga_id],MATCH(S25,Tabel1342323[es_id],0)),"")</f>
        <v/>
      </c>
      <c r="R25" s="26" t="str">
        <f>_xlfn.IFNA(INDEX(Tabel1342323[brp_id],MATCH(S25,Tabel1342323[es_id],0)),"")</f>
        <v/>
      </c>
      <c r="S25" s="26" t="str">
        <f>IF(AC$6=0,"",AC$6)</f>
        <v/>
      </c>
      <c r="T25" s="20">
        <f>SUMIFS(Tabel1342323[quantity],Tabel1342323[es_id],S25,IF(B$2="production",Tabel1342323[type],Tabel1342323[settlement_method]),AE$2,Tabel1342323[resolution],"PT1H")/4</f>
        <v>0</v>
      </c>
      <c r="U25" s="19">
        <f>T25</f>
        <v>0</v>
      </c>
      <c r="V25" s="19"/>
      <c r="W25" s="23">
        <f t="shared" si="0"/>
        <v>0</v>
      </c>
      <c r="X25" s="24"/>
      <c r="Y25" s="27"/>
      <c r="Z25" s="2"/>
      <c r="AA25" s="2"/>
      <c r="AB25" s="36"/>
      <c r="AC25" s="35"/>
      <c r="AD25" s="35"/>
      <c r="AE25" s="36"/>
      <c r="AF25" s="36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x14ac:dyDescent="0.25">
      <c r="B26" s="16" t="str">
        <f>IF(AND(F26&lt;&gt;"null",F26&lt;&gt;""),IF(F26=INDEX(Tabel1342323[es_id],MATCH("GLMP",Tabel1342323[note],0),1),"glmp",""),IF(AND(G26&lt;&gt;"null",G26&lt;&gt;""),IF(G26=INDEX(Tabel1342323[brp_id],MATCH("GLMP",Tabel1342323[note],0),1),"glmp",""),IF(E26=INDEX(Tabel1342323[ga_id],MATCH("GLMP",Tabel1342323[note],0),1),"glmp","")))</f>
        <v/>
      </c>
      <c r="C26" s="16" t="str">
        <f>IF(AND(F26&lt;&gt;"null",F26&lt;&gt;""),IF(F26=INDEX(Tabel1342323[es_id],MATCH("SKMP",Tabel1342323[note],0),1),"skmp",""),IF(AND(G26&lt;&gt;"null",G26&lt;&gt;""),IF(G26=INDEX(Tabel1342323[brp_id],MATCH("SKMP",Tabel1342323[note],0),1),"skmp",""),IF(E26=INDEX(Tabel1342323[ga_id],MATCH("SKMP",Tabel1342323[note],0),1),"skmp","")))</f>
        <v/>
      </c>
      <c r="D26" s="15" t="s">
        <v>75</v>
      </c>
      <c r="E26" s="31" t="str">
        <f t="shared" si="4"/>
        <v/>
      </c>
      <c r="F26" s="31" t="str">
        <f>IF(B$1="ga",IF(E26="","","null"),IF(OR(B$1="ga_es",B$1="ga_brp_es"),IF(AC$3=0,"",AC$3),IF(B$1="ga_brp",IF(G26="","","null"))))</f>
        <v/>
      </c>
      <c r="G26" s="31" t="str">
        <f>IF(B$1="ga",IF(E26="","","null"),IF(B$1="ga_es",IF(F26="","","null"),IF(B$1="ga_brp",IF(AD$3=0,"",AD$3),IF(F26="","",INDEX(Tabel1342323[brp_id],MATCH(F26,Tabel1342323[es_id],0),1)))))</f>
        <v/>
      </c>
      <c r="H26" s="33" t="str">
        <f t="shared" si="8"/>
        <v/>
      </c>
      <c r="I26" s="9">
        <f t="shared" si="5"/>
        <v>0</v>
      </c>
      <c r="J26" s="9">
        <f>IF(D26="Quarter1",SUMIFS(Tabel1342323[quantity],IF(OR(B$1="ga_es",B$1="ga_brp_es"),Tabel1342323[es_id],IF(B$1="ga_brp",Tabel1342323[brp_id],Tabel1342323[ga_id])),IF(OR(B$1="ga_es",B$1="ga_brp_es"),F26,IF(B$1="ga_brp",G26,E26)),IF(B$2="production",Tabel1342323[type],Tabel1342323[settlement_method]),AE$2,Tabel1342323[resolution],"PT15M"),0)</f>
        <v>0</v>
      </c>
      <c r="K26" s="9">
        <f t="shared" si="6"/>
        <v>0</v>
      </c>
      <c r="L26" s="2"/>
      <c r="M26" s="2"/>
      <c r="N26" s="2"/>
      <c r="O26" s="2"/>
      <c r="P26" s="15" t="s">
        <v>76</v>
      </c>
      <c r="Q26" s="26" t="str">
        <f>_xlfn.IFNA(INDEX(Tabel1342323[ga_id],MATCH(S26,Tabel1342323[es_id],0)),"")</f>
        <v/>
      </c>
      <c r="R26" s="26" t="str">
        <f>_xlfn.IFNA(INDEX(Tabel1342323[brp_id],MATCH(S26,Tabel1342323[es_id],0)),"")</f>
        <v/>
      </c>
      <c r="S26" s="26" t="str">
        <f t="shared" ref="S26:T28" si="9">S$25</f>
        <v/>
      </c>
      <c r="T26" s="19">
        <f t="shared" si="9"/>
        <v>0</v>
      </c>
      <c r="U26" s="19">
        <f>V26+U25</f>
        <v>0</v>
      </c>
      <c r="V26" s="19">
        <f>T26-W25</f>
        <v>0</v>
      </c>
      <c r="W26" s="23">
        <f t="shared" si="0"/>
        <v>0</v>
      </c>
      <c r="X26" s="24"/>
      <c r="Y26" s="27"/>
      <c r="Z26" s="2"/>
      <c r="AA26" s="2"/>
      <c r="AB26" s="36"/>
      <c r="AC26" s="35"/>
      <c r="AD26" s="35"/>
      <c r="AE26" s="36"/>
      <c r="AF26" s="36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x14ac:dyDescent="0.25">
      <c r="B27" s="16" t="str">
        <f>IF(AND(F27&lt;&gt;"null",F27&lt;&gt;""),IF(F27=INDEX(Tabel1342323[es_id],MATCH("GLMP",Tabel1342323[note],0),1),"glmp",""),IF(AND(G27&lt;&gt;"null",G27&lt;&gt;""),IF(G27=INDEX(Tabel1342323[brp_id],MATCH("GLMP",Tabel1342323[note],0),1),"glmp",""),IF(E27=INDEX(Tabel1342323[ga_id],MATCH("GLMP",Tabel1342323[note],0),1),"glmp","")))</f>
        <v/>
      </c>
      <c r="C27" s="16" t="str">
        <f>IF(AND(F27&lt;&gt;"null",F27&lt;&gt;""),IF(F27=INDEX(Tabel1342323[es_id],MATCH("SKMP",Tabel1342323[note],0),1),"skmp",""),IF(AND(G27&lt;&gt;"null",G27&lt;&gt;""),IF(G27=INDEX(Tabel1342323[brp_id],MATCH("SKMP",Tabel1342323[note],0),1),"skmp",""),IF(E27=INDEX(Tabel1342323[ga_id],MATCH("SKMP",Tabel1342323[note],0),1),"skmp","")))</f>
        <v/>
      </c>
      <c r="D27" s="15" t="s">
        <v>76</v>
      </c>
      <c r="E27" s="31" t="str">
        <f t="shared" si="4"/>
        <v/>
      </c>
      <c r="F27" s="31" t="str">
        <f>IF(B$1="ga",IF(E27="","","null"),IF(OR(B$1="ga_es",B$1="ga_brp_es"),IF(AC$3=0,"",AC$3),IF(B$1="ga_brp",IF(G27="","","null"))))</f>
        <v/>
      </c>
      <c r="G27" s="31" t="str">
        <f>IF(B$1="ga",IF(E27="","","null"),IF(B$1="ga_es",IF(F27="","","null"),IF(B$1="ga_brp",IF(AD$3=0,"",AD$3),IF(F27="","",INDEX(Tabel1342323[brp_id],MATCH(F27,Tabel1342323[es_id],0),1)))))</f>
        <v/>
      </c>
      <c r="H27" s="33" t="str">
        <f t="shared" si="8"/>
        <v/>
      </c>
      <c r="I27" s="9">
        <f t="shared" si="5"/>
        <v>0</v>
      </c>
      <c r="J27" s="9">
        <f>IF(D27="Quarter1",SUMIFS(Tabel1342323[quantity],IF(OR(B$1="ga_es",B$1="ga_brp_es"),Tabel1342323[es_id],IF(B$1="ga_brp",Tabel1342323[brp_id],Tabel1342323[ga_id])),IF(OR(B$1="ga_es",B$1="ga_brp_es"),F27,IF(B$1="ga_brp",G27,E27)),IF(B$2="production",Tabel1342323[type],Tabel1342323[settlement_method]),AE$2,Tabel1342323[resolution],"PT15M"),0)</f>
        <v>0</v>
      </c>
      <c r="K27" s="9">
        <f t="shared" si="6"/>
        <v>0</v>
      </c>
      <c r="L27" s="2"/>
      <c r="M27" s="2"/>
      <c r="N27" s="2"/>
      <c r="O27" s="2"/>
      <c r="P27" s="15" t="s">
        <v>77</v>
      </c>
      <c r="Q27" s="26" t="str">
        <f>_xlfn.IFNA(INDEX(Tabel1342323[ga_id],MATCH(S27,Tabel1342323[es_id],0)),"")</f>
        <v/>
      </c>
      <c r="R27" s="26" t="str">
        <f>_xlfn.IFNA(INDEX(Tabel1342323[brp_id],MATCH(S27,Tabel1342323[es_id],0)),"")</f>
        <v/>
      </c>
      <c r="S27" s="26" t="str">
        <f t="shared" si="9"/>
        <v/>
      </c>
      <c r="T27" s="19">
        <f t="shared" si="9"/>
        <v>0</v>
      </c>
      <c r="U27" s="19">
        <f>V27+U26</f>
        <v>0</v>
      </c>
      <c r="V27" s="19">
        <f>T27-W26</f>
        <v>0</v>
      </c>
      <c r="W27" s="23">
        <f t="shared" si="0"/>
        <v>0</v>
      </c>
      <c r="X27" s="24"/>
      <c r="Y27" s="27"/>
      <c r="Z27" s="2"/>
      <c r="AA27" s="2"/>
      <c r="AB27" s="36"/>
      <c r="AC27" s="36" t="str">
        <f>_xlfn.CONCAT("Energy suppliers for "&amp;B2)</f>
        <v>Energy suppliers for production</v>
      </c>
      <c r="AD27" s="36" t="str">
        <f>_xlfn.CONCAT("Balance responsibles for "&amp;B2)</f>
        <v>Balance responsibles for production</v>
      </c>
      <c r="AE27" s="36"/>
      <c r="AF27" s="36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x14ac:dyDescent="0.25">
      <c r="B28" s="16" t="str">
        <f>IF(AND(F28&lt;&gt;"null",F28&lt;&gt;""),IF(F28=INDEX(Tabel1342323[es_id],MATCH("GLMP",Tabel1342323[note],0),1),"glmp",""),IF(AND(G28&lt;&gt;"null",G28&lt;&gt;""),IF(G28=INDEX(Tabel1342323[brp_id],MATCH("GLMP",Tabel1342323[note],0),1),"glmp",""),IF(E28=INDEX(Tabel1342323[ga_id],MATCH("GLMP",Tabel1342323[note],0),1),"glmp","")))</f>
        <v/>
      </c>
      <c r="C28" s="16" t="str">
        <f>IF(AND(F28&lt;&gt;"null",F28&lt;&gt;""),IF(F28=INDEX(Tabel1342323[es_id],MATCH("SKMP",Tabel1342323[note],0),1),"skmp",""),IF(AND(G28&lt;&gt;"null",G28&lt;&gt;""),IF(G28=INDEX(Tabel1342323[brp_id],MATCH("SKMP",Tabel1342323[note],0),1),"skmp",""),IF(E28=INDEX(Tabel1342323[ga_id],MATCH("SKMP",Tabel1342323[note],0),1),"skmp","")))</f>
        <v/>
      </c>
      <c r="D28" s="15" t="s">
        <v>77</v>
      </c>
      <c r="E28" s="31" t="str">
        <f t="shared" si="4"/>
        <v/>
      </c>
      <c r="F28" s="31" t="str">
        <f>IF(B$1="ga",IF(E28="","","null"),IF(OR(B$1="ga_es",B$1="ga_brp_es"),IF(AC$3=0,"",AC$3),IF(B$1="ga_brp",IF(G28="","","null"))))</f>
        <v/>
      </c>
      <c r="G28" s="31" t="str">
        <f>IF(B$1="ga",IF(E28="","","null"),IF(B$1="ga_es",IF(F28="","","null"),IF(B$1="ga_brp",IF(AD$3=0,"",AD$3),IF(F28="","",INDEX(Tabel1342323[brp_id],MATCH(F28,Tabel1342323[es_id],0),1)))))</f>
        <v/>
      </c>
      <c r="H28" s="33" t="str">
        <f t="shared" si="8"/>
        <v/>
      </c>
      <c r="I28" s="9">
        <f t="shared" si="5"/>
        <v>0</v>
      </c>
      <c r="J28" s="9">
        <f>IF(D28="Quarter1",SUMIFS(Tabel1342323[quantity],IF(OR(B$1="ga_es",B$1="ga_brp_es"),Tabel1342323[es_id],IF(B$1="ga_brp",Tabel1342323[brp_id],Tabel1342323[ga_id])),IF(OR(B$1="ga_es",B$1="ga_brp_es"),F28,IF(B$1="ga_brp",G28,E28)),IF(B$2="production",Tabel1342323[type],Tabel1342323[settlement_method]),AE$2,Tabel1342323[resolution],"PT15M"),0)</f>
        <v>0</v>
      </c>
      <c r="K28" s="9">
        <f t="shared" si="6"/>
        <v>0</v>
      </c>
      <c r="L28" s="2"/>
      <c r="M28" s="2"/>
      <c r="N28" s="2"/>
      <c r="O28" s="2"/>
      <c r="P28" s="15" t="s">
        <v>78</v>
      </c>
      <c r="Q28" s="26" t="str">
        <f>_xlfn.IFNA(INDEX(Tabel1342323[ga_id],MATCH(S28,Tabel1342323[es_id],0)),"")</f>
        <v/>
      </c>
      <c r="R28" s="26" t="str">
        <f>_xlfn.IFNA(INDEX(Tabel1342323[brp_id],MATCH(S28,Tabel1342323[es_id],0)),"")</f>
        <v/>
      </c>
      <c r="S28" s="26" t="str">
        <f t="shared" si="9"/>
        <v/>
      </c>
      <c r="T28" s="19">
        <f t="shared" si="9"/>
        <v>0</v>
      </c>
      <c r="U28" s="19">
        <f>V28+U27</f>
        <v>0</v>
      </c>
      <c r="V28" s="19">
        <f>T28-W27</f>
        <v>0</v>
      </c>
      <c r="W28" s="23">
        <f t="shared" si="0"/>
        <v>0</v>
      </c>
      <c r="X28" s="24"/>
      <c r="Y28" s="27"/>
      <c r="Z28" s="2"/>
      <c r="AA28" s="2"/>
      <c r="AB28" s="36"/>
      <c r="AC28" s="36" t="str" cm="1">
        <f t="array" ref="AC28">IFERROR(IF($B$2="production",INDEX(_xlfn._xlws.FILTER(Tabel1342323[[type]:[brp_id]],(Tabel1342323[es_id]=AC13)*(Tabel1342323[type]="E18"),""),,6),INDEX(_xlfn._xlws.FILTER(Tabel1342323[[type]:[brp_id]],(Tabel1342323[es_id]=AC13)*(Tabel1342323[settlement_method]=AE$2),""),,6)),"")</f>
        <v>1000000000000</v>
      </c>
      <c r="AD28" s="36" t="str" cm="1">
        <f t="array" ref="AD28">IFERROR(IF($B$2="production",INDEX(_xlfn._xlws.FILTER(Tabel1342323[[type]:[brp_id]],(Tabel1342323[brp_id]=AD13)*(Tabel1342323[type]=$AE$2),""),,7),INDEX(_xlfn._xlws.FILTER(Tabel1342323[[type]:[brp_id]],(Tabel1342323[brp_id]=AD13)*(Tabel1342323[settlement_method]=AE$2),""),,7)),"")</f>
        <v>1100000000000</v>
      </c>
      <c r="AE28" s="36"/>
      <c r="AF28" s="36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x14ac:dyDescent="0.25">
      <c r="B29" s="16" t="str">
        <f>IF(AND(F29&lt;&gt;"null",F29&lt;&gt;""),IF(F29=INDEX(Tabel1342323[es_id],MATCH("GLMP",Tabel1342323[note],0),1),"glmp",""),IF(AND(G29&lt;&gt;"null",G29&lt;&gt;""),IF(G29=INDEX(Tabel1342323[brp_id],MATCH("GLMP",Tabel1342323[note],0),1),"glmp",""),IF(E29=INDEX(Tabel1342323[ga_id],MATCH("GLMP",Tabel1342323[note],0),1),"glmp","")))</f>
        <v/>
      </c>
      <c r="C29" s="16" t="str">
        <f>IF(AND(F29&lt;&gt;"null",F29&lt;&gt;""),IF(F29=INDEX(Tabel1342323[es_id],MATCH("SKMP",Tabel1342323[note],0),1),"skmp",""),IF(AND(G29&lt;&gt;"null",G29&lt;&gt;""),IF(G29=INDEX(Tabel1342323[brp_id],MATCH("SKMP",Tabel1342323[note],0),1),"skmp",""),IF(E29=INDEX(Tabel1342323[ga_id],MATCH("SKMP",Tabel1342323[note],0),1),"skmp","")))</f>
        <v/>
      </c>
      <c r="D29" s="15" t="s">
        <v>78</v>
      </c>
      <c r="E29" s="31" t="str">
        <f t="shared" si="4"/>
        <v/>
      </c>
      <c r="F29" s="31" t="str">
        <f>IF(B$1="ga",IF(E29="","","null"),IF(OR(B$1="ga_es",B$1="ga_brp_es"),IF(AC$3=0,"",AC$3),IF(B$1="ga_brp",IF(G29="","","null"))))</f>
        <v/>
      </c>
      <c r="G29" s="31" t="str">
        <f>IF(B$1="ga",IF(E29="","","null"),IF(B$1="ga_es",IF(F29="","","null"),IF(B$1="ga_brp",IF(AD$3=0,"",AD$3),IF(F29="","",INDEX(Tabel1342323[brp_id],MATCH(F29,Tabel1342323[es_id],0),1)))))</f>
        <v/>
      </c>
      <c r="H29" s="33" t="str">
        <f t="shared" si="8"/>
        <v/>
      </c>
      <c r="I29" s="9">
        <f t="shared" si="5"/>
        <v>0</v>
      </c>
      <c r="J29" s="9">
        <f>IF(D29="Quarter1",SUMIFS(Tabel1342323[quantity],IF(OR(B$1="ga_es",B$1="ga_brp_es"),Tabel1342323[es_id],IF(B$1="ga_brp",Tabel1342323[brp_id],Tabel1342323[ga_id])),IF(OR(B$1="ga_es",B$1="ga_brp_es"),F29,IF(B$1="ga_brp",G29,E29)),IF(B$2="production",Tabel1342323[type],Tabel1342323[settlement_method]),AE$2,Tabel1342323[resolution],"PT15M"),0)</f>
        <v>0</v>
      </c>
      <c r="K29" s="9">
        <f t="shared" si="6"/>
        <v>0</v>
      </c>
      <c r="L29" s="2"/>
      <c r="P29" s="15" t="s">
        <v>75</v>
      </c>
      <c r="Q29" s="26" t="str">
        <f>_xlfn.IFNA(INDEX(Tabel1342323[ga_id],MATCH(S29,Tabel1342323[es_id],0)),"")</f>
        <v/>
      </c>
      <c r="R29" s="26" t="str">
        <f>_xlfn.IFNA(INDEX(Tabel1342323[brp_id],MATCH(S29,Tabel1342323[es_id],0)),"")</f>
        <v/>
      </c>
      <c r="S29" s="26" t="str">
        <f>IF(AC$7=0,"",AC$7)</f>
        <v/>
      </c>
      <c r="T29" s="20">
        <f>SUMIFS(Tabel1342323[quantity],Tabel1342323[es_id],S29,IF(B$2="production",Tabel1342323[type],Tabel1342323[settlement_method]),AE$2,Tabel1342323[resolution],"PT1H")/4</f>
        <v>0</v>
      </c>
      <c r="U29" s="19">
        <f>T29</f>
        <v>0</v>
      </c>
      <c r="V29" s="19"/>
      <c r="W29" s="23">
        <f t="shared" si="0"/>
        <v>0</v>
      </c>
      <c r="X29" s="24"/>
      <c r="Y29" s="27"/>
      <c r="Z29" s="2"/>
      <c r="AA29" s="2"/>
      <c r="AB29" s="36"/>
      <c r="AC29" s="36" t="str" cm="1">
        <f t="array" ref="AC29">IFERROR(IF($B$2="production",INDEX(_xlfn._xlws.FILTER(Tabel1342323[[type]:[brp_id]],(Tabel1342323[es_id]=AC14)*(Tabel1342323[type]="E18"),""),,6),INDEX(_xlfn._xlws.FILTER(Tabel1342323[[type]:[brp_id]],(Tabel1342323[es_id]=AC14)*(Tabel1342323[settlement_method]=AE$2),""),,6)),"")</f>
        <v/>
      </c>
      <c r="AD29" s="36" t="str" cm="1">
        <f t="array" ref="AD29">IFERROR(IF($B$2="production",INDEX(_xlfn._xlws.FILTER(Tabel1342323[[type]:[brp_id]],(Tabel1342323[brp_id]=AD14)*(Tabel1342323[type]=$AE$2),""),,7),INDEX(_xlfn._xlws.FILTER(Tabel1342323[[type]:[brp_id]],(Tabel1342323[brp_id]=AD14)*(Tabel1342323[settlement_method]=AE$2),""),,7)),"")</f>
        <v/>
      </c>
      <c r="AE29" s="36"/>
      <c r="AF29" s="36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x14ac:dyDescent="0.25">
      <c r="B30" s="16" t="str">
        <f>IF(AND(F30&lt;&gt;"null",F30&lt;&gt;""),IF(F30=INDEX(Tabel1342323[es_id],MATCH("GLMP",Tabel1342323[note],0),1),"glmp",""),IF(AND(G30&lt;&gt;"null",G30&lt;&gt;""),IF(G30=INDEX(Tabel1342323[brp_id],MATCH("GLMP",Tabel1342323[note],0),1),"glmp",""),IF(E30=INDEX(Tabel1342323[ga_id],MATCH("GLMP",Tabel1342323[note],0),1),"glmp","")))</f>
        <v/>
      </c>
      <c r="C30" s="16" t="str">
        <f>IF(AND(F30&lt;&gt;"null",F30&lt;&gt;""),IF(F30=INDEX(Tabel1342323[es_id],MATCH("SKMP",Tabel1342323[note],0),1),"skmp",""),IF(AND(G30&lt;&gt;"null",G30&lt;&gt;""),IF(G30=INDEX(Tabel1342323[brp_id],MATCH("SKMP",Tabel1342323[note],0),1),"skmp",""),IF(E30=INDEX(Tabel1342323[ga_id],MATCH("SKMP",Tabel1342323[note],0),1),"skmp","")))</f>
        <v/>
      </c>
      <c r="D30" s="15" t="s">
        <v>75</v>
      </c>
      <c r="E30" s="31" t="str">
        <f t="shared" si="4"/>
        <v/>
      </c>
      <c r="F30" s="31" t="str">
        <f>IF(B$1="ga",IF(E30="","","null"),IF(OR(B$1="ga_es",B$1="ga_brp_es"),IF(AC$4=0,"",AC$4),IF(B$1="ga_brp",IF(G30="","","null"))))</f>
        <v/>
      </c>
      <c r="G30" s="31" t="str">
        <f>IF(B$1="ga",IF(E30="","","null"),IF(B$1="ga_es",IF(F30="","","null"),IF(B$1="ga_brp",IF(AD$4=0,"",AD$4),IF(F30="","",INDEX(Tabel1342323[brp_id],MATCH(F30,Tabel1342323[es_id],0),1)))))</f>
        <v/>
      </c>
      <c r="H30" s="33" t="str">
        <f t="shared" si="8"/>
        <v/>
      </c>
      <c r="I30" s="9">
        <f t="shared" si="5"/>
        <v>0</v>
      </c>
      <c r="J30" s="9">
        <f>IF(D30="Quarter1",SUMIFS(Tabel1342323[quantity],IF(OR(B$1="ga_es",B$1="ga_brp_es"),Tabel1342323[es_id],IF(B$1="ga_brp",Tabel1342323[brp_id],Tabel1342323[ga_id])),IF(OR(B$1="ga_es",B$1="ga_brp_es"),F30,IF(B$1="ga_brp",G30,E30)),IF(B$2="production",Tabel1342323[type],Tabel1342323[settlement_method]),AE$2,Tabel1342323[resolution],"PT15M"),0)</f>
        <v>0</v>
      </c>
      <c r="K30" s="9">
        <f t="shared" si="6"/>
        <v>0</v>
      </c>
      <c r="L30" s="2"/>
      <c r="P30" s="15" t="s">
        <v>76</v>
      </c>
      <c r="Q30" s="26" t="str">
        <f>_xlfn.IFNA(INDEX(Tabel1342323[ga_id],MATCH(S30,Tabel1342323[es_id],0)),"")</f>
        <v/>
      </c>
      <c r="R30" s="26" t="str">
        <f>_xlfn.IFNA(INDEX(Tabel1342323[brp_id],MATCH(S30,Tabel1342323[es_id],0)),"")</f>
        <v/>
      </c>
      <c r="S30" s="26" t="str">
        <f t="shared" ref="S30:T32" si="10">S$29</f>
        <v/>
      </c>
      <c r="T30" s="19">
        <f t="shared" si="10"/>
        <v>0</v>
      </c>
      <c r="U30" s="19">
        <f>V30+U29</f>
        <v>0</v>
      </c>
      <c r="V30" s="19">
        <f>T30-W29</f>
        <v>0</v>
      </c>
      <c r="W30" s="23">
        <f t="shared" si="0"/>
        <v>0</v>
      </c>
      <c r="X30" s="24"/>
      <c r="Y30" s="27"/>
      <c r="Z30" s="2"/>
      <c r="AA30" s="2"/>
      <c r="AB30" s="36"/>
      <c r="AC30" s="36" t="str" cm="1">
        <f t="array" ref="AC30">IFERROR(IF($B$2="production",INDEX(_xlfn._xlws.FILTER(Tabel1342323[[type]:[brp_id]],(Tabel1342323[es_id]=AC15)*(Tabel1342323[type]="E18"),""),,6),INDEX(_xlfn._xlws.FILTER(Tabel1342323[[type]:[brp_id]],(Tabel1342323[es_id]=AC15)*(Tabel1342323[settlement_method]=AE$2),""),,6)),"")</f>
        <v/>
      </c>
      <c r="AD30" s="36" t="str" cm="1">
        <f t="array" ref="AD30">IFERROR(IF($B$2="production",INDEX(_xlfn._xlws.FILTER(Tabel1342323[[type]:[brp_id]],(Tabel1342323[brp_id]=AD15)*(Tabel1342323[type]=$AE$2),""),,7),INDEX(_xlfn._xlws.FILTER(Tabel1342323[[type]:[brp_id]],(Tabel1342323[brp_id]=AD15)*(Tabel1342323[settlement_method]=AE$2),""),,7)),"")</f>
        <v/>
      </c>
      <c r="AE30" s="36"/>
      <c r="AF30" s="36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x14ac:dyDescent="0.25">
      <c r="B31" s="16" t="str">
        <f>IF(AND(F31&lt;&gt;"null",F31&lt;&gt;""),IF(F31=INDEX(Tabel1342323[es_id],MATCH("GLMP",Tabel1342323[note],0),1),"glmp",""),IF(AND(G31&lt;&gt;"null",G31&lt;&gt;""),IF(G31=INDEX(Tabel1342323[brp_id],MATCH("GLMP",Tabel1342323[note],0),1),"glmp",""),IF(E31=INDEX(Tabel1342323[ga_id],MATCH("GLMP",Tabel1342323[note],0),1),"glmp","")))</f>
        <v/>
      </c>
      <c r="C31" s="16" t="str">
        <f>IF(AND(F31&lt;&gt;"null",F31&lt;&gt;""),IF(F31=INDEX(Tabel1342323[es_id],MATCH("SKMP",Tabel1342323[note],0),1),"skmp",""),IF(AND(G31&lt;&gt;"null",G31&lt;&gt;""),IF(G31=INDEX(Tabel1342323[brp_id],MATCH("SKMP",Tabel1342323[note],0),1),"skmp",""),IF(E31=INDEX(Tabel1342323[ga_id],MATCH("SKMP",Tabel1342323[note],0),1),"skmp","")))</f>
        <v/>
      </c>
      <c r="D31" s="15" t="s">
        <v>76</v>
      </c>
      <c r="E31" s="31" t="str">
        <f t="shared" si="4"/>
        <v/>
      </c>
      <c r="F31" s="31" t="str">
        <f>IF(B$1="ga",IF(E31="","","null"),IF(OR(B$1="ga_es",B$1="ga_brp_es"),IF(AC$4=0,"",AC$4),IF(B$1="ga_brp",IF(G31="","","null"))))</f>
        <v/>
      </c>
      <c r="G31" s="31" t="str">
        <f>IF(B$1="ga",IF(E31="","","null"),IF(B$1="ga_es",IF(F31="","","null"),IF(B$1="ga_brp",IF(AD$4=0,"",AD$4),IF(F31="","",INDEX(Tabel1342323[brp_id],MATCH(F31,Tabel1342323[es_id],0),1)))))</f>
        <v/>
      </c>
      <c r="H31" s="33" t="str">
        <f t="shared" si="8"/>
        <v/>
      </c>
      <c r="I31" s="9">
        <f t="shared" si="5"/>
        <v>0</v>
      </c>
      <c r="J31" s="9">
        <f>IF(D31="Quarter1",SUMIFS(Tabel1342323[quantity],IF(OR(B$1="ga_es",B$1="ga_brp_es"),Tabel1342323[es_id],IF(B$1="ga_brp",Tabel1342323[brp_id],Tabel1342323[ga_id])),IF(OR(B$1="ga_es",B$1="ga_brp_es"),F31,IF(B$1="ga_brp",G31,E31)),IF(B$2="production",Tabel1342323[type],Tabel1342323[settlement_method]),AE$2,Tabel1342323[resolution],"PT15M"),0)</f>
        <v>0</v>
      </c>
      <c r="K31" s="9">
        <f t="shared" si="6"/>
        <v>0</v>
      </c>
      <c r="L31" s="2"/>
      <c r="P31" s="15" t="s">
        <v>77</v>
      </c>
      <c r="Q31" s="26" t="str">
        <f>_xlfn.IFNA(INDEX(Tabel1342323[ga_id],MATCH(S31,Tabel1342323[es_id],0)),"")</f>
        <v/>
      </c>
      <c r="R31" s="26" t="str">
        <f>_xlfn.IFNA(INDEX(Tabel1342323[brp_id],MATCH(S31,Tabel1342323[es_id],0)),"")</f>
        <v/>
      </c>
      <c r="S31" s="26" t="str">
        <f t="shared" si="10"/>
        <v/>
      </c>
      <c r="T31" s="19">
        <f t="shared" si="10"/>
        <v>0</v>
      </c>
      <c r="U31" s="19">
        <f>V31+U30</f>
        <v>0</v>
      </c>
      <c r="V31" s="19">
        <f>T31-W30</f>
        <v>0</v>
      </c>
      <c r="W31" s="23">
        <f t="shared" si="0"/>
        <v>0</v>
      </c>
      <c r="X31" s="24"/>
      <c r="Y31" s="27"/>
      <c r="Z31" s="2"/>
      <c r="AA31" s="2"/>
      <c r="AB31" s="36"/>
      <c r="AC31" s="36" t="str" cm="1">
        <f t="array" ref="AC31">IFERROR(IF($B$2="production",INDEX(_xlfn._xlws.FILTER(Tabel1342323[[type]:[brp_id]],(Tabel1342323[es_id]=AC16)*(Tabel1342323[type]="E18"),""),,6),INDEX(_xlfn._xlws.FILTER(Tabel1342323[[type]:[brp_id]],(Tabel1342323[es_id]=AC16)*(Tabel1342323[settlement_method]=AE$2),""),,6)),"")</f>
        <v/>
      </c>
      <c r="AD31" s="36" t="str" cm="1">
        <f t="array" ref="AD31">IFERROR(IF($B$2="production",INDEX(_xlfn._xlws.FILTER(Tabel1342323[[type]:[brp_id]],(Tabel1342323[brp_id]=AD16)*(Tabel1342323[type]=$AE$2),""),,7),INDEX(_xlfn._xlws.FILTER(Tabel1342323[[type]:[brp_id]],(Tabel1342323[brp_id]=AD16)*(Tabel1342323[settlement_method]=AE$2),""),,7)),"")</f>
        <v/>
      </c>
      <c r="AE31" s="36"/>
      <c r="AF31" s="36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x14ac:dyDescent="0.25">
      <c r="B32" s="16" t="str">
        <f>IF(AND(F32&lt;&gt;"null",F32&lt;&gt;""),IF(F32=INDEX(Tabel1342323[es_id],MATCH("GLMP",Tabel1342323[note],0),1),"glmp",""),IF(AND(G32&lt;&gt;"null",G32&lt;&gt;""),IF(G32=INDEX(Tabel1342323[brp_id],MATCH("GLMP",Tabel1342323[note],0),1),"glmp",""),IF(E32=INDEX(Tabel1342323[ga_id],MATCH("GLMP",Tabel1342323[note],0),1),"glmp","")))</f>
        <v/>
      </c>
      <c r="C32" s="16" t="str">
        <f>IF(AND(F32&lt;&gt;"null",F32&lt;&gt;""),IF(F32=INDEX(Tabel1342323[es_id],MATCH("SKMP",Tabel1342323[note],0),1),"skmp",""),IF(AND(G32&lt;&gt;"null",G32&lt;&gt;""),IF(G32=INDEX(Tabel1342323[brp_id],MATCH("SKMP",Tabel1342323[note],0),1),"skmp",""),IF(E32=INDEX(Tabel1342323[ga_id],MATCH("SKMP",Tabel1342323[note],0),1),"skmp","")))</f>
        <v/>
      </c>
      <c r="D32" s="15" t="s">
        <v>77</v>
      </c>
      <c r="E32" s="31" t="str">
        <f t="shared" si="4"/>
        <v/>
      </c>
      <c r="F32" s="31" t="str">
        <f>IF(B$1="ga",IF(E32="","","null"),IF(OR(B$1="ga_es",B$1="ga_brp_es"),IF(AC$4=0,"",AC$4),IF(B$1="ga_brp",IF(G32="","","null"))))</f>
        <v/>
      </c>
      <c r="G32" s="31" t="str">
        <f>IF(B$1="ga",IF(E32="","","null"),IF(B$1="ga_es",IF(F32="","","null"),IF(B$1="ga_brp",IF(AD$4=0,"",AD$4),IF(F32="","",INDEX(Tabel1342323[brp_id],MATCH(F32,Tabel1342323[es_id],0),1)))))</f>
        <v/>
      </c>
      <c r="H32" s="33" t="str">
        <f t="shared" si="8"/>
        <v/>
      </c>
      <c r="I32" s="9">
        <f t="shared" si="5"/>
        <v>0</v>
      </c>
      <c r="J32" s="9">
        <f>IF(D32="Quarter1",SUMIFS(Tabel1342323[quantity],IF(OR(B$1="ga_es",B$1="ga_brp_es"),Tabel1342323[es_id],IF(B$1="ga_brp",Tabel1342323[brp_id],Tabel1342323[ga_id])),IF(OR(B$1="ga_es",B$1="ga_brp_es"),F32,IF(B$1="ga_brp",G32,E32)),IF(B$2="production",Tabel1342323[type],Tabel1342323[settlement_method]),AE$2,Tabel1342323[resolution],"PT15M"),0)</f>
        <v>0</v>
      </c>
      <c r="K32" s="9">
        <f t="shared" si="6"/>
        <v>0</v>
      </c>
      <c r="L32" s="2"/>
      <c r="P32" s="15" t="s">
        <v>78</v>
      </c>
      <c r="Q32" s="26" t="str">
        <f>_xlfn.IFNA(INDEX(Tabel1342323[ga_id],MATCH(S32,Tabel1342323[es_id],0)),"")</f>
        <v/>
      </c>
      <c r="R32" s="26" t="str">
        <f>_xlfn.IFNA(INDEX(Tabel1342323[brp_id],MATCH(S32,Tabel1342323[es_id],0)),"")</f>
        <v/>
      </c>
      <c r="S32" s="26" t="str">
        <f t="shared" si="10"/>
        <v/>
      </c>
      <c r="T32" s="19">
        <f t="shared" si="10"/>
        <v>0</v>
      </c>
      <c r="U32" s="19">
        <f>V32+U31</f>
        <v>0</v>
      </c>
      <c r="V32" s="19">
        <f>T32-W31</f>
        <v>0</v>
      </c>
      <c r="W32" s="23">
        <f t="shared" si="0"/>
        <v>0</v>
      </c>
      <c r="X32" s="24"/>
      <c r="Y32" s="27"/>
      <c r="Z32" s="2"/>
      <c r="AA32" s="2"/>
      <c r="AB32" s="36"/>
      <c r="AC32" s="36" t="str" cm="1">
        <f t="array" ref="AC32">IFERROR(IF($B$2="production",INDEX(_xlfn._xlws.FILTER(Tabel1342323[[type]:[brp_id]],(Tabel1342323[es_id]=AC17)*(Tabel1342323[type]="E18"),""),,6),INDEX(_xlfn._xlws.FILTER(Tabel1342323[[type]:[brp_id]],(Tabel1342323[es_id]=AC17)*(Tabel1342323[settlement_method]=AE$2),""),,6)),"")</f>
        <v/>
      </c>
      <c r="AD32" s="36" t="str" cm="1">
        <f t="array" ref="AD32">IFERROR(IF($B$2="production",INDEX(_xlfn._xlws.FILTER(Tabel1342323[[type]:[brp_id]],(Tabel1342323[brp_id]=AD17)*(Tabel1342323[type]=$AE$2),""),,7),INDEX(_xlfn._xlws.FILTER(Tabel1342323[[type]:[brp_id]],(Tabel1342323[brp_id]=AD17)*(Tabel1342323[settlement_method]=AE$2),""),,7)),"")</f>
        <v/>
      </c>
      <c r="AE32" s="36"/>
      <c r="AF32" s="36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x14ac:dyDescent="0.25">
      <c r="B33" s="16" t="str">
        <f>IF(AND(F33&lt;&gt;"null",F33&lt;&gt;""),IF(F33=INDEX(Tabel1342323[es_id],MATCH("GLMP",Tabel1342323[note],0),1),"glmp",""),IF(AND(G33&lt;&gt;"null",G33&lt;&gt;""),IF(G33=INDEX(Tabel1342323[brp_id],MATCH("GLMP",Tabel1342323[note],0),1),"glmp",""),IF(E33=INDEX(Tabel1342323[ga_id],MATCH("GLMP",Tabel1342323[note],0),1),"glmp","")))</f>
        <v/>
      </c>
      <c r="C33" s="16" t="str">
        <f>IF(AND(F33&lt;&gt;"null",F33&lt;&gt;""),IF(F33=INDEX(Tabel1342323[es_id],MATCH("SKMP",Tabel1342323[note],0),1),"skmp",""),IF(AND(G33&lt;&gt;"null",G33&lt;&gt;""),IF(G33=INDEX(Tabel1342323[brp_id],MATCH("SKMP",Tabel1342323[note],0),1),"skmp",""),IF(E33=INDEX(Tabel1342323[ga_id],MATCH("SKMP",Tabel1342323[note],0),1),"skmp","")))</f>
        <v/>
      </c>
      <c r="D33" s="15" t="s">
        <v>78</v>
      </c>
      <c r="E33" s="31" t="str">
        <f t="shared" si="4"/>
        <v/>
      </c>
      <c r="F33" s="31" t="str">
        <f>IF(B$1="ga",IF(E33="","","null"),IF(OR(B$1="ga_es",B$1="ga_brp_es"),IF(AC$4=0,"",AC$4),IF(B$1="ga_brp",IF(G33="","","null"))))</f>
        <v/>
      </c>
      <c r="G33" s="31" t="str">
        <f>IF(B$1="ga",IF(E33="","","null"),IF(B$1="ga_es",IF(F33="","","null"),IF(B$1="ga_brp",IF(AD$4=0,"",AD$4),IF(F33="","",INDEX(Tabel1342323[brp_id],MATCH(F33,Tabel1342323[es_id],0),1)))))</f>
        <v/>
      </c>
      <c r="H33" s="33" t="str">
        <f t="shared" si="8"/>
        <v/>
      </c>
      <c r="I33" s="9">
        <f t="shared" si="5"/>
        <v>0</v>
      </c>
      <c r="J33" s="9">
        <f>IF(D33="Quarter1",SUMIFS(Tabel1342323[quantity],IF(OR(B$1="ga_es",B$1="ga_brp_es"),Tabel1342323[es_id],IF(B$1="ga_brp",Tabel1342323[brp_id],Tabel1342323[ga_id])),IF(OR(B$1="ga_es",B$1="ga_brp_es"),F33,IF(B$1="ga_brp",G33,E33)),IF(B$2="production",Tabel1342323[type],Tabel1342323[settlement_method]),AE$2,Tabel1342323[resolution],"PT15M"),0)</f>
        <v>0</v>
      </c>
      <c r="K33" s="9">
        <f t="shared" si="6"/>
        <v>0</v>
      </c>
      <c r="L33" s="2"/>
      <c r="P33" s="24"/>
      <c r="Q33" s="24"/>
      <c r="R33" s="24"/>
      <c r="S33" s="24"/>
      <c r="T33" s="24"/>
      <c r="U33" s="24"/>
      <c r="V33" s="24"/>
      <c r="W33" s="24"/>
      <c r="X33" s="24"/>
      <c r="Y33" s="27"/>
      <c r="Z33" s="2"/>
      <c r="AA33" s="2"/>
      <c r="AB33" s="36"/>
      <c r="AC33" s="36" t="str" cm="1">
        <f t="array" ref="AC33">IFERROR(IF($B$2="production",INDEX(_xlfn._xlws.FILTER(Tabel1342323[[type]:[brp_id]],(Tabel1342323[es_id]=AC18)*(Tabel1342323[type]="E18"),""),,6),INDEX(_xlfn._xlws.FILTER(Tabel1342323[[type]:[brp_id]],(Tabel1342323[es_id]=AC18)*(Tabel1342323[settlement_method]=AE$2),""),,6)),"")</f>
        <v/>
      </c>
      <c r="AD33" s="36" t="str" cm="1">
        <f t="array" ref="AD33">IFERROR(IF($B$2="production",INDEX(_xlfn._xlws.FILTER(Tabel1342323[[type]:[brp_id]],(Tabel1342323[brp_id]=AD18)*(Tabel1342323[type]=$AE$2),""),,7),INDEX(_xlfn._xlws.FILTER(Tabel1342323[[type]:[brp_id]],(Tabel1342323[brp_id]=AD18)*(Tabel1342323[settlement_method]=AE$2),""),,7)),"")</f>
        <v/>
      </c>
      <c r="AE33" s="36"/>
      <c r="AF33" s="36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x14ac:dyDescent="0.25">
      <c r="B34" s="16" t="str">
        <f>IF(AND(F34&lt;&gt;"null",F34&lt;&gt;""),IF(F34=INDEX(Tabel1342323[es_id],MATCH("GLMP",Tabel1342323[note],0),1),"glmp",""),IF(AND(G34&lt;&gt;"null",G34&lt;&gt;""),IF(G34=INDEX(Tabel1342323[brp_id],MATCH("GLMP",Tabel1342323[note],0),1),"glmp",""),IF(E34=INDEX(Tabel1342323[ga_id],MATCH("GLMP",Tabel1342323[note],0),1),"glmp","")))</f>
        <v/>
      </c>
      <c r="C34" s="16" t="str">
        <f>IF(AND(F34&lt;&gt;"null",F34&lt;&gt;""),IF(F34=INDEX(Tabel1342323[es_id],MATCH("SKMP",Tabel1342323[note],0),1),"skmp",""),IF(AND(G34&lt;&gt;"null",G34&lt;&gt;""),IF(G34=INDEX(Tabel1342323[brp_id],MATCH("SKMP",Tabel1342323[note],0),1),"skmp",""),IF(E34=INDEX(Tabel1342323[ga_id],MATCH("SKMP",Tabel1342323[note],0),1),"skmp","")))</f>
        <v/>
      </c>
      <c r="D34" s="15" t="s">
        <v>75</v>
      </c>
      <c r="E34" s="31" t="str">
        <f t="shared" si="4"/>
        <v/>
      </c>
      <c r="F34" s="31" t="str">
        <f>IF(B$1="ga",IF(E34="","","null"),IF(OR(B$1="ga_es",B$1="ga_brp_es"),IF(AC$5=0,"",AC$5),IF(B$1="ga_brp",IF(G34="","","null"))))</f>
        <v/>
      </c>
      <c r="G34" s="31" t="str">
        <f>IF(B$1="ga",IF(E34="","","null"),IF(B$1="ga_es",IF(F34="","","null"),IF(B$1="ga_brp",IF(AD$5=0,"",AD$5),IF(F34="","",INDEX(Tabel1342323[brp_id],MATCH(F34,Tabel1342323[es_id],0),1)))))</f>
        <v/>
      </c>
      <c r="H34" s="33" t="str">
        <f t="shared" si="8"/>
        <v/>
      </c>
      <c r="I34" s="9">
        <f t="shared" si="5"/>
        <v>0</v>
      </c>
      <c r="J34" s="9">
        <f>IF(D34="Quarter1",SUMIFS(Tabel1342323[quantity],IF(OR(B$1="ga_es",B$1="ga_brp_es"),Tabel1342323[es_id],IF(B$1="ga_brp",Tabel1342323[brp_id],Tabel1342323[ga_id])),IF(OR(B$1="ga_es",B$1="ga_brp_es"),F34,IF(B$1="ga_brp",G34,E34)),IF(B$2="production",Tabel1342323[type],Tabel1342323[settlement_method]),AE$2,Tabel1342323[resolution],"PT15M"),0)</f>
        <v>0</v>
      </c>
      <c r="K34" s="9">
        <f t="shared" si="6"/>
        <v>0</v>
      </c>
      <c r="L34" s="2"/>
      <c r="P34" s="24"/>
      <c r="Q34" s="24"/>
      <c r="R34" s="24"/>
      <c r="S34" s="24"/>
      <c r="T34" s="28">
        <f>SUMIFS(Tabel1342323[quantity],Tabel1342323[settlement_method],"D01",Tabel1342323[resolution],"PT1H")</f>
        <v>0</v>
      </c>
      <c r="U34" s="49" t="s">
        <v>50</v>
      </c>
      <c r="V34" s="49"/>
      <c r="W34" s="28">
        <f>SUM(W36:W39)</f>
        <v>0</v>
      </c>
      <c r="X34" s="21">
        <f>SUM(X36:X39)</f>
        <v>0</v>
      </c>
      <c r="Y34" s="27"/>
      <c r="Z34" s="2"/>
      <c r="AA34" s="2"/>
      <c r="AB34" s="36"/>
      <c r="AC34" s="36" t="str" cm="1">
        <f t="array" ref="AC34">IFERROR(IF($B$2="production",INDEX(_xlfn._xlws.FILTER(Tabel1342323[[type]:[brp_id]],(Tabel1342323[es_id]=AC19)*(Tabel1342323[type]="E18"),""),,6),INDEX(_xlfn._xlws.FILTER(Tabel1342323[[type]:[brp_id]],(Tabel1342323[es_id]=AC19)*(Tabel1342323[settlement_method]=AE$2),""),,6)),"")</f>
        <v/>
      </c>
      <c r="AD34" s="36" t="str" cm="1">
        <f t="array" ref="AD34">IFERROR(IF($B$2="production",INDEX(_xlfn._xlws.FILTER(Tabel1342323[[type]:[brp_id]],(Tabel1342323[brp_id]=AD19)*(Tabel1342323[type]=$AE$2),""),,7),INDEX(_xlfn._xlws.FILTER(Tabel1342323[[type]:[brp_id]],(Tabel1342323[brp_id]=AD19)*(Tabel1342323[settlement_method]=AE$2),""),,7)),"")</f>
        <v/>
      </c>
      <c r="AE34" s="36"/>
      <c r="AF34" s="36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x14ac:dyDescent="0.25">
      <c r="B35" s="16" t="str">
        <f>IF(AND(F35&lt;&gt;"null",F35&lt;&gt;""),IF(F35=INDEX(Tabel1342323[es_id],MATCH("GLMP",Tabel1342323[note],0),1),"glmp",""),IF(AND(G35&lt;&gt;"null",G35&lt;&gt;""),IF(G35=INDEX(Tabel1342323[brp_id],MATCH("GLMP",Tabel1342323[note],0),1),"glmp",""),IF(E35=INDEX(Tabel1342323[ga_id],MATCH("GLMP",Tabel1342323[note],0),1),"glmp","")))</f>
        <v/>
      </c>
      <c r="C35" s="16" t="str">
        <f>IF(AND(F35&lt;&gt;"null",F35&lt;&gt;""),IF(F35=INDEX(Tabel1342323[es_id],MATCH("SKMP",Tabel1342323[note],0),1),"skmp",""),IF(AND(G35&lt;&gt;"null",G35&lt;&gt;""),IF(G35=INDEX(Tabel1342323[brp_id],MATCH("SKMP",Tabel1342323[note],0),1),"skmp",""),IF(E35=INDEX(Tabel1342323[ga_id],MATCH("SKMP",Tabel1342323[note],0),1),"skmp","")))</f>
        <v/>
      </c>
      <c r="D35" s="15" t="s">
        <v>76</v>
      </c>
      <c r="E35" s="31" t="str">
        <f t="shared" si="4"/>
        <v/>
      </c>
      <c r="F35" s="31" t="str">
        <f>IF(B$1="ga",IF(E35="","","null"),IF(OR(B$1="ga_es",B$1="ga_brp_es"),IF(AC$5=0,"",AC$5),IF(B$1="ga_brp",IF(G35="","","null"))))</f>
        <v/>
      </c>
      <c r="G35" s="31" t="str">
        <f>IF(B$1="ga",IF(E35="","","null"),IF(B$1="ga_es",IF(F35="","","null"),IF(B$1="ga_brp",IF(AD$5=0,"",AD$5),IF(F35="","",INDEX(Tabel1342323[brp_id],MATCH(F35,Tabel1342323[es_id],0),1)))))</f>
        <v/>
      </c>
      <c r="H35" s="33" t="str">
        <f t="shared" si="8"/>
        <v/>
      </c>
      <c r="I35" s="9">
        <f t="shared" si="5"/>
        <v>0</v>
      </c>
      <c r="J35" s="9">
        <f>IF(D35="Quarter1",SUMIFS(Tabel1342323[quantity],IF(OR(B$1="ga_es",B$1="ga_brp_es"),Tabel1342323[es_id],IF(B$1="ga_brp",Tabel1342323[brp_id],Tabel1342323[ga_id])),IF(OR(B$1="ga_es",B$1="ga_brp_es"),F35,IF(B$1="ga_brp",G35,E35)),IF(B$2="production",Tabel1342323[type],Tabel1342323[settlement_method]),AE$2,Tabel1342323[resolution],"PT15M"),0)</f>
        <v>0</v>
      </c>
      <c r="K35" s="9">
        <f t="shared" si="6"/>
        <v>0</v>
      </c>
      <c r="L35" s="2"/>
      <c r="P35" s="24"/>
      <c r="Q35" s="24"/>
      <c r="R35" s="24"/>
      <c r="S35" s="7" t="s">
        <v>44</v>
      </c>
      <c r="T35" s="20">
        <f>SUMIFS(Tabel1342323[quantity],Tabel1342323[settlement_method],"D01",Tabel1342323[resolution],"PT1H")/4</f>
        <v>0</v>
      </c>
      <c r="U35" s="7" t="s">
        <v>46</v>
      </c>
      <c r="V35" s="7" t="s">
        <v>47</v>
      </c>
      <c r="W35" s="7" t="s">
        <v>48</v>
      </c>
      <c r="X35" s="7" t="s">
        <v>49</v>
      </c>
      <c r="Y35" s="27"/>
      <c r="Z35" s="2"/>
      <c r="AA35" s="2"/>
      <c r="AB35" s="36"/>
      <c r="AC35" s="36" t="str" cm="1">
        <f t="array" ref="AC35">IFERROR(IF($B$2="production",INDEX(_xlfn._xlws.FILTER(Tabel1342323[[type]:[brp_id]],(Tabel1342323[es_id]=AC20)*(Tabel1342323[type]="E18"),""),,6),INDEX(_xlfn._xlws.FILTER(Tabel1342323[[type]:[brp_id]],(Tabel1342323[es_id]=AC20)*(Tabel1342323[settlement_method]=AE$2),""),,6)),"")</f>
        <v/>
      </c>
      <c r="AD35" s="36" t="str" cm="1">
        <f t="array" ref="AD35">IFERROR(IF($B$2="production",INDEX(_xlfn._xlws.FILTER(Tabel1342323[[type]:[brp_id]],(Tabel1342323[brp_id]=AD20)*(Tabel1342323[type]=$AE$2),""),,7),INDEX(_xlfn._xlws.FILTER(Tabel1342323[[type]:[brp_id]],(Tabel1342323[brp_id]=AD20)*(Tabel1342323[settlement_method]=AE$2),""),,7)),"")</f>
        <v/>
      </c>
      <c r="AE35" s="36"/>
      <c r="AF35" s="36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x14ac:dyDescent="0.25">
      <c r="B36" s="16" t="str">
        <f>IF(AND(F36&lt;&gt;"null",F36&lt;&gt;""),IF(F36=INDEX(Tabel1342323[es_id],MATCH("GLMP",Tabel1342323[note],0),1),"glmp",""),IF(AND(G36&lt;&gt;"null",G36&lt;&gt;""),IF(G36=INDEX(Tabel1342323[brp_id],MATCH("GLMP",Tabel1342323[note],0),1),"glmp",""),IF(E36=INDEX(Tabel1342323[ga_id],MATCH("GLMP",Tabel1342323[note],0),1),"glmp","")))</f>
        <v/>
      </c>
      <c r="C36" s="16" t="str">
        <f>IF(AND(F36&lt;&gt;"null",F36&lt;&gt;""),IF(F36=INDEX(Tabel1342323[es_id],MATCH("SKMP",Tabel1342323[note],0),1),"skmp",""),IF(AND(G36&lt;&gt;"null",G36&lt;&gt;""),IF(G36=INDEX(Tabel1342323[brp_id],MATCH("SKMP",Tabel1342323[note],0),1),"skmp",""),IF(E36=INDEX(Tabel1342323[ga_id],MATCH("SKMP",Tabel1342323[note],0),1),"skmp","")))</f>
        <v/>
      </c>
      <c r="D36" s="15" t="s">
        <v>77</v>
      </c>
      <c r="E36" s="31" t="str">
        <f t="shared" si="4"/>
        <v/>
      </c>
      <c r="F36" s="31" t="str">
        <f>IF(B$1="ga",IF(E36="","","null"),IF(OR(B$1="ga_es",B$1="ga_brp_es"),IF(AC$5=0,"",AC$5),IF(B$1="ga_brp",IF(G36="","","null"))))</f>
        <v/>
      </c>
      <c r="G36" s="31" t="str">
        <f>IF(B$1="ga",IF(E36="","","null"),IF(B$1="ga_es",IF(F36="","","null"),IF(B$1="ga_brp",IF(AD$5=0,"",AD$5),IF(F36="","",INDEX(Tabel1342323[brp_id],MATCH(F36,Tabel1342323[es_id],0),1)))))</f>
        <v/>
      </c>
      <c r="H36" s="33" t="str">
        <f t="shared" si="8"/>
        <v/>
      </c>
      <c r="I36" s="9">
        <f t="shared" si="5"/>
        <v>0</v>
      </c>
      <c r="J36" s="9">
        <f>IF(D36="Quarter1",SUMIFS(Tabel1342323[quantity],IF(OR(B$1="ga_es",B$1="ga_brp_es"),Tabel1342323[es_id],IF(B$1="ga_brp",Tabel1342323[brp_id],Tabel1342323[ga_id])),IF(OR(B$1="ga_es",B$1="ga_brp_es"),F36,IF(B$1="ga_brp",G36,E36)),IF(B$2="production",Tabel1342323[type],Tabel1342323[settlement_method]),AE$2,Tabel1342323[resolution],"PT15M"),0)</f>
        <v>0</v>
      </c>
      <c r="K36" s="9">
        <f t="shared" si="6"/>
        <v>0</v>
      </c>
      <c r="L36" s="2"/>
      <c r="P36" s="24"/>
      <c r="Q36" s="24"/>
      <c r="R36" s="24"/>
      <c r="S36" s="15" t="s">
        <v>55</v>
      </c>
      <c r="T36" s="19">
        <f>T$35</f>
        <v>0</v>
      </c>
      <c r="U36" s="19">
        <f>T36</f>
        <v>0</v>
      </c>
      <c r="V36" s="19"/>
      <c r="W36" s="23">
        <f>ROUND(U36, 3)</f>
        <v>0</v>
      </c>
      <c r="X36" s="23">
        <f>ROUND(T36,3)</f>
        <v>0</v>
      </c>
      <c r="Y36" s="27"/>
      <c r="Z36" s="2"/>
      <c r="AA36" s="2"/>
      <c r="AB36" s="36"/>
      <c r="AC36" s="36" t="str" cm="1">
        <f t="array" ref="AC36">IFERROR(IF($B$2="production",INDEX(_xlfn._xlws.FILTER(Tabel1342323[[type]:[brp_id]],(Tabel1342323[es_id]=AC21)*(Tabel1342323[type]="E18"),""),,6),INDEX(_xlfn._xlws.FILTER(Tabel1342323[[type]:[brp_id]],(Tabel1342323[es_id]=AC21)*(Tabel1342323[settlement_method]=AE$2),""),,6)),"")</f>
        <v/>
      </c>
      <c r="AD36" s="36" t="str" cm="1">
        <f t="array" ref="AD36">IFERROR(IF($B$2="production",INDEX(_xlfn._xlws.FILTER(Tabel1342323[[type]:[brp_id]],(Tabel1342323[brp_id]=AD21)*(Tabel1342323[type]=$AE$2),""),,7),INDEX(_xlfn._xlws.FILTER(Tabel1342323[[type]:[brp_id]],(Tabel1342323[brp_id]=AD21)*(Tabel1342323[settlement_method]=AE$2),""),,7)),"")</f>
        <v/>
      </c>
      <c r="AE36" s="36"/>
      <c r="AF36" s="36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x14ac:dyDescent="0.25">
      <c r="B37" s="16" t="str">
        <f>IF(AND(F37&lt;&gt;"null",F37&lt;&gt;""),IF(F37=INDEX(Tabel1342323[es_id],MATCH("GLMP",Tabel1342323[note],0),1),"glmp",""),IF(AND(G37&lt;&gt;"null",G37&lt;&gt;""),IF(G37=INDEX(Tabel1342323[brp_id],MATCH("GLMP",Tabel1342323[note],0),1),"glmp",""),IF(E37=INDEX(Tabel1342323[ga_id],MATCH("GLMP",Tabel1342323[note],0),1),"glmp","")))</f>
        <v/>
      </c>
      <c r="C37" s="16" t="str">
        <f>IF(AND(F37&lt;&gt;"null",F37&lt;&gt;""),IF(F37=INDEX(Tabel1342323[es_id],MATCH("SKMP",Tabel1342323[note],0),1),"skmp",""),IF(AND(G37&lt;&gt;"null",G37&lt;&gt;""),IF(G37=INDEX(Tabel1342323[brp_id],MATCH("SKMP",Tabel1342323[note],0),1),"skmp",""),IF(E37=INDEX(Tabel1342323[ga_id],MATCH("SKMP",Tabel1342323[note],0),1),"skmp","")))</f>
        <v/>
      </c>
      <c r="D37" s="15" t="s">
        <v>78</v>
      </c>
      <c r="E37" s="31" t="str">
        <f t="shared" si="4"/>
        <v/>
      </c>
      <c r="F37" s="31" t="str">
        <f>IF(B$1="ga",IF(E37="","","null"),IF(OR(B$1="ga_es",B$1="ga_brp_es"),IF(AC$5=0,"",AC$5),IF(B$1="ga_brp",IF(G37="","","null"))))</f>
        <v/>
      </c>
      <c r="G37" s="31" t="str">
        <f>IF(B$1="ga",IF(E37="","","null"),IF(B$1="ga_es",IF(F37="","","null"),IF(B$1="ga_brp",IF(AD$5=0,"",AD$5),IF(F37="","",INDEX(Tabel1342323[brp_id],MATCH(F37,Tabel1342323[es_id],0),1)))))</f>
        <v/>
      </c>
      <c r="H37" s="33" t="str">
        <f t="shared" si="8"/>
        <v/>
      </c>
      <c r="I37" s="9">
        <f t="shared" si="5"/>
        <v>0</v>
      </c>
      <c r="J37" s="9">
        <f>IF(D37="Quarter1",SUMIFS(Tabel1342323[quantity],IF(OR(B$1="ga_es",B$1="ga_brp_es"),Tabel1342323[es_id],IF(B$1="ga_brp",Tabel1342323[brp_id],Tabel1342323[ga_id])),IF(OR(B$1="ga_es",B$1="ga_brp_es"),F37,IF(B$1="ga_brp",G37,E37)),IF(B$2="production",Tabel1342323[type],Tabel1342323[settlement_method]),AE$2,Tabel1342323[resolution],"PT15M"),0)</f>
        <v>0</v>
      </c>
      <c r="K37" s="9">
        <f t="shared" si="6"/>
        <v>0</v>
      </c>
      <c r="L37" s="2"/>
      <c r="P37" s="24"/>
      <c r="Q37" s="24"/>
      <c r="R37" s="24"/>
      <c r="S37" s="15" t="s">
        <v>56</v>
      </c>
      <c r="T37" s="19">
        <f>T$35</f>
        <v>0</v>
      </c>
      <c r="U37" s="19">
        <f>V37+U36</f>
        <v>0</v>
      </c>
      <c r="V37" s="19">
        <f>T37-W36</f>
        <v>0</v>
      </c>
      <c r="W37" s="23">
        <f>ROUND(U37, 3)</f>
        <v>0</v>
      </c>
      <c r="X37" s="23">
        <f>ROUND(T37,3)</f>
        <v>0</v>
      </c>
      <c r="Y37" s="27"/>
      <c r="Z37" s="2"/>
      <c r="AA37" s="2"/>
      <c r="AB37" s="36"/>
      <c r="AC37" s="36" t="str" cm="1">
        <f t="array" ref="AC37">IFERROR(IF($B$2="production",INDEX(_xlfn._xlws.FILTER(Tabel1342323[[type]:[brp_id]],(Tabel1342323[es_id]=AC22)*(Tabel1342323[type]="E18"),""),,6),INDEX(_xlfn._xlws.FILTER(Tabel1342323[[type]:[brp_id]],(Tabel1342323[es_id]=AC22)*(Tabel1342323[settlement_method]=AE$2),""),,6)),"")</f>
        <v/>
      </c>
      <c r="AD37" s="36" t="str" cm="1">
        <f t="array" ref="AD37">IFERROR(IF($B$2="production",INDEX(_xlfn._xlws.FILTER(Tabel1342323[[type]:[brp_id]],(Tabel1342323[brp_id]=AD22)*(Tabel1342323[type]=$AE$2),""),,7),INDEX(_xlfn._xlws.FILTER(Tabel1342323[[type]:[brp_id]],(Tabel1342323[brp_id]=AD22)*(Tabel1342323[settlement_method]=AE$2),""),,7)),"")</f>
        <v/>
      </c>
      <c r="AE37" s="36"/>
      <c r="AF37" s="36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x14ac:dyDescent="0.25">
      <c r="B38" s="16" t="str">
        <f>IF(AND(F38&lt;&gt;"null",F38&lt;&gt;""),IF(F38=INDEX(Tabel1342323[es_id],MATCH("GLMP",Tabel1342323[note],0),1),"glmp",""),IF(AND(G38&lt;&gt;"null",G38&lt;&gt;""),IF(G38=INDEX(Tabel1342323[brp_id],MATCH("GLMP",Tabel1342323[note],0),1),"glmp",""),IF(E38=INDEX(Tabel1342323[ga_id],MATCH("GLMP",Tabel1342323[note],0),1),"glmp","")))</f>
        <v/>
      </c>
      <c r="C38" s="16" t="str">
        <f>IF(AND(F38&lt;&gt;"null",F38&lt;&gt;""),IF(F38=INDEX(Tabel1342323[es_id],MATCH("SKMP",Tabel1342323[note],0),1),"skmp",""),IF(AND(G38&lt;&gt;"null",G38&lt;&gt;""),IF(G38=INDEX(Tabel1342323[brp_id],MATCH("SKMP",Tabel1342323[note],0),1),"skmp",""),IF(E38=INDEX(Tabel1342323[ga_id],MATCH("SKMP",Tabel1342323[note],0),1),"skmp","")))</f>
        <v/>
      </c>
      <c r="D38" s="15" t="s">
        <v>75</v>
      </c>
      <c r="E38" s="31" t="str">
        <f t="shared" si="4"/>
        <v/>
      </c>
      <c r="F38" s="31" t="str">
        <f>IF(B$1="ga",IF(E38="","","null"),IF(OR(B$1="ga_es",B$1="ga_brp_es"),IF(AC$6=0,"",AC$5),IF(B$1="ga_brp",IF(G38="","","null"))))</f>
        <v/>
      </c>
      <c r="G38" s="31" t="str">
        <f>IF(B$1="ga",IF(E38="","","null"),IF(B$1="ga_es",IF(F38="","","null"),IF(B$1="ga_brp",IF(AD$5=0,"",AD$5),IF(F38="","",INDEX(Tabel1342323[brp_id],MATCH(F38,Tabel1342323[es_id],0),1)))))</f>
        <v/>
      </c>
      <c r="H38" s="33" t="str">
        <f t="shared" si="8"/>
        <v/>
      </c>
      <c r="I38" s="9">
        <f t="shared" si="5"/>
        <v>0</v>
      </c>
      <c r="J38" s="9">
        <f>IF(D38="Quarter1",SUMIFS(Tabel1342323[quantity],IF(OR(B$1="ga_es",B$1="ga_brp_es"),Tabel1342323[es_id],IF(B$1="ga_brp",Tabel1342323[brp_id],Tabel1342323[ga_id])),IF(OR(B$1="ga_es",B$1="ga_brp_es"),F38,IF(B$1="ga_brp",G38,E38)),IF(B$2="production",Tabel1342323[type],Tabel1342323[settlement_method]),AE$2,Tabel1342323[resolution],"PT15M"),0)</f>
        <v>0</v>
      </c>
      <c r="K38" s="9">
        <f t="shared" si="6"/>
        <v>0</v>
      </c>
      <c r="L38" s="2"/>
      <c r="P38" s="24"/>
      <c r="Q38" s="24"/>
      <c r="R38" s="24"/>
      <c r="S38" s="15" t="s">
        <v>57</v>
      </c>
      <c r="T38" s="19">
        <f>T$35</f>
        <v>0</v>
      </c>
      <c r="U38" s="19">
        <f>V38+U37</f>
        <v>0</v>
      </c>
      <c r="V38" s="19">
        <f>T38-W37</f>
        <v>0</v>
      </c>
      <c r="W38" s="23">
        <f>ROUND(U38, 3)</f>
        <v>0</v>
      </c>
      <c r="X38" s="23">
        <f>ROUND(T38,3)</f>
        <v>0</v>
      </c>
      <c r="Y38" s="27"/>
      <c r="Z38" s="2"/>
      <c r="AA38" s="2"/>
      <c r="AB38" s="36"/>
      <c r="AC38" s="36" t="str" cm="1">
        <f t="array" ref="AC38">IFERROR(IF($B$2="production",INDEX(_xlfn._xlws.FILTER(Tabel1342323[[type]:[brp_id]],(Tabel1342323[es_id]=AC23)*(Tabel1342323[type]="E18"),""),,6),INDEX(_xlfn._xlws.FILTER(Tabel1342323[[type]:[brp_id]],(Tabel1342323[es_id]=AC23)*(Tabel1342323[settlement_method]=AE$2),""),,6)),"")</f>
        <v/>
      </c>
      <c r="AD38" s="36" t="str" cm="1">
        <f t="array" ref="AD38">IFERROR(IF($B$2="production",INDEX(_xlfn._xlws.FILTER(Tabel1342323[[type]:[brp_id]],(Tabel1342323[brp_id]=AD23)*(Tabel1342323[type]=$AE$2),""),,7),INDEX(_xlfn._xlws.FILTER(Tabel1342323[[type]:[brp_id]],(Tabel1342323[brp_id]=AD23)*(Tabel1342323[settlement_method]=AE$2),""),,7)),"")</f>
        <v/>
      </c>
      <c r="AE38" s="36"/>
      <c r="AF38" s="36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x14ac:dyDescent="0.25">
      <c r="B39" s="16" t="str">
        <f>IF(AND(F39&lt;&gt;"null",F39&lt;&gt;""),IF(F39=INDEX(Tabel1342323[es_id],MATCH("GLMP",Tabel1342323[note],0),1),"glmp",""),IF(AND(G39&lt;&gt;"null",G39&lt;&gt;""),IF(G39=INDEX(Tabel1342323[brp_id],MATCH("GLMP",Tabel1342323[note],0),1),"glmp",""),IF(E39=INDEX(Tabel1342323[ga_id],MATCH("GLMP",Tabel1342323[note],0),1),"glmp","")))</f>
        <v/>
      </c>
      <c r="C39" s="16" t="str">
        <f>IF(AND(F39&lt;&gt;"null",F39&lt;&gt;""),IF(F39=INDEX(Tabel1342323[es_id],MATCH("SKMP",Tabel1342323[note],0),1),"skmp",""),IF(AND(G39&lt;&gt;"null",G39&lt;&gt;""),IF(G39=INDEX(Tabel1342323[brp_id],MATCH("SKMP",Tabel1342323[note],0),1),"skmp",""),IF(E39=INDEX(Tabel1342323[ga_id],MATCH("SKMP",Tabel1342323[note],0),1),"skmp","")))</f>
        <v/>
      </c>
      <c r="D39" s="15" t="s">
        <v>76</v>
      </c>
      <c r="E39" s="31" t="str">
        <f t="shared" si="4"/>
        <v/>
      </c>
      <c r="F39" s="31" t="str">
        <f t="shared" ref="F39:F41" si="11">IF(B$1="ga",IF(E39="","","null"),IF(OR(B$1="ga_es",B$1="ga_brp_es"),IF(AC$6=0,"",AC$5),IF(B$1="ga_brp",IF(G39="","","null"))))</f>
        <v/>
      </c>
      <c r="G39" s="31" t="str">
        <f>IF(B$1="ga",IF(E39="","","null"),IF(B$1="ga_es",IF(F39="","","null"),IF(B$1="ga_brp",IF(AD$5=0,"",AD$5),IF(F39="","",INDEX(Tabel1342323[brp_id],MATCH(F39,Tabel1342323[es_id],0),1)))))</f>
        <v/>
      </c>
      <c r="H39" s="33" t="str">
        <f t="shared" si="8"/>
        <v/>
      </c>
      <c r="I39" s="9">
        <f t="shared" si="5"/>
        <v>0</v>
      </c>
      <c r="J39" s="9">
        <f>IF(D39="Quarter1",SUMIFS(Tabel1342323[quantity],IF(OR(B$1="ga_es",B$1="ga_brp_es"),Tabel1342323[es_id],IF(B$1="ga_brp",Tabel1342323[brp_id],Tabel1342323[ga_id])),IF(OR(B$1="ga_es",B$1="ga_brp_es"),F39,IF(B$1="ga_brp",G39,E39)),IF(B$2="production",Tabel1342323[type],Tabel1342323[settlement_method]),AE$2,Tabel1342323[resolution],"PT15M"),0)</f>
        <v>0</v>
      </c>
      <c r="K39" s="9">
        <f t="shared" si="6"/>
        <v>0</v>
      </c>
      <c r="L39" s="2"/>
      <c r="P39" s="24"/>
      <c r="Q39" s="24"/>
      <c r="R39" s="24"/>
      <c r="S39" s="15" t="s">
        <v>58</v>
      </c>
      <c r="T39" s="19">
        <f>T$35</f>
        <v>0</v>
      </c>
      <c r="U39" s="19">
        <f>V39+U38</f>
        <v>0</v>
      </c>
      <c r="V39" s="19">
        <f>T39-W38</f>
        <v>0</v>
      </c>
      <c r="W39" s="23">
        <f>ROUND(U39, 3)</f>
        <v>0</v>
      </c>
      <c r="X39" s="23">
        <f>ROUND(T39,3)</f>
        <v>0</v>
      </c>
      <c r="Y39" s="27"/>
      <c r="Z39" s="2"/>
      <c r="AA39" s="2"/>
      <c r="AB39" s="36"/>
      <c r="AC39" s="36" t="str" cm="1">
        <f t="array" ref="AC39">IFERROR(IF($B$2="production",INDEX(_xlfn._xlws.FILTER(Tabel1342323[[type]:[brp_id]],(Tabel1342323[es_id]=AC24)*(Tabel1342323[type]="E18"),""),,6),INDEX(_xlfn._xlws.FILTER(Tabel1342323[[type]:[brp_id]],(Tabel1342323[es_id]=AC24)*(Tabel1342323[settlement_method]=AE$2),""),,6)),"")</f>
        <v/>
      </c>
      <c r="AD39" s="36" t="str" cm="1">
        <f t="array" ref="AD39">IFERROR(IF($B$2="production",INDEX(_xlfn._xlws.FILTER(Tabel1342323[[type]:[brp_id]],(Tabel1342323[brp_id]=AD24)*(Tabel1342323[type]=$AE$2),""),,7),INDEX(_xlfn._xlws.FILTER(Tabel1342323[[type]:[brp_id]],(Tabel1342323[brp_id]=AD24)*(Tabel1342323[settlement_method]=AE$2),""),,7)),"")</f>
        <v/>
      </c>
      <c r="AE39" s="36"/>
      <c r="AF39" s="36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x14ac:dyDescent="0.25">
      <c r="B40" s="16" t="str">
        <f>IF(AND(F40&lt;&gt;"null",F40&lt;&gt;""),IF(F40=INDEX(Tabel1342323[es_id],MATCH("GLMP",Tabel1342323[note],0),1),"glmp",""),IF(AND(G40&lt;&gt;"null",G40&lt;&gt;""),IF(G40=INDEX(Tabel1342323[brp_id],MATCH("GLMP",Tabel1342323[note],0),1),"glmp",""),IF(E40=INDEX(Tabel1342323[ga_id],MATCH("GLMP",Tabel1342323[note],0),1),"glmp","")))</f>
        <v/>
      </c>
      <c r="C40" s="16" t="str">
        <f>IF(AND(F40&lt;&gt;"null",F40&lt;&gt;""),IF(F40=INDEX(Tabel1342323[es_id],MATCH("SKMP",Tabel1342323[note],0),1),"skmp",""),IF(AND(G40&lt;&gt;"null",G40&lt;&gt;""),IF(G40=INDEX(Tabel1342323[brp_id],MATCH("SKMP",Tabel1342323[note],0),1),"skmp",""),IF(E40=INDEX(Tabel1342323[ga_id],MATCH("SKMP",Tabel1342323[note],0),1),"skmp","")))</f>
        <v/>
      </c>
      <c r="D40" s="15" t="s">
        <v>77</v>
      </c>
      <c r="E40" s="31" t="str">
        <f t="shared" si="4"/>
        <v/>
      </c>
      <c r="F40" s="31" t="str">
        <f t="shared" si="11"/>
        <v/>
      </c>
      <c r="G40" s="31" t="str">
        <f>IF(B$1="ga",IF(E40="","","null"),IF(B$1="ga_es",IF(F40="","","null"),IF(B$1="ga_brp",IF(AD$5=0,"",AD$5),IF(F40="","",INDEX(Tabel1342323[brp_id],MATCH(F40,Tabel1342323[es_id],0),1)))))</f>
        <v/>
      </c>
      <c r="H40" s="33" t="str">
        <f t="shared" si="8"/>
        <v/>
      </c>
      <c r="I40" s="9">
        <f t="shared" si="5"/>
        <v>0</v>
      </c>
      <c r="J40" s="9">
        <f>IF(D40="Quarter1",SUMIFS(Tabel1342323[quantity],IF(OR(B$1="ga_es",B$1="ga_brp_es"),Tabel1342323[es_id],IF(B$1="ga_brp",Tabel1342323[brp_id],Tabel1342323[ga_id])),IF(OR(B$1="ga_es",B$1="ga_brp_es"),F40,IF(B$1="ga_brp",G40,E40)),IF(B$2="production",Tabel1342323[type],Tabel1342323[settlement_method]),AE$2,Tabel1342323[resolution],"PT15M"),0)</f>
        <v>0</v>
      </c>
      <c r="K40" s="9">
        <f t="shared" si="6"/>
        <v>0</v>
      </c>
      <c r="L40" s="2"/>
      <c r="P40" s="24"/>
      <c r="Q40" s="24"/>
      <c r="R40" s="24"/>
      <c r="S40" s="24"/>
      <c r="T40" s="28">
        <f>SUMIFS(Tabel1342323[quantity],Tabel1342323[type],"E18",Tabel1342323[resolution],"PT1H")</f>
        <v>0</v>
      </c>
      <c r="U40" s="43" t="s">
        <v>50</v>
      </c>
      <c r="V40" s="44"/>
      <c r="W40" s="28">
        <f>SUM(W42:W45)</f>
        <v>0</v>
      </c>
      <c r="X40" s="21">
        <f>SUM(X42:X45)</f>
        <v>0</v>
      </c>
      <c r="Y40" s="27"/>
      <c r="Z40" s="2"/>
      <c r="AA40" s="2"/>
      <c r="AB40" s="36"/>
      <c r="AC40" s="36" t="str" cm="1">
        <f t="array" ref="AC40">IFERROR(IF($B$2="production",INDEX(_xlfn._xlws.FILTER(Tabel1342323[[type]:[brp_id]],(Tabel1342323[es_id]=AC25)*(Tabel1342323[type]="E18"),""),,6),INDEX(_xlfn._xlws.FILTER(Tabel1342323[[type]:[brp_id]],(Tabel1342323[es_id]=AC25)*(Tabel1342323[settlement_method]=AE$2),""),,6)),"")</f>
        <v/>
      </c>
      <c r="AD40" s="36" t="str" cm="1">
        <f t="array" ref="AD40">IFERROR(IF($B$2="production",INDEX(_xlfn._xlws.FILTER(Tabel1342323[[type]:[brp_id]],(Tabel1342323[brp_id]=AD25)*(Tabel1342323[type]=$AE$2),""),,7),INDEX(_xlfn._xlws.FILTER(Tabel1342323[[type]:[brp_id]],(Tabel1342323[brp_id]=AD25)*(Tabel1342323[settlement_method]=AE$2),""),,7)),"")</f>
        <v/>
      </c>
      <c r="AE40" s="36"/>
      <c r="AF40" s="36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x14ac:dyDescent="0.25">
      <c r="B41" s="16" t="str">
        <f>IF(AND(F41&lt;&gt;"null",F41&lt;&gt;""),IF(F41=INDEX(Tabel1342323[es_id],MATCH("GLMP",Tabel1342323[note],0),1),"glmp",""),IF(AND(G41&lt;&gt;"null",G41&lt;&gt;""),IF(G41=INDEX(Tabel1342323[brp_id],MATCH("GLMP",Tabel1342323[note],0),1),"glmp",""),IF(E41=INDEX(Tabel1342323[ga_id],MATCH("GLMP",Tabel1342323[note],0),1),"glmp","")))</f>
        <v/>
      </c>
      <c r="C41" s="16" t="str">
        <f>IF(AND(F41&lt;&gt;"null",F41&lt;&gt;""),IF(F41=INDEX(Tabel1342323[es_id],MATCH("SKMP",Tabel1342323[note],0),1),"skmp",""),IF(AND(G41&lt;&gt;"null",G41&lt;&gt;""),IF(G41=INDEX(Tabel1342323[brp_id],MATCH("SKMP",Tabel1342323[note],0),1),"skmp",""),IF(E41=INDEX(Tabel1342323[ga_id],MATCH("SKMP",Tabel1342323[note],0),1),"skmp","")))</f>
        <v/>
      </c>
      <c r="D41" s="15" t="s">
        <v>78</v>
      </c>
      <c r="E41" s="31" t="str">
        <f t="shared" si="4"/>
        <v/>
      </c>
      <c r="F41" s="31" t="str">
        <f t="shared" si="11"/>
        <v/>
      </c>
      <c r="G41" s="31" t="str">
        <f>IF(B$1="ga",IF(E41="","","null"),IF(B$1="ga_es",IF(F41="","","null"),IF(B$1="ga_brp",IF(AD$5=0,"",AD$5),IF(F41="","",INDEX(Tabel1342323[brp_id],MATCH(F41,Tabel1342323[es_id],0),1)))))</f>
        <v/>
      </c>
      <c r="H41" s="33" t="str">
        <f t="shared" si="8"/>
        <v/>
      </c>
      <c r="I41" s="9">
        <f t="shared" si="5"/>
        <v>0</v>
      </c>
      <c r="J41" s="9">
        <f>IF(D41="Quarter1",SUMIFS(Tabel1342323[quantity],IF(OR(B$1="ga_es",B$1="ga_brp_es"),Tabel1342323[es_id],IF(B$1="ga_brp",Tabel1342323[brp_id],Tabel1342323[ga_id])),IF(OR(B$1="ga_es",B$1="ga_brp_es"),F41,IF(B$1="ga_brp",G41,E41)),IF(B$2="production",Tabel1342323[type],Tabel1342323[settlement_method]),AE$2,Tabel1342323[resolution],"PT15M"),0)</f>
        <v>0</v>
      </c>
      <c r="K41" s="9">
        <f t="shared" si="6"/>
        <v>0</v>
      </c>
      <c r="L41" s="2"/>
      <c r="P41" s="24"/>
      <c r="Q41" s="24"/>
      <c r="R41" s="24"/>
      <c r="S41" s="7" t="s">
        <v>30</v>
      </c>
      <c r="T41" s="22">
        <f>SUMIFS(Tabel1342323[quantity],Tabel1342323[type],"E18",Tabel1342323[resolution],"PT1H")/4</f>
        <v>0</v>
      </c>
      <c r="U41" s="7" t="s">
        <v>46</v>
      </c>
      <c r="V41" s="7" t="s">
        <v>47</v>
      </c>
      <c r="W41" s="7" t="s">
        <v>48</v>
      </c>
      <c r="X41" s="7" t="s">
        <v>49</v>
      </c>
      <c r="Y41" s="27"/>
      <c r="Z41" s="2"/>
      <c r="AA41" s="2"/>
      <c r="AB41" s="36"/>
      <c r="AC41" s="36"/>
      <c r="AD41" s="36" t="str" cm="1">
        <f t="array" ref="AD41">IFERROR(IF($B$2="production",INDEX(_xlfn._xlws.FILTER(Tabel1342323[[type]:[brp_id]],(Tabel1342323[brp_id]=AD26)*(Tabel1342323[type]=$AE$2),""),,7),INDEX(_xlfn._xlws.FILTER(Tabel1342323[[type]:[brp_id]],(Tabel1342323[brp_id]=AD26)*(Tabel1342323[settlement_method]=AE$2),""),,7)),"")</f>
        <v/>
      </c>
      <c r="AE41" s="36"/>
      <c r="AF41" s="36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x14ac:dyDescent="0.25">
      <c r="B42" s="16" t="str">
        <f>IF(AND(F42&lt;&gt;"null",F42&lt;&gt;""),IF(F42=INDEX(Tabel1342323[es_id],MATCH("GLMP",Tabel1342323[note],0),1),"glmp",""),IF(AND(G42&lt;&gt;"null",G42&lt;&gt;""),IF(G42=INDEX(Tabel1342323[brp_id],MATCH("GLMP",Tabel1342323[note],0),1),"glmp",""),IF(E42=INDEX(Tabel1342323[ga_id],MATCH("GLMP",Tabel1342323[note],0),1),"glmp","")))</f>
        <v/>
      </c>
      <c r="C42" s="16" t="str">
        <f>IF(AND(F42&lt;&gt;"null",F42&lt;&gt;""),IF(F42=INDEX(Tabel1342323[es_id],MATCH("SKMP",Tabel1342323[note],0),1),"skmp",""),IF(AND(G42&lt;&gt;"null",G42&lt;&gt;""),IF(G42=INDEX(Tabel1342323[brp_id],MATCH("SKMP",Tabel1342323[note],0),1),"skmp",""),IF(E42=INDEX(Tabel1342323[ga_id],MATCH("SKMP",Tabel1342323[note],0),1),"skmp","")))</f>
        <v/>
      </c>
      <c r="D42" s="15" t="s">
        <v>75</v>
      </c>
      <c r="E42" s="31" t="str">
        <f t="shared" si="4"/>
        <v/>
      </c>
      <c r="F42" s="31" t="str">
        <f>IF(B$1="ga",IF(E42="","","null"),IF(OR(B$1="ga_es",B$1="ga_brp_es"),IF(AC$7=0,"",AC$5),IF(B$1="ga_brp",IF(G42="","","null"))))</f>
        <v/>
      </c>
      <c r="G42" s="31" t="str">
        <f>IF(B$1="ga",IF(E42="","","null"),IF(B$1="ga_es",IF(F42="","","null"),IF(B$1="ga_brp",IF(AD$5=0,"",AD$5),IF(F42="","",INDEX(Tabel1342323[brp_id],MATCH(F42,Tabel1342323[es_id],0),1)))))</f>
        <v/>
      </c>
      <c r="H42" s="33" t="str">
        <f t="shared" si="8"/>
        <v/>
      </c>
      <c r="I42" s="9">
        <f t="shared" si="5"/>
        <v>0</v>
      </c>
      <c r="J42" s="9">
        <f>IF(D42="Quarter1",SUMIFS(Tabel1342323[quantity],IF(OR(B$1="ga_es",B$1="ga_brp_es"),Tabel1342323[es_id],IF(B$1="ga_brp",Tabel1342323[brp_id],Tabel1342323[ga_id])),IF(OR(B$1="ga_es",B$1="ga_brp_es"),F42,IF(B$1="ga_brp",G42,E42)),IF(B$2="production",Tabel1342323[type],Tabel1342323[settlement_method]),AE$2,Tabel1342323[resolution],"PT15M"),0)</f>
        <v>0</v>
      </c>
      <c r="K42" s="9">
        <f t="shared" si="6"/>
        <v>0</v>
      </c>
      <c r="L42" s="2"/>
      <c r="P42" s="24"/>
      <c r="Q42" s="24"/>
      <c r="R42" s="24"/>
      <c r="S42" s="15" t="s">
        <v>51</v>
      </c>
      <c r="T42" s="19">
        <f>T$41</f>
        <v>0</v>
      </c>
      <c r="U42" s="19">
        <f>T42</f>
        <v>0</v>
      </c>
      <c r="V42" s="19"/>
      <c r="W42" s="23">
        <f>ROUND(U42, 3)</f>
        <v>0</v>
      </c>
      <c r="X42" s="23">
        <f>ROUND(T42,3)</f>
        <v>0</v>
      </c>
      <c r="Y42" s="27"/>
      <c r="Z42" s="2"/>
      <c r="AA42" s="2"/>
      <c r="AB42" s="36"/>
      <c r="AC42" s="36" t="str" cm="1">
        <f t="array" ref="AC42">IFERROR(IF($B$2="production",INDEX(_xlfn._xlws.FILTER(Tabel1342323[[type]:[brp_id]],(Tabel1342323[es_id]=AC27)*(Tabel1342323[type]="E18"),""),,6),INDEX(_xlfn._xlws.FILTER(Tabel1342323[[type]:[brp_id]],(Tabel1342323[es_id]=AC27)*(Tabel1342323[settlement_method]=AE$2),""),,6)),"")</f>
        <v/>
      </c>
      <c r="AD42" s="36"/>
      <c r="AE42" s="36"/>
      <c r="AF42" s="36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x14ac:dyDescent="0.25">
      <c r="B43" s="16" t="str">
        <f>IF(AND(F43&lt;&gt;"null",F43&lt;&gt;""),IF(F43=INDEX(Tabel1342323[es_id],MATCH("GLMP",Tabel1342323[note],0),1),"glmp",""),IF(AND(G43&lt;&gt;"null",G43&lt;&gt;""),IF(G43=INDEX(Tabel1342323[brp_id],MATCH("GLMP",Tabel1342323[note],0),1),"glmp",""),IF(E43=INDEX(Tabel1342323[ga_id],MATCH("GLMP",Tabel1342323[note],0),1),"glmp","")))</f>
        <v/>
      </c>
      <c r="C43" s="16" t="str">
        <f>IF(AND(F43&lt;&gt;"null",F43&lt;&gt;""),IF(F43=INDEX(Tabel1342323[es_id],MATCH("SKMP",Tabel1342323[note],0),1),"skmp",""),IF(AND(G43&lt;&gt;"null",G43&lt;&gt;""),IF(G43=INDEX(Tabel1342323[brp_id],MATCH("SKMP",Tabel1342323[note],0),1),"skmp",""),IF(E43=INDEX(Tabel1342323[ga_id],MATCH("SKMP",Tabel1342323[note],0),1),"skmp","")))</f>
        <v/>
      </c>
      <c r="D43" s="15" t="s">
        <v>76</v>
      </c>
      <c r="E43" s="31" t="str">
        <f t="shared" si="4"/>
        <v/>
      </c>
      <c r="F43" s="31" t="str">
        <f t="shared" ref="F43:F45" si="12">IF(B$1="ga",IF(E43="","","null"),IF(OR(B$1="ga_es",B$1="ga_brp_es"),IF(AC$7=0,"",AC$5),IF(B$1="ga_brp",IF(G43="","","null"))))</f>
        <v/>
      </c>
      <c r="G43" s="31" t="str">
        <f>IF(B$1="ga",IF(E43="","","null"),IF(B$1="ga_es",IF(F43="","","null"),IF(B$1="ga_brp",IF(AD$5=0,"",AD$5),IF(F43="","",INDEX(Tabel1342323[brp_id],MATCH(F43,Tabel1342323[es_id],0),1)))))</f>
        <v/>
      </c>
      <c r="H43" s="33" t="str">
        <f t="shared" si="8"/>
        <v/>
      </c>
      <c r="I43" s="9">
        <f t="shared" si="5"/>
        <v>0</v>
      </c>
      <c r="J43" s="9">
        <f>IF(D43="Quarter1",SUMIFS(Tabel1342323[quantity],IF(OR(B$1="ga_es",B$1="ga_brp_es"),Tabel1342323[es_id],IF(B$1="ga_brp",Tabel1342323[brp_id],Tabel1342323[ga_id])),IF(OR(B$1="ga_es",B$1="ga_brp_es"),F43,IF(B$1="ga_brp",G43,E43)),IF(B$2="production",Tabel1342323[type],Tabel1342323[settlement_method]),AE$2,Tabel1342323[resolution],"PT15M"),0)</f>
        <v>0</v>
      </c>
      <c r="K43" s="9">
        <f t="shared" si="6"/>
        <v>0</v>
      </c>
      <c r="L43" s="2"/>
      <c r="P43" s="24"/>
      <c r="Q43" s="24"/>
      <c r="R43" s="24"/>
      <c r="S43" s="15" t="s">
        <v>52</v>
      </c>
      <c r="T43" s="19">
        <f>T$41</f>
        <v>0</v>
      </c>
      <c r="U43" s="19">
        <f>V43+U42</f>
        <v>0</v>
      </c>
      <c r="V43" s="19">
        <f>T43-W42</f>
        <v>0</v>
      </c>
      <c r="W43" s="23">
        <f>ROUND(U43, 3)</f>
        <v>0</v>
      </c>
      <c r="X43" s="23">
        <f>ROUND(T43,3)</f>
        <v>0</v>
      </c>
      <c r="Y43" s="27"/>
      <c r="Z43" s="2"/>
      <c r="AA43" s="2"/>
      <c r="AB43" s="36"/>
      <c r="AC43" s="36"/>
      <c r="AD43" s="36"/>
      <c r="AE43" s="36"/>
      <c r="AF43" s="36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x14ac:dyDescent="0.25">
      <c r="B44" s="16" t="str">
        <f>IF(AND(F44&lt;&gt;"null",F44&lt;&gt;""),IF(F44=INDEX(Tabel1342323[es_id],MATCH("GLMP",Tabel1342323[note],0),1),"glmp",""),IF(AND(G44&lt;&gt;"null",G44&lt;&gt;""),IF(G44=INDEX(Tabel1342323[brp_id],MATCH("GLMP",Tabel1342323[note],0),1),"glmp",""),IF(E44=INDEX(Tabel1342323[ga_id],MATCH("GLMP",Tabel1342323[note],0),1),"glmp","")))</f>
        <v/>
      </c>
      <c r="C44" s="16" t="str">
        <f>IF(AND(F44&lt;&gt;"null",F44&lt;&gt;""),IF(F44=INDEX(Tabel1342323[es_id],MATCH("SKMP",Tabel1342323[note],0),1),"skmp",""),IF(AND(G44&lt;&gt;"null",G44&lt;&gt;""),IF(G44=INDEX(Tabel1342323[brp_id],MATCH("SKMP",Tabel1342323[note],0),1),"skmp",""),IF(E44=INDEX(Tabel1342323[ga_id],MATCH("SKMP",Tabel1342323[note],0),1),"skmp","")))</f>
        <v/>
      </c>
      <c r="D44" s="15" t="s">
        <v>77</v>
      </c>
      <c r="E44" s="31" t="str">
        <f t="shared" si="4"/>
        <v/>
      </c>
      <c r="F44" s="31" t="str">
        <f t="shared" si="12"/>
        <v/>
      </c>
      <c r="G44" s="31" t="str">
        <f>IF(B$1="ga",IF(E44="","","null"),IF(B$1="ga_es",IF(F44="","","null"),IF(B$1="ga_brp",IF(AD$5=0,"",AD$5),IF(F44="","",INDEX(Tabel1342323[brp_id],MATCH(F44,Tabel1342323[es_id],0),1)))))</f>
        <v/>
      </c>
      <c r="H44" s="33" t="str">
        <f t="shared" si="8"/>
        <v/>
      </c>
      <c r="I44" s="9">
        <f t="shared" si="5"/>
        <v>0</v>
      </c>
      <c r="J44" s="9">
        <f>IF(D44="Quarter1",SUMIFS(Tabel1342323[quantity],IF(OR(B$1="ga_es",B$1="ga_brp_es"),Tabel1342323[es_id],IF(B$1="ga_brp",Tabel1342323[brp_id],Tabel1342323[ga_id])),IF(OR(B$1="ga_es",B$1="ga_brp_es"),F44,IF(B$1="ga_brp",G44,E44)),IF(B$2="production",Tabel1342323[type],Tabel1342323[settlement_method]),AE$2,Tabel1342323[resolution],"PT15M"),0)</f>
        <v>0</v>
      </c>
      <c r="K44" s="9">
        <f t="shared" si="6"/>
        <v>0</v>
      </c>
      <c r="L44" s="2"/>
      <c r="P44" s="24"/>
      <c r="Q44" s="24"/>
      <c r="R44" s="24"/>
      <c r="S44" s="15" t="s">
        <v>53</v>
      </c>
      <c r="T44" s="19">
        <f>T$41</f>
        <v>0</v>
      </c>
      <c r="U44" s="19">
        <f>V44+U43</f>
        <v>0</v>
      </c>
      <c r="V44" s="19">
        <f>T44-W43</f>
        <v>0</v>
      </c>
      <c r="W44" s="23">
        <f>ROUND(U44, 3)</f>
        <v>0</v>
      </c>
      <c r="X44" s="23">
        <f>ROUND(T44,3)</f>
        <v>0</v>
      </c>
      <c r="Y44" s="27"/>
      <c r="Z44" s="2"/>
      <c r="AA44" s="2"/>
      <c r="AB44" s="36"/>
      <c r="AC44" s="36"/>
      <c r="AD44" s="36"/>
      <c r="AE44" s="36"/>
      <c r="AF44" s="36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x14ac:dyDescent="0.25">
      <c r="B45" s="16" t="str">
        <f>IF(AND(F45&lt;&gt;"null",F45&lt;&gt;""),IF(F45=INDEX(Tabel1342323[es_id],MATCH("GLMP",Tabel1342323[note],0),1),"glmp",""),IF(AND(G45&lt;&gt;"null",G45&lt;&gt;""),IF(G45=INDEX(Tabel1342323[brp_id],MATCH("GLMP",Tabel1342323[note],0),1),"glmp",""),IF(E45=INDEX(Tabel1342323[ga_id],MATCH("GLMP",Tabel1342323[note],0),1),"glmp","")))</f>
        <v/>
      </c>
      <c r="C45" s="16" t="str">
        <f>IF(AND(F45&lt;&gt;"null",F45&lt;&gt;""),IF(F45=INDEX(Tabel1342323[es_id],MATCH("SKMP",Tabel1342323[note],0),1),"skmp",""),IF(AND(G45&lt;&gt;"null",G45&lt;&gt;""),IF(G45=INDEX(Tabel1342323[brp_id],MATCH("SKMP",Tabel1342323[note],0),1),"skmp",""),IF(E45=INDEX(Tabel1342323[ga_id],MATCH("SKMP",Tabel1342323[note],0),1),"skmp","")))</f>
        <v/>
      </c>
      <c r="D45" s="15" t="s">
        <v>78</v>
      </c>
      <c r="E45" s="31" t="str">
        <f t="shared" si="4"/>
        <v/>
      </c>
      <c r="F45" s="31" t="str">
        <f t="shared" si="12"/>
        <v/>
      </c>
      <c r="G45" s="31" t="str">
        <f>IF(B$1="ga",IF(E45="","","null"),IF(B$1="ga_es",IF(F45="","","null"),IF(B$1="ga_brp",IF(AD$5=0,"",AD$5),IF(F45="","",INDEX(Tabel1342323[brp_id],MATCH(F45,Tabel1342323[es_id],0),1)))))</f>
        <v/>
      </c>
      <c r="H45" s="33" t="str">
        <f t="shared" si="8"/>
        <v/>
      </c>
      <c r="I45" s="9">
        <f t="shared" si="5"/>
        <v>0</v>
      </c>
      <c r="J45" s="9">
        <f>IF(D45="Quarter1",SUMIFS(Tabel1342323[quantity],IF(OR(B$1="ga_es",B$1="ga_brp_es"),Tabel1342323[es_id],IF(B$1="ga_brp",Tabel1342323[brp_id],Tabel1342323[ga_id])),IF(OR(B$1="ga_es",B$1="ga_brp_es"),F45,IF(B$1="ga_brp",G45,E45)),IF(B$2="production",Tabel1342323[type],Tabel1342323[settlement_method]),AE$2,Tabel1342323[resolution],"PT15M"),0)</f>
        <v>0</v>
      </c>
      <c r="K45" s="9">
        <f t="shared" si="6"/>
        <v>0</v>
      </c>
      <c r="L45" s="2"/>
      <c r="P45" s="24"/>
      <c r="Q45" s="24"/>
      <c r="R45" s="24"/>
      <c r="S45" s="15" t="s">
        <v>54</v>
      </c>
      <c r="T45" s="19">
        <f>T$41</f>
        <v>0</v>
      </c>
      <c r="U45" s="19">
        <f>V45+U44</f>
        <v>0</v>
      </c>
      <c r="V45" s="19">
        <f>T45-W44</f>
        <v>0</v>
      </c>
      <c r="W45" s="23">
        <f>ROUND(U45, 3)</f>
        <v>0</v>
      </c>
      <c r="X45" s="23">
        <f>ROUND(T45,3)</f>
        <v>0</v>
      </c>
      <c r="Y45" s="27"/>
      <c r="Z45" s="2"/>
      <c r="AA45" s="2"/>
      <c r="AB45" s="36"/>
      <c r="AC45" s="36"/>
      <c r="AD45" s="36"/>
      <c r="AE45" s="36"/>
      <c r="AF45" s="36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ht="23.25" x14ac:dyDescent="0.35">
      <c r="C46" s="2"/>
      <c r="E46" s="45" t="s">
        <v>35</v>
      </c>
      <c r="F46" s="45"/>
      <c r="G46" s="45"/>
      <c r="H46" s="45"/>
      <c r="P46" s="24"/>
      <c r="Q46" s="24"/>
      <c r="R46" s="24"/>
      <c r="S46" s="24"/>
      <c r="T46" s="28">
        <f>SUMIFS(Tabel1342323[quantity],Tabel1342323[settlement_method],"E02",Tabel1342323[resolution],"PT1H")</f>
        <v>0</v>
      </c>
      <c r="U46" s="43" t="s">
        <v>50</v>
      </c>
      <c r="V46" s="44"/>
      <c r="W46" s="28">
        <f>SUM(W48:W51)</f>
        <v>0</v>
      </c>
      <c r="X46" s="21">
        <f>SUM(X48:X51)</f>
        <v>0</v>
      </c>
      <c r="Y46" s="27"/>
      <c r="Z46" s="2"/>
      <c r="AA46" s="2"/>
      <c r="AB46" s="36"/>
      <c r="AC46" s="36"/>
      <c r="AD46" s="36"/>
      <c r="AE46" s="36"/>
      <c r="AF46" s="36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ht="18.75" x14ac:dyDescent="0.3">
      <c r="C47" s="2"/>
      <c r="D47" s="4" t="s">
        <v>21</v>
      </c>
      <c r="E47" s="4" t="s">
        <v>19</v>
      </c>
      <c r="F47" s="5" t="s">
        <v>0</v>
      </c>
      <c r="G47" s="5" t="s">
        <v>1</v>
      </c>
      <c r="H47" s="5" t="s">
        <v>2</v>
      </c>
      <c r="P47" s="24"/>
      <c r="Q47" s="24"/>
      <c r="R47" s="24"/>
      <c r="S47" s="7" t="s">
        <v>45</v>
      </c>
      <c r="T47" s="9">
        <f>SUMIFS(Tabel1342323[quantity],Tabel1342323[settlement_method],"E02",Tabel1342323[resolution],"PT1H")/4</f>
        <v>0</v>
      </c>
      <c r="U47" s="7" t="s">
        <v>46</v>
      </c>
      <c r="V47" s="7" t="s">
        <v>47</v>
      </c>
      <c r="W47" s="7" t="s">
        <v>48</v>
      </c>
      <c r="X47" s="7" t="s">
        <v>49</v>
      </c>
      <c r="Y47" s="27"/>
      <c r="Z47" s="2"/>
      <c r="AA47" s="2"/>
      <c r="AB47" s="36"/>
      <c r="AC47" s="36"/>
      <c r="AD47" s="36"/>
      <c r="AE47" s="36"/>
      <c r="AF47" s="36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x14ac:dyDescent="0.25">
      <c r="A48" s="2"/>
      <c r="B48" s="2"/>
      <c r="C48" s="2"/>
      <c r="D48" s="8" t="s">
        <v>3</v>
      </c>
      <c r="E48" s="31" t="str">
        <f>$AF$2</f>
        <v>800</v>
      </c>
      <c r="F48" s="31" t="s">
        <v>34</v>
      </c>
      <c r="G48" s="31" t="s">
        <v>34</v>
      </c>
      <c r="H48" s="32">
        <f>powerIn1H_quarter1+powerIn15M-powerOut1H_quarter1-powerOut15M</f>
        <v>7.5830000000000002</v>
      </c>
      <c r="P48" s="24"/>
      <c r="Q48" s="24"/>
      <c r="R48" s="24"/>
      <c r="S48" s="15" t="s">
        <v>59</v>
      </c>
      <c r="T48" s="19">
        <f>T$47</f>
        <v>0</v>
      </c>
      <c r="U48" s="19">
        <f>T48</f>
        <v>0</v>
      </c>
      <c r="V48" s="19"/>
      <c r="W48" s="23">
        <f>ROUND(U48, 3)</f>
        <v>0</v>
      </c>
      <c r="X48" s="23">
        <f>ROUND(T48,3)</f>
        <v>0</v>
      </c>
      <c r="Y48" s="27"/>
      <c r="Z48" s="2"/>
      <c r="AA48" s="2"/>
      <c r="AB48" s="36"/>
      <c r="AC48" s="36"/>
      <c r="AD48" s="36"/>
      <c r="AE48" s="36"/>
      <c r="AF48" s="36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x14ac:dyDescent="0.25">
      <c r="A49" s="2"/>
      <c r="B49" s="2"/>
      <c r="C49" s="2"/>
      <c r="D49" s="8" t="s">
        <v>4</v>
      </c>
      <c r="E49" s="31" t="str">
        <f>$AF$2</f>
        <v>800</v>
      </c>
      <c r="F49" s="31" t="s">
        <v>34</v>
      </c>
      <c r="G49" s="31" t="s">
        <v>34</v>
      </c>
      <c r="H49" s="32">
        <f>powerIn1H_quarter2-powerOut1H_quarter2</f>
        <v>7.5839999999999996</v>
      </c>
      <c r="P49" s="24"/>
      <c r="Q49" s="24"/>
      <c r="R49" s="24"/>
      <c r="S49" s="15" t="s">
        <v>60</v>
      </c>
      <c r="T49" s="19">
        <f>T$47</f>
        <v>0</v>
      </c>
      <c r="U49" s="19">
        <f>V49+U48</f>
        <v>0</v>
      </c>
      <c r="V49" s="19">
        <f>T49-W48</f>
        <v>0</v>
      </c>
      <c r="W49" s="23">
        <f>ROUND(U49, 3)</f>
        <v>0</v>
      </c>
      <c r="X49" s="23">
        <f>ROUND(T49,3)</f>
        <v>0</v>
      </c>
      <c r="Y49" s="27"/>
      <c r="Z49" s="2"/>
      <c r="AA49" s="2"/>
      <c r="AB49" s="2"/>
      <c r="AC49" s="2"/>
      <c r="AD49" s="2"/>
      <c r="AE49" s="27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x14ac:dyDescent="0.25">
      <c r="A50" s="2"/>
      <c r="B50" s="2"/>
      <c r="C50" s="2"/>
      <c r="D50" s="8" t="s">
        <v>5</v>
      </c>
      <c r="E50" s="31" t="str">
        <f>$AF$2</f>
        <v>800</v>
      </c>
      <c r="F50" s="31" t="s">
        <v>34</v>
      </c>
      <c r="G50" s="31" t="s">
        <v>34</v>
      </c>
      <c r="H50" s="32">
        <f>powerIn1H_quarter3-powerOut1H_quarter3</f>
        <v>7.5830000000000002</v>
      </c>
      <c r="P50" s="24"/>
      <c r="Q50" s="24"/>
      <c r="R50" s="24"/>
      <c r="S50" s="15" t="s">
        <v>61</v>
      </c>
      <c r="T50" s="19">
        <f>T$47</f>
        <v>0</v>
      </c>
      <c r="U50" s="19">
        <f>V50+U49</f>
        <v>0</v>
      </c>
      <c r="V50" s="19">
        <f>T50-W49</f>
        <v>0</v>
      </c>
      <c r="W50" s="23">
        <f>ROUND(U50, 3)</f>
        <v>0</v>
      </c>
      <c r="X50" s="23">
        <f>ROUND(T50,3)</f>
        <v>0</v>
      </c>
      <c r="Y50" s="24"/>
      <c r="Z50" s="2"/>
      <c r="AA50" s="2"/>
      <c r="AB50" s="2"/>
      <c r="AC50" s="2"/>
      <c r="AD50" s="2"/>
      <c r="AE50" s="27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x14ac:dyDescent="0.25">
      <c r="A51" s="2"/>
      <c r="B51" s="2"/>
      <c r="C51" s="2"/>
      <c r="D51" s="8" t="s">
        <v>6</v>
      </c>
      <c r="E51" s="31" t="str">
        <f>$AF$2</f>
        <v>800</v>
      </c>
      <c r="F51" s="31" t="s">
        <v>34</v>
      </c>
      <c r="G51" s="31" t="s">
        <v>34</v>
      </c>
      <c r="H51" s="32">
        <f>powerIn1H_quarter4-powerOut1H_quarter4</f>
        <v>7.5830000000000002</v>
      </c>
      <c r="P51" s="24"/>
      <c r="Q51" s="24"/>
      <c r="R51" s="24"/>
      <c r="S51" s="15" t="s">
        <v>62</v>
      </c>
      <c r="T51" s="19">
        <f>T$47</f>
        <v>0</v>
      </c>
      <c r="U51" s="19">
        <f>V51+U50</f>
        <v>0</v>
      </c>
      <c r="V51" s="19">
        <f>T51-W50</f>
        <v>0</v>
      </c>
      <c r="W51" s="23">
        <f>ROUND(U51, 3)</f>
        <v>0</v>
      </c>
      <c r="X51" s="23">
        <f>ROUND(T51,3)</f>
        <v>0</v>
      </c>
      <c r="Y51" s="24"/>
      <c r="Z51" s="2"/>
      <c r="AA51" s="2"/>
      <c r="AB51" s="2"/>
      <c r="AC51" s="2"/>
      <c r="AD51" s="2"/>
      <c r="AE51" s="27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ht="23.25" x14ac:dyDescent="0.35">
      <c r="A52" s="2"/>
      <c r="B52" s="2"/>
      <c r="C52" s="2"/>
      <c r="E52" s="39" t="s">
        <v>37</v>
      </c>
      <c r="F52" s="40"/>
      <c r="G52" s="40"/>
      <c r="H52" s="41"/>
      <c r="P52" s="24"/>
      <c r="Q52" s="24"/>
      <c r="R52" s="24"/>
      <c r="S52" s="24"/>
      <c r="T52" s="28">
        <f>ROUND(SUMIFS(Tabel1342323[quantity],Tabel1342323[type],"E20",Tabel1342323[resolution],"PT1H",Tabel1342323[to_ga],"800"),3)</f>
        <v>30.332999999999998</v>
      </c>
      <c r="U52" s="43" t="s">
        <v>50</v>
      </c>
      <c r="V52" s="44"/>
      <c r="W52" s="28">
        <f>ROUND(SUM(W54:W57),3)</f>
        <v>30.332999999999998</v>
      </c>
      <c r="X52" s="21">
        <f>SUM(X54:X57)</f>
        <v>30.332000000000001</v>
      </c>
      <c r="Y52" s="24"/>
      <c r="Z52" s="2"/>
      <c r="AA52" s="2"/>
      <c r="AB52" s="2"/>
      <c r="AC52" s="2"/>
      <c r="AD52" s="2"/>
      <c r="AE52" s="27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ht="18.75" x14ac:dyDescent="0.3">
      <c r="A53" s="2"/>
      <c r="B53" s="2"/>
      <c r="C53" s="2"/>
      <c r="D53" s="4" t="s">
        <v>21</v>
      </c>
      <c r="E53" s="4" t="s">
        <v>19</v>
      </c>
      <c r="F53" s="5" t="s">
        <v>0</v>
      </c>
      <c r="G53" s="5" t="s">
        <v>1</v>
      </c>
      <c r="H53" s="5" t="s">
        <v>2</v>
      </c>
      <c r="P53" s="24"/>
      <c r="Q53" s="24"/>
      <c r="R53" s="24"/>
      <c r="S53" s="6" t="s">
        <v>31</v>
      </c>
      <c r="T53" s="9">
        <f>SUMIFS(Tabel1342323[quantity],Tabel1342323[type],"E20",Tabel1342323[resolution],"PT1H",Tabel1342323[to_ga],"800")/4</f>
        <v>7.5832499999999996</v>
      </c>
      <c r="U53" s="7" t="s">
        <v>46</v>
      </c>
      <c r="V53" s="7" t="s">
        <v>47</v>
      </c>
      <c r="W53" s="7" t="s">
        <v>48</v>
      </c>
      <c r="X53" s="7" t="s">
        <v>49</v>
      </c>
      <c r="Y53" s="24"/>
      <c r="Z53" s="2"/>
      <c r="AA53" s="2"/>
      <c r="AB53" s="2"/>
      <c r="AC53" s="2"/>
      <c r="AD53" s="2"/>
      <c r="AE53" s="27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x14ac:dyDescent="0.25">
      <c r="A54" s="2"/>
      <c r="B54" s="2"/>
      <c r="C54" s="2"/>
      <c r="D54" s="8" t="s">
        <v>3</v>
      </c>
      <c r="E54" s="31" t="str">
        <f>$AF$2</f>
        <v>800</v>
      </c>
      <c r="F54" s="31" t="s">
        <v>34</v>
      </c>
      <c r="G54" s="31" t="s">
        <v>34</v>
      </c>
      <c r="H54" s="32">
        <f>totalFlex1H_quarter1+totalFlex15M</f>
        <v>0</v>
      </c>
      <c r="P54" s="24"/>
      <c r="Q54" s="24"/>
      <c r="R54" s="24"/>
      <c r="S54" s="15" t="s">
        <v>63</v>
      </c>
      <c r="T54" s="19">
        <f>T$53</f>
        <v>7.5832499999999996</v>
      </c>
      <c r="U54" s="19">
        <f>T54</f>
        <v>7.5832499999999996</v>
      </c>
      <c r="V54" s="19"/>
      <c r="W54" s="23">
        <f>ROUND(U54, 3)</f>
        <v>7.5830000000000002</v>
      </c>
      <c r="X54" s="23">
        <f>ROUND(T54,3)</f>
        <v>7.5830000000000002</v>
      </c>
      <c r="Y54" s="24"/>
      <c r="Z54" s="2"/>
      <c r="AA54" s="2"/>
      <c r="AB54" s="2"/>
      <c r="AC54" s="2"/>
      <c r="AD54" s="2"/>
      <c r="AE54" s="27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x14ac:dyDescent="0.25">
      <c r="A55" s="2"/>
      <c r="B55" s="2"/>
      <c r="C55" s="2"/>
      <c r="D55" s="8" t="s">
        <v>4</v>
      </c>
      <c r="E55" s="31" t="str">
        <f>$AF$2</f>
        <v>800</v>
      </c>
      <c r="F55" s="31" t="s">
        <v>34</v>
      </c>
      <c r="G55" s="31" t="s">
        <v>34</v>
      </c>
      <c r="H55" s="32">
        <f>totalFlex1H_quarter2</f>
        <v>0</v>
      </c>
      <c r="P55" s="24"/>
      <c r="Q55" s="24"/>
      <c r="R55" s="24"/>
      <c r="S55" s="15" t="s">
        <v>64</v>
      </c>
      <c r="T55" s="19">
        <f>T$53</f>
        <v>7.5832499999999996</v>
      </c>
      <c r="U55" s="19">
        <f>V55+U54</f>
        <v>7.583499999999999</v>
      </c>
      <c r="V55" s="19">
        <f>T55-W54</f>
        <v>2.4999999999941735E-4</v>
      </c>
      <c r="W55" s="23">
        <f>ROUND(U55, 3)</f>
        <v>7.5839999999999996</v>
      </c>
      <c r="X55" s="23">
        <f>ROUND(T55,3)</f>
        <v>7.5830000000000002</v>
      </c>
      <c r="Y55" s="24"/>
      <c r="Z55" s="2"/>
      <c r="AA55" s="2"/>
      <c r="AB55" s="2"/>
      <c r="AC55" s="2"/>
      <c r="AD55" s="2"/>
      <c r="AE55" s="27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x14ac:dyDescent="0.25">
      <c r="A56" s="2"/>
      <c r="B56" s="2"/>
      <c r="C56" s="2"/>
      <c r="D56" s="8" t="s">
        <v>5</v>
      </c>
      <c r="E56" s="31" t="str">
        <f>$AF$2</f>
        <v>800</v>
      </c>
      <c r="F56" s="31" t="s">
        <v>34</v>
      </c>
      <c r="G56" s="31" t="s">
        <v>34</v>
      </c>
      <c r="H56" s="32">
        <f>totalFlex1H_quarter3</f>
        <v>0</v>
      </c>
      <c r="P56" s="24"/>
      <c r="Q56" s="24"/>
      <c r="R56" s="24"/>
      <c r="S56" s="15" t="s">
        <v>65</v>
      </c>
      <c r="T56" s="19">
        <f>T$53</f>
        <v>7.5832499999999996</v>
      </c>
      <c r="U56" s="19">
        <f>V56+U55</f>
        <v>7.582749999999999</v>
      </c>
      <c r="V56" s="19">
        <f>T56-W55</f>
        <v>-7.5000000000002842E-4</v>
      </c>
      <c r="W56" s="23">
        <f>ROUND(U56, 3)</f>
        <v>7.5830000000000002</v>
      </c>
      <c r="X56" s="23">
        <f>ROUND(T56,3)</f>
        <v>7.5830000000000002</v>
      </c>
      <c r="Y56" s="24"/>
      <c r="Z56" s="2"/>
      <c r="AA56" s="2"/>
      <c r="AB56" s="2"/>
      <c r="AC56" s="2"/>
      <c r="AD56" s="2"/>
      <c r="AE56" s="27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x14ac:dyDescent="0.25">
      <c r="A57" s="2"/>
      <c r="B57" s="2"/>
      <c r="C57" s="2"/>
      <c r="D57" s="8" t="s">
        <v>6</v>
      </c>
      <c r="E57" s="31" t="str">
        <f>$AF$2</f>
        <v>800</v>
      </c>
      <c r="F57" s="31" t="s">
        <v>34</v>
      </c>
      <c r="G57" s="31" t="s">
        <v>34</v>
      </c>
      <c r="H57" s="32">
        <f>totalFlex1H_quarter4</f>
        <v>0</v>
      </c>
      <c r="P57" s="24"/>
      <c r="Q57" s="24"/>
      <c r="R57" s="24"/>
      <c r="S57" s="15" t="s">
        <v>66</v>
      </c>
      <c r="T57" s="19">
        <f>T$53</f>
        <v>7.5832499999999996</v>
      </c>
      <c r="U57" s="19">
        <f>V57+U56</f>
        <v>7.5829999999999984</v>
      </c>
      <c r="V57" s="19">
        <f>T57-W56</f>
        <v>2.4999999999941735E-4</v>
      </c>
      <c r="W57" s="23">
        <f>ROUND(U57, 3)</f>
        <v>7.5830000000000002</v>
      </c>
      <c r="X57" s="23">
        <f>ROUND(T57,3)</f>
        <v>7.5830000000000002</v>
      </c>
      <c r="Y57" s="27"/>
      <c r="Z57" s="2"/>
      <c r="AA57" s="2"/>
      <c r="AB57" s="2"/>
      <c r="AC57" s="2"/>
      <c r="AD57" s="2"/>
      <c r="AE57" s="27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ht="23.25" x14ac:dyDescent="0.35">
      <c r="A58" s="2"/>
      <c r="B58" s="2"/>
      <c r="C58" s="2"/>
      <c r="E58" s="39" t="s">
        <v>38</v>
      </c>
      <c r="F58" s="40"/>
      <c r="G58" s="40"/>
      <c r="H58" s="41"/>
      <c r="P58" s="24"/>
      <c r="Q58" s="24"/>
      <c r="R58" s="24"/>
      <c r="S58" s="24"/>
      <c r="T58" s="28">
        <f>ROUND(SUMIFS(Tabel1342323[quantity],Tabel1342323[type],"E20",Tabel1342323[resolution],"PT1H",Tabel1342323[from_ga],"800"),3)</f>
        <v>0</v>
      </c>
      <c r="U58" s="43" t="s">
        <v>50</v>
      </c>
      <c r="V58" s="44"/>
      <c r="W58" s="28">
        <f>ROUND(SUM(W60:W63),3)</f>
        <v>0</v>
      </c>
      <c r="X58" s="21">
        <f>SUM(X60:X63)</f>
        <v>0</v>
      </c>
      <c r="Y58" s="27"/>
      <c r="Z58" s="2"/>
      <c r="AA58" s="2"/>
      <c r="AB58" s="2"/>
      <c r="AC58" s="2"/>
      <c r="AD58" s="2"/>
      <c r="AE58" s="27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ht="18.75" x14ac:dyDescent="0.3">
      <c r="A59" s="2"/>
      <c r="B59" s="2"/>
      <c r="C59" s="2"/>
      <c r="D59" s="4" t="s">
        <v>21</v>
      </c>
      <c r="E59" s="4" t="s">
        <v>19</v>
      </c>
      <c r="F59" s="5" t="s">
        <v>0</v>
      </c>
      <c r="G59" s="5" t="s">
        <v>1</v>
      </c>
      <c r="H59" s="5" t="s">
        <v>2</v>
      </c>
      <c r="P59" s="24"/>
      <c r="Q59" s="24"/>
      <c r="R59" s="24"/>
      <c r="S59" s="6" t="s">
        <v>33</v>
      </c>
      <c r="T59" s="9">
        <f>SUMIFS(Tabel1342323[quantity],Tabel1342323[type],"E20",Tabel1342323[resolution],"PT1H",Tabel1342323[from_ga],"800")/4</f>
        <v>0</v>
      </c>
      <c r="U59" s="7" t="s">
        <v>46</v>
      </c>
      <c r="V59" s="7" t="s">
        <v>47</v>
      </c>
      <c r="W59" s="7" t="s">
        <v>48</v>
      </c>
      <c r="X59" s="7" t="s">
        <v>49</v>
      </c>
      <c r="Y59" s="27"/>
      <c r="Z59" s="2"/>
      <c r="AA59" s="2"/>
      <c r="AB59" s="2"/>
      <c r="AC59" s="2"/>
      <c r="AD59" s="2"/>
      <c r="AE59" s="27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x14ac:dyDescent="0.25">
      <c r="C60" s="2"/>
      <c r="D60" s="8" t="s">
        <v>3</v>
      </c>
      <c r="E60" s="31" t="str">
        <f>$AF$2</f>
        <v>800</v>
      </c>
      <c r="F60" s="31" t="s">
        <v>34</v>
      </c>
      <c r="G60" s="31" t="s">
        <v>34</v>
      </c>
      <c r="H60" s="32">
        <f>totalProduction1H_quarter1+totalProduction15M</f>
        <v>0</v>
      </c>
      <c r="P60" s="24"/>
      <c r="Q60" s="24"/>
      <c r="R60" s="24"/>
      <c r="S60" s="15" t="s">
        <v>67</v>
      </c>
      <c r="T60" s="19">
        <f>T$59</f>
        <v>0</v>
      </c>
      <c r="U60" s="19">
        <f>T60</f>
        <v>0</v>
      </c>
      <c r="V60" s="19"/>
      <c r="W60" s="23">
        <f>ROUND(U60, 3)</f>
        <v>0</v>
      </c>
      <c r="X60" s="23">
        <f>ROUND(T60,3)</f>
        <v>0</v>
      </c>
      <c r="Y60" s="27"/>
      <c r="Z60" s="2"/>
      <c r="AA60" s="2"/>
      <c r="AB60" s="2"/>
      <c r="AC60" s="2"/>
      <c r="AD60" s="2"/>
      <c r="AE60" s="27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x14ac:dyDescent="0.25">
      <c r="C61" s="2"/>
      <c r="D61" s="8" t="s">
        <v>4</v>
      </c>
      <c r="E61" s="31" t="str">
        <f>$AF$2</f>
        <v>800</v>
      </c>
      <c r="F61" s="31" t="s">
        <v>34</v>
      </c>
      <c r="G61" s="31" t="s">
        <v>34</v>
      </c>
      <c r="H61" s="32">
        <f>totalProduction1H_quarter2</f>
        <v>0</v>
      </c>
      <c r="P61" s="24"/>
      <c r="Q61" s="24"/>
      <c r="R61" s="24"/>
      <c r="S61" s="15" t="s">
        <v>68</v>
      </c>
      <c r="T61" s="19">
        <f>T$59</f>
        <v>0</v>
      </c>
      <c r="U61" s="19">
        <f>V61+U60</f>
        <v>0</v>
      </c>
      <c r="V61" s="19">
        <f>T61-W60</f>
        <v>0</v>
      </c>
      <c r="W61" s="23">
        <f>ROUND(U61, 3)</f>
        <v>0</v>
      </c>
      <c r="X61" s="23">
        <f>ROUND(T61,3)</f>
        <v>0</v>
      </c>
      <c r="Y61" s="27"/>
      <c r="Z61" s="2"/>
      <c r="AA61" s="2"/>
      <c r="AB61" s="2"/>
      <c r="AC61" s="2"/>
      <c r="AD61" s="2"/>
      <c r="AE61" s="27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x14ac:dyDescent="0.25">
      <c r="C62" s="2"/>
      <c r="D62" s="8" t="s">
        <v>5</v>
      </c>
      <c r="E62" s="31" t="str">
        <f>$AF$2</f>
        <v>800</v>
      </c>
      <c r="F62" s="31" t="s">
        <v>34</v>
      </c>
      <c r="G62" s="31" t="s">
        <v>34</v>
      </c>
      <c r="H62" s="32">
        <f>totalProduction1H_quarter3</f>
        <v>0</v>
      </c>
      <c r="P62" s="24"/>
      <c r="Q62" s="24"/>
      <c r="R62" s="24"/>
      <c r="S62" s="15" t="s">
        <v>69</v>
      </c>
      <c r="T62" s="19">
        <f>T$59</f>
        <v>0</v>
      </c>
      <c r="U62" s="19">
        <f>V62+U61</f>
        <v>0</v>
      </c>
      <c r="V62" s="19">
        <f>T62-W61</f>
        <v>0</v>
      </c>
      <c r="W62" s="23">
        <f>ROUND(U62, 3)</f>
        <v>0</v>
      </c>
      <c r="X62" s="23">
        <f>ROUND(T62,3)</f>
        <v>0</v>
      </c>
      <c r="Y62" s="27"/>
      <c r="Z62" s="2"/>
      <c r="AA62" s="2"/>
      <c r="AB62" s="2"/>
      <c r="AC62" s="2"/>
      <c r="AD62" s="2"/>
      <c r="AE62" s="27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x14ac:dyDescent="0.25">
      <c r="C63" s="2"/>
      <c r="D63" s="8" t="s">
        <v>6</v>
      </c>
      <c r="E63" s="31" t="str">
        <f>$AF$2</f>
        <v>800</v>
      </c>
      <c r="F63" s="31" t="s">
        <v>34</v>
      </c>
      <c r="G63" s="31" t="s">
        <v>34</v>
      </c>
      <c r="H63" s="32">
        <f>totalProduction1H_quarter4</f>
        <v>0</v>
      </c>
      <c r="P63" s="24"/>
      <c r="Q63" s="24"/>
      <c r="R63" s="24"/>
      <c r="S63" s="15" t="s">
        <v>70</v>
      </c>
      <c r="T63" s="19">
        <f>T$59</f>
        <v>0</v>
      </c>
      <c r="U63" s="19">
        <f>V63+U62</f>
        <v>0</v>
      </c>
      <c r="V63" s="19">
        <f>T63-W62</f>
        <v>0</v>
      </c>
      <c r="W63" s="23">
        <f>ROUND(U63, 3)</f>
        <v>0</v>
      </c>
      <c r="X63" s="23">
        <f>ROUND(T63,3)</f>
        <v>0</v>
      </c>
      <c r="Y63" s="27"/>
      <c r="Z63" s="2"/>
      <c r="AA63" s="2"/>
      <c r="AB63" s="2"/>
      <c r="AC63" s="2"/>
      <c r="AD63" s="2"/>
      <c r="AE63" s="27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ht="23.25" x14ac:dyDescent="0.35">
      <c r="C64" s="2"/>
      <c r="E64" s="39" t="s">
        <v>39</v>
      </c>
      <c r="F64" s="40"/>
      <c r="G64" s="40"/>
      <c r="H64" s="41"/>
      <c r="P64" s="24"/>
      <c r="Q64" s="24"/>
      <c r="R64" s="24"/>
      <c r="S64" s="24"/>
      <c r="T64" s="28">
        <f>ROUND(SUMIFS(Tabel1342323[quantity],Tabel1342323[type],"E17",Tabel1342323[resolution],"PT1H"),3)</f>
        <v>0</v>
      </c>
      <c r="U64" s="43" t="s">
        <v>50</v>
      </c>
      <c r="V64" s="44"/>
      <c r="W64" s="28">
        <f>ROUND(SUM(W66:W69),3)</f>
        <v>0</v>
      </c>
      <c r="X64" s="21">
        <f>SUM(X66:X69)</f>
        <v>0</v>
      </c>
      <c r="Y64" s="27"/>
      <c r="Z64" s="2"/>
      <c r="AA64" s="2"/>
      <c r="AB64" s="2"/>
      <c r="AC64" s="2"/>
      <c r="AD64" s="2"/>
      <c r="AE64" s="27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3:90" ht="18.75" x14ac:dyDescent="0.3">
      <c r="C65" s="2"/>
      <c r="D65" s="4" t="s">
        <v>21</v>
      </c>
      <c r="E65" s="4" t="s">
        <v>19</v>
      </c>
      <c r="F65" s="5" t="s">
        <v>0</v>
      </c>
      <c r="G65" s="5" t="s">
        <v>1</v>
      </c>
      <c r="H65" s="5" t="s">
        <v>2</v>
      </c>
      <c r="P65" s="24"/>
      <c r="Q65" s="24"/>
      <c r="R65" s="24"/>
      <c r="S65" s="7" t="s">
        <v>28</v>
      </c>
      <c r="T65" s="9">
        <f>SUMIFS(Tabel1342323[quantity],Tabel1342323[type],"E17",Tabel1342323[resolution],"PT1H")/4</f>
        <v>0</v>
      </c>
      <c r="U65" s="7" t="s">
        <v>46</v>
      </c>
      <c r="V65" s="7" t="s">
        <v>47</v>
      </c>
      <c r="W65" s="7" t="s">
        <v>48</v>
      </c>
      <c r="X65" s="7" t="s">
        <v>49</v>
      </c>
      <c r="Y65" s="27"/>
      <c r="Z65" s="2"/>
      <c r="AA65" s="2"/>
      <c r="AB65" s="2"/>
      <c r="AC65" s="2"/>
      <c r="AD65" s="2"/>
      <c r="AE65" s="27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3:90" x14ac:dyDescent="0.25">
      <c r="C66" s="2"/>
      <c r="D66" s="8" t="s">
        <v>3</v>
      </c>
      <c r="E66" s="31" t="str">
        <f>$AF$2</f>
        <v>800</v>
      </c>
      <c r="F66" s="31" t="s">
        <v>34</v>
      </c>
      <c r="G66" s="31" t="s">
        <v>34</v>
      </c>
      <c r="H66" s="32">
        <f>totalProduction1H_quarter1+totalProduction15M+netEx_quarter1-totalFlex1H_quarter1-totalFlex15M-totalNonprofiled1H_quarter1-totalNonprofiled15M</f>
        <v>7.5830000000000002</v>
      </c>
      <c r="P66" s="24"/>
      <c r="Q66" s="24"/>
      <c r="R66" s="24"/>
      <c r="S66" s="15" t="s">
        <v>71</v>
      </c>
      <c r="T66" s="19">
        <f>T$65</f>
        <v>0</v>
      </c>
      <c r="U66" s="19">
        <f>T66</f>
        <v>0</v>
      </c>
      <c r="V66" s="19"/>
      <c r="W66" s="23">
        <f>ROUND(U66, 3)</f>
        <v>0</v>
      </c>
      <c r="X66" s="23">
        <f>ROUND(T66,3)</f>
        <v>0</v>
      </c>
      <c r="Y66" s="27"/>
      <c r="Z66" s="2"/>
      <c r="AA66" s="2"/>
      <c r="AB66" s="2"/>
      <c r="AC66" s="2"/>
      <c r="AD66" s="2"/>
      <c r="AE66" s="27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3:90" x14ac:dyDescent="0.25">
      <c r="C67" s="2"/>
      <c r="D67" s="8" t="s">
        <v>4</v>
      </c>
      <c r="E67" s="31" t="str">
        <f>$AF$2</f>
        <v>800</v>
      </c>
      <c r="F67" s="31" t="s">
        <v>34</v>
      </c>
      <c r="G67" s="31" t="s">
        <v>34</v>
      </c>
      <c r="H67" s="32">
        <f>totalProduction1H_quarter2+netEx_quarter2-totalFlex1H_quarter2-totalNonprofiled1H_quarter2</f>
        <v>7.5839999999999996</v>
      </c>
      <c r="P67" s="24"/>
      <c r="Q67" s="24"/>
      <c r="R67" s="24"/>
      <c r="S67" s="15" t="s">
        <v>72</v>
      </c>
      <c r="T67" s="19">
        <f>T$65</f>
        <v>0</v>
      </c>
      <c r="U67" s="19">
        <f>V67+U66</f>
        <v>0</v>
      </c>
      <c r="V67" s="19">
        <f>T67-W66</f>
        <v>0</v>
      </c>
      <c r="W67" s="23">
        <f>ROUND(U67, 3)</f>
        <v>0</v>
      </c>
      <c r="X67" s="23">
        <f>ROUND(T67,3)</f>
        <v>0</v>
      </c>
      <c r="Y67" s="27"/>
      <c r="Z67" s="2"/>
      <c r="AA67" s="2"/>
      <c r="AB67" s="2"/>
      <c r="AC67" s="2"/>
      <c r="AD67" s="2"/>
      <c r="AE67" s="27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3:90" x14ac:dyDescent="0.25">
      <c r="C68" s="2"/>
      <c r="D68" s="8" t="s">
        <v>5</v>
      </c>
      <c r="E68" s="31" t="str">
        <f>$AF$2</f>
        <v>800</v>
      </c>
      <c r="F68" s="31" t="s">
        <v>34</v>
      </c>
      <c r="G68" s="31" t="s">
        <v>34</v>
      </c>
      <c r="H68" s="32">
        <f>totalProduction1H_quarter3+netEx_quarter3-totalFlex1H_quarter3-totalNonprofiled1H_quarter3</f>
        <v>7.5830000000000002</v>
      </c>
      <c r="P68" s="24"/>
      <c r="Q68" s="24"/>
      <c r="R68" s="24"/>
      <c r="S68" s="15" t="s">
        <v>73</v>
      </c>
      <c r="T68" s="19">
        <f>T$65</f>
        <v>0</v>
      </c>
      <c r="U68" s="19">
        <f>V68+U67</f>
        <v>0</v>
      </c>
      <c r="V68" s="19">
        <f>T68-W67</f>
        <v>0</v>
      </c>
      <c r="W68" s="23">
        <f>ROUND(U68, 3)</f>
        <v>0</v>
      </c>
      <c r="X68" s="23">
        <f>ROUND(T68,3)</f>
        <v>0</v>
      </c>
      <c r="Y68" s="27"/>
      <c r="Z68" s="2"/>
      <c r="AA68" s="2"/>
      <c r="AB68" s="2"/>
      <c r="AC68" s="2"/>
      <c r="AD68" s="2"/>
      <c r="AE68" s="27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3:90" x14ac:dyDescent="0.25">
      <c r="C69" s="2"/>
      <c r="D69" s="8" t="s">
        <v>6</v>
      </c>
      <c r="E69" s="31" t="str">
        <f>$AF$2</f>
        <v>800</v>
      </c>
      <c r="F69" s="31" t="s">
        <v>34</v>
      </c>
      <c r="G69" s="31" t="s">
        <v>34</v>
      </c>
      <c r="H69" s="32">
        <f>totalProduction1H_quarter4+netEx_quarter4-totalFlex1H_quarter4-totalNonprofiled1H_quarter4</f>
        <v>7.5830000000000002</v>
      </c>
      <c r="J69" s="2"/>
      <c r="P69" s="24"/>
      <c r="Q69" s="24"/>
      <c r="R69" s="27"/>
      <c r="S69" s="15" t="s">
        <v>74</v>
      </c>
      <c r="T69" s="19">
        <f>T$65</f>
        <v>0</v>
      </c>
      <c r="U69" s="19">
        <f>V69+U68</f>
        <v>0</v>
      </c>
      <c r="V69" s="19">
        <f>T69-W68</f>
        <v>0</v>
      </c>
      <c r="W69" s="23">
        <f>ROUND(U69, 3)</f>
        <v>0</v>
      </c>
      <c r="X69" s="23">
        <f>ROUND(T69,3)</f>
        <v>0</v>
      </c>
      <c r="Y69" s="27"/>
      <c r="Z69" s="2"/>
      <c r="AA69" s="2"/>
      <c r="AB69" s="2"/>
      <c r="AC69" s="2"/>
      <c r="AD69" s="2"/>
      <c r="AE69" s="27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3:90" ht="23.25" x14ac:dyDescent="0.35">
      <c r="C70" s="2"/>
      <c r="E70" s="39" t="s">
        <v>41</v>
      </c>
      <c r="F70" s="40"/>
      <c r="G70" s="40"/>
      <c r="H70" s="41"/>
      <c r="P70" s="24"/>
      <c r="Q70" s="27"/>
      <c r="R70" s="27"/>
      <c r="S70" s="24"/>
      <c r="T70" s="24"/>
      <c r="U70" s="24"/>
      <c r="V70" s="24"/>
      <c r="W70" s="24"/>
      <c r="X70" s="24"/>
      <c r="Y70" s="27"/>
      <c r="Z70" s="2"/>
      <c r="AA70" s="2"/>
      <c r="AB70" s="2"/>
      <c r="AC70" s="2"/>
      <c r="AD70" s="2"/>
      <c r="AE70" s="27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3:90" ht="18.75" x14ac:dyDescent="0.3">
      <c r="C71" s="2"/>
      <c r="D71" s="4" t="s">
        <v>21</v>
      </c>
      <c r="E71" s="4" t="s">
        <v>19</v>
      </c>
      <c r="F71" s="5" t="s">
        <v>0</v>
      </c>
      <c r="G71" s="5" t="s">
        <v>1</v>
      </c>
      <c r="H71" s="5" t="s">
        <v>2</v>
      </c>
      <c r="P71" s="24"/>
      <c r="Q71" s="27"/>
      <c r="R71" s="27"/>
      <c r="S71" s="24"/>
      <c r="T71" s="24"/>
      <c r="U71" s="24"/>
      <c r="V71" s="24"/>
      <c r="W71" s="24"/>
      <c r="X71" s="24"/>
      <c r="Y71" s="27"/>
      <c r="Z71" s="2"/>
      <c r="AA71" s="2"/>
      <c r="AB71" s="2"/>
      <c r="AC71" s="2"/>
      <c r="AD71" s="2"/>
      <c r="AE71" s="27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3:90" x14ac:dyDescent="0.25">
      <c r="C72" s="2"/>
      <c r="D72" s="15" t="s">
        <v>78</v>
      </c>
      <c r="E72" s="31" t="str">
        <f>$AF$2</f>
        <v>800</v>
      </c>
      <c r="F72" s="31" t="s">
        <v>34</v>
      </c>
      <c r="G72" s="31" t="s">
        <v>34</v>
      </c>
      <c r="H72" s="32">
        <f>IF(gridLoss1H_quarter4&gt;0,gridLoss1H_quarter4,0)</f>
        <v>7.5830000000000002</v>
      </c>
      <c r="P72" s="24"/>
      <c r="Q72" s="27"/>
      <c r="R72" s="27"/>
      <c r="S72" s="24"/>
      <c r="T72" s="24"/>
      <c r="U72" s="24"/>
      <c r="V72" s="24"/>
      <c r="W72" s="24"/>
      <c r="X72" s="24"/>
      <c r="Y72" s="27"/>
      <c r="Z72" s="2"/>
      <c r="AA72" s="2"/>
      <c r="AB72" s="2"/>
      <c r="AC72" s="2"/>
      <c r="AD72" s="2"/>
      <c r="AE72" s="27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3:90" x14ac:dyDescent="0.25">
      <c r="C73" s="2"/>
      <c r="D73" s="15" t="s">
        <v>77</v>
      </c>
      <c r="E73" s="31" t="str">
        <f>$AF$2</f>
        <v>800</v>
      </c>
      <c r="F73" s="31" t="s">
        <v>34</v>
      </c>
      <c r="G73" s="31" t="s">
        <v>34</v>
      </c>
      <c r="H73" s="32">
        <f>IF(gridLoss1H_quarter3&gt;0,gridLoss1H_quarter3,0)</f>
        <v>7.5830000000000002</v>
      </c>
      <c r="Q73" s="2"/>
      <c r="R73" s="2"/>
      <c r="Y73" s="2"/>
      <c r="Z73" s="2"/>
      <c r="AA73" s="2"/>
      <c r="AB73" s="2"/>
      <c r="AC73" s="2"/>
      <c r="AD73" s="2"/>
      <c r="AE73" s="27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3:90" x14ac:dyDescent="0.25">
      <c r="C74" s="2"/>
      <c r="D74" s="15" t="s">
        <v>76</v>
      </c>
      <c r="E74" s="31" t="str">
        <f>$AF$2</f>
        <v>800</v>
      </c>
      <c r="F74" s="31" t="s">
        <v>34</v>
      </c>
      <c r="G74" s="31" t="s">
        <v>34</v>
      </c>
      <c r="H74" s="32">
        <f>IF(gridLoss1H_quarter2&gt;0,gridLoss1H_quarter2,0)</f>
        <v>7.5839999999999996</v>
      </c>
      <c r="I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7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3:90" x14ac:dyDescent="0.25">
      <c r="C75" s="2"/>
      <c r="D75" s="15" t="s">
        <v>75</v>
      </c>
      <c r="E75" s="31" t="str">
        <f>$AF$2</f>
        <v>800</v>
      </c>
      <c r="F75" s="31" t="s">
        <v>34</v>
      </c>
      <c r="G75" s="31" t="s">
        <v>34</v>
      </c>
      <c r="H75" s="32">
        <f>IF(gridLoss1H_quarter1&gt;0,gridLoss1H_quarter1,0)</f>
        <v>7.5830000000000002</v>
      </c>
      <c r="I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7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</row>
    <row r="76" spans="3:90" ht="23.25" x14ac:dyDescent="0.35">
      <c r="C76" s="2"/>
      <c r="E76" s="39" t="s">
        <v>42</v>
      </c>
      <c r="F76" s="40"/>
      <c r="G76" s="40"/>
      <c r="H76" s="4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7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</row>
    <row r="77" spans="3:90" ht="18.75" x14ac:dyDescent="0.3">
      <c r="C77" s="2"/>
      <c r="D77" s="4" t="s">
        <v>21</v>
      </c>
      <c r="E77" s="4" t="s">
        <v>19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7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</row>
    <row r="78" spans="3:90" x14ac:dyDescent="0.25">
      <c r="C78" s="2"/>
      <c r="D78" s="15" t="s">
        <v>78</v>
      </c>
      <c r="E78" s="31" t="str">
        <f>$AF$2</f>
        <v>800</v>
      </c>
      <c r="F78" s="31" t="s">
        <v>34</v>
      </c>
      <c r="G78" s="31" t="s">
        <v>34</v>
      </c>
      <c r="H78" s="32">
        <f>IF(gridLoss1H_quarter4&lt;0,gridLoss1H_quarter4*-1,0)</f>
        <v>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7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</row>
    <row r="79" spans="3:90" x14ac:dyDescent="0.25">
      <c r="C79" s="2"/>
      <c r="D79" s="15" t="s">
        <v>77</v>
      </c>
      <c r="E79" s="31" t="str">
        <f>$AF$2</f>
        <v>800</v>
      </c>
      <c r="F79" s="31" t="s">
        <v>34</v>
      </c>
      <c r="G79" s="31" t="s">
        <v>34</v>
      </c>
      <c r="H79" s="32">
        <f>IF(gridLoss1H_quarter3&lt;0,gridLoss1H_quarter3*-1,0)</f>
        <v>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7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</row>
    <row r="80" spans="3:90" x14ac:dyDescent="0.25">
      <c r="C80" s="2"/>
      <c r="D80" s="15" t="s">
        <v>76</v>
      </c>
      <c r="E80" s="31" t="str">
        <f>$AF$2</f>
        <v>800</v>
      </c>
      <c r="F80" s="31" t="s">
        <v>34</v>
      </c>
      <c r="G80" s="31" t="s">
        <v>34</v>
      </c>
      <c r="H80" s="32">
        <f>IF(gridLoss1H_quarter2&lt;0,gridLoss1H_quarter2*-1,0)</f>
        <v>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7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</row>
    <row r="81" spans="3:90" x14ac:dyDescent="0.25">
      <c r="C81" s="2"/>
      <c r="D81" s="15" t="s">
        <v>75</v>
      </c>
      <c r="E81" s="31" t="str">
        <f>$AF$2</f>
        <v>800</v>
      </c>
      <c r="F81" s="31" t="s">
        <v>34</v>
      </c>
      <c r="G81" s="31" t="s">
        <v>34</v>
      </c>
      <c r="H81" s="32">
        <f>IF(gridLoss1H_quarter1&lt;0,(gridLoss1H_quarter1)*-1,0)</f>
        <v>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7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</row>
    <row r="82" spans="3:90" ht="23.25" x14ac:dyDescent="0.35">
      <c r="C82" s="2"/>
      <c r="E82" s="39" t="s">
        <v>80</v>
      </c>
      <c r="F82" s="40"/>
      <c r="G82" s="40"/>
      <c r="H82" s="4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7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</row>
    <row r="83" spans="3:90" ht="18.75" x14ac:dyDescent="0.3">
      <c r="C83" s="2"/>
      <c r="D83" s="4" t="s">
        <v>21</v>
      </c>
      <c r="E83" s="4" t="s">
        <v>19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7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</row>
    <row r="84" spans="3:90" x14ac:dyDescent="0.25">
      <c r="C84" s="2"/>
      <c r="D84" s="15" t="s">
        <v>75</v>
      </c>
      <c r="E84" s="31" t="str">
        <f>$AF$2</f>
        <v>800</v>
      </c>
      <c r="F84" s="31" t="s">
        <v>34</v>
      </c>
      <c r="G84" s="31" t="s">
        <v>34</v>
      </c>
      <c r="H84" s="32" t="str">
        <f>SUBSTITUTE(netEx_quarter1+totalProduction1H_quarter1+totalProduction15M+negGridLossQuarter1,",",".")</f>
        <v>7.583</v>
      </c>
      <c r="I84" s="37"/>
      <c r="J84" s="2"/>
      <c r="S84" s="2"/>
      <c r="T84" s="42" t="s">
        <v>85</v>
      </c>
      <c r="U84" s="42"/>
      <c r="V84" s="42"/>
      <c r="W84" s="42"/>
      <c r="X84" s="42"/>
      <c r="Y84" s="2"/>
      <c r="Z84" s="2"/>
      <c r="AA84" s="2"/>
      <c r="AB84" s="2"/>
      <c r="AC84" s="2"/>
      <c r="AD84" s="2"/>
      <c r="AE84" s="27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</row>
    <row r="85" spans="3:90" x14ac:dyDescent="0.25">
      <c r="C85" s="2"/>
      <c r="D85" s="15" t="s">
        <v>76</v>
      </c>
      <c r="E85" s="31" t="str">
        <f>$AF$2</f>
        <v>800</v>
      </c>
      <c r="F85" s="31" t="s">
        <v>34</v>
      </c>
      <c r="G85" s="31" t="s">
        <v>34</v>
      </c>
      <c r="H85" s="32" t="str">
        <f>SUBSTITUTE(netEx_quarter2+totalProduction1H_quarter2+negGridLossQuarter2,",",".")</f>
        <v>7.584</v>
      </c>
      <c r="I85" s="2"/>
      <c r="J85" s="2"/>
      <c r="K85" s="2"/>
      <c r="S85" s="2"/>
      <c r="T85" s="6" t="s">
        <v>15</v>
      </c>
      <c r="U85" s="6" t="s">
        <v>87</v>
      </c>
      <c r="V85" s="6" t="s">
        <v>46</v>
      </c>
      <c r="W85" s="6" t="s">
        <v>47</v>
      </c>
      <c r="X85" s="6" t="s">
        <v>48</v>
      </c>
      <c r="Y85" s="2"/>
      <c r="Z85" s="2"/>
      <c r="AA85" s="2"/>
      <c r="AB85" s="2"/>
      <c r="AC85" s="2"/>
      <c r="AD85" s="2"/>
      <c r="AE85" s="27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</row>
    <row r="86" spans="3:90" x14ac:dyDescent="0.25">
      <c r="C86" s="2"/>
      <c r="D86" s="15" t="s">
        <v>77</v>
      </c>
      <c r="E86" s="31" t="str">
        <f>$AF$2</f>
        <v>800</v>
      </c>
      <c r="F86" s="31" t="s">
        <v>34</v>
      </c>
      <c r="G86" s="31" t="s">
        <v>34</v>
      </c>
      <c r="H86" s="32" t="str">
        <f>SUBSTITUTE(netEx_quarter3+totalProduction1H_quarter3+negGridLossQuarter3,",",".")</f>
        <v>7.583</v>
      </c>
      <c r="I86" s="2"/>
      <c r="J86" s="2"/>
      <c r="S86" s="2"/>
      <c r="T86" s="26">
        <f>SUMIFS(Tabel1342323[quantity],Tabel1342323[resolution],"PT15M",Tabel1342323[from_ga],AF$3)-SUMIFS(Tabel1342323[quantity],Tabel1342323[resolution],"PT15M",Tabel1342323[to_ga],AF$3)</f>
        <v>0</v>
      </c>
      <c r="U86" s="6">
        <f>(SUMIFS(Tabel1342323[quantity],Tabel1342323[resolution],"PT1H",Tabel1342323[from_ga],AF$3)-SUMIFS(Tabel1342323[quantity],Tabel1342323[resolution],"PT1H",Tabel1342323[to_ga],AF$3))/4</f>
        <v>7.5832499999999996</v>
      </c>
      <c r="V86" s="16">
        <f>U86</f>
        <v>7.5832499999999996</v>
      </c>
      <c r="W86" s="16"/>
      <c r="X86" s="16">
        <f t="shared" ref="X86:X109" si="13">ROUND(V86, 3)</f>
        <v>7.5830000000000002</v>
      </c>
      <c r="Y86" s="2"/>
      <c r="Z86" s="2"/>
      <c r="AA86" s="2"/>
      <c r="AB86" s="2"/>
      <c r="AC86" s="2"/>
      <c r="AD86" s="2"/>
      <c r="AE86" s="27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</row>
    <row r="87" spans="3:90" x14ac:dyDescent="0.25">
      <c r="C87" s="2"/>
      <c r="D87" s="15" t="s">
        <v>78</v>
      </c>
      <c r="E87" s="31" t="str">
        <f>$AF$2</f>
        <v>800</v>
      </c>
      <c r="F87" s="34" t="s">
        <v>34</v>
      </c>
      <c r="G87" s="34" t="s">
        <v>34</v>
      </c>
      <c r="H87" s="32" t="str">
        <f>SUBSTITUTE(netEx_quarter4+totalProduction1H_quarter4+negGridLossQuarter4,",",".")</f>
        <v>7.583</v>
      </c>
      <c r="I87" s="2"/>
      <c r="J87" s="2"/>
      <c r="S87" s="2"/>
      <c r="T87" s="26"/>
      <c r="U87" s="16">
        <f>U$86</f>
        <v>7.5832499999999996</v>
      </c>
      <c r="V87" s="16">
        <f>W87+V86</f>
        <v>7.583499999999999</v>
      </c>
      <c r="W87" s="16">
        <f>U87-X86</f>
        <v>2.4999999999941735E-4</v>
      </c>
      <c r="X87" s="16">
        <f t="shared" si="13"/>
        <v>7.5839999999999996</v>
      </c>
      <c r="Y87" s="2"/>
      <c r="Z87" s="2"/>
      <c r="AA87" s="2"/>
      <c r="AB87" s="2"/>
      <c r="AC87" s="2"/>
      <c r="AD87" s="2"/>
      <c r="AE87" s="27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</row>
    <row r="88" spans="3:90" ht="23.25" x14ac:dyDescent="0.35">
      <c r="C88" s="2"/>
      <c r="E88" s="39" t="s">
        <v>81</v>
      </c>
      <c r="F88" s="40"/>
      <c r="G88" s="40"/>
      <c r="H88" s="40"/>
      <c r="I88" s="41"/>
      <c r="J88" s="2"/>
      <c r="S88" s="2"/>
      <c r="T88" s="26"/>
      <c r="U88" s="16">
        <f>U$86</f>
        <v>7.5832499999999996</v>
      </c>
      <c r="V88" s="16">
        <f>W88+V87</f>
        <v>7.582749999999999</v>
      </c>
      <c r="W88" s="16">
        <f>U88-X87</f>
        <v>-7.5000000000002842E-4</v>
      </c>
      <c r="X88" s="16">
        <f t="shared" si="13"/>
        <v>7.5830000000000002</v>
      </c>
      <c r="Y88" s="2"/>
      <c r="Z88" s="2"/>
      <c r="AA88" s="2"/>
      <c r="AB88" s="2"/>
      <c r="AC88" s="2"/>
      <c r="AD88" s="2"/>
      <c r="AE88" s="27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</row>
    <row r="89" spans="3:90" ht="18.75" x14ac:dyDescent="0.3">
      <c r="C89" s="2"/>
      <c r="D89" s="4" t="s">
        <v>21</v>
      </c>
      <c r="E89" s="4" t="s">
        <v>19</v>
      </c>
      <c r="F89" s="5" t="s">
        <v>0</v>
      </c>
      <c r="G89" s="5" t="s">
        <v>1</v>
      </c>
      <c r="H89" s="5" t="s">
        <v>2</v>
      </c>
      <c r="I89" s="5" t="s">
        <v>88</v>
      </c>
      <c r="J89" s="2"/>
      <c r="S89" s="2"/>
      <c r="T89" s="26"/>
      <c r="U89" s="16">
        <f>U$86</f>
        <v>7.5832499999999996</v>
      </c>
      <c r="V89" s="16">
        <f>W89+V88</f>
        <v>7.5829999999999984</v>
      </c>
      <c r="W89" s="16">
        <f>U89-X88</f>
        <v>2.4999999999941735E-4</v>
      </c>
      <c r="X89" s="16">
        <f t="shared" si="13"/>
        <v>7.5830000000000002</v>
      </c>
      <c r="Y89" s="2"/>
      <c r="Z89" s="2"/>
      <c r="AA89" s="2"/>
      <c r="AB89" s="2"/>
      <c r="AC89" s="2"/>
      <c r="AD89" s="2"/>
      <c r="AE89" s="27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</row>
    <row r="90" spans="3:90" x14ac:dyDescent="0.25">
      <c r="C90" s="2"/>
      <c r="D90" s="15" t="s">
        <v>75</v>
      </c>
      <c r="E90" s="31" t="str">
        <f>IF(AND(ROW()&lt;86+(COUNTA(AF$2:AF$21)*4),ROW()&gt;89),$AF$2,"")</f>
        <v>800</v>
      </c>
      <c r="F90" s="31" t="str">
        <f>IF(E90&lt;&gt;"","null","")</f>
        <v>null</v>
      </c>
      <c r="G90" s="31" t="str">
        <f>IF(E90&lt;&gt;"","null","")</f>
        <v>null</v>
      </c>
      <c r="H90" s="32" t="str">
        <f>SUBSTITUTE(IF(E90="","",IF(D90="Quarter1",T86+X86,X86)),",",".")</f>
        <v>7.583</v>
      </c>
      <c r="I90" s="32" t="str" cm="1">
        <f t="array" aca="1" ref="I90" ca="1">IF(E90="","",INDIRECT("AF"&amp;ROUND((ROW()-80)*0.25,0)))</f>
        <v>801</v>
      </c>
      <c r="J90" s="2"/>
      <c r="S90" s="2"/>
      <c r="T90" s="26">
        <f>SUMIFS(Tabel1342323[quantity],Tabel1342323[resolution],"PT15M",Tabel1342323[from_ga],AF$4)-SUMIFS(Tabel1342323[quantity],Tabel1342323[resolution],"PT15M",Tabel1342323[to_ga],AF$4)</f>
        <v>0</v>
      </c>
      <c r="U90" s="6">
        <f>(SUMIFS(Tabel1342323[quantity],Tabel1342323[resolution],"PT1H",Tabel1342323[from_ga],AF$4)-SUMIFS(Tabel1342323[quantity],Tabel1342323[resolution],"PT1H",Tabel1342323[to_ga],AF$4))/4</f>
        <v>0</v>
      </c>
      <c r="V90" s="16">
        <f>U90</f>
        <v>0</v>
      </c>
      <c r="W90" s="16"/>
      <c r="X90" s="16">
        <f t="shared" si="13"/>
        <v>0</v>
      </c>
      <c r="Y90" s="2"/>
      <c r="Z90" s="2"/>
      <c r="AA90" s="2"/>
      <c r="AB90" s="2"/>
      <c r="AC90" s="2"/>
      <c r="AD90" s="2"/>
      <c r="AE90" s="27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</row>
    <row r="91" spans="3:90" x14ac:dyDescent="0.25">
      <c r="C91" s="2"/>
      <c r="D91" s="15" t="s">
        <v>76</v>
      </c>
      <c r="E91" s="31" t="str">
        <f t="shared" ref="E91:E113" si="14">IF(AND(ROW()&lt;86+(COUNTA(AF$2:AF$21)*4),ROW()&gt;89),$AF$2,"")</f>
        <v>800</v>
      </c>
      <c r="F91" s="31" t="str">
        <f t="shared" ref="F91:F113" si="15">IF(E91&lt;&gt;"","null","")</f>
        <v>null</v>
      </c>
      <c r="G91" s="31" t="str">
        <f t="shared" ref="G91:G113" si="16">IF(E91&lt;&gt;"","null","")</f>
        <v>null</v>
      </c>
      <c r="H91" s="32" t="str">
        <f t="shared" ref="H91:H113" si="17">SUBSTITUTE(IF(E91="","",IF(D91="Quarter1",T87+X87,X87)),",",".")</f>
        <v>7.584</v>
      </c>
      <c r="I91" s="32" t="str" cm="1">
        <f t="array" aca="1" ref="I91" ca="1">IF(E91="","",INDIRECT("AF"&amp;ROUND((ROW()-80)*0.25,0)))</f>
        <v>801</v>
      </c>
      <c r="J91" s="2"/>
      <c r="S91" s="2"/>
      <c r="T91" s="26"/>
      <c r="U91" s="16">
        <f>U$90</f>
        <v>0</v>
      </c>
      <c r="V91" s="16">
        <f>W91+V90</f>
        <v>0</v>
      </c>
      <c r="W91" s="16">
        <f>U91-X90</f>
        <v>0</v>
      </c>
      <c r="X91" s="16">
        <f t="shared" si="13"/>
        <v>0</v>
      </c>
      <c r="Y91" s="2"/>
      <c r="Z91" s="2"/>
      <c r="AA91" s="2"/>
      <c r="AB91" s="2"/>
      <c r="AC91" s="2"/>
      <c r="AD91" s="2"/>
      <c r="AE91" s="27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</row>
    <row r="92" spans="3:90" x14ac:dyDescent="0.25">
      <c r="C92" s="2"/>
      <c r="D92" s="15" t="s">
        <v>77</v>
      </c>
      <c r="E92" s="31" t="str">
        <f t="shared" si="14"/>
        <v>800</v>
      </c>
      <c r="F92" s="31" t="str">
        <f t="shared" si="15"/>
        <v>null</v>
      </c>
      <c r="G92" s="31" t="str">
        <f t="shared" si="16"/>
        <v>null</v>
      </c>
      <c r="H92" s="32" t="str">
        <f t="shared" si="17"/>
        <v>7.583</v>
      </c>
      <c r="I92" s="32" t="str" cm="1">
        <f t="array" aca="1" ref="I92" ca="1">IF(E92="","",INDIRECT("AF"&amp;ROUND((ROW()-80)*0.25,0)))</f>
        <v>801</v>
      </c>
      <c r="J92" s="2"/>
      <c r="S92" s="2"/>
      <c r="T92" s="26"/>
      <c r="U92" s="16">
        <f>U$90</f>
        <v>0</v>
      </c>
      <c r="V92" s="16">
        <f>W92+V91</f>
        <v>0</v>
      </c>
      <c r="W92" s="16">
        <f>U92-X91</f>
        <v>0</v>
      </c>
      <c r="X92" s="16">
        <f t="shared" si="13"/>
        <v>0</v>
      </c>
      <c r="Y92" s="2"/>
      <c r="Z92" s="2"/>
      <c r="AA92" s="2"/>
      <c r="AB92" s="2"/>
      <c r="AC92" s="2"/>
      <c r="AD92" s="2"/>
      <c r="AE92" s="27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</row>
    <row r="93" spans="3:90" x14ac:dyDescent="0.25">
      <c r="C93" s="2"/>
      <c r="D93" s="15" t="s">
        <v>78</v>
      </c>
      <c r="E93" s="31" t="str">
        <f t="shared" si="14"/>
        <v>800</v>
      </c>
      <c r="F93" s="31" t="str">
        <f t="shared" si="15"/>
        <v>null</v>
      </c>
      <c r="G93" s="31" t="str">
        <f t="shared" si="16"/>
        <v>null</v>
      </c>
      <c r="H93" s="32" t="str">
        <f t="shared" si="17"/>
        <v>7.583</v>
      </c>
      <c r="I93" s="32" t="str" cm="1">
        <f t="array" aca="1" ref="I93" ca="1">IF(E93="","",INDIRECT("AF"&amp;ROUND((ROW()-80)*0.25,0)))</f>
        <v>801</v>
      </c>
      <c r="J93" s="2"/>
      <c r="S93" s="2"/>
      <c r="T93" s="26"/>
      <c r="U93" s="16">
        <f>U$90</f>
        <v>0</v>
      </c>
      <c r="V93" s="16">
        <f>W93+V92</f>
        <v>0</v>
      </c>
      <c r="W93" s="16">
        <f>U93-X92</f>
        <v>0</v>
      </c>
      <c r="X93" s="16">
        <f t="shared" si="13"/>
        <v>0</v>
      </c>
      <c r="Y93" s="2"/>
      <c r="Z93" s="2"/>
      <c r="AA93" s="2"/>
      <c r="AB93" s="2"/>
      <c r="AC93" s="2"/>
      <c r="AD93" s="2"/>
      <c r="AE93" s="27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</row>
    <row r="94" spans="3:90" x14ac:dyDescent="0.25">
      <c r="C94" s="2"/>
      <c r="D94" s="15" t="s">
        <v>75</v>
      </c>
      <c r="E94" s="31" t="str">
        <f t="shared" si="14"/>
        <v/>
      </c>
      <c r="F94" s="31" t="str">
        <f t="shared" si="15"/>
        <v/>
      </c>
      <c r="G94" s="31" t="str">
        <f t="shared" si="16"/>
        <v/>
      </c>
      <c r="H94" s="32" t="str">
        <f t="shared" si="17"/>
        <v/>
      </c>
      <c r="I94" s="32" t="str" cm="1">
        <f t="array" aca="1" ref="I94" ca="1">IF(E94="","",INDIRECT("AF"&amp;ROUND((ROW()-80)*0.25,0)))</f>
        <v/>
      </c>
      <c r="J94" s="2"/>
      <c r="S94" s="2"/>
      <c r="T94" s="26">
        <f>SUMIFS(Tabel1342323[quantity],Tabel1342323[resolution],"PT15M",Tabel1342323[from_ga],AF$5)-SUMIFS(Tabel1342323[quantity],Tabel1342323[resolution],"PT15M",Tabel1342323[to_ga],AF$5)</f>
        <v>0</v>
      </c>
      <c r="U94" s="6">
        <f>SUMIFS(Tabel1342323[quantity],Tabel1342323[resolution],"PT1H",Tabel1342323[from_ga],AF$5)-SUMIFS(Tabel1342323[quantity],Tabel1342323[resolution],"PT1H",Tabel1342323[to_ga],AF$5)/4</f>
        <v>0</v>
      </c>
      <c r="V94" s="16">
        <f>U94</f>
        <v>0</v>
      </c>
      <c r="W94" s="16"/>
      <c r="X94" s="16">
        <f t="shared" si="13"/>
        <v>0</v>
      </c>
      <c r="Y94" s="2"/>
      <c r="Z94" s="2"/>
      <c r="AA94" s="2"/>
      <c r="AB94" s="2"/>
      <c r="AC94" s="2"/>
      <c r="AD94" s="2"/>
      <c r="AE94" s="27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</row>
    <row r="95" spans="3:90" x14ac:dyDescent="0.25">
      <c r="C95" s="2"/>
      <c r="D95" s="15" t="s">
        <v>76</v>
      </c>
      <c r="E95" s="31" t="str">
        <f t="shared" si="14"/>
        <v/>
      </c>
      <c r="F95" s="31" t="str">
        <f t="shared" si="15"/>
        <v/>
      </c>
      <c r="G95" s="31" t="str">
        <f t="shared" si="16"/>
        <v/>
      </c>
      <c r="H95" s="32" t="str">
        <f t="shared" si="17"/>
        <v/>
      </c>
      <c r="I95" s="32" t="str" cm="1">
        <f t="array" aca="1" ref="I95" ca="1">IF(E95="","",INDIRECT("AF"&amp;ROUND((ROW()-80)*0.25,0)))</f>
        <v/>
      </c>
      <c r="J95" s="2"/>
      <c r="S95" s="2"/>
      <c r="T95" s="26"/>
      <c r="U95" s="16">
        <f>U$94</f>
        <v>0</v>
      </c>
      <c r="V95" s="16">
        <f>W95+V94</f>
        <v>0</v>
      </c>
      <c r="W95" s="16">
        <f>U95-X94</f>
        <v>0</v>
      </c>
      <c r="X95" s="16">
        <f t="shared" si="13"/>
        <v>0</v>
      </c>
      <c r="Y95" s="2"/>
      <c r="Z95" s="2"/>
      <c r="AA95" s="2"/>
      <c r="AB95" s="2"/>
      <c r="AC95" s="2"/>
      <c r="AD95" s="2"/>
      <c r="AE95" s="27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</row>
    <row r="96" spans="3:90" x14ac:dyDescent="0.25">
      <c r="C96" s="2"/>
      <c r="D96" s="15" t="s">
        <v>77</v>
      </c>
      <c r="E96" s="31" t="str">
        <f t="shared" si="14"/>
        <v/>
      </c>
      <c r="F96" s="31" t="str">
        <f t="shared" si="15"/>
        <v/>
      </c>
      <c r="G96" s="31" t="str">
        <f t="shared" si="16"/>
        <v/>
      </c>
      <c r="H96" s="32" t="str">
        <f t="shared" si="17"/>
        <v/>
      </c>
      <c r="I96" s="32" t="str" cm="1">
        <f t="array" aca="1" ref="I96" ca="1">IF(E96="","",INDIRECT("AF"&amp;ROUND((ROW()-80)*0.25,0)))</f>
        <v/>
      </c>
      <c r="J96" s="2"/>
      <c r="S96" s="2"/>
      <c r="T96" s="26"/>
      <c r="U96" s="16">
        <f>U$94</f>
        <v>0</v>
      </c>
      <c r="V96" s="16">
        <f>W96+V95</f>
        <v>0</v>
      </c>
      <c r="W96" s="16">
        <f>U96-X95</f>
        <v>0</v>
      </c>
      <c r="X96" s="16">
        <f t="shared" si="13"/>
        <v>0</v>
      </c>
      <c r="Y96" s="2"/>
      <c r="Z96" s="2"/>
      <c r="AA96" s="2"/>
      <c r="AB96" s="2"/>
      <c r="AC96" s="2"/>
      <c r="AD96" s="2"/>
      <c r="AE96" s="27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</row>
    <row r="97" spans="3:90" x14ac:dyDescent="0.25">
      <c r="C97" s="2"/>
      <c r="D97" s="15" t="s">
        <v>78</v>
      </c>
      <c r="E97" s="31" t="str">
        <f t="shared" si="14"/>
        <v/>
      </c>
      <c r="F97" s="31" t="str">
        <f t="shared" si="15"/>
        <v/>
      </c>
      <c r="G97" s="31" t="str">
        <f t="shared" si="16"/>
        <v/>
      </c>
      <c r="H97" s="32" t="str">
        <f t="shared" si="17"/>
        <v/>
      </c>
      <c r="I97" s="32" t="str" cm="1">
        <f t="array" aca="1" ref="I97" ca="1">IF(E97="","",INDIRECT("AF"&amp;ROUND((ROW()-80)*0.25,0)))</f>
        <v/>
      </c>
      <c r="J97" s="2"/>
      <c r="S97" s="2"/>
      <c r="T97" s="26"/>
      <c r="U97" s="16">
        <f>U$94</f>
        <v>0</v>
      </c>
      <c r="V97" s="16">
        <f>W97+V96</f>
        <v>0</v>
      </c>
      <c r="W97" s="16">
        <f>U97-X96</f>
        <v>0</v>
      </c>
      <c r="X97" s="16">
        <f t="shared" si="13"/>
        <v>0</v>
      </c>
      <c r="Y97" s="2"/>
      <c r="Z97" s="2"/>
      <c r="AA97" s="2"/>
      <c r="AB97" s="2"/>
      <c r="AC97" s="2"/>
      <c r="AD97" s="2"/>
      <c r="AE97" s="27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</row>
    <row r="98" spans="3:90" x14ac:dyDescent="0.25">
      <c r="C98" s="2"/>
      <c r="D98" s="15" t="s">
        <v>75</v>
      </c>
      <c r="E98" s="31" t="str">
        <f t="shared" si="14"/>
        <v/>
      </c>
      <c r="F98" s="31" t="str">
        <f t="shared" si="15"/>
        <v/>
      </c>
      <c r="G98" s="31" t="str">
        <f t="shared" si="16"/>
        <v/>
      </c>
      <c r="H98" s="32" t="str">
        <f t="shared" si="17"/>
        <v/>
      </c>
      <c r="I98" s="32" t="str" cm="1">
        <f t="array" aca="1" ref="I98" ca="1">IF(E98="","",INDIRECT("AF"&amp;ROUND((ROW()-80)*0.25,0)))</f>
        <v/>
      </c>
      <c r="J98" s="2"/>
      <c r="S98" s="2"/>
      <c r="T98" s="26">
        <f>SUMIFS(Tabel1342323[quantity],Tabel1342323[resolution],"PT15M",Tabel1342323[from_ga],AF$6)-SUMIFS(Tabel1342323[quantity],Tabel1342323[resolution],"PT15M",Tabel1342323[to_ga],AF$6)</f>
        <v>0</v>
      </c>
      <c r="U98" s="6">
        <f>(SUMIFS(Tabel1342323[quantity],Tabel1342323[resolution],"PT1H",Tabel1342323[from_ga],AF$6)-SUMIFS(Tabel1342323[quantity],Tabel1342323[resolution],"PT1H",Tabel1342323[to_ga],AF$6))/4</f>
        <v>0</v>
      </c>
      <c r="V98" s="16">
        <f>U98</f>
        <v>0</v>
      </c>
      <c r="W98" s="16"/>
      <c r="X98" s="16">
        <f t="shared" si="13"/>
        <v>0</v>
      </c>
      <c r="Y98" s="2"/>
      <c r="Z98" s="2"/>
      <c r="AA98" s="2"/>
      <c r="AB98" s="2"/>
      <c r="AC98" s="2"/>
      <c r="AD98" s="2"/>
      <c r="AE98" s="27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</row>
    <row r="99" spans="3:90" x14ac:dyDescent="0.25">
      <c r="C99" s="2"/>
      <c r="D99" s="15" t="s">
        <v>76</v>
      </c>
      <c r="E99" s="31" t="str">
        <f t="shared" si="14"/>
        <v/>
      </c>
      <c r="F99" s="31" t="str">
        <f t="shared" si="15"/>
        <v/>
      </c>
      <c r="G99" s="31" t="str">
        <f t="shared" si="16"/>
        <v/>
      </c>
      <c r="H99" s="32" t="str">
        <f t="shared" si="17"/>
        <v/>
      </c>
      <c r="I99" s="32" t="str" cm="1">
        <f t="array" aca="1" ref="I99" ca="1">IF(E99="","",INDIRECT("AF"&amp;ROUND((ROW()-80)*0.25,0)))</f>
        <v/>
      </c>
      <c r="J99" s="2"/>
      <c r="S99" s="2"/>
      <c r="T99" s="26"/>
      <c r="U99" s="16">
        <f>U$98</f>
        <v>0</v>
      </c>
      <c r="V99" s="16">
        <f>W99+V98</f>
        <v>0</v>
      </c>
      <c r="W99" s="16">
        <f>U99-X98</f>
        <v>0</v>
      </c>
      <c r="X99" s="16">
        <f t="shared" si="13"/>
        <v>0</v>
      </c>
      <c r="Y99" s="2"/>
      <c r="Z99" s="2"/>
      <c r="AA99" s="2"/>
      <c r="AB99" s="2"/>
      <c r="AC99" s="2"/>
      <c r="AD99" s="2"/>
      <c r="AE99" s="27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</row>
    <row r="100" spans="3:90" x14ac:dyDescent="0.25">
      <c r="C100" s="2"/>
      <c r="D100" s="15" t="s">
        <v>77</v>
      </c>
      <c r="E100" s="31" t="str">
        <f t="shared" si="14"/>
        <v/>
      </c>
      <c r="F100" s="31" t="str">
        <f t="shared" si="15"/>
        <v/>
      </c>
      <c r="G100" s="31" t="str">
        <f t="shared" si="16"/>
        <v/>
      </c>
      <c r="H100" s="32" t="str">
        <f t="shared" si="17"/>
        <v/>
      </c>
      <c r="I100" s="32" t="str" cm="1">
        <f t="array" aca="1" ref="I100" ca="1">IF(E100="","",INDIRECT("AF"&amp;ROUND((ROW()-80)*0.25,0)))</f>
        <v/>
      </c>
      <c r="J100" s="2"/>
      <c r="S100" s="2"/>
      <c r="T100" s="26"/>
      <c r="U100" s="16">
        <f>U$98</f>
        <v>0</v>
      </c>
      <c r="V100" s="16">
        <f>W100+V99</f>
        <v>0</v>
      </c>
      <c r="W100" s="16">
        <f>U100-X99</f>
        <v>0</v>
      </c>
      <c r="X100" s="16">
        <f t="shared" si="13"/>
        <v>0</v>
      </c>
      <c r="Y100" s="2"/>
      <c r="Z100" s="2"/>
      <c r="AA100" s="2"/>
      <c r="AB100" s="2"/>
      <c r="AC100" s="2"/>
      <c r="AD100" s="2"/>
      <c r="AE100" s="27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</row>
    <row r="101" spans="3:90" x14ac:dyDescent="0.25">
      <c r="C101" s="2"/>
      <c r="D101" s="15" t="s">
        <v>78</v>
      </c>
      <c r="E101" s="31" t="str">
        <f t="shared" si="14"/>
        <v/>
      </c>
      <c r="F101" s="31" t="str">
        <f t="shared" si="15"/>
        <v/>
      </c>
      <c r="G101" s="31" t="str">
        <f t="shared" si="16"/>
        <v/>
      </c>
      <c r="H101" s="32" t="str">
        <f t="shared" si="17"/>
        <v/>
      </c>
      <c r="I101" s="32" t="str" cm="1">
        <f t="array" aca="1" ref="I101" ca="1">IF(E101="","",INDIRECT("AF"&amp;ROUND((ROW()-80)*0.25,0)))</f>
        <v/>
      </c>
      <c r="J101" s="2"/>
      <c r="S101" s="2"/>
      <c r="T101" s="26"/>
      <c r="U101" s="16">
        <f>U$98</f>
        <v>0</v>
      </c>
      <c r="V101" s="16">
        <f>W101+V100</f>
        <v>0</v>
      </c>
      <c r="W101" s="16">
        <f>U101-X100</f>
        <v>0</v>
      </c>
      <c r="X101" s="16">
        <f t="shared" si="13"/>
        <v>0</v>
      </c>
      <c r="Y101" s="2"/>
      <c r="Z101" s="2"/>
      <c r="AA101" s="2"/>
      <c r="AB101" s="2"/>
      <c r="AC101" s="2"/>
      <c r="AD101" s="2"/>
      <c r="AE101" s="27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</row>
    <row r="102" spans="3:90" x14ac:dyDescent="0.25">
      <c r="C102" s="2"/>
      <c r="D102" s="15" t="s">
        <v>75</v>
      </c>
      <c r="E102" s="31" t="str">
        <f t="shared" si="14"/>
        <v/>
      </c>
      <c r="F102" s="31" t="str">
        <f t="shared" si="15"/>
        <v/>
      </c>
      <c r="G102" s="31" t="str">
        <f t="shared" si="16"/>
        <v/>
      </c>
      <c r="H102" s="32" t="str">
        <f t="shared" si="17"/>
        <v/>
      </c>
      <c r="I102" s="32" t="str" cm="1">
        <f t="array" aca="1" ref="I102" ca="1">IF(E102="","",INDIRECT("AF"&amp;ROUND((ROW()-80)*0.25,0)))</f>
        <v/>
      </c>
      <c r="J102" s="2"/>
      <c r="S102" s="2"/>
      <c r="T102" s="26">
        <f>SUMIFS(Tabel1342323[quantity],Tabel1342323[resolution],"PT15M",Tabel1342323[from_ga],AF$7)-SUMIFS(Tabel1342323[quantity],Tabel1342323[resolution],"PT15M",Tabel1342323[to_ga],AF$7)</f>
        <v>0</v>
      </c>
      <c r="U102" s="6">
        <f>(SUMIFS(Tabel1342323[quantity],Tabel1342323[resolution],"PT1H",Tabel1342323[from_ga],AF$7)-SUMIFS(Tabel1342323[quantity],Tabel1342323[resolution],"PT1H",Tabel1342323[to_ga],AF$7))/4</f>
        <v>0</v>
      </c>
      <c r="V102" s="16">
        <f>U102</f>
        <v>0</v>
      </c>
      <c r="W102" s="16"/>
      <c r="X102" s="16">
        <f t="shared" si="13"/>
        <v>0</v>
      </c>
      <c r="Y102" s="2"/>
      <c r="Z102" s="2"/>
      <c r="AA102" s="2"/>
      <c r="AB102" s="2"/>
      <c r="AC102" s="2"/>
      <c r="AD102" s="2"/>
      <c r="AE102" s="27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</row>
    <row r="103" spans="3:90" x14ac:dyDescent="0.25">
      <c r="C103" s="2"/>
      <c r="D103" s="15" t="s">
        <v>76</v>
      </c>
      <c r="E103" s="31" t="str">
        <f t="shared" si="14"/>
        <v/>
      </c>
      <c r="F103" s="31" t="str">
        <f t="shared" si="15"/>
        <v/>
      </c>
      <c r="G103" s="31" t="str">
        <f t="shared" si="16"/>
        <v/>
      </c>
      <c r="H103" s="32" t="str">
        <f t="shared" si="17"/>
        <v/>
      </c>
      <c r="I103" s="32" t="str" cm="1">
        <f t="array" aca="1" ref="I103" ca="1">IF(E103="","",INDIRECT("AF"&amp;ROUND((ROW()-80)*0.25,0)))</f>
        <v/>
      </c>
      <c r="J103" s="2"/>
      <c r="S103" s="2"/>
      <c r="T103" s="26"/>
      <c r="U103" s="16">
        <f>U$102</f>
        <v>0</v>
      </c>
      <c r="V103" s="16">
        <f>W103+V102</f>
        <v>0</v>
      </c>
      <c r="W103" s="16">
        <f>U103-X102</f>
        <v>0</v>
      </c>
      <c r="X103" s="16">
        <f t="shared" si="13"/>
        <v>0</v>
      </c>
      <c r="Y103" s="2"/>
      <c r="Z103" s="2"/>
      <c r="AA103" s="2"/>
      <c r="AB103" s="2"/>
      <c r="AC103" s="2"/>
      <c r="AD103" s="2"/>
      <c r="AE103" s="27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</row>
    <row r="104" spans="3:90" x14ac:dyDescent="0.25">
      <c r="C104" s="2"/>
      <c r="D104" s="15" t="s">
        <v>77</v>
      </c>
      <c r="E104" s="31" t="str">
        <f t="shared" si="14"/>
        <v/>
      </c>
      <c r="F104" s="31" t="str">
        <f t="shared" si="15"/>
        <v/>
      </c>
      <c r="G104" s="31" t="str">
        <f t="shared" si="16"/>
        <v/>
      </c>
      <c r="H104" s="32" t="str">
        <f t="shared" si="17"/>
        <v/>
      </c>
      <c r="I104" s="32" t="str" cm="1">
        <f t="array" aca="1" ref="I104" ca="1">IF(E104="","",INDIRECT("AF"&amp;ROUND((ROW()-80)*0.25,0)))</f>
        <v/>
      </c>
      <c r="J104" s="2"/>
      <c r="S104" s="2"/>
      <c r="T104" s="26"/>
      <c r="U104" s="16">
        <f>U$102</f>
        <v>0</v>
      </c>
      <c r="V104" s="16">
        <f>W104+V103</f>
        <v>0</v>
      </c>
      <c r="W104" s="16">
        <f>U104-X103</f>
        <v>0</v>
      </c>
      <c r="X104" s="16">
        <f t="shared" si="13"/>
        <v>0</v>
      </c>
      <c r="Y104" s="2"/>
      <c r="Z104" s="2"/>
      <c r="AA104" s="2"/>
      <c r="AB104" s="2"/>
      <c r="AC104" s="2"/>
      <c r="AD104" s="2"/>
      <c r="AE104" s="27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</row>
    <row r="105" spans="3:90" x14ac:dyDescent="0.25">
      <c r="C105" s="2"/>
      <c r="D105" s="15" t="s">
        <v>78</v>
      </c>
      <c r="E105" s="31" t="str">
        <f t="shared" si="14"/>
        <v/>
      </c>
      <c r="F105" s="31" t="str">
        <f t="shared" si="15"/>
        <v/>
      </c>
      <c r="G105" s="31" t="str">
        <f t="shared" si="16"/>
        <v/>
      </c>
      <c r="H105" s="32" t="str">
        <f t="shared" si="17"/>
        <v/>
      </c>
      <c r="I105" s="32" t="str" cm="1">
        <f t="array" aca="1" ref="I105" ca="1">IF(E105="","",INDIRECT("AF"&amp;ROUND((ROW()-80)*0.25,0)))</f>
        <v/>
      </c>
      <c r="J105" s="2"/>
      <c r="S105" s="2"/>
      <c r="T105" s="26"/>
      <c r="U105" s="16">
        <f>U$102</f>
        <v>0</v>
      </c>
      <c r="V105" s="16">
        <f>W105+V104</f>
        <v>0</v>
      </c>
      <c r="W105" s="16">
        <f>U105-X104</f>
        <v>0</v>
      </c>
      <c r="X105" s="16">
        <f t="shared" si="13"/>
        <v>0</v>
      </c>
      <c r="Y105" s="2"/>
      <c r="Z105" s="2"/>
      <c r="AA105" s="2"/>
      <c r="AB105" s="2"/>
      <c r="AC105" s="2"/>
      <c r="AD105" s="2"/>
      <c r="AE105" s="27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</row>
    <row r="106" spans="3:90" x14ac:dyDescent="0.25">
      <c r="C106" s="2"/>
      <c r="D106" s="15" t="s">
        <v>75</v>
      </c>
      <c r="E106" s="31" t="str">
        <f t="shared" si="14"/>
        <v/>
      </c>
      <c r="F106" s="31" t="str">
        <f t="shared" si="15"/>
        <v/>
      </c>
      <c r="G106" s="31" t="str">
        <f t="shared" si="16"/>
        <v/>
      </c>
      <c r="H106" s="32" t="str">
        <f t="shared" si="17"/>
        <v/>
      </c>
      <c r="I106" s="32" t="str" cm="1">
        <f t="array" aca="1" ref="I106" ca="1">IF(E106="","",INDIRECT("AF"&amp;ROUND((ROW()-80)*0.25,0)))</f>
        <v/>
      </c>
      <c r="J106" s="2"/>
      <c r="S106" s="2"/>
      <c r="T106" s="26"/>
      <c r="U106" s="6">
        <f>(SUMIFS(Tabel1342323[quantity],Tabel1342323[resolution],"PT1H",Tabel1342323[from_ga],AF$8)-SUMIFS(Tabel1342323[quantity],Tabel1342323[resolution],"PT1H",Tabel1342323[to_ga],AF$8))/4</f>
        <v>0</v>
      </c>
      <c r="V106" s="16">
        <f>U106</f>
        <v>0</v>
      </c>
      <c r="W106" s="16"/>
      <c r="X106" s="16">
        <f t="shared" si="13"/>
        <v>0</v>
      </c>
      <c r="Y106" s="2"/>
      <c r="Z106" s="2"/>
      <c r="AA106" s="2"/>
      <c r="AB106" s="2"/>
      <c r="AC106" s="2"/>
      <c r="AD106" s="2"/>
      <c r="AE106" s="27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</row>
    <row r="107" spans="3:90" x14ac:dyDescent="0.25">
      <c r="C107" s="2"/>
      <c r="D107" s="15" t="s">
        <v>76</v>
      </c>
      <c r="E107" s="31" t="str">
        <f t="shared" si="14"/>
        <v/>
      </c>
      <c r="F107" s="31" t="str">
        <f t="shared" si="15"/>
        <v/>
      </c>
      <c r="G107" s="31" t="str">
        <f t="shared" si="16"/>
        <v/>
      </c>
      <c r="H107" s="32" t="str">
        <f t="shared" si="17"/>
        <v/>
      </c>
      <c r="I107" s="32" t="str" cm="1">
        <f t="array" aca="1" ref="I107" ca="1">IF(E107="","",INDIRECT("AF"&amp;ROUND((ROW()-80)*0.25,0)))</f>
        <v/>
      </c>
      <c r="J107" s="2"/>
      <c r="S107" s="2"/>
      <c r="T107" s="26"/>
      <c r="U107" s="16">
        <f>U$106</f>
        <v>0</v>
      </c>
      <c r="V107" s="16">
        <f>W107+V106</f>
        <v>0</v>
      </c>
      <c r="W107" s="16">
        <f>U107-X106</f>
        <v>0</v>
      </c>
      <c r="X107" s="16">
        <f t="shared" si="13"/>
        <v>0</v>
      </c>
      <c r="Y107" s="2"/>
      <c r="Z107" s="2"/>
      <c r="AA107" s="2"/>
      <c r="AB107" s="2"/>
      <c r="AC107" s="2"/>
      <c r="AD107" s="2"/>
      <c r="AE107" s="27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</row>
    <row r="108" spans="3:90" x14ac:dyDescent="0.25">
      <c r="C108" s="2"/>
      <c r="D108" s="15" t="s">
        <v>77</v>
      </c>
      <c r="E108" s="31" t="str">
        <f t="shared" si="14"/>
        <v/>
      </c>
      <c r="F108" s="31" t="str">
        <f t="shared" si="15"/>
        <v/>
      </c>
      <c r="G108" s="31" t="str">
        <f t="shared" si="16"/>
        <v/>
      </c>
      <c r="H108" s="32" t="str">
        <f t="shared" si="17"/>
        <v/>
      </c>
      <c r="I108" s="32" t="str" cm="1">
        <f t="array" aca="1" ref="I108" ca="1">IF(E108="","",INDIRECT("AF"&amp;ROUND((ROW()-80)*0.25,0)))</f>
        <v/>
      </c>
      <c r="J108" s="2"/>
      <c r="S108" s="2"/>
      <c r="T108" s="26"/>
      <c r="U108" s="16">
        <f>U$106</f>
        <v>0</v>
      </c>
      <c r="V108" s="16">
        <f>W108+V107</f>
        <v>0</v>
      </c>
      <c r="W108" s="16">
        <f>U108-X107</f>
        <v>0</v>
      </c>
      <c r="X108" s="16">
        <f t="shared" si="13"/>
        <v>0</v>
      </c>
      <c r="Y108" s="2"/>
      <c r="Z108" s="2"/>
      <c r="AA108" s="2"/>
      <c r="AB108" s="2"/>
      <c r="AC108" s="2"/>
      <c r="AD108" s="2"/>
      <c r="AE108" s="27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</row>
    <row r="109" spans="3:90" x14ac:dyDescent="0.25">
      <c r="C109" s="2"/>
      <c r="D109" s="15" t="s">
        <v>78</v>
      </c>
      <c r="E109" s="31" t="str">
        <f t="shared" si="14"/>
        <v/>
      </c>
      <c r="F109" s="31" t="str">
        <f t="shared" si="15"/>
        <v/>
      </c>
      <c r="G109" s="31" t="str">
        <f t="shared" si="16"/>
        <v/>
      </c>
      <c r="H109" s="32" t="str">
        <f t="shared" si="17"/>
        <v/>
      </c>
      <c r="I109" s="32" t="str" cm="1">
        <f t="array" aca="1" ref="I109" ca="1">IF(E109="","",INDIRECT("AF"&amp;ROUND((ROW()-80)*0.25,0)))</f>
        <v/>
      </c>
      <c r="J109" s="2"/>
      <c r="S109" s="2"/>
      <c r="T109" s="26"/>
      <c r="U109" s="16">
        <f>U$106</f>
        <v>0</v>
      </c>
      <c r="V109" s="16">
        <f>W109+V108</f>
        <v>0</v>
      </c>
      <c r="W109" s="16">
        <f>U109-X108</f>
        <v>0</v>
      </c>
      <c r="X109" s="16">
        <f t="shared" si="13"/>
        <v>0</v>
      </c>
      <c r="Y109" s="2"/>
      <c r="Z109" s="2"/>
      <c r="AA109" s="2"/>
      <c r="AB109" s="2"/>
      <c r="AC109" s="2"/>
      <c r="AD109" s="2"/>
      <c r="AE109" s="27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</row>
    <row r="110" spans="3:90" x14ac:dyDescent="0.25">
      <c r="C110" s="2"/>
      <c r="D110" s="15" t="s">
        <v>75</v>
      </c>
      <c r="E110" s="31" t="str">
        <f t="shared" si="14"/>
        <v/>
      </c>
      <c r="F110" s="31" t="str">
        <f t="shared" si="15"/>
        <v/>
      </c>
      <c r="G110" s="31" t="str">
        <f t="shared" si="16"/>
        <v/>
      </c>
      <c r="H110" s="32" t="str">
        <f t="shared" si="17"/>
        <v/>
      </c>
      <c r="I110" s="32" t="str" cm="1">
        <f t="array" aca="1" ref="I110" ca="1">IF(E110="","",INDIRECT("AF"&amp;ROUND((ROW()-80)*0.25,0)))</f>
        <v/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7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</row>
    <row r="111" spans="3:90" x14ac:dyDescent="0.25">
      <c r="C111" s="2"/>
      <c r="D111" s="15" t="s">
        <v>76</v>
      </c>
      <c r="E111" s="31" t="str">
        <f t="shared" si="14"/>
        <v/>
      </c>
      <c r="F111" s="31" t="str">
        <f t="shared" si="15"/>
        <v/>
      </c>
      <c r="G111" s="31" t="str">
        <f t="shared" si="16"/>
        <v/>
      </c>
      <c r="H111" s="32" t="str">
        <f t="shared" si="17"/>
        <v/>
      </c>
      <c r="I111" s="32" t="str" cm="1">
        <f t="array" aca="1" ref="I111" ca="1">IF(E111="","",INDIRECT("AF"&amp;ROUND((ROW()-80)*0.25,0)))</f>
        <v/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7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</row>
    <row r="112" spans="3:90" x14ac:dyDescent="0.25">
      <c r="C112" s="2"/>
      <c r="D112" s="15" t="s">
        <v>77</v>
      </c>
      <c r="E112" s="31" t="str">
        <f t="shared" si="14"/>
        <v/>
      </c>
      <c r="F112" s="31" t="str">
        <f t="shared" si="15"/>
        <v/>
      </c>
      <c r="G112" s="31" t="str">
        <f t="shared" si="16"/>
        <v/>
      </c>
      <c r="H112" s="32" t="str">
        <f t="shared" si="17"/>
        <v/>
      </c>
      <c r="I112" s="32" t="str" cm="1">
        <f t="array" aca="1" ref="I112" ca="1">IF(E112="","",INDIRECT("AF"&amp;ROUND((ROW()-80)*0.25,0)))</f>
        <v/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7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</row>
    <row r="113" spans="3:90" x14ac:dyDescent="0.25">
      <c r="C113" s="2"/>
      <c r="D113" s="15" t="s">
        <v>78</v>
      </c>
      <c r="E113" s="31" t="str">
        <f t="shared" si="14"/>
        <v/>
      </c>
      <c r="F113" s="31" t="str">
        <f t="shared" si="15"/>
        <v/>
      </c>
      <c r="G113" s="31" t="str">
        <f t="shared" si="16"/>
        <v/>
      </c>
      <c r="H113" s="32" t="str">
        <f t="shared" si="17"/>
        <v/>
      </c>
      <c r="I113" s="32" t="str" cm="1">
        <f t="array" aca="1" ref="I113" ca="1">IF(E113="","",INDIRECT("AF"&amp;ROUND((ROW()-80)*0.25,0)))</f>
        <v/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7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</row>
    <row r="114" spans="3:90" x14ac:dyDescent="0.2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7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</row>
    <row r="115" spans="3:90" x14ac:dyDescent="0.2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7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</row>
    <row r="116" spans="3:90" x14ac:dyDescent="0.2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7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</row>
    <row r="117" spans="3:90" x14ac:dyDescent="0.2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7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</row>
    <row r="118" spans="3:90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7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</row>
    <row r="119" spans="3:90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7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</row>
    <row r="120" spans="3:90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7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</row>
    <row r="121" spans="3:90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7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</row>
    <row r="122" spans="3:90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7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</row>
    <row r="123" spans="3:90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7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</row>
    <row r="124" spans="3:90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7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</row>
    <row r="125" spans="3:90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7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</row>
    <row r="126" spans="3:90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7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</row>
    <row r="127" spans="3:90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7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</row>
    <row r="128" spans="3:90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7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</row>
    <row r="129" spans="3:90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7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</row>
    <row r="130" spans="3:90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7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</row>
    <row r="131" spans="3:90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7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</row>
    <row r="132" spans="3:90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7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</row>
    <row r="133" spans="3:90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7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</row>
    <row r="134" spans="3:90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7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</row>
    <row r="135" spans="3:90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7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</row>
    <row r="136" spans="3:90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7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</row>
    <row r="137" spans="3:90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7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</row>
    <row r="138" spans="3:90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7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</row>
    <row r="139" spans="3:90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7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</row>
    <row r="140" spans="3:90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7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</row>
    <row r="141" spans="3:90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7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</row>
    <row r="142" spans="3:90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7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</row>
    <row r="143" spans="3:90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7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</row>
    <row r="144" spans="3:90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7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</row>
    <row r="145" spans="3:90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7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</row>
    <row r="146" spans="3:90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7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</row>
    <row r="147" spans="3:90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7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</row>
    <row r="148" spans="3:90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7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</row>
    <row r="149" spans="3:90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7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</row>
    <row r="150" spans="3:90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7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</row>
    <row r="151" spans="3:90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7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</row>
    <row r="152" spans="3:90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7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</row>
    <row r="153" spans="3:90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7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</row>
    <row r="154" spans="3:90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7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</row>
    <row r="155" spans="3:90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7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</row>
    <row r="156" spans="3:90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7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</row>
    <row r="157" spans="3:90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7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</row>
    <row r="158" spans="3:90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7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</row>
    <row r="159" spans="3:90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7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</row>
    <row r="160" spans="3:90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7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</row>
    <row r="161" spans="3:90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7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</row>
    <row r="162" spans="3:90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7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</row>
    <row r="163" spans="3:90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7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</row>
    <row r="164" spans="3:90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7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</row>
    <row r="165" spans="3:90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7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</row>
    <row r="166" spans="3:90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7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</row>
    <row r="167" spans="3:90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7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</row>
    <row r="168" spans="3:90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7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</row>
    <row r="169" spans="3:90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7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</row>
    <row r="170" spans="3:90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7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</row>
    <row r="171" spans="3:90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7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</row>
    <row r="172" spans="3:90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7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</row>
    <row r="173" spans="3:90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7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</row>
    <row r="174" spans="3:90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7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</row>
    <row r="175" spans="3:90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7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</row>
    <row r="176" spans="3:90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7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</row>
    <row r="177" spans="3:90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7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</row>
    <row r="178" spans="3:90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7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</row>
    <row r="179" spans="3:90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7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</row>
    <row r="180" spans="3:90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7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</row>
    <row r="181" spans="3:90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7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</row>
    <row r="182" spans="3:90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7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</row>
    <row r="183" spans="3:90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7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</row>
    <row r="184" spans="3:90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7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</row>
    <row r="185" spans="3:90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7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</row>
    <row r="186" spans="3:90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7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</row>
    <row r="187" spans="3:90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7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</row>
    <row r="188" spans="3:90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7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</row>
    <row r="189" spans="3:90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7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</row>
    <row r="190" spans="3:90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7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</row>
    <row r="191" spans="3:90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7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</row>
    <row r="192" spans="3:90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7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</row>
    <row r="193" spans="3:90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7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</row>
    <row r="194" spans="3:90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7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</row>
    <row r="195" spans="3:90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7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</row>
    <row r="196" spans="3:90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7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</row>
    <row r="197" spans="3:90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7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</row>
    <row r="198" spans="3:90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7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</row>
    <row r="199" spans="3:90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7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</row>
    <row r="200" spans="3:90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7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</row>
    <row r="201" spans="3:90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7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</row>
    <row r="202" spans="3:90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7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</row>
    <row r="203" spans="3:90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7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</row>
    <row r="204" spans="3:90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7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</row>
    <row r="205" spans="3:90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7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</row>
    <row r="206" spans="3:90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7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</row>
    <row r="207" spans="3:90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7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</row>
    <row r="208" spans="3:90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7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</row>
    <row r="209" spans="3:90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7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</row>
    <row r="210" spans="3:90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7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</row>
    <row r="211" spans="3:90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7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</row>
    <row r="212" spans="3:90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7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</row>
    <row r="213" spans="3:90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7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</row>
    <row r="214" spans="3:90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7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</row>
    <row r="215" spans="3:90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7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</row>
    <row r="216" spans="3:90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7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</row>
    <row r="217" spans="3:90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7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</row>
    <row r="218" spans="3:90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7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</row>
    <row r="219" spans="3:90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7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</row>
    <row r="220" spans="3:90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7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</row>
    <row r="221" spans="3:90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7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</row>
    <row r="222" spans="3:90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7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</row>
    <row r="223" spans="3:90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7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</row>
    <row r="224" spans="3:90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7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</row>
    <row r="225" spans="3:90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7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</row>
    <row r="226" spans="3:90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7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</row>
    <row r="227" spans="3:90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7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</row>
    <row r="228" spans="3:90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7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</row>
    <row r="229" spans="3:90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7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</row>
    <row r="230" spans="3:90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7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</row>
    <row r="231" spans="3:90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7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</row>
    <row r="232" spans="3:90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7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</row>
    <row r="233" spans="3:90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7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</row>
    <row r="234" spans="3:90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7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</row>
    <row r="235" spans="3:90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7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</row>
    <row r="236" spans="3:90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7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</row>
    <row r="237" spans="3:90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7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</row>
    <row r="238" spans="3:90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7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</row>
    <row r="239" spans="3:90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7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</row>
    <row r="240" spans="3:90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7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</row>
    <row r="241" spans="3:90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7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</row>
    <row r="242" spans="3:90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7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</row>
    <row r="243" spans="3:90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7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</row>
    <row r="244" spans="3:90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7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</row>
    <row r="245" spans="3:90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7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</row>
    <row r="246" spans="3:90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7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</row>
    <row r="247" spans="3:90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7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</row>
    <row r="248" spans="3:90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7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</row>
    <row r="249" spans="3:90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</row>
    <row r="250" spans="3:90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</row>
    <row r="251" spans="3:90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</row>
    <row r="252" spans="3:90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</row>
    <row r="253" spans="3:90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</row>
    <row r="254" spans="3:90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</row>
    <row r="255" spans="3:90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</row>
    <row r="256" spans="3:90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</row>
    <row r="257" spans="3:90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</row>
    <row r="258" spans="3:90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</row>
    <row r="259" spans="3:90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</row>
    <row r="260" spans="3:90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</row>
    <row r="261" spans="3:90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</row>
    <row r="262" spans="3:90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</row>
    <row r="263" spans="3:90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</row>
    <row r="264" spans="3:90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</row>
    <row r="265" spans="3:90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</row>
    <row r="266" spans="3:90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</row>
    <row r="267" spans="3:90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</row>
    <row r="268" spans="3:90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</row>
    <row r="269" spans="3:90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</row>
    <row r="270" spans="3:90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</row>
    <row r="271" spans="3:90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</row>
    <row r="272" spans="3:90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</row>
    <row r="273" spans="3:90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</row>
    <row r="274" spans="3:90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</row>
    <row r="275" spans="3:90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</row>
    <row r="276" spans="3:90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</row>
    <row r="277" spans="3:90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</row>
    <row r="278" spans="3:90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</row>
    <row r="279" spans="3:90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</row>
    <row r="280" spans="3:90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</row>
    <row r="281" spans="3:90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</row>
    <row r="282" spans="3:90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</row>
    <row r="283" spans="3:90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</row>
    <row r="284" spans="3:90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</row>
    <row r="285" spans="3:90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</row>
    <row r="286" spans="3:90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</row>
    <row r="287" spans="3:90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</row>
    <row r="288" spans="3:90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</row>
    <row r="289" spans="3:90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</row>
    <row r="290" spans="3:90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</row>
    <row r="291" spans="3:90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</row>
    <row r="292" spans="3:90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</row>
    <row r="293" spans="3:90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</row>
    <row r="294" spans="3:90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</row>
    <row r="295" spans="3:90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</row>
    <row r="296" spans="3:90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</row>
    <row r="297" spans="3:90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</row>
    <row r="298" spans="3:90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</row>
    <row r="299" spans="3:90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</row>
    <row r="300" spans="3:90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</row>
    <row r="301" spans="3:90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</row>
    <row r="302" spans="3:90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</row>
    <row r="303" spans="3:90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</row>
    <row r="304" spans="3:90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</row>
    <row r="305" spans="3:90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</row>
    <row r="306" spans="3:90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</row>
    <row r="307" spans="3:90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</row>
    <row r="308" spans="3:90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</row>
    <row r="309" spans="3:90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</row>
    <row r="310" spans="3:90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</row>
    <row r="311" spans="3:90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</row>
    <row r="312" spans="3:90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</row>
    <row r="313" spans="3:90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</row>
    <row r="314" spans="3:90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</row>
    <row r="315" spans="3:90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</row>
    <row r="316" spans="3:90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</row>
    <row r="317" spans="3:90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</row>
    <row r="318" spans="3:90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</row>
    <row r="319" spans="3:90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</row>
    <row r="320" spans="3:90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</row>
    <row r="321" spans="3:90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</row>
    <row r="322" spans="3:90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</row>
    <row r="323" spans="3:90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</row>
    <row r="324" spans="3:90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</row>
    <row r="325" spans="3:90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</row>
    <row r="326" spans="3:90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</row>
    <row r="327" spans="3:90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</row>
    <row r="328" spans="3:90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</row>
    <row r="329" spans="3:90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</row>
    <row r="330" spans="3:90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</row>
    <row r="331" spans="3:90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</row>
    <row r="332" spans="3:90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</row>
    <row r="333" spans="3:90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</row>
    <row r="334" spans="3:90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</row>
    <row r="335" spans="3:90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</row>
    <row r="336" spans="3:90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</row>
    <row r="337" spans="3:90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</row>
    <row r="338" spans="3:90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</row>
    <row r="339" spans="3:90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</row>
    <row r="340" spans="3:90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</row>
    <row r="341" spans="3:90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</row>
    <row r="342" spans="3:90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</row>
    <row r="343" spans="3:90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</row>
    <row r="344" spans="3:90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</row>
    <row r="345" spans="3:90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</row>
    <row r="346" spans="3:90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</row>
    <row r="347" spans="3:90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</row>
    <row r="348" spans="3:90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</row>
    <row r="349" spans="3:90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</row>
    <row r="350" spans="3:90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</row>
    <row r="351" spans="3:90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</row>
    <row r="352" spans="3:90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</row>
    <row r="353" spans="3:90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</row>
    <row r="354" spans="3:90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</row>
    <row r="355" spans="3:90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</row>
    <row r="356" spans="3:90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</row>
    <row r="357" spans="3:90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</row>
    <row r="358" spans="3:90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</row>
    <row r="359" spans="3:90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</row>
    <row r="360" spans="3:90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</row>
    <row r="361" spans="3:90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</row>
    <row r="362" spans="3:90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</row>
    <row r="363" spans="3:90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</row>
    <row r="364" spans="3:90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</row>
    <row r="365" spans="3:90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</row>
    <row r="366" spans="3:90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</row>
    <row r="367" spans="3:90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</row>
    <row r="368" spans="3:90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</row>
    <row r="369" spans="3:90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</row>
    <row r="370" spans="3:90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</row>
    <row r="371" spans="3:90" x14ac:dyDescent="0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</row>
    <row r="372" spans="3:90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</row>
    <row r="373" spans="3:90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</row>
    <row r="374" spans="3:90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</row>
    <row r="375" spans="3:90" x14ac:dyDescent="0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</row>
    <row r="376" spans="3:90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</row>
    <row r="377" spans="3:90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</row>
    <row r="378" spans="3:90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</row>
    <row r="379" spans="3:90" x14ac:dyDescent="0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</row>
    <row r="380" spans="3:90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</row>
    <row r="381" spans="3:90" x14ac:dyDescent="0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</row>
    <row r="382" spans="3:90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</row>
    <row r="383" spans="3:90" x14ac:dyDescent="0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</row>
    <row r="384" spans="3:90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</row>
    <row r="385" spans="3:90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</row>
    <row r="386" spans="3:90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</row>
    <row r="387" spans="3:90" x14ac:dyDescent="0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</row>
    <row r="388" spans="3:90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</row>
    <row r="389" spans="3:90" x14ac:dyDescent="0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</row>
    <row r="390" spans="3:90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</row>
    <row r="391" spans="3:90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</row>
    <row r="392" spans="3:90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</row>
    <row r="393" spans="3:90" x14ac:dyDescent="0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</row>
    <row r="394" spans="3:90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</row>
    <row r="395" spans="3:90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</row>
    <row r="396" spans="3:90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</row>
    <row r="397" spans="3:90" x14ac:dyDescent="0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</row>
    <row r="398" spans="3:90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</row>
    <row r="399" spans="3:90" x14ac:dyDescent="0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</row>
    <row r="400" spans="3:90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</row>
  </sheetData>
  <mergeCells count="17">
    <mergeCell ref="E88:I88"/>
    <mergeCell ref="U52:V52"/>
    <mergeCell ref="U58:V58"/>
    <mergeCell ref="U64:V64"/>
    <mergeCell ref="T84:X84"/>
    <mergeCell ref="E52:H52"/>
    <mergeCell ref="E58:H58"/>
    <mergeCell ref="E64:H64"/>
    <mergeCell ref="E70:H70"/>
    <mergeCell ref="E76:H76"/>
    <mergeCell ref="E82:H82"/>
    <mergeCell ref="E20:H20"/>
    <mergeCell ref="I20:K20"/>
    <mergeCell ref="U34:V34"/>
    <mergeCell ref="U40:V40"/>
    <mergeCell ref="E46:H46"/>
    <mergeCell ref="U46:V46"/>
  </mergeCells>
  <conditionalFormatting sqref="T34 W34">
    <cfRule type="expression" dxfId="5" priority="6">
      <formula>$T$34=$W$34</formula>
    </cfRule>
  </conditionalFormatting>
  <conditionalFormatting sqref="T40 W40">
    <cfRule type="expression" dxfId="4" priority="5">
      <formula>$T$40=$W$40</formula>
    </cfRule>
  </conditionalFormatting>
  <conditionalFormatting sqref="T46 W46">
    <cfRule type="expression" dxfId="3" priority="4">
      <formula>$T$46=$W$46</formula>
    </cfRule>
  </conditionalFormatting>
  <conditionalFormatting sqref="T52 W52">
    <cfRule type="expression" dxfId="2" priority="3">
      <formula>$T$52=$W$52</formula>
    </cfRule>
  </conditionalFormatting>
  <conditionalFormatting sqref="T58 W58">
    <cfRule type="expression" dxfId="1" priority="2">
      <formula>$T$58=$W$58</formula>
    </cfRule>
  </conditionalFormatting>
  <conditionalFormatting sqref="T64 W64">
    <cfRule type="expression" dxfId="0" priority="1">
      <formula>$T$64=$W$64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E2:E19" xr:uid="{38B2C6CE-2095-4F07-9DB0-8F3ECA75289E}">
      <formula1>"D01,E02"</formula1>
    </dataValidation>
    <dataValidation type="list" allowBlank="1" showInputMessage="1" showErrorMessage="1" sqref="H2:H19" xr:uid="{57A4D470-46D1-44C9-B065-59B3567B39C7}">
      <formula1>"PT15M,PT1H"</formula1>
    </dataValidation>
    <dataValidation type="list" allowBlank="1" showInputMessage="1" showErrorMessage="1" sqref="K2:K19" xr:uid="{A8A7884E-12CD-45C2-A372-F6EC1B801A34}">
      <formula1>"glmp,skmp"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86</vt:i4>
      </vt:variant>
    </vt:vector>
  </HeadingPairs>
  <TitlesOfParts>
    <vt:vector size="88" baseType="lpstr">
      <vt:lpstr>Hour1</vt:lpstr>
      <vt:lpstr>Day2</vt:lpstr>
      <vt:lpstr>'Day2'!gridLoss15M</vt:lpstr>
      <vt:lpstr>Hour1!gridLoss15M</vt:lpstr>
      <vt:lpstr>'Day2'!gridLoss1H_quarter1</vt:lpstr>
      <vt:lpstr>Hour1!gridLoss1H_quarter1</vt:lpstr>
      <vt:lpstr>'Day2'!gridLoss1H_quarter2</vt:lpstr>
      <vt:lpstr>Hour1!gridLoss1H_quarter2</vt:lpstr>
      <vt:lpstr>'Day2'!gridLoss1H_quarter3</vt:lpstr>
      <vt:lpstr>Hour1!gridLoss1H_quarter3</vt:lpstr>
      <vt:lpstr>'Day2'!gridLoss1H_quarter4</vt:lpstr>
      <vt:lpstr>Hour1!gridLoss1H_quarter4</vt:lpstr>
      <vt:lpstr>'Day2'!negGridLossQuarter1</vt:lpstr>
      <vt:lpstr>Hour1!negGridLossQuarter1</vt:lpstr>
      <vt:lpstr>'Day2'!negGridLossQuarter2</vt:lpstr>
      <vt:lpstr>Hour1!negGridLossQuarter2</vt:lpstr>
      <vt:lpstr>'Day2'!negGridLossQuarter3</vt:lpstr>
      <vt:lpstr>Hour1!negGridLossQuarter3</vt:lpstr>
      <vt:lpstr>'Day2'!negGridLossQuarter4</vt:lpstr>
      <vt:lpstr>Hour1!negGridLossQuarter4</vt:lpstr>
      <vt:lpstr>'Day2'!netEx_quarter1</vt:lpstr>
      <vt:lpstr>Hour1!netEx_quarter1</vt:lpstr>
      <vt:lpstr>'Day2'!netEx_quarter2</vt:lpstr>
      <vt:lpstr>Hour1!netEx_quarter2</vt:lpstr>
      <vt:lpstr>'Day2'!netEx_quarter3</vt:lpstr>
      <vt:lpstr>Hour1!netEx_quarter3</vt:lpstr>
      <vt:lpstr>'Day2'!netEx_quarter4</vt:lpstr>
      <vt:lpstr>Hour1!netEx_quarter4</vt:lpstr>
      <vt:lpstr>'Day2'!powerIn15M</vt:lpstr>
      <vt:lpstr>Hour1!powerIn15M</vt:lpstr>
      <vt:lpstr>'Day2'!powerIn1H_quarter1</vt:lpstr>
      <vt:lpstr>Hour1!powerIn1H_quarter1</vt:lpstr>
      <vt:lpstr>'Day2'!powerIn1H_quarter2</vt:lpstr>
      <vt:lpstr>Hour1!powerIn1H_quarter2</vt:lpstr>
      <vt:lpstr>'Day2'!powerIn1H_quarter3</vt:lpstr>
      <vt:lpstr>Hour1!powerIn1H_quarter3</vt:lpstr>
      <vt:lpstr>'Day2'!powerIn1H_quarter4</vt:lpstr>
      <vt:lpstr>Hour1!powerIn1H_quarter4</vt:lpstr>
      <vt:lpstr>'Day2'!powerOut15M</vt:lpstr>
      <vt:lpstr>Hour1!powerOut15M</vt:lpstr>
      <vt:lpstr>'Day2'!powerOut1H_quarter1</vt:lpstr>
      <vt:lpstr>Hour1!powerOut1H_quarter1</vt:lpstr>
      <vt:lpstr>'Day2'!powerOut1H_quarter2</vt:lpstr>
      <vt:lpstr>Hour1!powerOut1H_quarter2</vt:lpstr>
      <vt:lpstr>'Day2'!powerOut1H_quarter3</vt:lpstr>
      <vt:lpstr>Hour1!powerOut1H_quarter3</vt:lpstr>
      <vt:lpstr>'Day2'!powerOut1H_quarter4</vt:lpstr>
      <vt:lpstr>Hour1!powerOut1H_quarter4</vt:lpstr>
      <vt:lpstr>'Day2'!totalConsumption_quarter1</vt:lpstr>
      <vt:lpstr>Hour1!totalConsumption_quarter1</vt:lpstr>
      <vt:lpstr>'Day2'!totalConsumption_quarter2</vt:lpstr>
      <vt:lpstr>Hour1!totalConsumption_quarter2</vt:lpstr>
      <vt:lpstr>'Day2'!totalConsumption_quarter3</vt:lpstr>
      <vt:lpstr>Hour1!totalConsumption_quarter3</vt:lpstr>
      <vt:lpstr>'Day2'!totalConsumption_quarter4</vt:lpstr>
      <vt:lpstr>Hour1!totalConsumption_quarter4</vt:lpstr>
      <vt:lpstr>'Day2'!totalConsumption15M</vt:lpstr>
      <vt:lpstr>Hour1!totalConsumption15M</vt:lpstr>
      <vt:lpstr>'Day2'!totalFlex15M</vt:lpstr>
      <vt:lpstr>Hour1!totalFlex15M</vt:lpstr>
      <vt:lpstr>'Day2'!totalFlex1H_quarter1</vt:lpstr>
      <vt:lpstr>Hour1!totalFlex1H_quarter1</vt:lpstr>
      <vt:lpstr>'Day2'!totalFlex1H_quarter2</vt:lpstr>
      <vt:lpstr>Hour1!totalFlex1H_quarter2</vt:lpstr>
      <vt:lpstr>'Day2'!totalFlex1H_quarter3</vt:lpstr>
      <vt:lpstr>Hour1!totalFlex1H_quarter3</vt:lpstr>
      <vt:lpstr>'Day2'!totalFlex1H_quarter4</vt:lpstr>
      <vt:lpstr>Hour1!totalFlex1H_quarter4</vt:lpstr>
      <vt:lpstr>'Day2'!totalNonprofiled15M</vt:lpstr>
      <vt:lpstr>Hour1!totalNonprofiled15M</vt:lpstr>
      <vt:lpstr>'Day2'!totalNonprofiled1H_quarter1</vt:lpstr>
      <vt:lpstr>Hour1!totalNonprofiled1H_quarter1</vt:lpstr>
      <vt:lpstr>'Day2'!totalNonprofiled1H_quarter2</vt:lpstr>
      <vt:lpstr>Hour1!totalNonprofiled1H_quarter2</vt:lpstr>
      <vt:lpstr>'Day2'!totalNonprofiled1H_quarter3</vt:lpstr>
      <vt:lpstr>Hour1!totalNonprofiled1H_quarter3</vt:lpstr>
      <vt:lpstr>'Day2'!totalNonprofiled1H_quarter4</vt:lpstr>
      <vt:lpstr>Hour1!totalNonprofiled1H_quarter4</vt:lpstr>
      <vt:lpstr>'Day2'!totalProduction15M</vt:lpstr>
      <vt:lpstr>Hour1!totalProduction15M</vt:lpstr>
      <vt:lpstr>'Day2'!totalProduction1H_quarter1</vt:lpstr>
      <vt:lpstr>Hour1!totalProduction1H_quarter1</vt:lpstr>
      <vt:lpstr>'Day2'!totalProduction1H_quarter2</vt:lpstr>
      <vt:lpstr>Hour1!totalProduction1H_quarter2</vt:lpstr>
      <vt:lpstr>'Day2'!totalProduction1H_quarter3</vt:lpstr>
      <vt:lpstr>Hour1!totalProduction1H_quarter3</vt:lpstr>
      <vt:lpstr>'Day2'!totalProduction1H_quarter4</vt:lpstr>
      <vt:lpstr>Hour1!totalProduction1H_quarter4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2024-05-07T10:41:33Z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