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es_and_res_change\"/>
    </mc:Choice>
  </mc:AlternateContent>
  <xr:revisionPtr revIDLastSave="0" documentId="13_ncr:1_{E2AFF143-917A-436C-B543-7A04C907A8A5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Day1" sheetId="10" r:id="rId1"/>
  </sheets>
  <definedNames>
    <definedName name="gridLoss15M" localSheetId="0">'Day1'!$Q$33</definedName>
    <definedName name="gridLoss1H_quarter1" localSheetId="0">'Day1'!$H$66</definedName>
    <definedName name="gridLoss1H_quarter2" localSheetId="0">'Day1'!$H$67</definedName>
    <definedName name="gridLoss1H_quarter3" localSheetId="0">'Day1'!$H$68</definedName>
    <definedName name="gridLoss1H_quarter4" localSheetId="0">'Day1'!$H$69</definedName>
    <definedName name="netEx_quarter1" localSheetId="0">'Day1'!$H$48</definedName>
    <definedName name="netEx_quarter2" localSheetId="0">'Day1'!$H$49</definedName>
    <definedName name="netEx_quarter3" localSheetId="0">'Day1'!$H$50</definedName>
    <definedName name="netEx_quarter4" localSheetId="0">'Day1'!$H$51</definedName>
    <definedName name="powerIn15M" localSheetId="0">'Day1'!$R$5</definedName>
    <definedName name="powerIn1H_quarter" localSheetId="0">'Day1'!$T$53</definedName>
    <definedName name="powerIn1H_quarter1" localSheetId="0">'Day1'!$W$54</definedName>
    <definedName name="powerIn1H_quarter2" localSheetId="0">'Day1'!$W$55</definedName>
    <definedName name="powerIn1H_quarter3" localSheetId="0">'Day1'!$W$56</definedName>
    <definedName name="powerIn1H_quarter4" localSheetId="0">'Day1'!$W$57</definedName>
    <definedName name="powerOut15M" localSheetId="0">'Day1'!$R$6</definedName>
    <definedName name="powerOut1H_quarter" localSheetId="0">'Day1'!$T$59</definedName>
    <definedName name="powerOut1H_quarter1" localSheetId="0">'Day1'!$W$60</definedName>
    <definedName name="powerOut1H_quarter2" localSheetId="0">'Day1'!$W$61</definedName>
    <definedName name="powerOut1H_quarter3" localSheetId="0">'Day1'!$W$62</definedName>
    <definedName name="powerOut1H_quarter4" localSheetId="0">'Day1'!$W$63</definedName>
    <definedName name="totalConsumption_quarter1" localSheetId="0">'Day1'!$W$66</definedName>
    <definedName name="totalConsumption_quarter2" localSheetId="0">'Day1'!$W$67</definedName>
    <definedName name="totalConsumption_quarter3" localSheetId="0">'Day1'!$W$68</definedName>
    <definedName name="totalConsumption_quarter4" localSheetId="0">'Day1'!$W$69</definedName>
    <definedName name="totalConsumption15M" localSheetId="0">'Day1'!$R$4</definedName>
    <definedName name="totalConsumption1H_quarter" localSheetId="0">'Day1'!$T$65</definedName>
    <definedName name="totalFlex15M" localSheetId="0">'Day1'!$R$1</definedName>
    <definedName name="totalFlex1H_quarter" localSheetId="0">'Day1'!$T$35</definedName>
    <definedName name="totalFlex1H_quarter1" localSheetId="0">'Day1'!$W$36</definedName>
    <definedName name="totalFlex1H_quarter2" localSheetId="0">'Day1'!$W$37</definedName>
    <definedName name="totalFlex1H_quarter3" localSheetId="0">'Day1'!$W$38</definedName>
    <definedName name="totalFlex1H_quarter4" localSheetId="0">'Day1'!$W$39</definedName>
    <definedName name="totalNonprofiled15M" localSheetId="0">'Day1'!$R$2</definedName>
    <definedName name="totalNonprofiled1H_quarter" localSheetId="0">'Day1'!$T$47</definedName>
    <definedName name="totalNonprofiled1H_quarter1" localSheetId="0">'Day1'!$W$48</definedName>
    <definedName name="totalNonprofiled1H_quarter2" localSheetId="0">'Day1'!$W$49</definedName>
    <definedName name="totalNonprofiled1H_quarter3" localSheetId="0">'Day1'!$W$50</definedName>
    <definedName name="totalNonprofiled1H_quarter4" localSheetId="0">'Day1'!$W$51</definedName>
    <definedName name="totalProduction15M" localSheetId="0">'Day1'!$R$3</definedName>
    <definedName name="totalProduction1H_quarter" localSheetId="0">'Day1'!$T$41</definedName>
    <definedName name="totalProduction1H_quarter1" localSheetId="0">'Day1'!$W$42</definedName>
    <definedName name="totalProduction1H_quarter2" localSheetId="0">'Day1'!$W$43</definedName>
    <definedName name="totalProduction1H_quarter3" localSheetId="0">'Day1'!$W$44</definedName>
    <definedName name="totalProduction1H_quarter4" localSheetId="0">'Day1'!$W$45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0" l="1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22" i="10"/>
  <c r="E23" i="10"/>
  <c r="E24" i="10"/>
  <c r="E25" i="10"/>
  <c r="E26" i="10"/>
  <c r="E27" i="10"/>
  <c r="E28" i="10"/>
  <c r="E29" i="10"/>
  <c r="E30" i="10"/>
  <c r="J45" i="10"/>
  <c r="J44" i="10"/>
  <c r="J43" i="10"/>
  <c r="E91" i="10"/>
  <c r="F91" i="10" s="1"/>
  <c r="H91" i="10"/>
  <c r="E92" i="10"/>
  <c r="F92" i="10" s="1"/>
  <c r="G92" i="10"/>
  <c r="E93" i="10"/>
  <c r="F93" i="10" s="1"/>
  <c r="E94" i="10"/>
  <c r="G94" i="10" s="1"/>
  <c r="F94" i="10"/>
  <c r="E95" i="10"/>
  <c r="F95" i="10" s="1"/>
  <c r="E96" i="10"/>
  <c r="H96" i="10" s="1"/>
  <c r="E97" i="10"/>
  <c r="F97" i="10" s="1"/>
  <c r="I97" i="10" a="1"/>
  <c r="I97" i="10" s="1"/>
  <c r="E98" i="10"/>
  <c r="F98" i="10" s="1"/>
  <c r="E99" i="10"/>
  <c r="F99" i="10" s="1"/>
  <c r="H99" i="10"/>
  <c r="I99" i="10" a="1"/>
  <c r="I99" i="10" s="1"/>
  <c r="E100" i="10"/>
  <c r="F100" i="10" s="1"/>
  <c r="G100" i="10"/>
  <c r="E101" i="10"/>
  <c r="F101" i="10" s="1"/>
  <c r="I101" i="10" a="1"/>
  <c r="I101" i="10" s="1"/>
  <c r="E102" i="10"/>
  <c r="H102" i="10" s="1"/>
  <c r="F102" i="10"/>
  <c r="G102" i="10"/>
  <c r="I102" i="10" a="1"/>
  <c r="I102" i="10" s="1"/>
  <c r="E103" i="10"/>
  <c r="F103" i="10" s="1"/>
  <c r="E104" i="10"/>
  <c r="H104" i="10" s="1"/>
  <c r="G104" i="10"/>
  <c r="I104" i="10" a="1"/>
  <c r="I104" i="10" s="1"/>
  <c r="E105" i="10"/>
  <c r="F105" i="10" s="1"/>
  <c r="E106" i="10"/>
  <c r="F106" i="10" s="1"/>
  <c r="E107" i="10"/>
  <c r="F107" i="10" s="1"/>
  <c r="H107" i="10"/>
  <c r="I107" i="10" a="1"/>
  <c r="I107" i="10" s="1"/>
  <c r="E108" i="10"/>
  <c r="F108" i="10" s="1"/>
  <c r="G108" i="10"/>
  <c r="E109" i="10"/>
  <c r="F109" i="10" s="1"/>
  <c r="I109" i="10" a="1"/>
  <c r="I109" i="10" s="1"/>
  <c r="E110" i="10"/>
  <c r="H110" i="10" s="1"/>
  <c r="F110" i="10"/>
  <c r="G110" i="10"/>
  <c r="E111" i="10"/>
  <c r="F111" i="10" s="1"/>
  <c r="E112" i="10"/>
  <c r="H112" i="10" s="1"/>
  <c r="G112" i="10"/>
  <c r="I112" i="10" a="1"/>
  <c r="I112" i="10" s="1"/>
  <c r="E113" i="10"/>
  <c r="F113" i="10" s="1"/>
  <c r="E90" i="10"/>
  <c r="T102" i="10"/>
  <c r="T98" i="10"/>
  <c r="T94" i="10"/>
  <c r="T90" i="10"/>
  <c r="T86" i="10"/>
  <c r="J41" i="10"/>
  <c r="J40" i="10"/>
  <c r="J39" i="10"/>
  <c r="J37" i="10"/>
  <c r="J36" i="10"/>
  <c r="J35" i="10"/>
  <c r="J33" i="10"/>
  <c r="J32" i="10"/>
  <c r="J31" i="10"/>
  <c r="J29" i="10"/>
  <c r="J28" i="10"/>
  <c r="J27" i="10"/>
  <c r="J25" i="10"/>
  <c r="J24" i="10"/>
  <c r="J23" i="10"/>
  <c r="R6" i="10"/>
  <c r="R5" i="10"/>
  <c r="R4" i="10"/>
  <c r="R3" i="10"/>
  <c r="R2" i="10"/>
  <c r="R1" i="10"/>
  <c r="U106" i="10"/>
  <c r="U102" i="10"/>
  <c r="U98" i="10"/>
  <c r="U94" i="10"/>
  <c r="U90" i="10"/>
  <c r="U86" i="10"/>
  <c r="T65" i="10"/>
  <c r="T64" i="10"/>
  <c r="T59" i="10"/>
  <c r="T58" i="10"/>
  <c r="T53" i="10"/>
  <c r="T52" i="10"/>
  <c r="T47" i="10"/>
  <c r="T46" i="10"/>
  <c r="T41" i="10"/>
  <c r="T40" i="10"/>
  <c r="T34" i="10"/>
  <c r="T35" i="10"/>
  <c r="I90" i="10" a="1"/>
  <c r="G96" i="10" l="1"/>
  <c r="F112" i="10"/>
  <c r="H109" i="10"/>
  <c r="F104" i="10"/>
  <c r="H101" i="10"/>
  <c r="F96" i="10"/>
  <c r="H93" i="10"/>
  <c r="I106" i="10" a="1"/>
  <c r="I106" i="10" s="1"/>
  <c r="G93" i="10"/>
  <c r="G109" i="10"/>
  <c r="G101" i="10"/>
  <c r="I98" i="10" a="1"/>
  <c r="I98" i="10" s="1"/>
  <c r="H106" i="10"/>
  <c r="H98" i="10"/>
  <c r="I103" i="10" a="1"/>
  <c r="I103" i="10" s="1"/>
  <c r="G106" i="10"/>
  <c r="G98" i="10"/>
  <c r="I95" i="10" a="1"/>
  <c r="I95" i="10" s="1"/>
  <c r="H111" i="10"/>
  <c r="H103" i="10"/>
  <c r="H95" i="10"/>
  <c r="I113" i="10" a="1"/>
  <c r="I113" i="10" s="1"/>
  <c r="I111" i="10" a="1"/>
  <c r="I111" i="10" s="1"/>
  <c r="G111" i="10"/>
  <c r="I108" i="10" a="1"/>
  <c r="I108" i="10" s="1"/>
  <c r="G95" i="10"/>
  <c r="G103" i="10"/>
  <c r="I100" i="10" a="1"/>
  <c r="I100" i="10" s="1"/>
  <c r="H108" i="10"/>
  <c r="H100" i="10"/>
  <c r="H92" i="10"/>
  <c r="H113" i="10"/>
  <c r="H105" i="10"/>
  <c r="H97" i="10"/>
  <c r="I105" i="10" a="1"/>
  <c r="I105" i="10" s="1"/>
  <c r="G113" i="10"/>
  <c r="I110" i="10" a="1"/>
  <c r="I110" i="10" s="1"/>
  <c r="G105" i="10"/>
  <c r="G97" i="10"/>
  <c r="I94" i="10" a="1"/>
  <c r="I94" i="10" s="1"/>
  <c r="H94" i="10"/>
  <c r="G107" i="10"/>
  <c r="G91" i="10"/>
  <c r="G99" i="10"/>
  <c r="I96" i="10" a="1"/>
  <c r="I96" i="10" s="1"/>
  <c r="I90" i="10"/>
  <c r="V106" i="10"/>
  <c r="X106" i="10" s="1"/>
  <c r="U103" i="10"/>
  <c r="U100" i="10"/>
  <c r="U96" i="10"/>
  <c r="T62" i="10"/>
  <c r="X62" i="10" s="1"/>
  <c r="T56" i="10"/>
  <c r="T50" i="10"/>
  <c r="T37" i="10"/>
  <c r="S29" i="10"/>
  <c r="S30" i="10" s="1"/>
  <c r="R30" i="10" s="1"/>
  <c r="E20" i="10"/>
  <c r="AG2" i="10" a="1"/>
  <c r="AE2" i="10"/>
  <c r="AD2" i="10" a="1"/>
  <c r="AD2" i="10" s="1"/>
  <c r="AC2" i="10" a="1"/>
  <c r="AB2" i="10" a="1"/>
  <c r="AB2" i="10" s="1"/>
  <c r="I93" i="10" a="1"/>
  <c r="I91" i="10" a="1"/>
  <c r="I92" i="10" a="1"/>
  <c r="AC2" i="10" l="1"/>
  <c r="S9" i="10" s="1"/>
  <c r="T9" i="10" s="1"/>
  <c r="S25" i="10"/>
  <c r="T29" i="10"/>
  <c r="T25" i="10"/>
  <c r="H42" i="10"/>
  <c r="H43" i="10"/>
  <c r="H44" i="10"/>
  <c r="I92" i="10"/>
  <c r="I91" i="10"/>
  <c r="I93" i="10"/>
  <c r="S21" i="10"/>
  <c r="S22" i="10" s="1"/>
  <c r="S17" i="10"/>
  <c r="S27" i="10"/>
  <c r="R27" i="10" s="1"/>
  <c r="S28" i="10"/>
  <c r="S31" i="10"/>
  <c r="S32" i="10"/>
  <c r="R25" i="10"/>
  <c r="Q29" i="10"/>
  <c r="R29" i="10"/>
  <c r="S13" i="10"/>
  <c r="T63" i="10"/>
  <c r="X63" i="10" s="1"/>
  <c r="T60" i="10"/>
  <c r="U60" i="10" s="1"/>
  <c r="W60" i="10" s="1"/>
  <c r="T61" i="10"/>
  <c r="X61" i="10" s="1"/>
  <c r="U99" i="10"/>
  <c r="X37" i="10"/>
  <c r="U88" i="10"/>
  <c r="V86" i="10"/>
  <c r="X86" i="10" s="1"/>
  <c r="S23" i="10"/>
  <c r="Q30" i="10"/>
  <c r="T45" i="10"/>
  <c r="T43" i="10"/>
  <c r="T42" i="10"/>
  <c r="T51" i="10"/>
  <c r="T49" i="10"/>
  <c r="T48" i="10"/>
  <c r="T54" i="10"/>
  <c r="T57" i="10"/>
  <c r="T55" i="10"/>
  <c r="U87" i="10"/>
  <c r="T68" i="10"/>
  <c r="T69" i="10"/>
  <c r="T67" i="10"/>
  <c r="T66" i="10"/>
  <c r="AG2" i="10"/>
  <c r="T44" i="10"/>
  <c r="T36" i="10"/>
  <c r="T38" i="10"/>
  <c r="T39" i="10"/>
  <c r="X50" i="10"/>
  <c r="X56" i="10"/>
  <c r="U89" i="10"/>
  <c r="R31" i="10"/>
  <c r="Q31" i="10"/>
  <c r="U105" i="10"/>
  <c r="U108" i="10"/>
  <c r="V102" i="10"/>
  <c r="X102" i="10" s="1"/>
  <c r="W103" i="10" s="1"/>
  <c r="V103" i="10" s="1"/>
  <c r="X103" i="10" s="1"/>
  <c r="U95" i="10"/>
  <c r="U101" i="10"/>
  <c r="V98" i="10"/>
  <c r="X98" i="10" s="1"/>
  <c r="U104" i="10"/>
  <c r="U107" i="10"/>
  <c r="W107" i="10" s="1"/>
  <c r="V107" i="10" s="1"/>
  <c r="X107" i="10" s="1"/>
  <c r="U97" i="10"/>
  <c r="V94" i="10"/>
  <c r="X94" i="10" s="1"/>
  <c r="U109" i="10"/>
  <c r="Q21" i="10" l="1"/>
  <c r="S24" i="10"/>
  <c r="S26" i="10"/>
  <c r="Q25" i="10"/>
  <c r="T21" i="10"/>
  <c r="T24" i="10" s="1"/>
  <c r="R21" i="10"/>
  <c r="S18" i="10"/>
  <c r="T17" i="10"/>
  <c r="T19" i="10" s="1"/>
  <c r="R17" i="10"/>
  <c r="S20" i="10"/>
  <c r="S19" i="10"/>
  <c r="R19" i="10" s="1"/>
  <c r="Q17" i="10"/>
  <c r="S16" i="10"/>
  <c r="T13" i="10"/>
  <c r="T14" i="10" s="1"/>
  <c r="Q28" i="10"/>
  <c r="R28" i="10"/>
  <c r="Q27" i="10"/>
  <c r="Q32" i="10"/>
  <c r="R32" i="10"/>
  <c r="Q13" i="10"/>
  <c r="S15" i="10"/>
  <c r="Q15" i="10" s="1"/>
  <c r="R13" i="10"/>
  <c r="S14" i="10"/>
  <c r="E74" i="10"/>
  <c r="E50" i="10"/>
  <c r="E73" i="10"/>
  <c r="E49" i="10"/>
  <c r="E72" i="10"/>
  <c r="E48" i="10"/>
  <c r="E69" i="10"/>
  <c r="E68" i="10"/>
  <c r="E75" i="10"/>
  <c r="E67" i="10"/>
  <c r="E66" i="10"/>
  <c r="E87" i="10"/>
  <c r="E63" i="10"/>
  <c r="E81" i="10"/>
  <c r="E86" i="10"/>
  <c r="E62" i="10"/>
  <c r="E85" i="10"/>
  <c r="E61" i="10"/>
  <c r="E54" i="10"/>
  <c r="E51" i="10"/>
  <c r="E84" i="10"/>
  <c r="E60" i="10"/>
  <c r="E57" i="10"/>
  <c r="E78" i="10"/>
  <c r="E80" i="10"/>
  <c r="E56" i="10"/>
  <c r="E79" i="10"/>
  <c r="E55" i="10"/>
  <c r="X60" i="10"/>
  <c r="X58" i="10" s="1"/>
  <c r="W99" i="10"/>
  <c r="V99" i="10" s="1"/>
  <c r="X99" i="10" s="1"/>
  <c r="W100" i="10" s="1"/>
  <c r="V100" i="10" s="1"/>
  <c r="X100" i="10" s="1"/>
  <c r="W101" i="10" s="1"/>
  <c r="V101" i="10" s="1"/>
  <c r="X101" i="10" s="1"/>
  <c r="V61" i="10"/>
  <c r="U61" i="10" s="1"/>
  <c r="W61" i="10" s="1"/>
  <c r="V62" i="10" s="1"/>
  <c r="U62" i="10" s="1"/>
  <c r="W62" i="10" s="1"/>
  <c r="V63" i="10" s="1"/>
  <c r="U63" i="10" s="1"/>
  <c r="W63" i="10" s="1"/>
  <c r="W58" i="10" s="1"/>
  <c r="W108" i="10"/>
  <c r="V108" i="10" s="1"/>
  <c r="X108" i="10" s="1"/>
  <c r="W109" i="10" s="1"/>
  <c r="V109" i="10" s="1"/>
  <c r="X109" i="10" s="1"/>
  <c r="W87" i="10"/>
  <c r="V87" i="10" s="1"/>
  <c r="X87" i="10" s="1"/>
  <c r="W88" i="10" s="1"/>
  <c r="V88" i="10" s="1"/>
  <c r="X88" i="10" s="1"/>
  <c r="W89" i="10" s="1"/>
  <c r="V89" i="10" s="1"/>
  <c r="X89" i="10" s="1"/>
  <c r="X39" i="10"/>
  <c r="X57" i="10"/>
  <c r="X38" i="10"/>
  <c r="U54" i="10"/>
  <c r="W54" i="10" s="1"/>
  <c r="V55" i="10" s="1"/>
  <c r="U55" i="10" s="1"/>
  <c r="W55" i="10" s="1"/>
  <c r="X54" i="10"/>
  <c r="R22" i="10"/>
  <c r="Q22" i="10"/>
  <c r="X51" i="10"/>
  <c r="X42" i="10"/>
  <c r="U42" i="10"/>
  <c r="W42" i="10" s="1"/>
  <c r="V43" i="10" s="1"/>
  <c r="U43" i="10" s="1"/>
  <c r="W43" i="10" s="1"/>
  <c r="X43" i="10"/>
  <c r="V90" i="10"/>
  <c r="X90" i="10" s="1"/>
  <c r="U93" i="10"/>
  <c r="U91" i="10"/>
  <c r="U92" i="10"/>
  <c r="X45" i="10"/>
  <c r="S11" i="10"/>
  <c r="S10" i="10"/>
  <c r="R9" i="10"/>
  <c r="Q9" i="10"/>
  <c r="S12" i="10"/>
  <c r="U36" i="10"/>
  <c r="W36" i="10" s="1"/>
  <c r="X36" i="10"/>
  <c r="X49" i="10"/>
  <c r="W104" i="10"/>
  <c r="V104" i="10" s="1"/>
  <c r="X104" i="10" s="1"/>
  <c r="W105" i="10" s="1"/>
  <c r="V105" i="10" s="1"/>
  <c r="X105" i="10" s="1"/>
  <c r="X66" i="10"/>
  <c r="U66" i="10"/>
  <c r="W66" i="10" s="1"/>
  <c r="V67" i="10" s="1"/>
  <c r="U67" i="10" s="1"/>
  <c r="W67" i="10" s="1"/>
  <c r="V68" i="10" s="1"/>
  <c r="U68" i="10" s="1"/>
  <c r="W68" i="10" s="1"/>
  <c r="V69" i="10" s="1"/>
  <c r="U69" i="10" s="1"/>
  <c r="W69" i="10" s="1"/>
  <c r="X44" i="10"/>
  <c r="T28" i="10"/>
  <c r="T27" i="10"/>
  <c r="U25" i="10"/>
  <c r="W25" i="10" s="1"/>
  <c r="T26" i="10"/>
  <c r="X67" i="10"/>
  <c r="R23" i="10"/>
  <c r="Q23" i="10"/>
  <c r="X48" i="10"/>
  <c r="U48" i="10"/>
  <c r="W48" i="10" s="1"/>
  <c r="V49" i="10" s="1"/>
  <c r="U49" i="10" s="1"/>
  <c r="W49" i="10" s="1"/>
  <c r="V50" i="10" s="1"/>
  <c r="U50" i="10" s="1"/>
  <c r="W50" i="10" s="1"/>
  <c r="V51" i="10" s="1"/>
  <c r="U51" i="10" s="1"/>
  <c r="W51" i="10" s="1"/>
  <c r="Q16" i="10"/>
  <c r="R16" i="10"/>
  <c r="X69" i="10"/>
  <c r="T32" i="10"/>
  <c r="T31" i="10"/>
  <c r="U29" i="10"/>
  <c r="W29" i="10" s="1"/>
  <c r="T30" i="10"/>
  <c r="X68" i="10"/>
  <c r="Q24" i="10"/>
  <c r="R24" i="10"/>
  <c r="W95" i="10"/>
  <c r="V95" i="10" s="1"/>
  <c r="X95" i="10" s="1"/>
  <c r="W96" i="10" s="1"/>
  <c r="V96" i="10" s="1"/>
  <c r="X96" i="10" s="1"/>
  <c r="W97" i="10" s="1"/>
  <c r="V97" i="10" s="1"/>
  <c r="X97" i="10" s="1"/>
  <c r="X55" i="10"/>
  <c r="Q19" i="10" l="1"/>
  <c r="R26" i="10"/>
  <c r="Q26" i="10"/>
  <c r="F45" i="10"/>
  <c r="F44" i="10"/>
  <c r="T22" i="10"/>
  <c r="U21" i="10"/>
  <c r="W21" i="10" s="1"/>
  <c r="T23" i="10"/>
  <c r="T20" i="10"/>
  <c r="U17" i="10"/>
  <c r="W17" i="10" s="1"/>
  <c r="T16" i="10"/>
  <c r="T15" i="10"/>
  <c r="U13" i="10"/>
  <c r="W13" i="10" s="1"/>
  <c r="V14" i="10" s="1"/>
  <c r="U14" i="10" s="1"/>
  <c r="W14" i="10" s="1"/>
  <c r="Q20" i="10"/>
  <c r="R20" i="10"/>
  <c r="T18" i="10"/>
  <c r="R18" i="10"/>
  <c r="Q18" i="10"/>
  <c r="R15" i="10"/>
  <c r="Q14" i="10"/>
  <c r="R14" i="10"/>
  <c r="V30" i="10"/>
  <c r="U30" i="10" s="1"/>
  <c r="W30" i="10" s="1"/>
  <c r="V31" i="10" s="1"/>
  <c r="U31" i="10" s="1"/>
  <c r="W31" i="10" s="1"/>
  <c r="X64" i="10"/>
  <c r="W91" i="10"/>
  <c r="V91" i="10" s="1"/>
  <c r="X91" i="10" s="1"/>
  <c r="W92" i="10" s="1"/>
  <c r="V92" i="10" s="1"/>
  <c r="X92" i="10" s="1"/>
  <c r="H49" i="10"/>
  <c r="V56" i="10"/>
  <c r="U56" i="10" s="1"/>
  <c r="W56" i="10" s="1"/>
  <c r="H61" i="10"/>
  <c r="V44" i="10"/>
  <c r="U44" i="10" s="1"/>
  <c r="W44" i="10" s="1"/>
  <c r="H90" i="10"/>
  <c r="G90" i="10"/>
  <c r="F90" i="10"/>
  <c r="R12" i="10"/>
  <c r="Q12" i="10"/>
  <c r="X52" i="10"/>
  <c r="H48" i="10"/>
  <c r="H66" i="10" s="1"/>
  <c r="H81" i="10" s="1"/>
  <c r="X34" i="10"/>
  <c r="V26" i="10"/>
  <c r="U26" i="10" s="1"/>
  <c r="W26" i="10" s="1"/>
  <c r="V27" i="10" s="1"/>
  <c r="U27" i="10" s="1"/>
  <c r="W27" i="10" s="1"/>
  <c r="V28" i="10" s="1"/>
  <c r="U28" i="10" s="1"/>
  <c r="W28" i="10" s="1"/>
  <c r="H54" i="10"/>
  <c r="V37" i="10"/>
  <c r="U37" i="10" s="1"/>
  <c r="W37" i="10" s="1"/>
  <c r="R10" i="10"/>
  <c r="Q10" i="10"/>
  <c r="R11" i="10"/>
  <c r="Q11" i="10"/>
  <c r="W46" i="10"/>
  <c r="H60" i="10"/>
  <c r="T12" i="10"/>
  <c r="T10" i="10"/>
  <c r="T11" i="10"/>
  <c r="U9" i="10"/>
  <c r="W9" i="10" s="1"/>
  <c r="X40" i="10"/>
  <c r="X46" i="10"/>
  <c r="W64" i="10"/>
  <c r="V22" i="10" l="1"/>
  <c r="U22" i="10" s="1"/>
  <c r="W22" i="10" s="1"/>
  <c r="V23" i="10" s="1"/>
  <c r="U23" i="10" s="1"/>
  <c r="W23" i="10" s="1"/>
  <c r="G45" i="10"/>
  <c r="C45" i="10" s="1"/>
  <c r="G44" i="10"/>
  <c r="C44" i="10" s="1"/>
  <c r="B45" i="10"/>
  <c r="V32" i="10"/>
  <c r="U32" i="10" s="1"/>
  <c r="W32" i="10" s="1"/>
  <c r="I45" i="10" s="1"/>
  <c r="I44" i="10"/>
  <c r="V18" i="10"/>
  <c r="U18" i="10" s="1"/>
  <c r="W18" i="10" s="1"/>
  <c r="V19" i="10" s="1"/>
  <c r="U19" i="10" s="1"/>
  <c r="W19" i="10" s="1"/>
  <c r="V20" i="10" s="1"/>
  <c r="U20" i="10" s="1"/>
  <c r="W20" i="10" s="1"/>
  <c r="H67" i="10"/>
  <c r="H75" i="10"/>
  <c r="H55" i="10"/>
  <c r="V38" i="10"/>
  <c r="U38" i="10" s="1"/>
  <c r="W38" i="10" s="1"/>
  <c r="V15" i="10"/>
  <c r="U15" i="10" s="1"/>
  <c r="W15" i="10" s="1"/>
  <c r="V10" i="10"/>
  <c r="U10" i="10" s="1"/>
  <c r="W10" i="10" s="1"/>
  <c r="H62" i="10"/>
  <c r="V45" i="10"/>
  <c r="U45" i="10" s="1"/>
  <c r="W45" i="10" s="1"/>
  <c r="W93" i="10"/>
  <c r="V93" i="10" s="1"/>
  <c r="X93" i="10" s="1"/>
  <c r="H50" i="10"/>
  <c r="V57" i="10"/>
  <c r="U57" i="10" s="1"/>
  <c r="W57" i="10" s="1"/>
  <c r="K45" i="10" l="1"/>
  <c r="H45" i="10" s="1"/>
  <c r="B44" i="10"/>
  <c r="K44" i="10" s="1"/>
  <c r="H74" i="10"/>
  <c r="H85" i="10" s="1"/>
  <c r="H80" i="10"/>
  <c r="H84" i="10"/>
  <c r="H68" i="10"/>
  <c r="H79" i="10" s="1"/>
  <c r="V16" i="10"/>
  <c r="U16" i="10" s="1"/>
  <c r="W16" i="10" s="1"/>
  <c r="H56" i="10"/>
  <c r="V39" i="10"/>
  <c r="U39" i="10" s="1"/>
  <c r="W39" i="10" s="1"/>
  <c r="W34" i="10" s="1"/>
  <c r="H51" i="10"/>
  <c r="W52" i="10"/>
  <c r="V24" i="10"/>
  <c r="U24" i="10" s="1"/>
  <c r="W24" i="10" s="1"/>
  <c r="H63" i="10"/>
  <c r="W40" i="10"/>
  <c r="V11" i="10"/>
  <c r="U11" i="10" s="1"/>
  <c r="W11" i="10" s="1"/>
  <c r="H69" i="10" l="1"/>
  <c r="H73" i="10"/>
  <c r="H57" i="10"/>
  <c r="V12" i="10"/>
  <c r="U12" i="10" s="1"/>
  <c r="W12" i="10" s="1"/>
  <c r="H72" i="10" l="1"/>
  <c r="H87" i="10" s="1"/>
  <c r="H78" i="10"/>
  <c r="H86" i="10"/>
  <c r="F25" i="10" l="1"/>
  <c r="G25" i="10" s="1"/>
  <c r="I25" i="10" s="1"/>
  <c r="F30" i="10"/>
  <c r="I30" i="10" s="1"/>
  <c r="J30" i="10"/>
  <c r="F38" i="10"/>
  <c r="J38" i="10" s="1"/>
  <c r="F33" i="10"/>
  <c r="I33" i="10" s="1"/>
  <c r="G33" i="10"/>
  <c r="B25" i="10" l="1"/>
  <c r="C33" i="10"/>
  <c r="I38" i="10"/>
  <c r="H38" i="10" s="1"/>
  <c r="G38" i="10"/>
  <c r="C25" i="10"/>
  <c r="B38" i="10"/>
  <c r="G30" i="10"/>
  <c r="C30" i="10" s="1"/>
  <c r="C38" i="10"/>
  <c r="F23" i="10"/>
  <c r="G23" i="10" s="1"/>
  <c r="I23" i="10" s="1"/>
  <c r="F26" i="10"/>
  <c r="G26" i="10" s="1"/>
  <c r="I26" i="10" s="1"/>
  <c r="B33" i="10"/>
  <c r="K33" i="10" s="1"/>
  <c r="H33" i="10" s="1"/>
  <c r="B30" i="10"/>
  <c r="J26" i="10" l="1"/>
  <c r="K38" i="10"/>
  <c r="K25" i="10"/>
  <c r="H25" i="10" s="1"/>
  <c r="K30" i="10"/>
  <c r="H30" i="10" s="1"/>
  <c r="C23" i="10"/>
  <c r="B23" i="10"/>
  <c r="C26" i="10"/>
  <c r="B26" i="10"/>
  <c r="K23" i="10" l="1"/>
  <c r="H23" i="10" s="1"/>
  <c r="K26" i="10"/>
  <c r="H26" i="10" s="1"/>
  <c r="F42" i="10"/>
  <c r="G42" i="10" s="1"/>
  <c r="F40" i="10"/>
  <c r="I42" i="10"/>
  <c r="J42" i="10"/>
  <c r="F35" i="10"/>
  <c r="F22" i="10"/>
  <c r="J22" i="10" s="1"/>
  <c r="I35" i="10"/>
  <c r="F41" i="10"/>
  <c r="G41" i="10" s="1"/>
  <c r="G35" i="10" l="1"/>
  <c r="C35" i="10" s="1"/>
  <c r="C41" i="10"/>
  <c r="B35" i="10"/>
  <c r="H35" i="10"/>
  <c r="C42" i="10"/>
  <c r="B42" i="10"/>
  <c r="I22" i="10"/>
  <c r="G22" i="10"/>
  <c r="B22" i="10" s="1"/>
  <c r="G40" i="10"/>
  <c r="C40" i="10" s="1"/>
  <c r="I40" i="10"/>
  <c r="B41" i="10"/>
  <c r="I41" i="10"/>
  <c r="B40" i="10" l="1"/>
  <c r="K35" i="10"/>
  <c r="K41" i="10"/>
  <c r="C22" i="10"/>
  <c r="K22" i="10" s="1"/>
  <c r="H22" i="10" s="1"/>
  <c r="K40" i="10"/>
  <c r="H40" i="10"/>
  <c r="H41" i="10"/>
  <c r="K42" i="10"/>
  <c r="F24" i="10"/>
  <c r="I24" i="10"/>
  <c r="F29" i="10"/>
  <c r="I29" i="10"/>
  <c r="F27" i="10"/>
  <c r="G27" i="10" s="1"/>
  <c r="I27" i="10"/>
  <c r="F36" i="10"/>
  <c r="I36" i="10" s="1"/>
  <c r="H36" i="10" s="1"/>
  <c r="F32" i="10"/>
  <c r="I32" i="10" s="1"/>
  <c r="F34" i="10"/>
  <c r="I34" i="10"/>
  <c r="J34" i="10"/>
  <c r="F39" i="10"/>
  <c r="G39" i="10" s="1"/>
  <c r="G34" i="10"/>
  <c r="F31" i="10"/>
  <c r="I31" i="10"/>
  <c r="G31" i="10"/>
  <c r="G24" i="10"/>
  <c r="C24" i="10" s="1"/>
  <c r="G29" i="10"/>
  <c r="F28" i="10"/>
  <c r="G28" i="10" s="1"/>
  <c r="I28" i="10"/>
  <c r="F37" i="10"/>
  <c r="I37" i="10" s="1"/>
  <c r="H37" i="10" s="1"/>
  <c r="F43" i="10"/>
  <c r="G43" i="10" s="1"/>
  <c r="I43" i="10"/>
  <c r="G36" i="10" l="1"/>
  <c r="G37" i="10"/>
  <c r="C37" i="10" s="1"/>
  <c r="I39" i="10"/>
  <c r="H39" i="10" s="1"/>
  <c r="G32" i="10"/>
  <c r="C31" i="10"/>
  <c r="C27" i="10"/>
  <c r="B24" i="10"/>
  <c r="K24" i="10" s="1"/>
  <c r="H24" i="10" s="1"/>
  <c r="C29" i="10"/>
  <c r="C28" i="10"/>
  <c r="B43" i="10"/>
  <c r="C36" i="10"/>
  <c r="B29" i="10"/>
  <c r="C39" i="10"/>
  <c r="C32" i="10"/>
  <c r="B31" i="10"/>
  <c r="C34" i="10"/>
  <c r="B27" i="10"/>
  <c r="B36" i="10"/>
  <c r="C43" i="10"/>
  <c r="B28" i="10"/>
  <c r="B32" i="10"/>
  <c r="B39" i="10"/>
  <c r="B34" i="10"/>
  <c r="H34" i="10"/>
  <c r="B37" i="10" l="1"/>
  <c r="K37" i="10" s="1"/>
  <c r="K29" i="10"/>
  <c r="H29" i="10" s="1"/>
  <c r="K31" i="10"/>
  <c r="H31" i="10" s="1"/>
  <c r="K28" i="10"/>
  <c r="H28" i="10" s="1"/>
  <c r="K43" i="10"/>
  <c r="K27" i="10"/>
  <c r="H27" i="10" s="1"/>
  <c r="K34" i="10"/>
  <c r="K36" i="10"/>
  <c r="K39" i="10"/>
  <c r="K32" i="10"/>
  <c r="H3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<sst xmlns="http://schemas.openxmlformats.org/spreadsheetml/2006/main" count="355" uniqueCount="112">
  <si>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</si>
  <si>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</si>
  <si>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</si>
  <si>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</si>
  <si>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</si>
  <si>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</si>
  <si>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</si>
  <si>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</si>
  <si>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</si>
  <si>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</si>
  <si>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</si>
  <si>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</si>
  <si>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</si>
  <si>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</si>
  <si>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</si>
  <si>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</si>
  <si>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</si>
  <si>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</si>
  <si>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</si>
  <si>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</si>
  <si>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</si>
  <si>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</si>
  <si>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</si>
  <si>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</si>
  <si>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</si>
  <si>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</si>
  <si>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</si>
  <si>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settlement method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</si>
  <si>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</si>
  <si>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</si>
  <si>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</si>
  <si>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</si>
  <si>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</si>
  <si>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</si>
  <si>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</si>
  <si>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</si>
  <si>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</si>
  <si>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</si>
  <si>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</si>
  <si>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</si>
  <si>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</si>
  <si>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</si>
  <si>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</si>
  <si>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</si>
  <si>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</si>
  <si>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</si>
  <si>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</si>
  <si>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</si>
  <si>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</si>
  <si>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</si>
  <si>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</si>
  <si>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</si>
  <si>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</si>
  <si>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</si>
  <si>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</si>
  <si>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</si>
  <si>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</si>
  <si>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</si>
  <si>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</si>
  <si>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</si>
  <si>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</si>
  <si>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</si>
  <si>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</si>
  <si>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</si>
  <si>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</si>
  <si>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</si>
  <si>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</si>
  <si>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</si>
  <si>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</si>
  <si>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</si>
  <si>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</si>
  <si>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</si>
  <si>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</si>
  <si>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</si>
  <si>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</si>
  <si>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</si>
  <si>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</si>
  <si>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</si>
  <si>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</si>
  <si>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</si>
  <si>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</si>
  <si>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</si>
  <si>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</si>
  <si>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</si>
  <si>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</si>
  <si>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</si>
  <si>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</si>
  <si>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</si>
  <si>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</si>
  <si>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</si>
  <si>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</si>
  <si>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</si>
  <si>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</si>
  <si>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</si>
  <si>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</si>
  <si>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</si>
  <si>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</si>
  <si>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</si>
  <si>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</si>
  <si>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</si>
  <si>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</si>
  <si>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170000000000000201</t>
  </si>
  <si>
    <t>170000000000000101</t>
  </si>
  <si>
    <t>180000000000000001</t>
  </si>
  <si>
    <t>200000000000000001</t>
  </si>
  <si>
    <t>E18</t>
  </si>
  <si>
    <t>E20</t>
  </si>
  <si>
    <t>3000000000000</t>
  </si>
  <si>
    <t>skmp</t>
  </si>
  <si>
    <t>5000000000000</t>
  </si>
  <si>
    <t>flex_consumption</t>
  </si>
  <si>
    <t>5500000000000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</si>
</sst>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/>
    <xf numFmtId="0" fontId="0" fillId="2" borderId="1" xfId="0" applyFill="1" applyBorder="1"/>
    <xf numFmtId="164" fontId="6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9" fillId="2" borderId="0" xfId="0" applyNumberFormat="1" applyFont="1" applyFill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3" borderId="1" xfId="0" applyFont="1" applyFill="1" applyBorder="1"/>
    <xf numFmtId="49" fontId="3" fillId="2" borderId="1" xfId="0" applyNumberFormat="1" applyFont="1" applyFill="1" applyBorder="1"/>
    <xf numFmtId="165" fontId="6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/>
    <xf numFmtId="49" fontId="6" fillId="2" borderId="1" xfId="0" applyNumberFormat="1" applyFont="1" applyFill="1" applyBorder="1"/>
    <xf numFmtId="0" fontId="6" fillId="2" borderId="1" xfId="0" applyFont="1" applyFill="1" applyBorder="1"/>
    <xf numFmtId="0" fontId="6" fillId="2" borderId="0" xfId="0" applyFont="1" applyFill="1"/>
    <xf numFmtId="164" fontId="6" fillId="5" borderId="1" xfId="0" applyNumberFormat="1" applyFont="1" applyFill="1" applyBorder="1"/>
    <xf numFmtId="49" fontId="0" fillId="6" borderId="0" xfId="0" applyNumberFormat="1" applyFill="1"/>
    <xf numFmtId="49" fontId="7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164" fontId="1" fillId="7" borderId="9" xfId="0" applyNumberFormat="1" applyFont="1" applyFill="1" applyBorder="1"/>
    <xf numFmtId="0" fontId="8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0" fillId="2" borderId="0" xfId="0" applyNumberFormat="1" applyFill="1"/>
  </cellXfs>
  <cellStyles count="1">
    <cellStyle name="Normal" xfId="0" builtinId="0"/>
  </cellStyles>
  <dxfs count="2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CB5BD-E818-46BF-A674-ECF796BABF1E}" name="Tabel134232" displayName="Tabel134232" ref="C1:N19" totalsRowShown="0" headerRowDxfId="19" dataDxfId="18">
  <autoFilter ref="C1:N19" xr:uid="{3814BBFA-A2E3-4A77-AAB1-6B1FF8D878B1}"/>
  <tableColumns count="12">
    <tableColumn id="1" xr3:uid="{6F764BB2-B18F-4611-8ACA-743058950C72}" name="mp id" dataDxfId="17"/>
    <tableColumn id="2" xr3:uid="{415E508E-5237-4DB4-A0CD-916B559500A6}" name="type" dataDxfId="16"/>
    <tableColumn id="3" xr3:uid="{0A19DDBE-0758-4647-B7CE-47FF154EE7D0}" name="settlement_method" dataDxfId="15"/>
    <tableColumn id="4" xr3:uid="{CE332D3C-3A5E-4E17-8B69-131B0D344ADF}" name="quantity" dataDxfId="14"/>
    <tableColumn id="5" xr3:uid="{47414E77-7BFE-4744-B16B-6A2CCB928820}" name="quantity_quality" dataDxfId="13"/>
    <tableColumn id="6" xr3:uid="{2F7BE416-75C3-4024-8580-076CF309A0F4}" name="resolution" dataDxfId="12"/>
    <tableColumn id="7" xr3:uid="{D7F907BB-478B-4716-85C4-88E03884E354}" name="es_id" dataDxfId="11"/>
    <tableColumn id="8" xr3:uid="{42E7D998-EF6D-409C-A3E7-30A8BE9A4996}" name="brp_id" dataDxfId="10"/>
    <tableColumn id="9" xr3:uid="{5ACCA104-B959-4E43-9E1E-E9C672D3D433}" name="note" dataDxfId="9"/>
    <tableColumn id="10" xr3:uid="{71200DC7-49BA-4836-B022-F23183EC8134}" name="ga_id" dataDxfId="8"/>
    <tableColumn id="11" xr3:uid="{245ED994-20EF-4DEB-846E-357BC5C4A1E2}" name="from_ga" dataDxfId="7"/>
    <tableColumn id="12" xr3:uid="{FCAC8DA6-5350-4007-8E81-56856BF65133}" name="to_ga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E1B1-D25B-4A86-9294-3F87F07EB76E}">
  <sheetPr>
    <tabColor rgb="FF92D050"/>
  </sheetPr>
  <dimension ref="A1:CM400"/>
  <sheetViews>
    <sheetView tabSelected="1" zoomScaleNormal="100" workbookViewId="0">
      <selection activeCell="J3" sqref="J3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3.28515625" style="1" bestFit="1" customWidth="1"/>
    <col min="25" max="25" width="12.28515625" style="1" hidden="1" customWidth="1"/>
    <col min="26" max="27" width="0" style="1" hidden="1" customWidth="1"/>
    <col min="28" max="28" width="10.28515625" style="1" bestFit="1" customWidth="1"/>
    <col min="29" max="29" width="15.85546875" style="1" bestFit="1" customWidth="1"/>
    <col min="30" max="30" width="19.85546875" style="1" bestFit="1" customWidth="1"/>
    <col min="31" max="31" width="18.5703125" style="1" bestFit="1" customWidth="1"/>
    <col min="32" max="32" width="0" style="1" hidden="1" customWidth="1"/>
    <col min="33" max="33" width="12.5703125" style="1" bestFit="1" customWidth="1"/>
    <col min="34" max="39" width="0" style="1" hidden="1" customWidth="1"/>
    <col min="40" max="16384" width="8.7109375" style="1"/>
  </cols>
  <sheetData>
    <row r="1" spans="1:91" ht="21" x14ac:dyDescent="0.35">
      <c r="A1" s="18" t="s">
        <v>23</v>
      </c>
      <c r="B1" s="17" t="s">
        <v>90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83</v>
      </c>
      <c r="N1" s="14" t="s">
        <v>84</v>
      </c>
      <c r="P1" s="24"/>
      <c r="Q1" s="7" t="s">
        <v>37</v>
      </c>
      <c r="R1" s="9">
        <f>SUMIFS(Tabel134232[quantity],Tabel134232[settlement_method],"D01",Tabel134232[resolution],"PT15M")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27</v>
      </c>
      <c r="AF1" s="30"/>
      <c r="AG1" s="30" t="s">
        <v>85</v>
      </c>
      <c r="AH1" s="30"/>
      <c r="AI1" s="24"/>
    </row>
    <row r="2" spans="1:91" ht="21" x14ac:dyDescent="0.35">
      <c r="A2" s="18" t="s">
        <v>26</v>
      </c>
      <c r="B2" s="17" t="s">
        <v>110</v>
      </c>
      <c r="C2" s="10" t="s">
        <v>91</v>
      </c>
      <c r="D2" s="10" t="s">
        <v>92</v>
      </c>
      <c r="E2" s="11" t="s">
        <v>93</v>
      </c>
      <c r="F2" s="12"/>
      <c r="G2" s="10"/>
      <c r="H2" s="10" t="s">
        <v>94</v>
      </c>
      <c r="I2" s="10" t="s">
        <v>95</v>
      </c>
      <c r="J2" s="10" t="s">
        <v>96</v>
      </c>
      <c r="K2" s="10" t="s">
        <v>99</v>
      </c>
      <c r="L2" s="10" t="s">
        <v>97</v>
      </c>
      <c r="M2" s="29"/>
      <c r="N2" s="29"/>
      <c r="P2" s="24"/>
      <c r="Q2" s="7" t="s">
        <v>41</v>
      </c>
      <c r="R2" s="9">
        <f>SUMIFS(Tabel134232[quantity],Tabel134232[settlement_method],"E02",Tabel134232[resolution],"PT15M")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_xlfn._xlws.SORT(_xlfn.UNIQUE(_xlfn._xlws.FILTER(Tabel134232[ga_id],Tabel134232[ga_id] &lt;&gt; "")))</f>
        <v>800</v>
      </c>
      <c r="AC2" s="27" t="str" cm="1">
        <f t="array" ref="AC2:AC4">_xlfn._xlws.SORT(_xlfn.UNIQUE(_xlfn._xlws.FILTER(Tabel134232[es_id],Tabel134232[es_id] &lt;&gt; "")))</f>
        <v>1000000000000</v>
      </c>
      <c r="AD2" s="27" t="str" cm="1">
        <f t="array" ref="AD2:AD3">_xlfn._xlws.SORT(_xlfn.UNIQUE(_xlfn._xlws.FILTER(Tabel134232[brp_id],Tabel134232[brp_id] &lt;&gt; "")))</f>
        <v>1100000000000</v>
      </c>
      <c r="AE2" s="27" t="str">
        <f>IF(B$2="production","E18",IF($B$2="flex_consumption","D01","E02"))</f>
        <v>D01</v>
      </c>
      <c r="AF2" s="24"/>
      <c r="AG2" s="27" t="str" cm="1">
        <f t="array" ref="AG2:AG3">_xlfn._xlws.SORT(_xlfn.UNIQUE(_xlfn.VSTACK(_xlfn._xlws.FILTER(Tabel134232[from_ga],Tabel134232[from_ga] &lt;&gt; ""),_xlfn._xlws.FILTER(Tabel134232[to_ga],Tabel134232[to_ga] &lt;&gt; ""))))</f>
        <v>800</v>
      </c>
      <c r="AH2" s="24"/>
      <c r="AI2" s="24"/>
    </row>
    <row r="3" spans="1:91" x14ac:dyDescent="0.25">
      <c r="C3" s="10" t="s">
        <v>100</v>
      </c>
      <c r="D3" s="10" t="s">
        <v>105</v>
      </c>
      <c r="E3" s="11"/>
      <c r="F3" s="12"/>
      <c r="G3" s="10"/>
      <c r="H3" s="10" t="s">
        <v>94</v>
      </c>
      <c r="I3" s="10" t="s">
        <v>107</v>
      </c>
      <c r="J3" s="10" t="s">
        <v>96</v>
      </c>
      <c r="K3" s="10" t="s">
        <v>108</v>
      </c>
      <c r="L3" s="10" t="s">
        <v>97</v>
      </c>
      <c r="M3" s="29"/>
      <c r="N3" s="29"/>
      <c r="P3" s="24"/>
      <c r="Q3" s="7" t="s">
        <v>30</v>
      </c>
      <c r="R3" s="9">
        <f>SUMIFS(Tabel134232[quantity],Tabel134232[type],"E18",Tabel134232[resolution],"PT15M")</f>
        <v>0</v>
      </c>
      <c r="S3" s="24"/>
      <c r="T3" s="27"/>
      <c r="U3" s="24"/>
      <c r="V3" s="24"/>
      <c r="W3" s="24"/>
      <c r="X3" s="24"/>
      <c r="Y3" s="24"/>
      <c r="AA3" s="24"/>
      <c r="AB3" s="24"/>
      <c r="AC3" s="24" t="str">
        <v>3000000000000</v>
      </c>
      <c r="AD3" s="24" t="str">
        <v>5500000000000</v>
      </c>
      <c r="AE3" s="24"/>
      <c r="AF3" s="24"/>
      <c r="AG3" s="24" t="str">
        <v>801</v>
      </c>
      <c r="AH3" s="24"/>
      <c r="AI3" s="24"/>
    </row>
    <row r="4" spans="1:91" x14ac:dyDescent="0.25">
      <c r="C4" s="10" t="s">
        <v>101</v>
      </c>
      <c r="D4" s="10" t="s">
        <v>92</v>
      </c>
      <c r="E4" s="11" t="s">
        <v>93</v>
      </c>
      <c r="F4" s="12">
        <v>10</v>
      </c>
      <c r="G4" s="10"/>
      <c r="H4" s="10" t="s">
        <v>94</v>
      </c>
      <c r="I4" s="10" t="s">
        <v>109</v>
      </c>
      <c r="J4" s="10" t="s">
        <v>111</v>
      </c>
      <c r="K4" s="10"/>
      <c r="L4" s="10" t="s">
        <v>97</v>
      </c>
      <c r="M4" s="29"/>
      <c r="N4" s="29"/>
      <c r="P4" s="24"/>
      <c r="Q4" s="7" t="s">
        <v>28</v>
      </c>
      <c r="R4" s="9">
        <f>SUMIFS(Tabel134232[quantity],Tabel134232[type],"E17",Tabel134232[resolution],"PT15M")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 t="str">
        <v>5000000000000</v>
      </c>
      <c r="AD4" s="24"/>
      <c r="AE4" s="24"/>
      <c r="AF4" s="24"/>
      <c r="AG4" s="24"/>
      <c r="AH4" s="24"/>
      <c r="AI4" s="24"/>
    </row>
    <row r="5" spans="1:91" x14ac:dyDescent="0.25">
      <c r="C5" s="10" t="s">
        <v>102</v>
      </c>
      <c r="D5" s="10" t="s">
        <v>92</v>
      </c>
      <c r="E5" s="11"/>
      <c r="F5" s="12">
        <v>10</v>
      </c>
      <c r="G5" s="10"/>
      <c r="H5" s="10" t="s">
        <v>94</v>
      </c>
      <c r="I5" s="10" t="s">
        <v>109</v>
      </c>
      <c r="J5" s="10" t="s">
        <v>111</v>
      </c>
      <c r="K5" s="10"/>
      <c r="L5" s="10" t="s">
        <v>97</v>
      </c>
      <c r="M5" s="29"/>
      <c r="N5" s="29"/>
      <c r="P5" s="24"/>
      <c r="Q5" s="6" t="s">
        <v>33</v>
      </c>
      <c r="R5" s="9">
        <f>SUMIFS(Tabel134232[quantity],Tabel134232[type],"E20",Tabel134232[resolution],"PT15M",Tabel134232[to_ga],"800")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91" x14ac:dyDescent="0.25">
      <c r="C6" s="10" t="s">
        <v>103</v>
      </c>
      <c r="D6" s="10" t="s">
        <v>105</v>
      </c>
      <c r="E6" s="11"/>
      <c r="F6" s="12">
        <v>10</v>
      </c>
      <c r="G6" s="10"/>
      <c r="H6" s="10" t="s">
        <v>94</v>
      </c>
      <c r="I6" s="10" t="s">
        <v>109</v>
      </c>
      <c r="J6" s="10" t="s">
        <v>111</v>
      </c>
      <c r="K6" s="10"/>
      <c r="L6" s="10" t="s">
        <v>97</v>
      </c>
      <c r="M6" s="29"/>
      <c r="N6" s="29"/>
      <c r="P6" s="24"/>
      <c r="Q6" s="6" t="s">
        <v>44</v>
      </c>
      <c r="R6" s="9">
        <f>SUMIFS(Tabel134232[quantity],Tabel134232[type],"E20",Tabel134232[resolution],"PT15M",Tabel134232[from_ga],"800")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91" x14ac:dyDescent="0.25">
      <c r="C7" s="10" t="s">
        <v>104</v>
      </c>
      <c r="D7" s="10" t="s">
        <v>106</v>
      </c>
      <c r="E7" s="11"/>
      <c r="F7" s="12">
        <v>8</v>
      </c>
      <c r="G7" s="10"/>
      <c r="H7" s="10" t="s">
        <v>94</v>
      </c>
      <c r="I7" s="10"/>
      <c r="J7" s="10"/>
      <c r="K7" s="10"/>
      <c r="L7" s="10" t="s">
        <v>97</v>
      </c>
      <c r="M7" s="29" t="s">
        <v>98</v>
      </c>
      <c r="N7" s="29" t="s">
        <v>97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2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87</v>
      </c>
      <c r="U8" s="7" t="s">
        <v>47</v>
      </c>
      <c r="V8" s="7" t="s">
        <v>48</v>
      </c>
      <c r="W8" s="7" t="s">
        <v>49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2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76</v>
      </c>
      <c r="Q9" s="26" t="str">
        <f>_xlfn.IFNA(INDEX(Tabel134232[ga_id],MATCH(S9,Tabel134232[es_id],0)),"")</f>
        <v>800</v>
      </c>
      <c r="R9" s="26" t="str">
        <f>_xlfn.IFNA(INDEX(Tabel134232[brp_id],MATCH(S9,Tabel134232[es_id],0)),"")</f>
        <v>1100000000000</v>
      </c>
      <c r="S9" s="26" t="str">
        <f>IF(AC$2=0,"",AC$2)</f>
        <v>1000000000000</v>
      </c>
      <c r="T9" s="20">
        <f>SUMIFS(Tabel134232[quantity],Tabel134232[es_id],S9,IF(B$2="production",Tabel134232[type],Tabel134232[settlement_method]),AE$2,Tabel134232[resolution],"PT1H")/4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77</v>
      </c>
      <c r="Q10" s="26" t="str">
        <f>_xlfn.IFNA(INDEX(Tabel134232[ga_id],MATCH(S10,Tabel134232[es_id],0)),"")</f>
        <v>800</v>
      </c>
      <c r="R10" s="26" t="str">
        <f>_xlfn.IFNA(INDEX(Tabel134232[brp_id],MATCH(S10,Tabel134232[es_id],0)),"")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78</v>
      </c>
      <c r="Q11" s="26" t="str">
        <f>_xlfn.IFNA(INDEX(Tabel134232[ga_id],MATCH(S11,Tabel134232[es_id],0)),"")</f>
        <v>800</v>
      </c>
      <c r="R11" s="26" t="str">
        <f>_xlfn.IFNA(INDEX(Tabel134232[brp_id],MATCH(S11,Tabel134232[es_id],0)),"")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79</v>
      </c>
      <c r="Q12" s="26" t="str">
        <f>_xlfn.IFNA(INDEX(Tabel134232[ga_id],MATCH(S12,Tabel134232[es_id],0)),"")</f>
        <v>800</v>
      </c>
      <c r="R12" s="26" t="str">
        <f>_xlfn.IFNA(INDEX(Tabel134232[brp_id],MATCH(S12,Tabel134232[es_id],0)),"")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76</v>
      </c>
      <c r="Q13" s="26" t="str">
        <f>_xlfn.IFNA(INDEX(Tabel134232[ga_id],MATCH(S13,Tabel134232[es_id],0)),"")</f>
        <v>800</v>
      </c>
      <c r="R13" s="26" t="str">
        <f>_xlfn.IFNA(INDEX(Tabel134232[brp_id],MATCH(S13,Tabel134232[es_id],0)),"")</f>
        <v>1100000000000</v>
      </c>
      <c r="S13" s="26" t="str">
        <f>IF(AC$3=0,"",AC$3)</f>
        <v>3000000000000</v>
      </c>
      <c r="T13" s="20">
        <f>SUMIFS(Tabel134232[quantity],Tabel134232[es_id],S13,IF(B$2="production",Tabel134232[type],Tabel134232[settlement_method]),AE$2,Tabel134232[resolution],"PT1H")/4</f>
        <v>0</v>
      </c>
      <c r="U13" s="19">
        <f>T13</f>
        <v>0</v>
      </c>
      <c r="V13" s="19"/>
      <c r="W13" s="23">
        <f t="shared" si="0"/>
        <v>0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77</v>
      </c>
      <c r="Q14" s="26" t="str">
        <f>_xlfn.IFNA(INDEX(Tabel134232[ga_id],MATCH(S14,Tabel134232[es_id],0)),"")</f>
        <v>800</v>
      </c>
      <c r="R14" s="26" t="str">
        <f>_xlfn.IFNA(INDEX(Tabel134232[brp_id],MATCH(S14,Tabel134232[es_id],0)),"")</f>
        <v>1100000000000</v>
      </c>
      <c r="S14" s="26" t="str">
        <f t="shared" ref="S14:T16" si="2">S$13</f>
        <v>3000000000000</v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78</v>
      </c>
      <c r="Q15" s="26" t="str">
        <f>_xlfn.IFNA(INDEX(Tabel134232[ga_id],MATCH(S15,Tabel134232[es_id],0)),"")</f>
        <v>800</v>
      </c>
      <c r="R15" s="26" t="str">
        <f>_xlfn.IFNA(INDEX(Tabel134232[brp_id],MATCH(S15,Tabel134232[es_id],0)),"")</f>
        <v>1100000000000</v>
      </c>
      <c r="S15" s="26" t="str">
        <f t="shared" si="2"/>
        <v>3000000000000</v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79</v>
      </c>
      <c r="Q16" s="26" t="str">
        <f>_xlfn.IFNA(INDEX(Tabel134232[ga_id],MATCH(S16,Tabel134232[es_id],0)),"")</f>
        <v>800</v>
      </c>
      <c r="R16" s="26" t="str">
        <f>_xlfn.IFNA(INDEX(Tabel134232[brp_id],MATCH(S16,Tabel134232[es_id],0)),"")</f>
        <v>1100000000000</v>
      </c>
      <c r="S16" s="26" t="str">
        <f t="shared" si="2"/>
        <v>3000000000000</v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76</v>
      </c>
      <c r="Q17" s="26" t="str">
        <f>_xlfn.IFNA(INDEX(Tabel134232[ga_id],MATCH(S17,Tabel134232[es_id],0)),"")</f>
        <v>800</v>
      </c>
      <c r="R17" s="26" t="str">
        <f>_xlfn.IFNA(INDEX(Tabel134232[brp_id],MATCH(S17,Tabel134232[es_id],0)),"")</f>
        <v>5500000000000</v>
      </c>
      <c r="S17" s="26" t="str">
        <f>IF(AC$4=0,"",AC$4)</f>
        <v>5000000000000</v>
      </c>
      <c r="T17" s="20">
        <f>SUMIFS(Tabel134232[quantity],Tabel134232[es_id],S17,IF(B$2="production",Tabel134232[type],Tabel134232[settlement_method]),AE$2,Tabel134232[resolution],"PT1H")/4</f>
        <v>2.5</v>
      </c>
      <c r="U17" s="19">
        <f>T17</f>
        <v>2.5</v>
      </c>
      <c r="V17" s="19"/>
      <c r="W17" s="23">
        <f t="shared" si="0"/>
        <v>2.5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77</v>
      </c>
      <c r="Q18" s="26" t="str">
        <f>_xlfn.IFNA(INDEX(Tabel134232[ga_id],MATCH(S18,Tabel134232[es_id],0)),"")</f>
        <v>800</v>
      </c>
      <c r="R18" s="26" t="str">
        <f>_xlfn.IFNA(INDEX(Tabel134232[brp_id],MATCH(S18,Tabel134232[es_id],0)),"")</f>
        <v>5500000000000</v>
      </c>
      <c r="S18" s="26" t="str">
        <f t="shared" ref="S18:T19" si="3">S$17</f>
        <v>5000000000000</v>
      </c>
      <c r="T18" s="19">
        <f t="shared" si="3"/>
        <v>2.5</v>
      </c>
      <c r="U18" s="19">
        <f>V18+U17</f>
        <v>2.5</v>
      </c>
      <c r="V18" s="19">
        <f>T18-W17</f>
        <v>0</v>
      </c>
      <c r="W18" s="23">
        <f t="shared" si="0"/>
        <v>2.5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78</v>
      </c>
      <c r="Q19" s="26" t="str">
        <f>_xlfn.IFNA(INDEX(Tabel134232[ga_id],MATCH(S19,Tabel134232[es_id],0)),"")</f>
        <v>800</v>
      </c>
      <c r="R19" s="26" t="str">
        <f>_xlfn.IFNA(INDEX(Tabel134232[brp_id],MATCH(S19,Tabel134232[es_id],0)),"")</f>
        <v>5500000000000</v>
      </c>
      <c r="S19" s="26" t="str">
        <f t="shared" si="3"/>
        <v>5000000000000</v>
      </c>
      <c r="T19" s="19">
        <f t="shared" si="3"/>
        <v>2.5</v>
      </c>
      <c r="U19" s="19">
        <f>V19+U18</f>
        <v>2.5</v>
      </c>
      <c r="V19" s="19">
        <f>T19-W18</f>
        <v>0</v>
      </c>
      <c r="W19" s="23">
        <f t="shared" si="0"/>
        <v>2.5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25" x14ac:dyDescent="0.35">
      <c r="E20" s="39" t="str">
        <f>CONCATENATE(B2,"_per_",B1)</f>
        <v>flex_consumption_per_ga_brp_es</v>
      </c>
      <c r="F20" s="39"/>
      <c r="G20" s="39"/>
      <c r="H20" s="39"/>
      <c r="I20" s="40" t="s">
        <v>22</v>
      </c>
      <c r="J20" s="41"/>
      <c r="K20" s="42"/>
      <c r="P20" s="15" t="s">
        <v>79</v>
      </c>
      <c r="Q20" s="26" t="str">
        <f>_xlfn.IFNA(INDEX(Tabel134232[ga_id],MATCH(S20,Tabel134232[es_id],0)),"")</f>
        <v>800</v>
      </c>
      <c r="R20" s="26" t="str">
        <f>_xlfn.IFNA(INDEX(Tabel134232[brp_id],MATCH(S20,Tabel134232[es_id],0)),"")</f>
        <v>5500000000000</v>
      </c>
      <c r="S20" s="26" t="str">
        <f>S$17</f>
        <v>5000000000000</v>
      </c>
      <c r="T20" s="19">
        <f>T$17</f>
        <v>2.5</v>
      </c>
      <c r="U20" s="19">
        <f>V20+U19</f>
        <v>2.5</v>
      </c>
      <c r="V20" s="19">
        <f>T20-W19</f>
        <v>0</v>
      </c>
      <c r="W20" s="23">
        <f t="shared" si="0"/>
        <v>2.5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75" x14ac:dyDescent="0.3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80</v>
      </c>
      <c r="L21" s="2"/>
      <c r="M21" s="2"/>
      <c r="N21" s="2"/>
      <c r="O21" s="2"/>
      <c r="P21" s="15" t="s">
        <v>76</v>
      </c>
      <c r="Q21" s="26" t="str">
        <f>_xlfn.IFNA(INDEX(Tabel134232[ga_id],MATCH(S21,Tabel134232[es_id],0)),"")</f>
        <v/>
      </c>
      <c r="R21" s="26" t="str">
        <f>_xlfn.IFNA(INDEX(Tabel134232[brp_id],MATCH(S21,Tabel134232[es_id],0)),"")</f>
        <v/>
      </c>
      <c r="S21" s="26" t="str">
        <f>IF(AC$5=0,"",AC$5)</f>
        <v/>
      </c>
      <c r="T21" s="20">
        <f>SUMIFS(Tabel134232[quantity],Tabel134232[es_id],S21,IF(B$2="production",Tabel134232[type],Tabel134232[settlement_method]),AE$2,Tabel134232[resolution],"PT1H")/4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25">
      <c r="A22" s="2"/>
      <c r="B22" s="16" t="str">
        <f>IF(AND(F22&lt;&gt;"null",F22&lt;&gt;""),IF(F22=INDEX(Tabel134232[es_id],MATCH("GLMP",Tabel134232[note],0),1),"glmp",""),IF(AND(G22&lt;&gt;"null",G22&lt;&gt;""),IF(G22=INDEX(Tabel134232[brp_id],MATCH("GLMP",Tabel134232[note],0),1),"glmp",""),IF(E22=INDEX(Tabel134232[ga_id],MATCH("GLMP",Tabel134232[note],0),1),"glmp","")))</f>
        <v>glmp</v>
      </c>
      <c r="C22" s="16" t="str">
        <f>IF(AND(F22&lt;&gt;"null",F22&lt;&gt;""),IF(F22=INDEX(Tabel134232[es_id],MATCH("SKMP",Tabel134232[note],0),1),"skmp",""),IF(AND(G22&lt;&gt;"null",G22&lt;&gt;""),IF(G22=INDEX(Tabel134232[brp_id],MATCH("SKMP",Tabel134232[note],0),1),"skmp",""),IF(E22=INDEX(Tabel134232[ga_id],MATCH("SKMP",Tabel134232[note],0),1),"skmp","")))</f>
        <v/>
      </c>
      <c r="D22" s="15" t="s">
        <v>76</v>
      </c>
      <c r="E22" s="31" t="str">
        <f t="shared" ref="E22:E45" si="4"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22" s="31" t="str">
        <f>IF(B$1="ga",IF(E22="","","null"),IF(OR(B$1="ga_es",B$1="ga_brp_es"),IF(AC$2=0,"",AC$2),IF(B$1="ga_brp",IF(G22="","","null"))))</f>
        <v>1000000000000</v>
      </c>
      <c r="G22" s="31" t="str">
        <f>IF(B$1="ga",IF(E22="","","null"),IF(B$1="ga_es",IF(F22="","","null"),IF(B$1="ga_brp",IF(AD$2=0,"",AD$2),IF(F22="","",INDEX(Tabel134232[brp_id],MATCH(F22,Tabel134232[es_id],0),1)))))</f>
        <v>1100000000000</v>
      </c>
      <c r="H22" s="33" t="str">
        <f>SUBSTITUTE(IF(E22="","",I22+J22+K22),",",".")</f>
        <v>2</v>
      </c>
      <c r="I22" s="9">
        <f>SUMIFS(W$9:W$32,IF(OR(B$1="ga_es",B$1="ga_brp_es"),S$9:S$32,IF(B$1="ga_brp",R$9:R$32,Q$9:Q$32)),IF(OR(B$1="ga_es",B$1="ga_brp_es"),F22,IF(B$1="ga_brp",G22,E22)),P$9:P$32,D22)</f>
        <v>0</v>
      </c>
      <c r="J22" s="9">
        <f>IF(D22="Quarter1",SUMIFS(Tabel134232[quantity],IF(OR(B$1="ga_es",B$1="ga_brp_es"),Tabel134232[es_id],IF(B$1="ga_brp",Tabel134232[brp_id],Tabel134232[ga_id])),IF(OR(B$1="ga_es",B$1="ga_brp_es"),F22,IF(B$1="ga_brp",G22,E22)),IF(B$2="production",Tabel134232[type],Tabel134232[settlement_method]),AE$2,Tabel134232[resolution],"PT15M"),0)</f>
        <v>0</v>
      </c>
      <c r="K22" s="9">
        <f>IF(AND(C22="skmp",B$2="production"),VLOOKUP(D22,D$78:H$81,5,FALSE),IF(AND(B22="glmp",B$2="flex_consumption"),VLOOKUP(D22,D$72:H$75,5,FALSE),0))</f>
        <v>2</v>
      </c>
      <c r="L22" s="45"/>
      <c r="M22" s="2"/>
      <c r="N22" s="2"/>
      <c r="O22" s="2"/>
      <c r="P22" s="15" t="s">
        <v>77</v>
      </c>
      <c r="Q22" s="26" t="str">
        <f>_xlfn.IFNA(INDEX(Tabel134232[ga_id],MATCH(S22,Tabel134232[es_id],0)),"")</f>
        <v/>
      </c>
      <c r="R22" s="26" t="str">
        <f>_xlfn.IFNA(INDEX(Tabel134232[brp_id],MATCH(S22,Tabel134232[es_id],0)),"")</f>
        <v/>
      </c>
      <c r="S22" s="26" t="str">
        <f t="shared" ref="S22:T24" si="5">S$21</f>
        <v/>
      </c>
      <c r="T22" s="19">
        <f t="shared" si="5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25">
      <c r="B23" s="16" t="str">
        <f>IF(AND(F23&lt;&gt;"null",F23&lt;&gt;""),IF(F23=INDEX(Tabel134232[es_id],MATCH("GLMP",Tabel134232[note],0),1),"glmp",""),IF(AND(G23&lt;&gt;"null",G23&lt;&gt;""),IF(G23=INDEX(Tabel134232[brp_id],MATCH("GLMP",Tabel134232[note],0),1),"glmp",""),IF(E23=INDEX(Tabel134232[ga_id],MATCH("GLMP",Tabel134232[note],0),1),"glmp","")))</f>
        <v>glmp</v>
      </c>
      <c r="C23" s="16" t="str">
        <f>IF(AND(F23&lt;&gt;"null",F23&lt;&gt;""),IF(F23=INDEX(Tabel134232[es_id],MATCH("SKMP",Tabel134232[note],0),1),"skmp",""),IF(AND(G23&lt;&gt;"null",G23&lt;&gt;""),IF(G23=INDEX(Tabel134232[brp_id],MATCH("SKMP",Tabel134232[note],0),1),"skmp",""),IF(E23=INDEX(Tabel134232[ga_id],MATCH("SKMP",Tabel134232[note],0),1),"skmp","")))</f>
        <v/>
      </c>
      <c r="D23" s="15" t="s">
        <v>77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1000000000000</v>
      </c>
      <c r="G23" s="31" t="str">
        <f>IF(B$1="ga",IF(E23="","","null"),IF(B$1="ga_es",IF(F23="","","null"),IF(B$1="ga_brp",IF(AD$2=0,"",AD$2),IF(F23="","",INDEX(Tabel134232[brp_id],MATCH(F23,Tabel134232[es_id],0),1)))))</f>
        <v>1100000000000</v>
      </c>
      <c r="H23" s="33" t="str">
        <f t="shared" ref="H23:H41" si="6">SUBSTITUTE(IF(E23="","",I23+J23+K23),",",".")</f>
        <v>2</v>
      </c>
      <c r="I23" s="9">
        <f>SUMIFS(W$9:W$32,IF(OR(B$1="ga_es",B$1="ga_brp_es"),S$9:S$32,IF(B$1="ga_brp",R$9:R$32,Q$9:Q$32)),IF(OR(B$1="ga_es",B$1="ga_brp_es"),F23,IF(B$1="ga_brp",G23,E23)),P$9:P$32,D23)</f>
        <v>0</v>
      </c>
      <c r="J23" s="9">
        <f>IF(D23="Quarter1",SUMIFS(Tabel134232[quantity],IF(OR(B$1="ga_es",B$1="ga_brp_es"),Tabel134232[es_id],IF(B$1="ga_brp",Tabel134232[brp_id],Tabel134232[ga_id])),IF(OR(B$1="ga_es",B$1="ga_brp_es"),F23,IF(B$1="ga_brp",G23,E23)),IF(B$2="production",Tabel134232[type],Tabel134232[settlement_method]),AE$2,Tabel134232[resolution],"PT15M"),0)</f>
        <v>0</v>
      </c>
      <c r="K23" s="9">
        <f>IF(AND(C23="skmp",B$2="production"),VLOOKUP(D23,D$78:H$81,5,FALSE),IF(AND(B23="glmp",B$2="flex_consumption"),VLOOKUP(D23,D$72:H$75,5,FALSE),0))</f>
        <v>2</v>
      </c>
      <c r="L23" s="45"/>
      <c r="M23" s="2"/>
      <c r="N23" s="2"/>
      <c r="O23" s="2"/>
      <c r="P23" s="15" t="s">
        <v>78</v>
      </c>
      <c r="Q23" s="26" t="str">
        <f>_xlfn.IFNA(INDEX(Tabel134232[ga_id],MATCH(S23,Tabel134232[es_id],0)),"")</f>
        <v/>
      </c>
      <c r="R23" s="26" t="str">
        <f>_xlfn.IFNA(INDEX(Tabel134232[brp_id],MATCH(S23,Tabel134232[es_id],0)),"")</f>
        <v/>
      </c>
      <c r="S23" s="26" t="str">
        <f t="shared" si="5"/>
        <v/>
      </c>
      <c r="T23" s="19">
        <f t="shared" si="5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25">
      <c r="B24" s="16" t="str">
        <f>IF(AND(F24&lt;&gt;"null",F24&lt;&gt;""),IF(F24=INDEX(Tabel134232[es_id],MATCH("GLMP",Tabel134232[note],0),1),"glmp",""),IF(AND(G24&lt;&gt;"null",G24&lt;&gt;""),IF(G24=INDEX(Tabel134232[brp_id],MATCH("GLMP",Tabel134232[note],0),1),"glmp",""),IF(E24=INDEX(Tabel134232[ga_id],MATCH("GLMP",Tabel134232[note],0),1),"glmp","")))</f>
        <v>glmp</v>
      </c>
      <c r="C24" s="16" t="str">
        <f>IF(AND(F24&lt;&gt;"null",F24&lt;&gt;""),IF(F24=INDEX(Tabel134232[es_id],MATCH("SKMP",Tabel134232[note],0),1),"skmp",""),IF(AND(G24&lt;&gt;"null",G24&lt;&gt;""),IF(G24=INDEX(Tabel134232[brp_id],MATCH("SKMP",Tabel134232[note],0),1),"skmp",""),IF(E24=INDEX(Tabel134232[ga_id],MATCH("SKMP",Tabel134232[note],0),1),"skmp","")))</f>
        <v/>
      </c>
      <c r="D24" s="15" t="s">
        <v>78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1000000000000</v>
      </c>
      <c r="G24" s="31" t="str">
        <f>IF(B$1="ga",IF(E24="","","null"),IF(B$1="ga_es",IF(F24="","","null"),IF(B$1="ga_brp",IF(AD$2=0,"",AD$2),IF(F24="","",INDEX(Tabel134232[brp_id],MATCH(F24,Tabel134232[es_id],0),1)))))</f>
        <v>1100000000000</v>
      </c>
      <c r="H24" s="33" t="str">
        <f t="shared" si="6"/>
        <v>2</v>
      </c>
      <c r="I24" s="9">
        <f>SUMIFS(W$9:W$32,IF(OR(B$1="ga_es",B$1="ga_brp_es"),S$9:S$32,IF(B$1="ga_brp",R$9:R$32,Q$9:Q$32)),IF(OR(B$1="ga_es",B$1="ga_brp_es"),F24,IF(B$1="ga_brp",G24,E24)),P$9:P$32,D24)</f>
        <v>0</v>
      </c>
      <c r="J24" s="9">
        <f>IF(D24="Quarter1",SUMIFS(Tabel134232[quantity],IF(OR(B$1="ga_es",B$1="ga_brp_es"),Tabel134232[es_id],IF(B$1="ga_brp",Tabel134232[brp_id],Tabel134232[ga_id])),IF(OR(B$1="ga_es",B$1="ga_brp_es"),F24,IF(B$1="ga_brp",G24,E24)),IF(B$2="production",Tabel134232[type],Tabel134232[settlement_method]),AE$2,Tabel134232[resolution],"PT15M"),0)</f>
        <v>0</v>
      </c>
      <c r="K24" s="9">
        <f>IF(AND(C24="skmp",B$2="production"),VLOOKUP(D24,D$78:H$81,5,FALSE),IF(AND(B24="glmp",B$2="flex_consumption"),VLOOKUP(D24,D$72:H$75,5,FALSE),0))</f>
        <v>2</v>
      </c>
      <c r="L24" s="45"/>
      <c r="M24" s="2"/>
      <c r="N24" s="2"/>
      <c r="O24" s="2"/>
      <c r="P24" s="15" t="s">
        <v>79</v>
      </c>
      <c r="Q24" s="26" t="str">
        <f>_xlfn.IFNA(INDEX(Tabel134232[ga_id],MATCH(S24,Tabel134232[es_id],0)),"")</f>
        <v/>
      </c>
      <c r="R24" s="26" t="str">
        <f>_xlfn.IFNA(INDEX(Tabel134232[brp_id],MATCH(S24,Tabel134232[es_id],0)),"")</f>
        <v/>
      </c>
      <c r="S24" s="26" t="str">
        <f t="shared" si="5"/>
        <v/>
      </c>
      <c r="T24" s="19">
        <f t="shared" si="5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25">
      <c r="B25" s="16" t="str">
        <f>IF(AND(F25&lt;&gt;"null",F25&lt;&gt;""),IF(F25=INDEX(Tabel134232[es_id],MATCH("GLMP",Tabel134232[note],0),1),"glmp",""),IF(AND(G25&lt;&gt;"null",G25&lt;&gt;""),IF(G25=INDEX(Tabel134232[brp_id],MATCH("GLMP",Tabel134232[note],0),1),"glmp",""),IF(E25=INDEX(Tabel134232[ga_id],MATCH("GLMP",Tabel134232[note],0),1),"glmp","")))</f>
        <v>glmp</v>
      </c>
      <c r="C25" s="16" t="str">
        <f>IF(AND(F25&lt;&gt;"null",F25&lt;&gt;""),IF(F25=INDEX(Tabel134232[es_id],MATCH("SKMP",Tabel134232[note],0),1),"skmp",""),IF(AND(G25&lt;&gt;"null",G25&lt;&gt;""),IF(G25=INDEX(Tabel134232[brp_id],MATCH("SKMP",Tabel134232[note],0),1),"skmp",""),IF(E25=INDEX(Tabel134232[ga_id],MATCH("SKMP",Tabel134232[note],0),1),"skmp","")))</f>
        <v/>
      </c>
      <c r="D25" s="15" t="s">
        <v>79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1000000000000</v>
      </c>
      <c r="G25" s="31" t="str">
        <f>IF(B$1="ga",IF(E25="","","null"),IF(B$1="ga_es",IF(F25="","","null"),IF(B$1="ga_brp",IF(AD$2=0,"",AD$2),IF(F25="","",INDEX(Tabel134232[brp_id],MATCH(F25,Tabel134232[es_id],0),1)))))</f>
        <v>1100000000000</v>
      </c>
      <c r="H25" s="33" t="str">
        <f t="shared" si="6"/>
        <v>2</v>
      </c>
      <c r="I25" s="9">
        <f>SUMIFS(W$9:W$32,IF(OR(B$1="ga_es",B$1="ga_brp_es"),S$9:S$32,IF(B$1="ga_brp",R$9:R$32,Q$9:Q$32)),IF(OR(B$1="ga_es",B$1="ga_brp_es"),F25,IF(B$1="ga_brp",G25,E25)),P$9:P$32,D25)</f>
        <v>0</v>
      </c>
      <c r="J25" s="9">
        <f>IF(D25="Quarter1",SUMIFS(Tabel134232[quantity],IF(OR(B$1="ga_es",B$1="ga_brp_es"),Tabel134232[es_id],IF(B$1="ga_brp",Tabel134232[brp_id],Tabel134232[ga_id])),IF(OR(B$1="ga_es",B$1="ga_brp_es"),F25,IF(B$1="ga_brp",G25,E25)),IF(B$2="production",Tabel134232[type],Tabel134232[settlement_method]),AE$2,Tabel134232[resolution],"PT15M"),0)</f>
        <v>0</v>
      </c>
      <c r="K25" s="9">
        <f>IF(AND(C25="skmp",B$2="production"),VLOOKUP(D25,D$78:H$81,5,FALSE),IF(AND(B25="glmp",B$2="flex_consumption"),VLOOKUP(D25,D$72:H$75,5,FALSE),0))</f>
        <v>2</v>
      </c>
      <c r="L25" s="45"/>
      <c r="M25" s="2"/>
      <c r="N25" s="2"/>
      <c r="O25" s="2"/>
      <c r="P25" s="15" t="s">
        <v>76</v>
      </c>
      <c r="Q25" s="26" t="str">
        <f>_xlfn.IFNA(INDEX(Tabel134232[ga_id],MATCH(S25,Tabel134232[es_id],0)),"")</f>
        <v/>
      </c>
      <c r="R25" s="26" t="str">
        <f>_xlfn.IFNA(INDEX(Tabel134232[brp_id],MATCH(S25,Tabel134232[es_id],0)),"")</f>
        <v/>
      </c>
      <c r="S25" s="26" t="str">
        <f>IF(AC$6=0,"",AC$6)</f>
        <v/>
      </c>
      <c r="T25" s="20">
        <f>SUMIFS(Tabel134232[quantity],Tabel134232[es_id],S25,IF(B$2="production",Tabel134232[type],Tabel134232[settlement_method]),AE$2,Tabel134232[resolution],"PT1H")/4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25">
      <c r="B26" s="16" t="str">
        <f>IF(AND(F26&lt;&gt;"null",F26&lt;&gt;""),IF(F26=INDEX(Tabel134232[es_id],MATCH("GLMP",Tabel134232[note],0),1),"glmp",""),IF(AND(G26&lt;&gt;"null",G26&lt;&gt;""),IF(G26=INDEX(Tabel134232[brp_id],MATCH("GLMP",Tabel134232[note],0),1),"glmp",""),IF(E26=INDEX(Tabel134232[ga_id],MATCH("GLMP",Tabel134232[note],0),1),"glmp","")))</f>
        <v/>
      </c>
      <c r="C26" s="16" t="str">
        <f>IF(AND(F26&lt;&gt;"null",F26&lt;&gt;""),IF(F26=INDEX(Tabel134232[es_id],MATCH("SKMP",Tabel134232[note],0),1),"skmp",""),IF(AND(G26&lt;&gt;"null",G26&lt;&gt;""),IF(G26=INDEX(Tabel134232[brp_id],MATCH("SKMP",Tabel134232[note],0),1),"skmp",""),IF(E26=INDEX(Tabel134232[ga_id],MATCH("SKMP",Tabel134232[note],0),1),"skmp","")))</f>
        <v>skmp</v>
      </c>
      <c r="D26" s="15" t="s">
        <v>76</v>
      </c>
      <c r="E26" s="31" t="str">
        <f t="shared" si="4"/>
        <v>800</v>
      </c>
      <c r="F26" s="31" t="str">
        <f>IF(B$1="ga",IF(E26="","","null"),IF(OR(B$1="ga_es",B$1="ga_brp_es"),IF(AC$3=0,"",AC$3),IF(B$1="ga_brp",IF(G26="","","null"))))</f>
        <v>3000000000000</v>
      </c>
      <c r="G26" s="31" t="str">
        <f>IF(B$1="ga",IF(E26="","","null"),IF(B$1="ga_es",IF(F26="","","null"),IF(B$1="ga_brp",IF(AD$3=0,"",AD$3),IF(F26="","",INDEX(Tabel134232[brp_id],MATCH(F26,Tabel134232[es_id],0),1)))))</f>
        <v>1100000000000</v>
      </c>
      <c r="H26" s="33" t="str">
        <f t="shared" si="6"/>
        <v>0</v>
      </c>
      <c r="I26" s="9">
        <f>SUMIFS(W$9:W$32,IF(OR(B$1="ga_es",B$1="ga_brp_es"),S$9:S$32,IF(B$1="ga_brp",R$9:R$32,Q$9:Q$32)),IF(OR(B$1="ga_es",B$1="ga_brp_es"),F26,IF(B$1="ga_brp",G26,E26)),P$9:P$32,D26)</f>
        <v>0</v>
      </c>
      <c r="J26" s="9">
        <f>IF(D26="Quarter1",SUMIFS(Tabel134232[quantity],IF(OR(B$1="ga_es",B$1="ga_brp_es"),Tabel134232[es_id],IF(B$1="ga_brp",Tabel134232[brp_id],Tabel134232[ga_id])),IF(OR(B$1="ga_es",B$1="ga_brp_es"),F26,IF(B$1="ga_brp",G26,E26)),IF(B$2="production",Tabel134232[type],Tabel134232[settlement_method]),AE$2,Tabel134232[resolution],"PT15M"),0)</f>
        <v>0</v>
      </c>
      <c r="K26" s="9">
        <f>IF(AND(C26="skmp",B$2="production"),VLOOKUP(D26,D$78:H$81,5,FALSE),IF(AND(B26="glmp",B$2="flex_consumption"),VLOOKUP(D26,D$72:H$75,5,FALSE),0))</f>
        <v>0</v>
      </c>
      <c r="L26" s="45"/>
      <c r="M26" s="2"/>
      <c r="N26" s="2"/>
      <c r="O26" s="2"/>
      <c r="P26" s="15" t="s">
        <v>77</v>
      </c>
      <c r="Q26" s="26" t="str">
        <f>_xlfn.IFNA(INDEX(Tabel134232[ga_id],MATCH(S26,Tabel134232[es_id],0)),"")</f>
        <v/>
      </c>
      <c r="R26" s="26" t="str">
        <f>_xlfn.IFNA(INDEX(Tabel134232[brp_id],MATCH(S26,Tabel134232[es_id],0)),"")</f>
        <v/>
      </c>
      <c r="S26" s="26" t="str">
        <f t="shared" ref="S26:T28" si="7">S$25</f>
        <v/>
      </c>
      <c r="T26" s="19">
        <f t="shared" si="7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25">
      <c r="B27" s="16" t="str">
        <f>IF(AND(F27&lt;&gt;"null",F27&lt;&gt;""),IF(F27=INDEX(Tabel134232[es_id],MATCH("GLMP",Tabel134232[note],0),1),"glmp",""),IF(AND(G27&lt;&gt;"null",G27&lt;&gt;""),IF(G27=INDEX(Tabel134232[brp_id],MATCH("GLMP",Tabel134232[note],0),1),"glmp",""),IF(E27=INDEX(Tabel134232[ga_id],MATCH("GLMP",Tabel134232[note],0),1),"glmp","")))</f>
        <v/>
      </c>
      <c r="C27" s="16" t="str">
        <f>IF(AND(F27&lt;&gt;"null",F27&lt;&gt;""),IF(F27=INDEX(Tabel134232[es_id],MATCH("SKMP",Tabel134232[note],0),1),"skmp",""),IF(AND(G27&lt;&gt;"null",G27&lt;&gt;""),IF(G27=INDEX(Tabel134232[brp_id],MATCH("SKMP",Tabel134232[note],0),1),"skmp",""),IF(E27=INDEX(Tabel134232[ga_id],MATCH("SKMP",Tabel134232[note],0),1),"skmp","")))</f>
        <v>skmp</v>
      </c>
      <c r="D27" s="15" t="s">
        <v>77</v>
      </c>
      <c r="E27" s="31" t="str">
        <f t="shared" si="4"/>
        <v>800</v>
      </c>
      <c r="F27" s="31" t="str">
        <f>IF(B$1="ga",IF(E27="","","null"),IF(OR(B$1="ga_es",B$1="ga_brp_es"),IF(AC$3=0,"",AC$3),IF(B$1="ga_brp",IF(G27="","","null"))))</f>
        <v>3000000000000</v>
      </c>
      <c r="G27" s="31" t="str">
        <f>IF(B$1="ga",IF(E27="","","null"),IF(B$1="ga_es",IF(F27="","","null"),IF(B$1="ga_brp",IF(AD$3=0,"",AD$3),IF(F27="","",INDEX(Tabel134232[brp_id],MATCH(F27,Tabel134232[es_id],0),1)))))</f>
        <v>1100000000000</v>
      </c>
      <c r="H27" s="33" t="str">
        <f t="shared" si="6"/>
        <v>0</v>
      </c>
      <c r="I27" s="9">
        <f>SUMIFS(W$9:W$32,IF(OR(B$1="ga_es",B$1="ga_brp_es"),S$9:S$32,IF(B$1="ga_brp",R$9:R$32,Q$9:Q$32)),IF(OR(B$1="ga_es",B$1="ga_brp_es"),F27,IF(B$1="ga_brp",G27,E27)),P$9:P$32,D27)</f>
        <v>0</v>
      </c>
      <c r="J27" s="9">
        <f>IF(D27="Quarter1",SUMIFS(Tabel134232[quantity],IF(OR(B$1="ga_es",B$1="ga_brp_es"),Tabel134232[es_id],IF(B$1="ga_brp",Tabel134232[brp_id],Tabel134232[ga_id])),IF(OR(B$1="ga_es",B$1="ga_brp_es"),F27,IF(B$1="ga_brp",G27,E27)),IF(B$2="production",Tabel134232[type],Tabel134232[settlement_method]),AE$2,Tabel134232[resolution],"PT15M"),0)</f>
        <v>0</v>
      </c>
      <c r="K27" s="9">
        <f>IF(AND(C27="skmp",B$2="production"),VLOOKUP(D27,D$78:H$81,5,FALSE),IF(AND(B27="glmp",B$2="flex_consumption"),VLOOKUP(D27,D$72:H$75,5,FALSE),0))</f>
        <v>0</v>
      </c>
      <c r="L27" s="45"/>
      <c r="M27" s="2"/>
      <c r="N27" s="2"/>
      <c r="O27" s="2"/>
      <c r="P27" s="15" t="s">
        <v>78</v>
      </c>
      <c r="Q27" s="26" t="str">
        <f>_xlfn.IFNA(INDEX(Tabel134232[ga_id],MATCH(S27,Tabel134232[es_id],0)),"")</f>
        <v/>
      </c>
      <c r="R27" s="26" t="str">
        <f>_xlfn.IFNA(INDEX(Tabel134232[brp_id],MATCH(S27,Tabel134232[es_id],0)),"")</f>
        <v/>
      </c>
      <c r="S27" s="26" t="str">
        <f t="shared" si="7"/>
        <v/>
      </c>
      <c r="T27" s="19">
        <f t="shared" si="7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25">
      <c r="B28" s="16" t="str">
        <f>IF(AND(F28&lt;&gt;"null",F28&lt;&gt;""),IF(F28=INDEX(Tabel134232[es_id],MATCH("GLMP",Tabel134232[note],0),1),"glmp",""),IF(AND(G28&lt;&gt;"null",G28&lt;&gt;""),IF(G28=INDEX(Tabel134232[brp_id],MATCH("GLMP",Tabel134232[note],0),1),"glmp",""),IF(E28=INDEX(Tabel134232[ga_id],MATCH("GLMP",Tabel134232[note],0),1),"glmp","")))</f>
        <v/>
      </c>
      <c r="C28" s="16" t="str">
        <f>IF(AND(F28&lt;&gt;"null",F28&lt;&gt;""),IF(F28=INDEX(Tabel134232[es_id],MATCH("SKMP",Tabel134232[note],0),1),"skmp",""),IF(AND(G28&lt;&gt;"null",G28&lt;&gt;""),IF(G28=INDEX(Tabel134232[brp_id],MATCH("SKMP",Tabel134232[note],0),1),"skmp",""),IF(E28=INDEX(Tabel134232[ga_id],MATCH("SKMP",Tabel134232[note],0),1),"skmp","")))</f>
        <v>skmp</v>
      </c>
      <c r="D28" s="15" t="s">
        <v>78</v>
      </c>
      <c r="E28" s="31" t="str">
        <f t="shared" si="4"/>
        <v>800</v>
      </c>
      <c r="F28" s="31" t="str">
        <f>IF(B$1="ga",IF(E28="","","null"),IF(OR(B$1="ga_es",B$1="ga_brp_es"),IF(AC$3=0,"",AC$3),IF(B$1="ga_brp",IF(G28="","","null"))))</f>
        <v>3000000000000</v>
      </c>
      <c r="G28" s="31" t="str">
        <f>IF(B$1="ga",IF(E28="","","null"),IF(B$1="ga_es",IF(F28="","","null"),IF(B$1="ga_brp",IF(AD$3=0,"",AD$3),IF(F28="","",INDEX(Tabel134232[brp_id],MATCH(F28,Tabel134232[es_id],0),1)))))</f>
        <v>1100000000000</v>
      </c>
      <c r="H28" s="33" t="str">
        <f t="shared" si="6"/>
        <v>0</v>
      </c>
      <c r="I28" s="9">
        <f>SUMIFS(W$9:W$32,IF(OR(B$1="ga_es",B$1="ga_brp_es"),S$9:S$32,IF(B$1="ga_brp",R$9:R$32,Q$9:Q$32)),IF(OR(B$1="ga_es",B$1="ga_brp_es"),F28,IF(B$1="ga_brp",G28,E28)),P$9:P$32,D28)</f>
        <v>0</v>
      </c>
      <c r="J28" s="9">
        <f>IF(D28="Quarter1",SUMIFS(Tabel134232[quantity],IF(OR(B$1="ga_es",B$1="ga_brp_es"),Tabel134232[es_id],IF(B$1="ga_brp",Tabel134232[brp_id],Tabel134232[ga_id])),IF(OR(B$1="ga_es",B$1="ga_brp_es"),F28,IF(B$1="ga_brp",G28,E28)),IF(B$2="production",Tabel134232[type],Tabel134232[settlement_method]),AE$2,Tabel134232[resolution],"PT15M"),0)</f>
        <v>0</v>
      </c>
      <c r="K28" s="9">
        <f>IF(AND(C28="skmp",B$2="production"),VLOOKUP(D28,D$78:H$81,5,FALSE),IF(AND(B28="glmp",B$2="flex_consumption"),VLOOKUP(D28,D$72:H$75,5,FALSE),0))</f>
        <v>0</v>
      </c>
      <c r="L28" s="45"/>
      <c r="M28" s="2"/>
      <c r="N28" s="2"/>
      <c r="O28" s="2"/>
      <c r="P28" s="15" t="s">
        <v>79</v>
      </c>
      <c r="Q28" s="26" t="str">
        <f>_xlfn.IFNA(INDEX(Tabel134232[ga_id],MATCH(S28,Tabel134232[es_id],0)),"")</f>
        <v/>
      </c>
      <c r="R28" s="26" t="str">
        <f>_xlfn.IFNA(INDEX(Tabel134232[brp_id],MATCH(S28,Tabel134232[es_id],0)),"")</f>
        <v/>
      </c>
      <c r="S28" s="26" t="str">
        <f t="shared" si="7"/>
        <v/>
      </c>
      <c r="T28" s="19">
        <f t="shared" si="7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25">
      <c r="B29" s="16" t="str">
        <f>IF(AND(F29&lt;&gt;"null",F29&lt;&gt;""),IF(F29=INDEX(Tabel134232[es_id],MATCH("GLMP",Tabel134232[note],0),1),"glmp",""),IF(AND(G29&lt;&gt;"null",G29&lt;&gt;""),IF(G29=INDEX(Tabel134232[brp_id],MATCH("GLMP",Tabel134232[note],0),1),"glmp",""),IF(E29=INDEX(Tabel134232[ga_id],MATCH("GLMP",Tabel134232[note],0),1),"glmp","")))</f>
        <v/>
      </c>
      <c r="C29" s="16" t="str">
        <f>IF(AND(F29&lt;&gt;"null",F29&lt;&gt;""),IF(F29=INDEX(Tabel134232[es_id],MATCH("SKMP",Tabel134232[note],0),1),"skmp",""),IF(AND(G29&lt;&gt;"null",G29&lt;&gt;""),IF(G29=INDEX(Tabel134232[brp_id],MATCH("SKMP",Tabel134232[note],0),1),"skmp",""),IF(E29=INDEX(Tabel134232[ga_id],MATCH("SKMP",Tabel134232[note],0),1),"skmp","")))</f>
        <v>skmp</v>
      </c>
      <c r="D29" s="15" t="s">
        <v>79</v>
      </c>
      <c r="E29" s="31" t="str">
        <f t="shared" si="4"/>
        <v>800</v>
      </c>
      <c r="F29" s="31" t="str">
        <f>IF(B$1="ga",IF(E29="","","null"),IF(OR(B$1="ga_es",B$1="ga_brp_es"),IF(AC$3=0,"",AC$3),IF(B$1="ga_brp",IF(G29="","","null"))))</f>
        <v>3000000000000</v>
      </c>
      <c r="G29" s="31" t="str">
        <f>IF(B$1="ga",IF(E29="","","null"),IF(B$1="ga_es",IF(F29="","","null"),IF(B$1="ga_brp",IF(AD$3=0,"",AD$3),IF(F29="","",INDEX(Tabel134232[brp_id],MATCH(F29,Tabel134232[es_id],0),1)))))</f>
        <v>1100000000000</v>
      </c>
      <c r="H29" s="33" t="str">
        <f t="shared" si="6"/>
        <v>0</v>
      </c>
      <c r="I29" s="9">
        <f>SUMIFS(W$9:W$32,IF(OR(B$1="ga_es",B$1="ga_brp_es"),S$9:S$32,IF(B$1="ga_brp",R$9:R$32,Q$9:Q$32)),IF(OR(B$1="ga_es",B$1="ga_brp_es"),F29,IF(B$1="ga_brp",G29,E29)),P$9:P$32,D29)</f>
        <v>0</v>
      </c>
      <c r="J29" s="9">
        <f>IF(D29="Quarter1",SUMIFS(Tabel134232[quantity],IF(OR(B$1="ga_es",B$1="ga_brp_es"),Tabel134232[es_id],IF(B$1="ga_brp",Tabel134232[brp_id],Tabel134232[ga_id])),IF(OR(B$1="ga_es",B$1="ga_brp_es"),F29,IF(B$1="ga_brp",G29,E29)),IF(B$2="production",Tabel134232[type],Tabel134232[settlement_method]),AE$2,Tabel134232[resolution],"PT15M"),0)</f>
        <v>0</v>
      </c>
      <c r="K29" s="9">
        <f>IF(AND(C29="skmp",B$2="production"),VLOOKUP(D29,D$78:H$81,5,FALSE),IF(AND(B29="glmp",B$2="flex_consumption"),VLOOKUP(D29,D$72:H$75,5,FALSE),0))</f>
        <v>0</v>
      </c>
      <c r="L29" s="45"/>
      <c r="P29" s="15" t="s">
        <v>76</v>
      </c>
      <c r="Q29" s="26" t="str">
        <f>_xlfn.IFNA(INDEX(Tabel134232[ga_id],MATCH(S29,Tabel134232[es_id],0)),"")</f>
        <v/>
      </c>
      <c r="R29" s="26" t="str">
        <f>_xlfn.IFNA(INDEX(Tabel134232[brp_id],MATCH(S29,Tabel134232[es_id],0)),"")</f>
        <v/>
      </c>
      <c r="S29" s="26" t="str">
        <f>IF(AC$7=0,"",AC$7)</f>
        <v/>
      </c>
      <c r="T29" s="20">
        <f>SUMIFS(Tabel134232[quantity],Tabel134232[es_id],S29,IF(B$2="production",Tabel134232[type],Tabel134232[settlement_method]),AE$2,Tabel134232[resolution],"PT1H")/4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25">
      <c r="B30" s="16" t="str">
        <f>IF(AND(F30&lt;&gt;"null",F30&lt;&gt;""),IF(F30=INDEX(Tabel134232[es_id],MATCH("GLMP",Tabel134232[note],0),1),"glmp",""),IF(AND(G30&lt;&gt;"null",G30&lt;&gt;""),IF(G30=INDEX(Tabel134232[brp_id],MATCH("GLMP",Tabel134232[note],0),1),"glmp",""),IF(E30=INDEX(Tabel134232[ga_id],MATCH("GLMP",Tabel134232[note],0),1),"glmp","")))</f>
        <v/>
      </c>
      <c r="C30" s="16" t="str">
        <f>IF(AND(F30&lt;&gt;"null",F30&lt;&gt;""),IF(F30=INDEX(Tabel134232[es_id],MATCH("SKMP",Tabel134232[note],0),1),"skmp",""),IF(AND(G30&lt;&gt;"null",G30&lt;&gt;""),IF(G30=INDEX(Tabel134232[brp_id],MATCH("SKMP",Tabel134232[note],0),1),"skmp",""),IF(E30=INDEX(Tabel134232[ga_id],MATCH("SKMP",Tabel134232[note],0),1),"skmp","")))</f>
        <v/>
      </c>
      <c r="D30" s="15" t="s">
        <v>76</v>
      </c>
      <c r="E30" s="31" t="str">
        <f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30" s="31" t="str">
        <f>IF(B$1="ga",IF(E30="","","null"),IF(OR(B$1="ga_es",B$1="ga_brp_es"),IF(AC$4=0,"",AC$4),IF(B$1="ga_brp",IF(G30="","","null"))))</f>
        <v>5000000000000</v>
      </c>
      <c r="G30" s="31" t="str">
        <f>IF(B$1="ga",IF(E30="","","null"),IF(B$1="ga_es",IF(F30="","","null"),IF(B$1="ga_brp",IF(AD$4=0,"",AD$4),IF(F30="","",INDEX(Tabel134232[brp_id],MATCH(F30,Tabel134232[es_id],0),1)))))</f>
        <v>5500000000000</v>
      </c>
      <c r="H30" s="33" t="str">
        <f t="shared" si="6"/>
        <v>2.5</v>
      </c>
      <c r="I30" s="9">
        <f>SUMIFS(W$9:W$32,IF(OR(B$1="ga_es",B$1="ga_brp_es"),S$9:S$32,IF(B$1="ga_brp",R$9:R$32,Q$9:Q$32)),IF(OR(B$1="ga_es",B$1="ga_brp_es"),F30,IF(B$1="ga_brp",G30,E30)),P$9:P$32,D30)</f>
        <v>2.5</v>
      </c>
      <c r="J30" s="9">
        <f>IF(D30="Quarter1",SUMIFS(Tabel134232[quantity],IF(OR(B$1="ga_es",B$1="ga_brp_es"),Tabel134232[es_id],IF(B$1="ga_brp",Tabel134232[brp_id],Tabel134232[ga_id])),IF(OR(B$1="ga_es",B$1="ga_brp_es"),F30,IF(B$1="ga_brp",G30,E30)),IF(B$2="production",Tabel134232[type],Tabel134232[settlement_method]),AE$2,Tabel134232[resolution],"PT15M"),0)</f>
        <v>0</v>
      </c>
      <c r="K30" s="9">
        <f>IF(AND(C30="skmp",B$2="production"),VLOOKUP(D30,D$78:H$81,5,FALSE),IF(AND(B30="glmp",B$2="flex_consumption"),VLOOKUP(D30,D$72:H$75,5,FALSE),0))</f>
        <v>0</v>
      </c>
      <c r="L30" s="45"/>
      <c r="P30" s="15" t="s">
        <v>77</v>
      </c>
      <c r="Q30" s="26" t="str">
        <f>_xlfn.IFNA(INDEX(Tabel134232[ga_id],MATCH(S30,Tabel134232[es_id],0)),"")</f>
        <v/>
      </c>
      <c r="R30" s="26" t="str">
        <f>_xlfn.IFNA(INDEX(Tabel134232[brp_id],MATCH(S30,Tabel134232[es_id],0)),"")</f>
        <v/>
      </c>
      <c r="S30" s="26" t="str">
        <f t="shared" ref="S30:T32" si="8">S$29</f>
        <v/>
      </c>
      <c r="T30" s="19">
        <f t="shared" si="8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25">
      <c r="B31" s="16" t="str">
        <f>IF(AND(F31&lt;&gt;"null",F31&lt;&gt;""),IF(F31=INDEX(Tabel134232[es_id],MATCH("GLMP",Tabel134232[note],0),1),"glmp",""),IF(AND(G31&lt;&gt;"null",G31&lt;&gt;""),IF(G31=INDEX(Tabel134232[brp_id],MATCH("GLMP",Tabel134232[note],0),1),"glmp",""),IF(E31=INDEX(Tabel134232[ga_id],MATCH("GLMP",Tabel134232[note],0),1),"glmp","")))</f>
        <v/>
      </c>
      <c r="C31" s="16" t="str">
        <f>IF(AND(F31&lt;&gt;"null",F31&lt;&gt;""),IF(F31=INDEX(Tabel134232[es_id],MATCH("SKMP",Tabel134232[note],0),1),"skmp",""),IF(AND(G31&lt;&gt;"null",G31&lt;&gt;""),IF(G31=INDEX(Tabel134232[brp_id],MATCH("SKMP",Tabel134232[note],0),1),"skmp",""),IF(E31=INDEX(Tabel134232[ga_id],MATCH("SKMP",Tabel134232[note],0),1),"skmp","")))</f>
        <v/>
      </c>
      <c r="D31" s="15" t="s">
        <v>77</v>
      </c>
      <c r="E31" s="31" t="str">
        <f t="shared" si="4"/>
        <v>800</v>
      </c>
      <c r="F31" s="31" t="str">
        <f>IF(B$1="ga",IF(E31="","","null"),IF(OR(B$1="ga_es",B$1="ga_brp_es"),IF(AC$4=0,"",AC$4),IF(B$1="ga_brp",IF(G31="","","null"))))</f>
        <v>5000000000000</v>
      </c>
      <c r="G31" s="31" t="str">
        <f>IF(B$1="ga",IF(E31="","","null"),IF(B$1="ga_es",IF(F31="","","null"),IF(B$1="ga_brp",IF(AD$4=0,"",AD$4),IF(F31="","",INDEX(Tabel134232[brp_id],MATCH(F31,Tabel134232[es_id],0),1)))))</f>
        <v>5500000000000</v>
      </c>
      <c r="H31" s="33" t="str">
        <f t="shared" si="6"/>
        <v>2.5</v>
      </c>
      <c r="I31" s="9">
        <f>SUMIFS(W$9:W$32,IF(OR(B$1="ga_es",B$1="ga_brp_es"),S$9:S$32,IF(B$1="ga_brp",R$9:R$32,Q$9:Q$32)),IF(OR(B$1="ga_es",B$1="ga_brp_es"),F31,IF(B$1="ga_brp",G31,E31)),P$9:P$32,D31)</f>
        <v>2.5</v>
      </c>
      <c r="J31" s="9">
        <f>IF(D31="Quarter1",SUMIFS(Tabel134232[quantity],IF(OR(B$1="ga_es",B$1="ga_brp_es"),Tabel134232[es_id],IF(B$1="ga_brp",Tabel134232[brp_id],Tabel134232[ga_id])),IF(OR(B$1="ga_es",B$1="ga_brp_es"),F31,IF(B$1="ga_brp",G31,E31)),IF(B$2="production",Tabel134232[type],Tabel134232[settlement_method]),AE$2,Tabel134232[resolution],"PT15M"),0)</f>
        <v>0</v>
      </c>
      <c r="K31" s="9">
        <f>IF(AND(C31="skmp",B$2="production"),VLOOKUP(D31,D$78:H$81,5,FALSE),IF(AND(B31="glmp",B$2="flex_consumption"),VLOOKUP(D31,D$72:H$75,5,FALSE),0))</f>
        <v>0</v>
      </c>
      <c r="L31" s="45"/>
      <c r="P31" s="15" t="s">
        <v>78</v>
      </c>
      <c r="Q31" s="26" t="str">
        <f>_xlfn.IFNA(INDEX(Tabel134232[ga_id],MATCH(S31,Tabel134232[es_id],0)),"")</f>
        <v/>
      </c>
      <c r="R31" s="26" t="str">
        <f>_xlfn.IFNA(INDEX(Tabel134232[brp_id],MATCH(S31,Tabel134232[es_id],0)),"")</f>
        <v/>
      </c>
      <c r="S31" s="26" t="str">
        <f t="shared" si="8"/>
        <v/>
      </c>
      <c r="T31" s="19">
        <f t="shared" si="8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25">
      <c r="B32" s="16" t="str">
        <f>IF(AND(F32&lt;&gt;"null",F32&lt;&gt;""),IF(F32=INDEX(Tabel134232[es_id],MATCH("GLMP",Tabel134232[note],0),1),"glmp",""),IF(AND(G32&lt;&gt;"null",G32&lt;&gt;""),IF(G32=INDEX(Tabel134232[brp_id],MATCH("GLMP",Tabel134232[note],0),1),"glmp",""),IF(E32=INDEX(Tabel134232[ga_id],MATCH("GLMP",Tabel134232[note],0),1),"glmp","")))</f>
        <v/>
      </c>
      <c r="C32" s="16" t="str">
        <f>IF(AND(F32&lt;&gt;"null",F32&lt;&gt;""),IF(F32=INDEX(Tabel134232[es_id],MATCH("SKMP",Tabel134232[note],0),1),"skmp",""),IF(AND(G32&lt;&gt;"null",G32&lt;&gt;""),IF(G32=INDEX(Tabel134232[brp_id],MATCH("SKMP",Tabel134232[note],0),1),"skmp",""),IF(E32=INDEX(Tabel134232[ga_id],MATCH("SKMP",Tabel134232[note],0),1),"skmp","")))</f>
        <v/>
      </c>
      <c r="D32" s="15" t="s">
        <v>78</v>
      </c>
      <c r="E32" s="31" t="str">
        <f t="shared" si="4"/>
        <v>800</v>
      </c>
      <c r="F32" s="31" t="str">
        <f>IF(B$1="ga",IF(E32="","","null"),IF(OR(B$1="ga_es",B$1="ga_brp_es"),IF(AC$4=0,"",AC$4),IF(B$1="ga_brp",IF(G32="","","null"))))</f>
        <v>5000000000000</v>
      </c>
      <c r="G32" s="31" t="str">
        <f>IF(B$1="ga",IF(E32="","","null"),IF(B$1="ga_es",IF(F32="","","null"),IF(B$1="ga_brp",IF(AD$4=0,"",AD$4),IF(F32="","",INDEX(Tabel134232[brp_id],MATCH(F32,Tabel134232[es_id],0),1)))))</f>
        <v>5500000000000</v>
      </c>
      <c r="H32" s="33" t="str">
        <f t="shared" si="6"/>
        <v>2.5</v>
      </c>
      <c r="I32" s="9">
        <f>SUMIFS(W$9:W$32,IF(OR(B$1="ga_es",B$1="ga_brp_es"),S$9:S$32,IF(B$1="ga_brp",R$9:R$32,Q$9:Q$32)),IF(OR(B$1="ga_es",B$1="ga_brp_es"),F32,IF(B$1="ga_brp",G32,E32)),P$9:P$32,D32)</f>
        <v>2.5</v>
      </c>
      <c r="J32" s="9">
        <f>IF(D32="Quarter1",SUMIFS(Tabel134232[quantity],IF(OR(B$1="ga_es",B$1="ga_brp_es"),Tabel134232[es_id],IF(B$1="ga_brp",Tabel134232[brp_id],Tabel134232[ga_id])),IF(OR(B$1="ga_es",B$1="ga_brp_es"),F32,IF(B$1="ga_brp",G32,E32)),IF(B$2="production",Tabel134232[type],Tabel134232[settlement_method]),AE$2,Tabel134232[resolution],"PT15M"),0)</f>
        <v>0</v>
      </c>
      <c r="K32" s="9">
        <f>IF(AND(C32="skmp",B$2="production"),VLOOKUP(D32,D$78:H$81,5,FALSE),IF(AND(B32="glmp",B$2="flex_consumption"),VLOOKUP(D32,D$72:H$75,5,FALSE),0))</f>
        <v>0</v>
      </c>
      <c r="L32" s="45"/>
      <c r="P32" s="15" t="s">
        <v>79</v>
      </c>
      <c r="Q32" s="26" t="str">
        <f>_xlfn.IFNA(INDEX(Tabel134232[ga_id],MATCH(S32,Tabel134232[es_id],0)),"")</f>
        <v/>
      </c>
      <c r="R32" s="26" t="str">
        <f>_xlfn.IFNA(INDEX(Tabel134232[brp_id],MATCH(S32,Tabel134232[es_id],0)),"")</f>
        <v/>
      </c>
      <c r="S32" s="26" t="str">
        <f t="shared" si="8"/>
        <v/>
      </c>
      <c r="T32" s="19">
        <f t="shared" si="8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25">
      <c r="B33" s="16" t="str">
        <f>IF(AND(F33&lt;&gt;"null",F33&lt;&gt;""),IF(F33=INDEX(Tabel134232[es_id],MATCH("GLMP",Tabel134232[note],0),1),"glmp",""),IF(AND(G33&lt;&gt;"null",G33&lt;&gt;""),IF(G33=INDEX(Tabel134232[brp_id],MATCH("GLMP",Tabel134232[note],0),1),"glmp",""),IF(E33=INDEX(Tabel134232[ga_id],MATCH("GLMP",Tabel134232[note],0),1),"glmp","")))</f>
        <v/>
      </c>
      <c r="C33" s="16" t="str">
        <f>IF(AND(F33&lt;&gt;"null",F33&lt;&gt;""),IF(F33=INDEX(Tabel134232[es_id],MATCH("SKMP",Tabel134232[note],0),1),"skmp",""),IF(AND(G33&lt;&gt;"null",G33&lt;&gt;""),IF(G33=INDEX(Tabel134232[brp_id],MATCH("SKMP",Tabel134232[note],0),1),"skmp",""),IF(E33=INDEX(Tabel134232[ga_id],MATCH("SKMP",Tabel134232[note],0),1),"skmp","")))</f>
        <v/>
      </c>
      <c r="D33" s="15" t="s">
        <v>79</v>
      </c>
      <c r="E33" s="31" t="str">
        <f t="shared" si="4"/>
        <v>800</v>
      </c>
      <c r="F33" s="31" t="str">
        <f>IF(B$1="ga",IF(E33="","","null"),IF(OR(B$1="ga_es",B$1="ga_brp_es"),IF(AC$4=0,"",AC$4),IF(B$1="ga_brp",IF(G33="","","null"))))</f>
        <v>5000000000000</v>
      </c>
      <c r="G33" s="31" t="str">
        <f>IF(B$1="ga",IF(E33="","","null"),IF(B$1="ga_es",IF(F33="","","null"),IF(B$1="ga_brp",IF(AD$4=0,"",AD$4),IF(F33="","",INDEX(Tabel134232[brp_id],MATCH(F33,Tabel134232[es_id],0),1)))))</f>
        <v>5500000000000</v>
      </c>
      <c r="H33" s="33" t="str">
        <f t="shared" si="6"/>
        <v>2.5</v>
      </c>
      <c r="I33" s="9">
        <f>SUMIFS(W$9:W$32,IF(OR(B$1="ga_es",B$1="ga_brp_es"),S$9:S$32,IF(B$1="ga_brp",R$9:R$32,Q$9:Q$32)),IF(OR(B$1="ga_es",B$1="ga_brp_es"),F33,IF(B$1="ga_brp",G33,E33)),P$9:P$32,D33)</f>
        <v>2.5</v>
      </c>
      <c r="J33" s="9">
        <f>IF(D33="Quarter1",SUMIFS(Tabel134232[quantity],IF(OR(B$1="ga_es",B$1="ga_brp_es"),Tabel134232[es_id],IF(B$1="ga_brp",Tabel134232[brp_id],Tabel134232[ga_id])),IF(OR(B$1="ga_es",B$1="ga_brp_es"),F33,IF(B$1="ga_brp",G33,E33)),IF(B$2="production",Tabel134232[type],Tabel134232[settlement_method]),AE$2,Tabel134232[resolution],"PT15M"),0)</f>
        <v>0</v>
      </c>
      <c r="K33" s="9">
        <f>IF(AND(C33="skmp",B$2="production"),VLOOKUP(D33,D$78:H$81,5,FALSE),IF(AND(B33="glmp",B$2="flex_consumption"),VLOOKUP(D33,D$72:H$75,5,FALSE),0))</f>
        <v>0</v>
      </c>
      <c r="L33" s="45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25">
      <c r="B34" s="16" t="str">
        <f>IF(AND(F34&lt;&gt;"null",F34&lt;&gt;""),IF(F34=INDEX(Tabel134232[es_id],MATCH("GLMP",Tabel134232[note],0),1),"glmp",""),IF(AND(G34&lt;&gt;"null",G34&lt;&gt;""),IF(G34=INDEX(Tabel134232[brp_id],MATCH("GLMP",Tabel134232[note],0),1),"glmp",""),IF(E34=INDEX(Tabel134232[ga_id],MATCH("GLMP",Tabel134232[note],0),1),"glmp","")))</f>
        <v/>
      </c>
      <c r="C34" s="16" t="str">
        <f>IF(AND(F34&lt;&gt;"null",F34&lt;&gt;""),IF(F34=INDEX(Tabel134232[es_id],MATCH("SKMP",Tabel134232[note],0),1),"skmp",""),IF(AND(G34&lt;&gt;"null",G34&lt;&gt;""),IF(G34=INDEX(Tabel134232[brp_id],MATCH("SKMP",Tabel134232[note],0),1),"skmp",""),IF(E34=INDEX(Tabel134232[ga_id],MATCH("SKMP",Tabel134232[note],0),1),"skmp","")))</f>
        <v/>
      </c>
      <c r="D34" s="15" t="s">
        <v>76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IF(B$1="ga",IF(E34="","","null"),IF(B$1="ga_es",IF(F34="","","null"),IF(B$1="ga_brp",IF(AD$5=0,"",AD$5),IF(F34="","",INDEX(Tabel134232[brp_id],MATCH(F34,Tabel134232[es_id],0),1)))))</f>
        <v/>
      </c>
      <c r="H34" s="33" t="str">
        <f t="shared" si="6"/>
        <v/>
      </c>
      <c r="I34" s="9">
        <f>SUMIFS(W$9:W$32,IF(OR(B$1="ga_es",B$1="ga_brp_es"),S$9:S$32,IF(B$1="ga_brp",R$9:R$32,Q$9:Q$32)),IF(OR(B$1="ga_es",B$1="ga_brp_es"),F34,IF(B$1="ga_brp",G34,E34)),P$9:P$32,D34)</f>
        <v>0</v>
      </c>
      <c r="J34" s="9">
        <f>IF(D34="Quarter1",SUMIFS(Tabel134232[quantity],IF(OR(B$1="ga_es",B$1="ga_brp_es"),Tabel134232[es_id],IF(B$1="ga_brp",Tabel134232[brp_id],Tabel134232[ga_id])),IF(OR(B$1="ga_es",B$1="ga_brp_es"),F34,IF(B$1="ga_brp",G34,E34)),IF(B$2="production",Tabel134232[type],Tabel134232[settlement_method]),AE$2,Tabel134232[resolution],"PT15M"),0)</f>
        <v>0</v>
      </c>
      <c r="K34" s="9">
        <f>IF(AND(C34="skmp",B$2="production"),VLOOKUP(D34,D$78:H$81,5,FALSE),IF(AND(B34="glmp",B$2="flex_consumption"),VLOOKUP(D34,D$72:H$75,5,FALSE),0))</f>
        <v>0</v>
      </c>
      <c r="L34" s="45"/>
      <c r="P34" s="24"/>
      <c r="Q34" s="24"/>
      <c r="R34" s="24"/>
      <c r="S34" s="24"/>
      <c r="T34" s="28">
        <f>SUMIFS(Tabel134232[quantity],Tabel134232[settlement_method],"D01",Tabel134232[resolution],"PT1H")</f>
        <v>10</v>
      </c>
      <c r="U34" s="43" t="s">
        <v>51</v>
      </c>
      <c r="V34" s="43"/>
      <c r="W34" s="28">
        <f>SUM(W36:W39)</f>
        <v>10</v>
      </c>
      <c r="X34" s="21">
        <f>SUM(X36:X39)</f>
        <v>10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25">
      <c r="B35" s="16" t="str">
        <f>IF(AND(F35&lt;&gt;"null",F35&lt;&gt;""),IF(F35=INDEX(Tabel134232[es_id],MATCH("GLMP",Tabel134232[note],0),1),"glmp",""),IF(AND(G35&lt;&gt;"null",G35&lt;&gt;""),IF(G35=INDEX(Tabel134232[brp_id],MATCH("GLMP",Tabel134232[note],0),1),"glmp",""),IF(E35=INDEX(Tabel134232[ga_id],MATCH("GLMP",Tabel134232[note],0),1),"glmp","")))</f>
        <v/>
      </c>
      <c r="C35" s="16" t="str">
        <f>IF(AND(F35&lt;&gt;"null",F35&lt;&gt;""),IF(F35=INDEX(Tabel134232[es_id],MATCH("SKMP",Tabel134232[note],0),1),"skmp",""),IF(AND(G35&lt;&gt;"null",G35&lt;&gt;""),IF(G35=INDEX(Tabel134232[brp_id],MATCH("SKMP",Tabel134232[note],0),1),"skmp",""),IF(E35=INDEX(Tabel134232[ga_id],MATCH("SKMP",Tabel134232[note],0),1),"skmp","")))</f>
        <v/>
      </c>
      <c r="D35" s="15" t="s">
        <v>77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IF(B$1="ga",IF(E35="","","null"),IF(B$1="ga_es",IF(F35="","","null"),IF(B$1="ga_brp",IF(AD$5=0,"",AD$5),IF(F35="","",INDEX(Tabel134232[brp_id],MATCH(F35,Tabel134232[es_id],0),1)))))</f>
        <v/>
      </c>
      <c r="H35" s="33" t="str">
        <f t="shared" si="6"/>
        <v/>
      </c>
      <c r="I35" s="9">
        <f>SUMIFS(W$9:W$32,IF(OR(B$1="ga_es",B$1="ga_brp_es"),S$9:S$32,IF(B$1="ga_brp",R$9:R$32,Q$9:Q$32)),IF(OR(B$1="ga_es",B$1="ga_brp_es"),F35,IF(B$1="ga_brp",G35,E35)),P$9:P$32,D35)</f>
        <v>0</v>
      </c>
      <c r="J35" s="9">
        <f>IF(D35="Quarter1",SUMIFS(Tabel134232[quantity],IF(OR(B$1="ga_es",B$1="ga_brp_es"),Tabel134232[es_id],IF(B$1="ga_brp",Tabel134232[brp_id],Tabel134232[ga_id])),IF(OR(B$1="ga_es",B$1="ga_brp_es"),F35,IF(B$1="ga_brp",G35,E35)),IF(B$2="production",Tabel134232[type],Tabel134232[settlement_method]),AE$2,Tabel134232[resolution],"PT15M"),0)</f>
        <v>0</v>
      </c>
      <c r="K35" s="9">
        <f>IF(AND(C35="skmp",B$2="production"),VLOOKUP(D35,D$78:H$81,5,FALSE),IF(AND(B35="glmp",B$2="flex_consumption"),VLOOKUP(D35,D$72:H$75,5,FALSE),0))</f>
        <v>0</v>
      </c>
      <c r="L35" s="45"/>
      <c r="P35" s="24"/>
      <c r="Q35" s="24"/>
      <c r="R35" s="24"/>
      <c r="S35" s="7" t="s">
        <v>45</v>
      </c>
      <c r="T35" s="20">
        <f>SUMIFS(Tabel134232[quantity],Tabel134232[settlement_method],"D01",Tabel134232[resolution],"PT1H")/4</f>
        <v>2.5</v>
      </c>
      <c r="U35" s="7" t="s">
        <v>47</v>
      </c>
      <c r="V35" s="7" t="s">
        <v>48</v>
      </c>
      <c r="W35" s="7" t="s">
        <v>49</v>
      </c>
      <c r="X35" s="7" t="s">
        <v>50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25">
      <c r="B36" s="16" t="str">
        <f>IF(AND(F36&lt;&gt;"null",F36&lt;&gt;""),IF(F36=INDEX(Tabel134232[es_id],MATCH("GLMP",Tabel134232[note],0),1),"glmp",""),IF(AND(G36&lt;&gt;"null",G36&lt;&gt;""),IF(G36=INDEX(Tabel134232[brp_id],MATCH("GLMP",Tabel134232[note],0),1),"glmp",""),IF(E36=INDEX(Tabel134232[ga_id],MATCH("GLMP",Tabel134232[note],0),1),"glmp","")))</f>
        <v/>
      </c>
      <c r="C36" s="16" t="str">
        <f>IF(AND(F36&lt;&gt;"null",F36&lt;&gt;""),IF(F36=INDEX(Tabel134232[es_id],MATCH("SKMP",Tabel134232[note],0),1),"skmp",""),IF(AND(G36&lt;&gt;"null",G36&lt;&gt;""),IF(G36=INDEX(Tabel134232[brp_id],MATCH("SKMP",Tabel134232[note],0),1),"skmp",""),IF(E36=INDEX(Tabel134232[ga_id],MATCH("SKMP",Tabel134232[note],0),1),"skmp","")))</f>
        <v/>
      </c>
      <c r="D36" s="15" t="s">
        <v>78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IF(B$1="ga",IF(E36="","","null"),IF(B$1="ga_es",IF(F36="","","null"),IF(B$1="ga_brp",IF(AD$5=0,"",AD$5),IF(F36="","",INDEX(Tabel134232[brp_id],MATCH(F36,Tabel134232[es_id],0),1)))))</f>
        <v/>
      </c>
      <c r="H36" s="33" t="str">
        <f t="shared" si="6"/>
        <v/>
      </c>
      <c r="I36" s="9">
        <f>SUMIFS(W$9:W$32,IF(OR(B$1="ga_es",B$1="ga_brp_es"),S$9:S$32,IF(B$1="ga_brp",R$9:R$32,Q$9:Q$32)),IF(OR(B$1="ga_es",B$1="ga_brp_es"),F36,IF(B$1="ga_brp",G36,E36)),P$9:P$32,D36)</f>
        <v>0</v>
      </c>
      <c r="J36" s="9">
        <f>IF(D36="Quarter1",SUMIFS(Tabel134232[quantity],IF(OR(B$1="ga_es",B$1="ga_brp_es"),Tabel134232[es_id],IF(B$1="ga_brp",Tabel134232[brp_id],Tabel134232[ga_id])),IF(OR(B$1="ga_es",B$1="ga_brp_es"),F36,IF(B$1="ga_brp",G36,E36)),IF(B$2="production",Tabel134232[type],Tabel134232[settlement_method]),AE$2,Tabel134232[resolution],"PT15M"),0)</f>
        <v>0</v>
      </c>
      <c r="K36" s="9">
        <f>IF(AND(C36="skmp",B$2="production"),VLOOKUP(D36,D$78:H$81,5,FALSE),IF(AND(B36="glmp",B$2="flex_consumption"),VLOOKUP(D36,D$72:H$75,5,FALSE),0))</f>
        <v>0</v>
      </c>
      <c r="L36" s="45"/>
      <c r="P36" s="24"/>
      <c r="Q36" s="24"/>
      <c r="R36" s="24"/>
      <c r="S36" s="15" t="s">
        <v>56</v>
      </c>
      <c r="T36" s="19">
        <f>T$35</f>
        <v>2.5</v>
      </c>
      <c r="U36" s="19">
        <f>T36</f>
        <v>2.5</v>
      </c>
      <c r="V36" s="19"/>
      <c r="W36" s="23">
        <f>ROUND(U36, 3)</f>
        <v>2.5</v>
      </c>
      <c r="X36" s="23">
        <f>ROUND(T36,3)</f>
        <v>2.5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25">
      <c r="B37" s="16" t="str">
        <f>IF(AND(F37&lt;&gt;"null",F37&lt;&gt;""),IF(F37=INDEX(Tabel134232[es_id],MATCH("GLMP",Tabel134232[note],0),1),"glmp",""),IF(AND(G37&lt;&gt;"null",G37&lt;&gt;""),IF(G37=INDEX(Tabel134232[brp_id],MATCH("GLMP",Tabel134232[note],0),1),"glmp",""),IF(E37=INDEX(Tabel134232[ga_id],MATCH("GLMP",Tabel134232[note],0),1),"glmp","")))</f>
        <v/>
      </c>
      <c r="C37" s="16" t="str">
        <f>IF(AND(F37&lt;&gt;"null",F37&lt;&gt;""),IF(F37=INDEX(Tabel134232[es_id],MATCH("SKMP",Tabel134232[note],0),1),"skmp",""),IF(AND(G37&lt;&gt;"null",G37&lt;&gt;""),IF(G37=INDEX(Tabel134232[brp_id],MATCH("SKMP",Tabel134232[note],0),1),"skmp",""),IF(E37=INDEX(Tabel134232[ga_id],MATCH("SKMP",Tabel134232[note],0),1),"skmp","")))</f>
        <v/>
      </c>
      <c r="D37" s="15" t="s">
        <v>79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IF(B$1="ga",IF(E37="","","null"),IF(B$1="ga_es",IF(F37="","","null"),IF(B$1="ga_brp",IF(AD$5=0,"",AD$5),IF(F37="","",INDEX(Tabel134232[brp_id],MATCH(F37,Tabel134232[es_id],0),1)))))</f>
        <v/>
      </c>
      <c r="H37" s="33" t="str">
        <f t="shared" si="6"/>
        <v/>
      </c>
      <c r="I37" s="9">
        <f>SUMIFS(W$9:W$32,IF(OR(B$1="ga_es",B$1="ga_brp_es"),S$9:S$32,IF(B$1="ga_brp",R$9:R$32,Q$9:Q$32)),IF(OR(B$1="ga_es",B$1="ga_brp_es"),F37,IF(B$1="ga_brp",G37,E37)),P$9:P$32,D37)</f>
        <v>0</v>
      </c>
      <c r="J37" s="9">
        <f>IF(D37="Quarter1",SUMIFS(Tabel134232[quantity],IF(OR(B$1="ga_es",B$1="ga_brp_es"),Tabel134232[es_id],IF(B$1="ga_brp",Tabel134232[brp_id],Tabel134232[ga_id])),IF(OR(B$1="ga_es",B$1="ga_brp_es"),F37,IF(B$1="ga_brp",G37,E37)),IF(B$2="production",Tabel134232[type],Tabel134232[settlement_method]),AE$2,Tabel134232[resolution],"PT15M"),0)</f>
        <v>0</v>
      </c>
      <c r="K37" s="9">
        <f>IF(AND(C37="skmp",B$2="production"),VLOOKUP(D37,D$78:H$81,5,FALSE),IF(AND(B37="glmp",B$2="flex_consumption"),VLOOKUP(D37,D$72:H$75,5,FALSE),0))</f>
        <v>0</v>
      </c>
      <c r="L37" s="45"/>
      <c r="P37" s="24"/>
      <c r="Q37" s="24"/>
      <c r="R37" s="24"/>
      <c r="S37" s="15" t="s">
        <v>57</v>
      </c>
      <c r="T37" s="19">
        <f>T$35</f>
        <v>2.5</v>
      </c>
      <c r="U37" s="19">
        <f>V37+U36</f>
        <v>2.5</v>
      </c>
      <c r="V37" s="19">
        <f>T37-W36</f>
        <v>0</v>
      </c>
      <c r="W37" s="23">
        <f>ROUND(U37, 3)</f>
        <v>2.5</v>
      </c>
      <c r="X37" s="23">
        <f>ROUND(T37,3)</f>
        <v>2.5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25">
      <c r="B38" s="16" t="str">
        <f>IF(AND(F38&lt;&gt;"null",F38&lt;&gt;""),IF(F38=INDEX(Tabel134232[es_id],MATCH("GLMP",Tabel134232[note],0),1),"glmp",""),IF(AND(G38&lt;&gt;"null",G38&lt;&gt;""),IF(G38=INDEX(Tabel134232[brp_id],MATCH("GLMP",Tabel134232[note],0),1),"glmp",""),IF(E38=INDEX(Tabel134232[ga_id],MATCH("GLMP",Tabel134232[note],0),1),"glmp","")))</f>
        <v/>
      </c>
      <c r="C38" s="16" t="str">
        <f>IF(AND(F38&lt;&gt;"null",F38&lt;&gt;""),IF(F38=INDEX(Tabel134232[es_id],MATCH("SKMP",Tabel134232[note],0),1),"skmp",""),IF(AND(G38&lt;&gt;"null",G38&lt;&gt;""),IF(G38=INDEX(Tabel134232[brp_id],MATCH("SKMP",Tabel134232[note],0),1),"skmp",""),IF(E38=INDEX(Tabel134232[ga_id],MATCH("SKMP",Tabel134232[note],0),1),"skmp","")))</f>
        <v/>
      </c>
      <c r="D38" s="15" t="s">
        <v>76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IF(B$1="ga",IF(E38="","","null"),IF(B$1="ga_es",IF(F38="","","null"),IF(B$1="ga_brp",IF(AD$5=0,"",AD$5),IF(F38="","",INDEX(Tabel134232[brp_id],MATCH(F38,Tabel134232[es_id],0),1)))))</f>
        <v/>
      </c>
      <c r="H38" s="33" t="str">
        <f t="shared" si="6"/>
        <v/>
      </c>
      <c r="I38" s="9">
        <f>SUMIFS(W$9:W$32,IF(OR(B$1="ga_es",B$1="ga_brp_es"),S$9:S$32,IF(B$1="ga_brp",R$9:R$32,Q$9:Q$32)),IF(OR(B$1="ga_es",B$1="ga_brp_es"),F38,IF(B$1="ga_brp",G38,E38)),P$9:P$32,D38)</f>
        <v>0</v>
      </c>
      <c r="J38" s="9">
        <f>IF(D38="Quarter1",SUMIFS(Tabel134232[quantity],IF(OR(B$1="ga_es",B$1="ga_brp_es"),Tabel134232[es_id],IF(B$1="ga_brp",Tabel134232[brp_id],Tabel134232[ga_id])),IF(OR(B$1="ga_es",B$1="ga_brp_es"),F38,IF(B$1="ga_brp",G38,E38)),IF(B$2="production",Tabel134232[type],Tabel134232[settlement_method]),AE$2,Tabel134232[resolution],"PT15M"),0)</f>
        <v>0</v>
      </c>
      <c r="K38" s="9">
        <f>IF(AND(C38="skmp",B$2="production"),VLOOKUP(D38,D$78:H$81,5,FALSE),IF(AND(B38="glmp",B$2="flex_consumption"),VLOOKUP(D38,D$72:H$75,5,FALSE),0))</f>
        <v>0</v>
      </c>
      <c r="L38" s="45"/>
      <c r="P38" s="24"/>
      <c r="Q38" s="24"/>
      <c r="R38" s="24"/>
      <c r="S38" s="15" t="s">
        <v>58</v>
      </c>
      <c r="T38" s="19">
        <f>T$35</f>
        <v>2.5</v>
      </c>
      <c r="U38" s="19">
        <f>V38+U37</f>
        <v>2.5</v>
      </c>
      <c r="V38" s="19">
        <f>T38-W37</f>
        <v>0</v>
      </c>
      <c r="W38" s="23">
        <f>ROUND(U38, 3)</f>
        <v>2.5</v>
      </c>
      <c r="X38" s="23">
        <f>ROUND(T38,3)</f>
        <v>2.5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25">
      <c r="B39" s="16" t="str">
        <f>IF(AND(F39&lt;&gt;"null",F39&lt;&gt;""),IF(F39=INDEX(Tabel134232[es_id],MATCH("GLMP",Tabel134232[note],0),1),"glmp",""),IF(AND(G39&lt;&gt;"null",G39&lt;&gt;""),IF(G39=INDEX(Tabel134232[brp_id],MATCH("GLMP",Tabel134232[note],0),1),"glmp",""),IF(E39=INDEX(Tabel134232[ga_id],MATCH("GLMP",Tabel134232[note],0),1),"glmp","")))</f>
        <v/>
      </c>
      <c r="C39" s="16" t="str">
        <f>IF(AND(F39&lt;&gt;"null",F39&lt;&gt;""),IF(F39=INDEX(Tabel134232[es_id],MATCH("SKMP",Tabel134232[note],0),1),"skmp",""),IF(AND(G39&lt;&gt;"null",G39&lt;&gt;""),IF(G39=INDEX(Tabel134232[brp_id],MATCH("SKMP",Tabel134232[note],0),1),"skmp",""),IF(E39=INDEX(Tabel134232[ga_id],MATCH("SKMP",Tabel134232[note],0),1),"skmp","")))</f>
        <v/>
      </c>
      <c r="D39" s="15" t="s">
        <v>77</v>
      </c>
      <c r="E39" s="31" t="str">
        <f t="shared" si="4"/>
        <v/>
      </c>
      <c r="F39" s="31" t="str">
        <f t="shared" ref="F39:F41" si="9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IF(B$1="ga",IF(E39="","","null"),IF(B$1="ga_es",IF(F39="","","null"),IF(B$1="ga_brp",IF(AD$5=0,"",AD$5),IF(F39="","",INDEX(Tabel134232[brp_id],MATCH(F39,Tabel134232[es_id],0),1)))))</f>
        <v/>
      </c>
      <c r="H39" s="33" t="str">
        <f t="shared" si="6"/>
        <v/>
      </c>
      <c r="I39" s="9">
        <f>SUMIFS(W$9:W$32,IF(OR(B$1="ga_es",B$1="ga_brp_es"),S$9:S$32,IF(B$1="ga_brp",R$9:R$32,Q$9:Q$32)),IF(OR(B$1="ga_es",B$1="ga_brp_es"),F39,IF(B$1="ga_brp",G39,E39)),P$9:P$32,D39)</f>
        <v>0</v>
      </c>
      <c r="J39" s="9">
        <f>IF(D39="Quarter1",SUMIFS(Tabel134232[quantity],IF(OR(B$1="ga_es",B$1="ga_brp_es"),Tabel134232[es_id],IF(B$1="ga_brp",Tabel134232[brp_id],Tabel134232[ga_id])),IF(OR(B$1="ga_es",B$1="ga_brp_es"),F39,IF(B$1="ga_brp",G39,E39)),IF(B$2="production",Tabel134232[type],Tabel134232[settlement_method]),AE$2,Tabel134232[resolution],"PT15M"),0)</f>
        <v>0</v>
      </c>
      <c r="K39" s="9">
        <f>IF(AND(C39="skmp",B$2="production"),VLOOKUP(D39,D$78:H$81,5,FALSE),IF(AND(B39="glmp",B$2="flex_consumption"),VLOOKUP(D39,D$72:H$75,5,FALSE),0))</f>
        <v>0</v>
      </c>
      <c r="L39" s="45"/>
      <c r="P39" s="24"/>
      <c r="Q39" s="24"/>
      <c r="R39" s="24"/>
      <c r="S39" s="15" t="s">
        <v>59</v>
      </c>
      <c r="T39" s="19">
        <f>T$35</f>
        <v>2.5</v>
      </c>
      <c r="U39" s="19">
        <f>V39+U38</f>
        <v>2.5</v>
      </c>
      <c r="V39" s="19">
        <f>T39-W38</f>
        <v>0</v>
      </c>
      <c r="W39" s="23">
        <f>ROUND(U39, 3)</f>
        <v>2.5</v>
      </c>
      <c r="X39" s="23">
        <f>ROUND(T39,3)</f>
        <v>2.5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25">
      <c r="B40" s="16" t="str">
        <f>IF(AND(F40&lt;&gt;"null",F40&lt;&gt;""),IF(F40=INDEX(Tabel134232[es_id],MATCH("GLMP",Tabel134232[note],0),1),"glmp",""),IF(AND(G40&lt;&gt;"null",G40&lt;&gt;""),IF(G40=INDEX(Tabel134232[brp_id],MATCH("GLMP",Tabel134232[note],0),1),"glmp",""),IF(E40=INDEX(Tabel134232[ga_id],MATCH("GLMP",Tabel134232[note],0),1),"glmp","")))</f>
        <v/>
      </c>
      <c r="C40" s="16" t="str">
        <f>IF(AND(F40&lt;&gt;"null",F40&lt;&gt;""),IF(F40=INDEX(Tabel134232[es_id],MATCH("SKMP",Tabel134232[note],0),1),"skmp",""),IF(AND(G40&lt;&gt;"null",G40&lt;&gt;""),IF(G40=INDEX(Tabel134232[brp_id],MATCH("SKMP",Tabel134232[note],0),1),"skmp",""),IF(E40=INDEX(Tabel134232[ga_id],MATCH("SKMP",Tabel134232[note],0),1),"skmp","")))</f>
        <v/>
      </c>
      <c r="D40" s="15" t="s">
        <v>78</v>
      </c>
      <c r="E40" s="31" t="str">
        <f t="shared" si="4"/>
        <v/>
      </c>
      <c r="F40" s="31" t="str">
        <f t="shared" si="9"/>
        <v/>
      </c>
      <c r="G40" s="31" t="str">
        <f>IF(B$1="ga",IF(E40="","","null"),IF(B$1="ga_es",IF(F40="","","null"),IF(B$1="ga_brp",IF(AD$5=0,"",AD$5),IF(F40="","",INDEX(Tabel134232[brp_id],MATCH(F40,Tabel134232[es_id],0),1)))))</f>
        <v/>
      </c>
      <c r="H40" s="33" t="str">
        <f t="shared" si="6"/>
        <v/>
      </c>
      <c r="I40" s="9">
        <f>SUMIFS(W$9:W$32,IF(OR(B$1="ga_es",B$1="ga_brp_es"),S$9:S$32,IF(B$1="ga_brp",R$9:R$32,Q$9:Q$32)),IF(OR(B$1="ga_es",B$1="ga_brp_es"),F40,IF(B$1="ga_brp",G40,E40)),P$9:P$32,D40)</f>
        <v>0</v>
      </c>
      <c r="J40" s="9">
        <f>IF(D40="Quarter1",SUMIFS(Tabel134232[quantity],IF(OR(B$1="ga_es",B$1="ga_brp_es"),Tabel134232[es_id],IF(B$1="ga_brp",Tabel134232[brp_id],Tabel134232[ga_id])),IF(OR(B$1="ga_es",B$1="ga_brp_es"),F40,IF(B$1="ga_brp",G40,E40)),IF(B$2="production",Tabel134232[type],Tabel134232[settlement_method]),AE$2,Tabel134232[resolution],"PT15M"),0)</f>
        <v>0</v>
      </c>
      <c r="K40" s="9">
        <f>IF(AND(C40="skmp",B$2="production"),VLOOKUP(D40,D$78:H$81,5,FALSE),IF(AND(B40="glmp",B$2="flex_consumption"),VLOOKUP(D40,D$72:H$75,5,FALSE),0))</f>
        <v>0</v>
      </c>
      <c r="L40" s="45"/>
      <c r="P40" s="24"/>
      <c r="Q40" s="24"/>
      <c r="R40" s="24"/>
      <c r="S40" s="24"/>
      <c r="T40" s="28">
        <f>SUMIFS(Tabel134232[quantity],Tabel134232[type],"E18",Tabel134232[resolution],"PT1H")</f>
        <v>10</v>
      </c>
      <c r="U40" s="37" t="s">
        <v>51</v>
      </c>
      <c r="V40" s="38"/>
      <c r="W40" s="28">
        <f>SUM(W42:W45)</f>
        <v>10</v>
      </c>
      <c r="X40" s="21">
        <f>SUM(X42:X45)</f>
        <v>10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25">
      <c r="B41" s="16" t="str">
        <f>IF(AND(F41&lt;&gt;"null",F41&lt;&gt;""),IF(F41=INDEX(Tabel134232[es_id],MATCH("GLMP",Tabel134232[note],0),1),"glmp",""),IF(AND(G41&lt;&gt;"null",G41&lt;&gt;""),IF(G41=INDEX(Tabel134232[brp_id],MATCH("GLMP",Tabel134232[note],0),1),"glmp",""),IF(E41=INDEX(Tabel134232[ga_id],MATCH("GLMP",Tabel134232[note],0),1),"glmp","")))</f>
        <v/>
      </c>
      <c r="C41" s="16" t="str">
        <f>IF(AND(F41&lt;&gt;"null",F41&lt;&gt;""),IF(F41=INDEX(Tabel134232[es_id],MATCH("SKMP",Tabel134232[note],0),1),"skmp",""),IF(AND(G41&lt;&gt;"null",G41&lt;&gt;""),IF(G41=INDEX(Tabel134232[brp_id],MATCH("SKMP",Tabel134232[note],0),1),"skmp",""),IF(E41=INDEX(Tabel134232[ga_id],MATCH("SKMP",Tabel134232[note],0),1),"skmp","")))</f>
        <v/>
      </c>
      <c r="D41" s="15" t="s">
        <v>79</v>
      </c>
      <c r="E41" s="31" t="str">
        <f t="shared" si="4"/>
        <v/>
      </c>
      <c r="F41" s="31" t="str">
        <f t="shared" si="9"/>
        <v/>
      </c>
      <c r="G41" s="31" t="str">
        <f>IF(B$1="ga",IF(E41="","","null"),IF(B$1="ga_es",IF(F41="","","null"),IF(B$1="ga_brp",IF(AD$5=0,"",AD$5),IF(F41="","",INDEX(Tabel134232[brp_id],MATCH(F41,Tabel134232[es_id],0),1)))))</f>
        <v/>
      </c>
      <c r="H41" s="33" t="str">
        <f t="shared" si="6"/>
        <v/>
      </c>
      <c r="I41" s="9">
        <f>SUMIFS(W$9:W$32,IF(OR(B$1="ga_es",B$1="ga_brp_es"),S$9:S$32,IF(B$1="ga_brp",R$9:R$32,Q$9:Q$32)),IF(OR(B$1="ga_es",B$1="ga_brp_es"),F41,IF(B$1="ga_brp",G41,E41)),P$9:P$32,D41)</f>
        <v>0</v>
      </c>
      <c r="J41" s="9">
        <f>IF(D41="Quarter1",SUMIFS(Tabel134232[quantity],IF(OR(B$1="ga_es",B$1="ga_brp_es"),Tabel134232[es_id],IF(B$1="ga_brp",Tabel134232[brp_id],Tabel134232[ga_id])),IF(OR(B$1="ga_es",B$1="ga_brp_es"),F41,IF(B$1="ga_brp",G41,E41)),IF(B$2="production",Tabel134232[type],Tabel134232[settlement_method]),AE$2,Tabel134232[resolution],"PT15M"),0)</f>
        <v>0</v>
      </c>
      <c r="K41" s="9">
        <f>IF(AND(C41="skmp",B$2="production"),VLOOKUP(D41,D$78:H$81,5,FALSE),IF(AND(B41="glmp",B$2="flex_consumption"),VLOOKUP(D41,D$72:H$75,5,FALSE),0))</f>
        <v>0</v>
      </c>
      <c r="L41" s="45"/>
      <c r="P41" s="24"/>
      <c r="Q41" s="24"/>
      <c r="R41" s="24"/>
      <c r="S41" s="7" t="s">
        <v>31</v>
      </c>
      <c r="T41" s="22">
        <f>SUMIFS(Tabel134232[quantity],Tabel134232[type],"E18",Tabel134232[resolution],"PT1H")/4</f>
        <v>2.5</v>
      </c>
      <c r="U41" s="7" t="s">
        <v>47</v>
      </c>
      <c r="V41" s="7" t="s">
        <v>48</v>
      </c>
      <c r="W41" s="7" t="s">
        <v>49</v>
      </c>
      <c r="X41" s="7" t="s">
        <v>50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x14ac:dyDescent="0.25">
      <c r="B42" s="16" t="str">
        <f>IF(AND(F42&lt;&gt;"null",F42&lt;&gt;""),IF(F42=INDEX(Tabel134232[es_id],MATCH("GLMP",Tabel134232[note],0),1),"glmp",""),IF(AND(G42&lt;&gt;"null",G42&lt;&gt;""),IF(G42=INDEX(Tabel134232[brp_id],MATCH("GLMP",Tabel134232[note],0),1),"glmp",""),IF(E42=INDEX(Tabel134232[ga_id],MATCH("GLMP",Tabel134232[note],0),1),"glmp","")))</f>
        <v/>
      </c>
      <c r="C42" s="16" t="str">
        <f>IF(AND(F42&lt;&gt;"null",F42&lt;&gt;""),IF(F42=INDEX(Tabel134232[es_id],MATCH("SKMP",Tabel134232[note],0),1),"skmp",""),IF(AND(G42&lt;&gt;"null",G42&lt;&gt;""),IF(G42=INDEX(Tabel134232[brp_id],MATCH("SKMP",Tabel134232[note],0),1),"skmp",""),IF(E42=INDEX(Tabel134232[ga_id],MATCH("SKMP",Tabel134232[note],0),1),"skmp","")))</f>
        <v/>
      </c>
      <c r="D42" s="15" t="s">
        <v>76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IF(B$1="ga",IF(E42="","","null"),IF(B$1="ga_es",IF(F42="","","null"),IF(B$1="ga_brp",IF(AD$5=0,"",AD$5),IF(F42="","",INDEX(Tabel134232[brp_id],MATCH(F42,Tabel134232[es_id],0),1)))))</f>
        <v/>
      </c>
      <c r="H42" s="33" t="str">
        <f t="shared" ref="H42:H45" si="10">SUBSTITUTE(IF(E42="","",I42+J42+K42),",",".")</f>
        <v/>
      </c>
      <c r="I42" s="9">
        <f t="shared" ref="I42:I45" si="11">SUMIFS(W$9:W$32,IF(OR(B$1="ga_es",B$1="ga_brp_es"),S$9:S$32,IF(B$1="ga_brp",R$9:R$32,Q$9:Q$32)),IF(OR(B$1="ga_es",B$1="ga_brp_es"),F42,IF(B$1="ga_brp",G42,E42)),P$9:P$32,D42)</f>
        <v>0</v>
      </c>
      <c r="J42" s="9">
        <f>IF(D42="Quarter1",SUMIFS(Tabel134232[quantity],IF(OR(B$1="ga_es",B$1="ga_brp_es"),Tabel134232[es_id],IF(B$1="ga_brp",Tabel134232[brp_id],Tabel134232[ga_id])),IF(OR(B$1="ga_es",B$1="ga_brp_es"),F42,IF(B$1="ga_brp",G42,E42)),IF(B$2="production",Tabel134232[type],Tabel134232[settlement_method]),AE$2,Tabel134232[resolution],"PT15M"),0)</f>
        <v>0</v>
      </c>
      <c r="K42" s="9">
        <f t="shared" ref="K42:K45" si="12">IF(AND(C42="skmp",B$2="production"),VLOOKUP(D42,D$78:H$81,5,FALSE),IF(AND(B42="glmp",B$2="flex_consumption"),VLOOKUP(D42,D$72:H$75,5,FALSE),0))</f>
        <v>0</v>
      </c>
      <c r="L42" s="45"/>
      <c r="P42" s="24"/>
      <c r="Q42" s="24"/>
      <c r="R42" s="24"/>
      <c r="S42" s="15" t="s">
        <v>52</v>
      </c>
      <c r="T42" s="19">
        <f>T$41</f>
        <v>2.5</v>
      </c>
      <c r="U42" s="19">
        <f>T42</f>
        <v>2.5</v>
      </c>
      <c r="V42" s="19"/>
      <c r="W42" s="23">
        <f>ROUND(U42, 3)</f>
        <v>2.5</v>
      </c>
      <c r="X42" s="23">
        <f>ROUND(T42,3)</f>
        <v>2.5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x14ac:dyDescent="0.25">
      <c r="B43" s="16" t="str">
        <f>IF(AND(F43&lt;&gt;"null",F43&lt;&gt;""),IF(F43=INDEX(Tabel134232[es_id],MATCH("GLMP",Tabel134232[note],0),1),"glmp",""),IF(AND(G43&lt;&gt;"null",G43&lt;&gt;""),IF(G43=INDEX(Tabel134232[brp_id],MATCH("GLMP",Tabel134232[note],0),1),"glmp",""),IF(E43=INDEX(Tabel134232[ga_id],MATCH("GLMP",Tabel134232[note],0),1),"glmp","")))</f>
        <v/>
      </c>
      <c r="C43" s="16" t="str">
        <f>IF(AND(F43&lt;&gt;"null",F43&lt;&gt;""),IF(F43=INDEX(Tabel134232[es_id],MATCH("SKMP",Tabel134232[note],0),1),"skmp",""),IF(AND(G43&lt;&gt;"null",G43&lt;&gt;""),IF(G43=INDEX(Tabel134232[brp_id],MATCH("SKMP",Tabel134232[note],0),1),"skmp",""),IF(E43=INDEX(Tabel134232[ga_id],MATCH("SKMP",Tabel134232[note],0),1),"skmp","")))</f>
        <v/>
      </c>
      <c r="D43" s="15" t="s">
        <v>77</v>
      </c>
      <c r="E43" s="31" t="str">
        <f t="shared" si="4"/>
        <v/>
      </c>
      <c r="F43" s="31" t="str">
        <f t="shared" ref="F43:F45" si="13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IF(B$1="ga",IF(E43="","","null"),IF(B$1="ga_es",IF(F43="","","null"),IF(B$1="ga_brp",IF(AD$5=0,"",AD$5),IF(F43="","",INDEX(Tabel134232[brp_id],MATCH(F43,Tabel134232[es_id],0),1)))))</f>
        <v/>
      </c>
      <c r="H43" s="33" t="str">
        <f t="shared" si="10"/>
        <v/>
      </c>
      <c r="I43" s="9">
        <f t="shared" si="11"/>
        <v>0</v>
      </c>
      <c r="J43" s="9">
        <f>IF(D43="Quarter1",SUMIFS(Tabel134232[quantity],IF(OR(B$1="ga_es",B$1="ga_brp_es"),Tabel134232[es_id],IF(B$1="ga_brp",Tabel134232[brp_id],Tabel134232[ga_id])),IF(OR(B$1="ga_es",B$1="ga_brp_es"),F43,IF(B$1="ga_brp",G43,E43)),IF(B$2="production",Tabel134232[type],Tabel134232[settlement_method]),AE$2,Tabel134232[resolution],"PT15M"),0)</f>
        <v>0</v>
      </c>
      <c r="K43" s="9">
        <f t="shared" si="12"/>
        <v>0</v>
      </c>
      <c r="L43" s="45"/>
      <c r="P43" s="24"/>
      <c r="Q43" s="24"/>
      <c r="R43" s="24"/>
      <c r="S43" s="15" t="s">
        <v>53</v>
      </c>
      <c r="T43" s="19">
        <f>T$41</f>
        <v>2.5</v>
      </c>
      <c r="U43" s="19">
        <f>V43+U42</f>
        <v>2.5</v>
      </c>
      <c r="V43" s="19">
        <f>T43-W42</f>
        <v>0</v>
      </c>
      <c r="W43" s="23">
        <f>ROUND(U43, 3)</f>
        <v>2.5</v>
      </c>
      <c r="X43" s="23">
        <f>ROUND(T43,3)</f>
        <v>2.5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25">
      <c r="B44" s="16" t="str">
        <f>IF(AND(F44&lt;&gt;"null",F44&lt;&gt;""),IF(F44=INDEX(Tabel134232[es_id],MATCH("GLMP",Tabel134232[note],0),1),"glmp",""),IF(AND(G44&lt;&gt;"null",G44&lt;&gt;""),IF(G44=INDEX(Tabel134232[brp_id],MATCH("GLMP",Tabel134232[note],0),1),"glmp",""),IF(E44=INDEX(Tabel134232[ga_id],MATCH("GLMP",Tabel134232[note],0),1),"glmp","")))</f>
        <v/>
      </c>
      <c r="C44" s="16" t="str">
        <f>IF(AND(F44&lt;&gt;"null",F44&lt;&gt;""),IF(F44=INDEX(Tabel134232[es_id],MATCH("SKMP",Tabel134232[note],0),1),"skmp",""),IF(AND(G44&lt;&gt;"null",G44&lt;&gt;""),IF(G44=INDEX(Tabel134232[brp_id],MATCH("SKMP",Tabel134232[note],0),1),"skmp",""),IF(E44=INDEX(Tabel134232[ga_id],MATCH("SKMP",Tabel134232[note],0),1),"skmp","")))</f>
        <v/>
      </c>
      <c r="D44" s="15" t="s">
        <v>78</v>
      </c>
      <c r="E44" s="31" t="str">
        <f t="shared" si="4"/>
        <v/>
      </c>
      <c r="F44" s="31" t="str">
        <f t="shared" si="13"/>
        <v/>
      </c>
      <c r="G44" s="31" t="str">
        <f>IF(B$1="ga",IF(E44="","","null"),IF(B$1="ga_es",IF(F44="","","null"),IF(B$1="ga_brp",IF(AD$5=0,"",AD$5),IF(F44="","",INDEX(Tabel134232[brp_id],MATCH(F44,Tabel134232[es_id],0),1)))))</f>
        <v/>
      </c>
      <c r="H44" s="33" t="str">
        <f t="shared" si="10"/>
        <v/>
      </c>
      <c r="I44" s="9">
        <f t="shared" si="11"/>
        <v>0</v>
      </c>
      <c r="J44" s="9">
        <f>IF(D44="Quarter1",SUMIFS(Tabel134232[quantity],IF(OR(B$1="ga_es",B$1="ga_brp_es"),Tabel134232[es_id],IF(B$1="ga_brp",Tabel134232[brp_id],Tabel134232[ga_id])),IF(OR(B$1="ga_es",B$1="ga_brp_es"),F44,IF(B$1="ga_brp",G44,E44)),IF(B$2="production",Tabel134232[type],Tabel134232[settlement_method]),AE$2,Tabel134232[resolution],"PT15M"),0)</f>
        <v>0</v>
      </c>
      <c r="K44" s="9">
        <f t="shared" si="12"/>
        <v>0</v>
      </c>
      <c r="L44" s="45"/>
      <c r="P44" s="24"/>
      <c r="Q44" s="24"/>
      <c r="R44" s="24"/>
      <c r="S44" s="15" t="s">
        <v>54</v>
      </c>
      <c r="T44" s="19">
        <f>T$41</f>
        <v>2.5</v>
      </c>
      <c r="U44" s="19">
        <f>V44+U43</f>
        <v>2.5</v>
      </c>
      <c r="V44" s="19">
        <f>T44-W43</f>
        <v>0</v>
      </c>
      <c r="W44" s="23">
        <f>ROUND(U44, 3)</f>
        <v>2.5</v>
      </c>
      <c r="X44" s="23">
        <f>ROUND(T44,3)</f>
        <v>2.5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25">
      <c r="B45" s="16" t="str">
        <f>IF(AND(F45&lt;&gt;"null",F45&lt;&gt;""),IF(F45=INDEX(Tabel134232[es_id],MATCH("GLMP",Tabel134232[note],0),1),"glmp",""),IF(AND(G45&lt;&gt;"null",G45&lt;&gt;""),IF(G45=INDEX(Tabel134232[brp_id],MATCH("GLMP",Tabel134232[note],0),1),"glmp",""),IF(E45=INDEX(Tabel134232[ga_id],MATCH("GLMP",Tabel134232[note],0),1),"glmp","")))</f>
        <v/>
      </c>
      <c r="C45" s="16" t="str">
        <f>IF(AND(F45&lt;&gt;"null",F45&lt;&gt;""),IF(F45=INDEX(Tabel134232[es_id],MATCH("SKMP",Tabel134232[note],0),1),"skmp",""),IF(AND(G45&lt;&gt;"null",G45&lt;&gt;""),IF(G45=INDEX(Tabel134232[brp_id],MATCH("SKMP",Tabel134232[note],0),1),"skmp",""),IF(E45=INDEX(Tabel134232[ga_id],MATCH("SKMP",Tabel134232[note],0),1),"skmp","")))</f>
        <v/>
      </c>
      <c r="D45" s="15" t="s">
        <v>79</v>
      </c>
      <c r="E45" s="31" t="str">
        <f t="shared" si="4"/>
        <v/>
      </c>
      <c r="F45" s="31" t="str">
        <f t="shared" si="13"/>
        <v/>
      </c>
      <c r="G45" s="31" t="str">
        <f>IF(B$1="ga",IF(E45="","","null"),IF(B$1="ga_es",IF(F45="","","null"),IF(B$1="ga_brp",IF(AD$5=0,"",AD$5),IF(F45="","",INDEX(Tabel134232[brp_id],MATCH(F45,Tabel134232[es_id],0),1)))))</f>
        <v/>
      </c>
      <c r="H45" s="33" t="str">
        <f t="shared" si="10"/>
        <v/>
      </c>
      <c r="I45" s="9">
        <f t="shared" si="11"/>
        <v>0</v>
      </c>
      <c r="J45" s="9">
        <f>IF(D45="Quarter1",SUMIFS(Tabel134232[quantity],IF(OR(B$1="ga_es",B$1="ga_brp_es"),Tabel134232[es_id],IF(B$1="ga_brp",Tabel134232[brp_id],Tabel134232[ga_id])),IF(OR(B$1="ga_es",B$1="ga_brp_es"),F45,IF(B$1="ga_brp",G45,E45)),IF(B$2="production",Tabel134232[type],Tabel134232[settlement_method]),AE$2,Tabel134232[resolution],"PT15M"),0)</f>
        <v>0</v>
      </c>
      <c r="K45" s="9">
        <f t="shared" si="12"/>
        <v>0</v>
      </c>
      <c r="L45" s="45"/>
      <c r="P45" s="24"/>
      <c r="Q45" s="24"/>
      <c r="R45" s="24"/>
      <c r="S45" s="15" t="s">
        <v>55</v>
      </c>
      <c r="T45" s="19">
        <f>T$41</f>
        <v>2.5</v>
      </c>
      <c r="U45" s="19">
        <f>V45+U44</f>
        <v>2.5</v>
      </c>
      <c r="V45" s="19">
        <f>T45-W44</f>
        <v>0</v>
      </c>
      <c r="W45" s="23">
        <f>ROUND(U45, 3)</f>
        <v>2.5</v>
      </c>
      <c r="X45" s="23">
        <f>ROUND(T45,3)</f>
        <v>2.5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ht="23.25" x14ac:dyDescent="0.35">
      <c r="C46" s="2"/>
      <c r="E46" s="39" t="s">
        <v>36</v>
      </c>
      <c r="F46" s="39"/>
      <c r="G46" s="39"/>
      <c r="H46" s="39"/>
      <c r="P46" s="24"/>
      <c r="Q46" s="24"/>
      <c r="R46" s="24"/>
      <c r="S46" s="24"/>
      <c r="T46" s="28">
        <f>SUMIFS(Tabel134232[quantity],Tabel134232[settlement_method],"E02",Tabel134232[resolution],"PT1H")</f>
        <v>0</v>
      </c>
      <c r="U46" s="37" t="s">
        <v>51</v>
      </c>
      <c r="V46" s="38"/>
      <c r="W46" s="28">
        <f>SUM(W48:W51)</f>
        <v>0</v>
      </c>
      <c r="X46" s="21">
        <f>SUM(X48:X51)</f>
        <v>0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ht="18.75" x14ac:dyDescent="0.3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46</v>
      </c>
      <c r="T47" s="9">
        <f>SUMIFS(Tabel134232[quantity],Tabel134232[settlement_method],"E02",Tabel134232[resolution],"PT1H")/4</f>
        <v>0</v>
      </c>
      <c r="U47" s="7" t="s">
        <v>47</v>
      </c>
      <c r="V47" s="7" t="s">
        <v>48</v>
      </c>
      <c r="W47" s="7" t="s">
        <v>49</v>
      </c>
      <c r="X47" s="7" t="s">
        <v>50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x14ac:dyDescent="0.25">
      <c r="A48" s="2"/>
      <c r="B48" s="2"/>
      <c r="C48" s="2"/>
      <c r="D48" s="8" t="s">
        <v>3</v>
      </c>
      <c r="E48" s="31" t="str">
        <f>$AG$2</f>
        <v>800</v>
      </c>
      <c r="F48" s="31" t="s">
        <v>35</v>
      </c>
      <c r="G48" s="31" t="s">
        <v>35</v>
      </c>
      <c r="H48" s="32">
        <f>powerIn1H_quarter1+powerIn15M-powerOut1H_quarter1-powerOut15M</f>
        <v>2</v>
      </c>
      <c r="P48" s="24"/>
      <c r="Q48" s="24"/>
      <c r="R48" s="24"/>
      <c r="S48" s="15" t="s">
        <v>60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x14ac:dyDescent="0.25">
      <c r="A49" s="2"/>
      <c r="B49" s="2"/>
      <c r="C49" s="2"/>
      <c r="D49" s="8" t="s">
        <v>4</v>
      </c>
      <c r="E49" s="31" t="str">
        <f>$AG$2</f>
        <v>800</v>
      </c>
      <c r="F49" s="31" t="s">
        <v>35</v>
      </c>
      <c r="G49" s="31" t="s">
        <v>35</v>
      </c>
      <c r="H49" s="32">
        <f>powerIn1H_quarter2-powerOut1H_quarter2</f>
        <v>2</v>
      </c>
      <c r="P49" s="24"/>
      <c r="Q49" s="24"/>
      <c r="R49" s="24"/>
      <c r="S49" s="15" t="s">
        <v>61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25">
      <c r="A50" s="2"/>
      <c r="B50" s="2"/>
      <c r="C50" s="2"/>
      <c r="D50" s="8" t="s">
        <v>5</v>
      </c>
      <c r="E50" s="31" t="str">
        <f>$AG$2</f>
        <v>800</v>
      </c>
      <c r="F50" s="31" t="s">
        <v>35</v>
      </c>
      <c r="G50" s="31" t="s">
        <v>35</v>
      </c>
      <c r="H50" s="32">
        <f>powerIn1H_quarter3-powerOut1H_quarter3</f>
        <v>2</v>
      </c>
      <c r="P50" s="24"/>
      <c r="Q50" s="24"/>
      <c r="R50" s="24"/>
      <c r="S50" s="15" t="s">
        <v>62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25">
      <c r="A51" s="2"/>
      <c r="B51" s="2"/>
      <c r="C51" s="2"/>
      <c r="D51" s="8" t="s">
        <v>6</v>
      </c>
      <c r="E51" s="31" t="str">
        <f>$AG$2</f>
        <v>800</v>
      </c>
      <c r="F51" s="31" t="s">
        <v>35</v>
      </c>
      <c r="G51" s="31" t="s">
        <v>35</v>
      </c>
      <c r="H51" s="32">
        <f>powerIn1H_quarter4-powerOut1H_quarter4</f>
        <v>2</v>
      </c>
      <c r="P51" s="24"/>
      <c r="Q51" s="24"/>
      <c r="R51" s="24"/>
      <c r="S51" s="15" t="s">
        <v>63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ht="23.25" x14ac:dyDescent="0.35">
      <c r="A52" s="2"/>
      <c r="B52" s="2"/>
      <c r="C52" s="2"/>
      <c r="E52" s="36" t="s">
        <v>38</v>
      </c>
      <c r="F52" s="36"/>
      <c r="G52" s="36"/>
      <c r="H52" s="36"/>
      <c r="P52" s="24"/>
      <c r="Q52" s="24"/>
      <c r="R52" s="24"/>
      <c r="S52" s="24"/>
      <c r="T52" s="28">
        <f>ROUND(SUMIFS(Tabel134232[quantity],Tabel134232[type],"E20",Tabel134232[resolution],"PT1H",Tabel134232[to_ga],"800"),3)</f>
        <v>8</v>
      </c>
      <c r="U52" s="37" t="s">
        <v>51</v>
      </c>
      <c r="V52" s="38"/>
      <c r="W52" s="28">
        <f>ROUND(SUM(W54:W57),3)</f>
        <v>8</v>
      </c>
      <c r="X52" s="21">
        <f>SUM(X54:X57)</f>
        <v>8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ht="18.75" x14ac:dyDescent="0.3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32</v>
      </c>
      <c r="T53" s="9">
        <f>SUMIFS(Tabel134232[quantity],Tabel134232[type],"E20",Tabel134232[resolution],"PT1H",Tabel134232[to_ga],"800")/4</f>
        <v>2</v>
      </c>
      <c r="U53" s="7" t="s">
        <v>47</v>
      </c>
      <c r="V53" s="7" t="s">
        <v>48</v>
      </c>
      <c r="W53" s="7" t="s">
        <v>49</v>
      </c>
      <c r="X53" s="7" t="s">
        <v>50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x14ac:dyDescent="0.25">
      <c r="A54" s="2"/>
      <c r="B54" s="2"/>
      <c r="C54" s="2"/>
      <c r="D54" s="8" t="s">
        <v>3</v>
      </c>
      <c r="E54" s="31" t="str">
        <f>$AG$2</f>
        <v>800</v>
      </c>
      <c r="F54" s="31" t="s">
        <v>35</v>
      </c>
      <c r="G54" s="31" t="s">
        <v>35</v>
      </c>
      <c r="H54" s="32">
        <f>totalFlex1H_quarter1+totalFlex15M</f>
        <v>2.5</v>
      </c>
      <c r="P54" s="24"/>
      <c r="Q54" s="24"/>
      <c r="R54" s="24"/>
      <c r="S54" s="15" t="s">
        <v>64</v>
      </c>
      <c r="T54" s="19">
        <f>T$53</f>
        <v>2</v>
      </c>
      <c r="U54" s="19">
        <f>T54</f>
        <v>2</v>
      </c>
      <c r="V54" s="19"/>
      <c r="W54" s="23">
        <f>ROUND(U54, 3)</f>
        <v>2</v>
      </c>
      <c r="X54" s="23">
        <f>ROUND(T54,3)</f>
        <v>2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x14ac:dyDescent="0.25">
      <c r="A55" s="2"/>
      <c r="B55" s="2"/>
      <c r="C55" s="2"/>
      <c r="D55" s="8" t="s">
        <v>4</v>
      </c>
      <c r="E55" s="31" t="str">
        <f>$AG$2</f>
        <v>800</v>
      </c>
      <c r="F55" s="31" t="s">
        <v>35</v>
      </c>
      <c r="G55" s="31" t="s">
        <v>35</v>
      </c>
      <c r="H55" s="32">
        <f>totalFlex1H_quarter2</f>
        <v>2.5</v>
      </c>
      <c r="P55" s="24"/>
      <c r="Q55" s="24"/>
      <c r="R55" s="24"/>
      <c r="S55" s="15" t="s">
        <v>65</v>
      </c>
      <c r="T55" s="19">
        <f>T$53</f>
        <v>2</v>
      </c>
      <c r="U55" s="19">
        <f>V55+U54</f>
        <v>2</v>
      </c>
      <c r="V55" s="19">
        <f>T55-W54</f>
        <v>0</v>
      </c>
      <c r="W55" s="23">
        <f>ROUND(U55, 3)</f>
        <v>2</v>
      </c>
      <c r="X55" s="23">
        <f>ROUND(T55,3)</f>
        <v>2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25">
      <c r="A56" s="2"/>
      <c r="B56" s="2"/>
      <c r="C56" s="2"/>
      <c r="D56" s="8" t="s">
        <v>5</v>
      </c>
      <c r="E56" s="31" t="str">
        <f>$AG$2</f>
        <v>800</v>
      </c>
      <c r="F56" s="31" t="s">
        <v>35</v>
      </c>
      <c r="G56" s="31" t="s">
        <v>35</v>
      </c>
      <c r="H56" s="32">
        <f>totalFlex1H_quarter3</f>
        <v>2.5</v>
      </c>
      <c r="P56" s="24"/>
      <c r="Q56" s="24"/>
      <c r="R56" s="24"/>
      <c r="S56" s="15" t="s">
        <v>66</v>
      </c>
      <c r="T56" s="19">
        <f>T$53</f>
        <v>2</v>
      </c>
      <c r="U56" s="19">
        <f>V56+U55</f>
        <v>2</v>
      </c>
      <c r="V56" s="19">
        <f>T56-W55</f>
        <v>0</v>
      </c>
      <c r="W56" s="23">
        <f>ROUND(U56, 3)</f>
        <v>2</v>
      </c>
      <c r="X56" s="23">
        <f>ROUND(T56,3)</f>
        <v>2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25">
      <c r="A57" s="2"/>
      <c r="B57" s="2"/>
      <c r="C57" s="2"/>
      <c r="D57" s="8" t="s">
        <v>6</v>
      </c>
      <c r="E57" s="31" t="str">
        <f>$AG$2</f>
        <v>800</v>
      </c>
      <c r="F57" s="31" t="s">
        <v>35</v>
      </c>
      <c r="G57" s="31" t="s">
        <v>35</v>
      </c>
      <c r="H57" s="32">
        <f>totalFlex1H_quarter4</f>
        <v>2.5</v>
      </c>
      <c r="P57" s="24"/>
      <c r="Q57" s="24"/>
      <c r="R57" s="24"/>
      <c r="S57" s="15" t="s">
        <v>67</v>
      </c>
      <c r="T57" s="19">
        <f>T$53</f>
        <v>2</v>
      </c>
      <c r="U57" s="19">
        <f>V57+U56</f>
        <v>2</v>
      </c>
      <c r="V57" s="19">
        <f>T57-W56</f>
        <v>0</v>
      </c>
      <c r="W57" s="23">
        <f>ROUND(U57, 3)</f>
        <v>2</v>
      </c>
      <c r="X57" s="23">
        <f>ROUND(T57,3)</f>
        <v>2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ht="23.25" x14ac:dyDescent="0.35">
      <c r="A58" s="2"/>
      <c r="B58" s="2"/>
      <c r="C58" s="2"/>
      <c r="E58" s="36" t="s">
        <v>39</v>
      </c>
      <c r="F58" s="36"/>
      <c r="G58" s="36"/>
      <c r="H58" s="36"/>
      <c r="P58" s="24"/>
      <c r="Q58" s="24"/>
      <c r="R58" s="24"/>
      <c r="S58" s="24"/>
      <c r="T58" s="28">
        <f>ROUND(SUMIFS(Tabel134232[quantity],Tabel134232[type],"E20",Tabel134232[resolution],"PT1H",Tabel134232[from_ga],"800"),3)</f>
        <v>0</v>
      </c>
      <c r="U58" s="37" t="s">
        <v>51</v>
      </c>
      <c r="V58" s="38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ht="18.75" x14ac:dyDescent="0.3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34</v>
      </c>
      <c r="T59" s="9">
        <f>SUMIFS(Tabel134232[quantity],Tabel134232[type],"E20",Tabel134232[resolution],"PT1H",Tabel134232[from_ga],"800")/4</f>
        <v>0</v>
      </c>
      <c r="U59" s="7" t="s">
        <v>47</v>
      </c>
      <c r="V59" s="7" t="s">
        <v>48</v>
      </c>
      <c r="W59" s="7" t="s">
        <v>49</v>
      </c>
      <c r="X59" s="7" t="s">
        <v>50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x14ac:dyDescent="0.25">
      <c r="C60" s="2"/>
      <c r="D60" s="8" t="s">
        <v>3</v>
      </c>
      <c r="E60" s="31" t="str">
        <f>$AG$2</f>
        <v>800</v>
      </c>
      <c r="F60" s="31" t="s">
        <v>35</v>
      </c>
      <c r="G60" s="31" t="s">
        <v>35</v>
      </c>
      <c r="H60" s="32">
        <f>totalProduction1H_quarter1+totalProduction15M</f>
        <v>2.5</v>
      </c>
      <c r="P60" s="24"/>
      <c r="Q60" s="24"/>
      <c r="R60" s="24"/>
      <c r="S60" s="15" t="s">
        <v>68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x14ac:dyDescent="0.25">
      <c r="C61" s="2"/>
      <c r="D61" s="8" t="s">
        <v>4</v>
      </c>
      <c r="E61" s="31" t="str">
        <f>$AG$2</f>
        <v>800</v>
      </c>
      <c r="F61" s="31" t="s">
        <v>35</v>
      </c>
      <c r="G61" s="31" t="s">
        <v>35</v>
      </c>
      <c r="H61" s="32">
        <f>totalProduction1H_quarter2</f>
        <v>2.5</v>
      </c>
      <c r="P61" s="24"/>
      <c r="Q61" s="24"/>
      <c r="R61" s="24"/>
      <c r="S61" s="15" t="s">
        <v>69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25">
      <c r="C62" s="2"/>
      <c r="D62" s="8" t="s">
        <v>5</v>
      </c>
      <c r="E62" s="31" t="str">
        <f>$AG$2</f>
        <v>800</v>
      </c>
      <c r="F62" s="31" t="s">
        <v>35</v>
      </c>
      <c r="G62" s="31" t="s">
        <v>35</v>
      </c>
      <c r="H62" s="32">
        <f>totalProduction1H_quarter3</f>
        <v>2.5</v>
      </c>
      <c r="P62" s="24"/>
      <c r="Q62" s="24"/>
      <c r="R62" s="24"/>
      <c r="S62" s="15" t="s">
        <v>70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25">
      <c r="C63" s="2"/>
      <c r="D63" s="8" t="s">
        <v>6</v>
      </c>
      <c r="E63" s="31" t="str">
        <f>$AG$2</f>
        <v>800</v>
      </c>
      <c r="F63" s="31" t="s">
        <v>35</v>
      </c>
      <c r="G63" s="31" t="s">
        <v>35</v>
      </c>
      <c r="H63" s="32">
        <f>totalProduction1H_quarter4</f>
        <v>2.5</v>
      </c>
      <c r="P63" s="24"/>
      <c r="Q63" s="24"/>
      <c r="R63" s="24"/>
      <c r="S63" s="15" t="s">
        <v>71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ht="23.25" x14ac:dyDescent="0.35">
      <c r="C64" s="2"/>
      <c r="E64" s="36" t="s">
        <v>40</v>
      </c>
      <c r="F64" s="36"/>
      <c r="G64" s="36"/>
      <c r="H64" s="36"/>
      <c r="P64" s="24"/>
      <c r="Q64" s="24"/>
      <c r="R64" s="24"/>
      <c r="S64" s="24"/>
      <c r="T64" s="28">
        <f>ROUND(SUMIFS(Tabel134232[quantity],Tabel134232[type],"E17",Tabel134232[resolution],"PT1H"),3)</f>
        <v>20</v>
      </c>
      <c r="U64" s="37" t="s">
        <v>51</v>
      </c>
      <c r="V64" s="38"/>
      <c r="W64" s="28">
        <f>ROUND(SUM(W66:W69),3)</f>
        <v>20</v>
      </c>
      <c r="X64" s="21">
        <f>SUM(X66:X69)</f>
        <v>20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ht="18.75" x14ac:dyDescent="0.3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29</v>
      </c>
      <c r="T65" s="9">
        <f>SUMIFS(Tabel134232[quantity],Tabel134232[type],"E17",Tabel134232[resolution],"PT1H")/4</f>
        <v>5</v>
      </c>
      <c r="U65" s="7" t="s">
        <v>47</v>
      </c>
      <c r="V65" s="7" t="s">
        <v>48</v>
      </c>
      <c r="W65" s="7" t="s">
        <v>49</v>
      </c>
      <c r="X65" s="7" t="s">
        <v>50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x14ac:dyDescent="0.25">
      <c r="C66" s="2"/>
      <c r="D66" s="8" t="s">
        <v>3</v>
      </c>
      <c r="E66" s="31" t="str">
        <f>$AG$2</f>
        <v>800</v>
      </c>
      <c r="F66" s="31" t="s">
        <v>35</v>
      </c>
      <c r="G66" s="31" t="s">
        <v>35</v>
      </c>
      <c r="H66" s="32">
        <f>totalProduction1H_quarter1+totalProduction15M+netEx_quarter1-totalFlex1H_quarter1-totalFlex15M-totalNonprofiled1H_quarter1-totalNonprofiled15M</f>
        <v>2</v>
      </c>
      <c r="P66" s="24"/>
      <c r="Q66" s="24"/>
      <c r="R66" s="24"/>
      <c r="S66" s="15" t="s">
        <v>72</v>
      </c>
      <c r="T66" s="19">
        <f>T$65</f>
        <v>5</v>
      </c>
      <c r="U66" s="19">
        <f>T66</f>
        <v>5</v>
      </c>
      <c r="V66" s="19"/>
      <c r="W66" s="23">
        <f>ROUND(U66, 3)</f>
        <v>5</v>
      </c>
      <c r="X66" s="23">
        <f>ROUND(T66,3)</f>
        <v>5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x14ac:dyDescent="0.25">
      <c r="C67" s="2"/>
      <c r="D67" s="8" t="s">
        <v>4</v>
      </c>
      <c r="E67" s="31" t="str">
        <f>$AG$2</f>
        <v>800</v>
      </c>
      <c r="F67" s="31" t="s">
        <v>35</v>
      </c>
      <c r="G67" s="31" t="s">
        <v>35</v>
      </c>
      <c r="H67" s="32">
        <f>totalProduction1H_quarter2+netEx_quarter2-totalFlex1H_quarter2-totalNonprofiled1H_quarter2</f>
        <v>2</v>
      </c>
      <c r="P67" s="24"/>
      <c r="Q67" s="24"/>
      <c r="R67" s="24"/>
      <c r="S67" s="15" t="s">
        <v>73</v>
      </c>
      <c r="T67" s="19">
        <f>T$65</f>
        <v>5</v>
      </c>
      <c r="U67" s="19">
        <f>V67+U66</f>
        <v>5</v>
      </c>
      <c r="V67" s="19">
        <f>T67-W66</f>
        <v>0</v>
      </c>
      <c r="W67" s="23">
        <f>ROUND(U67, 3)</f>
        <v>5</v>
      </c>
      <c r="X67" s="23">
        <f>ROUND(T67,3)</f>
        <v>5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25">
      <c r="C68" s="2"/>
      <c r="D68" s="8" t="s">
        <v>5</v>
      </c>
      <c r="E68" s="31" t="str">
        <f>$AG$2</f>
        <v>800</v>
      </c>
      <c r="F68" s="31" t="s">
        <v>35</v>
      </c>
      <c r="G68" s="31" t="s">
        <v>35</v>
      </c>
      <c r="H68" s="32">
        <f>totalProduction1H_quarter3+netEx_quarter3-totalFlex1H_quarter3-totalNonprofiled1H_quarter3</f>
        <v>2</v>
      </c>
      <c r="P68" s="24"/>
      <c r="Q68" s="24"/>
      <c r="R68" s="24"/>
      <c r="S68" s="15" t="s">
        <v>74</v>
      </c>
      <c r="T68" s="19">
        <f>T$65</f>
        <v>5</v>
      </c>
      <c r="U68" s="19">
        <f>V68+U67</f>
        <v>5</v>
      </c>
      <c r="V68" s="19">
        <f>T68-W67</f>
        <v>0</v>
      </c>
      <c r="W68" s="23">
        <f>ROUND(U68, 3)</f>
        <v>5</v>
      </c>
      <c r="X68" s="23">
        <f>ROUND(T68,3)</f>
        <v>5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25">
      <c r="C69" s="2"/>
      <c r="D69" s="8" t="s">
        <v>6</v>
      </c>
      <c r="E69" s="31" t="str">
        <f>$AG$2</f>
        <v>800</v>
      </c>
      <c r="F69" s="31" t="s">
        <v>35</v>
      </c>
      <c r="G69" s="31" t="s">
        <v>35</v>
      </c>
      <c r="H69" s="32">
        <f>totalProduction1H_quarter4+netEx_quarter4-totalFlex1H_quarter4-totalNonprofiled1H_quarter4</f>
        <v>2</v>
      </c>
      <c r="J69" s="2"/>
      <c r="P69" s="24"/>
      <c r="Q69" s="24"/>
      <c r="R69" s="27"/>
      <c r="S69" s="15" t="s">
        <v>75</v>
      </c>
      <c r="T69" s="19">
        <f>T$65</f>
        <v>5</v>
      </c>
      <c r="U69" s="19">
        <f>V69+U68</f>
        <v>5</v>
      </c>
      <c r="V69" s="19">
        <f>T69-W68</f>
        <v>0</v>
      </c>
      <c r="W69" s="23">
        <f>ROUND(U69, 3)</f>
        <v>5</v>
      </c>
      <c r="X69" s="23">
        <f>ROUND(T69,3)</f>
        <v>5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ht="23.25" x14ac:dyDescent="0.35">
      <c r="C70" s="2"/>
      <c r="E70" s="36" t="s">
        <v>42</v>
      </c>
      <c r="F70" s="36"/>
      <c r="G70" s="36"/>
      <c r="H70" s="36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ht="18.75" x14ac:dyDescent="0.3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x14ac:dyDescent="0.25">
      <c r="C72" s="2"/>
      <c r="D72" s="15" t="s">
        <v>79</v>
      </c>
      <c r="E72" s="31" t="str">
        <f>$AG$2</f>
        <v>800</v>
      </c>
      <c r="F72" s="31" t="s">
        <v>35</v>
      </c>
      <c r="G72" s="31" t="s">
        <v>35</v>
      </c>
      <c r="H72" s="32">
        <f>IF(gridLoss1H_quarter4&gt;0,gridLoss1H_quarter4,0)</f>
        <v>2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x14ac:dyDescent="0.25">
      <c r="C73" s="2"/>
      <c r="D73" s="15" t="s">
        <v>78</v>
      </c>
      <c r="E73" s="31" t="str">
        <f>$AG$2</f>
        <v>800</v>
      </c>
      <c r="F73" s="31" t="s">
        <v>35</v>
      </c>
      <c r="G73" s="31" t="s">
        <v>35</v>
      </c>
      <c r="H73" s="32">
        <f>IF(gridLoss1H_quarter3&gt;0,gridLoss1H_quarter3,0)</f>
        <v>2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25">
      <c r="C74" s="2"/>
      <c r="D74" s="15" t="s">
        <v>77</v>
      </c>
      <c r="E74" s="31" t="str">
        <f>$AG$2</f>
        <v>800</v>
      </c>
      <c r="F74" s="31" t="s">
        <v>35</v>
      </c>
      <c r="G74" s="31" t="s">
        <v>35</v>
      </c>
      <c r="H74" s="32">
        <f>IF(gridLoss1H_quarter2&gt;0,gridLoss1H_quarter2,0)</f>
        <v>2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25">
      <c r="C75" s="2"/>
      <c r="D75" s="15" t="s">
        <v>76</v>
      </c>
      <c r="E75" s="31" t="str">
        <f>$AG$2</f>
        <v>800</v>
      </c>
      <c r="F75" s="31" t="s">
        <v>35</v>
      </c>
      <c r="G75" s="31" t="s">
        <v>35</v>
      </c>
      <c r="H75" s="32">
        <f>IF(gridLoss1H_quarter1&gt;0,gridLoss1H_quarter1,0)</f>
        <v>2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ht="23.25" x14ac:dyDescent="0.35">
      <c r="C76" s="2"/>
      <c r="E76" s="36" t="s">
        <v>43</v>
      </c>
      <c r="F76" s="36"/>
      <c r="G76" s="36"/>
      <c r="H76" s="3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ht="18.75" x14ac:dyDescent="0.3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x14ac:dyDescent="0.25">
      <c r="C78" s="2"/>
      <c r="D78" s="15" t="s">
        <v>79</v>
      </c>
      <c r="E78" s="31" t="str">
        <f>$AG$2</f>
        <v>800</v>
      </c>
      <c r="F78" s="31" t="s">
        <v>35</v>
      </c>
      <c r="G78" s="31" t="s">
        <v>35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x14ac:dyDescent="0.25">
      <c r="C79" s="2"/>
      <c r="D79" s="15" t="s">
        <v>78</v>
      </c>
      <c r="E79" s="31" t="str">
        <f>$AG$2</f>
        <v>800</v>
      </c>
      <c r="F79" s="31" t="s">
        <v>35</v>
      </c>
      <c r="G79" s="31" t="s">
        <v>35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25">
      <c r="C80" s="2"/>
      <c r="D80" s="15" t="s">
        <v>77</v>
      </c>
      <c r="E80" s="31" t="str">
        <f>$AG$2</f>
        <v>800</v>
      </c>
      <c r="F80" s="31" t="s">
        <v>35</v>
      </c>
      <c r="G80" s="31" t="s">
        <v>35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25">
      <c r="C81" s="2"/>
      <c r="D81" s="15" t="s">
        <v>76</v>
      </c>
      <c r="E81" s="31" t="str">
        <f>$AG$2</f>
        <v>800</v>
      </c>
      <c r="F81" s="31" t="s">
        <v>35</v>
      </c>
      <c r="G81" s="31" t="s">
        <v>35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ht="23.25" x14ac:dyDescent="0.35">
      <c r="C82" s="2"/>
      <c r="E82" s="36" t="s">
        <v>81</v>
      </c>
      <c r="F82" s="36"/>
      <c r="G82" s="36"/>
      <c r="H82" s="3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ht="18.75" x14ac:dyDescent="0.3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x14ac:dyDescent="0.25">
      <c r="C84" s="2"/>
      <c r="D84" s="15" t="s">
        <v>76</v>
      </c>
      <c r="E84" s="31" t="str">
        <f>$AG$2</f>
        <v>800</v>
      </c>
      <c r="F84" s="31" t="s">
        <v>35</v>
      </c>
      <c r="G84" s="31" t="s">
        <v>35</v>
      </c>
      <c r="H84" s="32" t="str">
        <f>SUBSTITUTE(totalFlex1H_quarter1+totalNonprofiled1H_quarter1+H75+totalConsumption15M,",",".")</f>
        <v>4.5</v>
      </c>
      <c r="I84" s="2"/>
      <c r="J84" s="2"/>
      <c r="S84" s="2"/>
      <c r="T84" s="44" t="s">
        <v>86</v>
      </c>
      <c r="U84" s="44"/>
      <c r="V84" s="44"/>
      <c r="W84" s="44"/>
      <c r="X84" s="44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x14ac:dyDescent="0.25">
      <c r="C85" s="2"/>
      <c r="D85" s="15" t="s">
        <v>77</v>
      </c>
      <c r="E85" s="31" t="str">
        <f>$AG$2</f>
        <v>800</v>
      </c>
      <c r="F85" s="31" t="s">
        <v>35</v>
      </c>
      <c r="G85" s="31" t="s">
        <v>35</v>
      </c>
      <c r="H85" s="32" t="str">
        <f>SUBSTITUTE(totalFlex1H_quarter2+totalNonprofiled1H_quarter2+H74,",",".")</f>
        <v>4.5</v>
      </c>
      <c r="I85" s="2"/>
      <c r="J85" s="2"/>
      <c r="K85" s="2"/>
      <c r="S85" s="2"/>
      <c r="T85" s="6" t="s">
        <v>15</v>
      </c>
      <c r="U85" s="6" t="s">
        <v>88</v>
      </c>
      <c r="V85" s="6" t="s">
        <v>47</v>
      </c>
      <c r="W85" s="6" t="s">
        <v>48</v>
      </c>
      <c r="X85" s="6" t="s">
        <v>49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25">
      <c r="C86" s="2"/>
      <c r="D86" s="15" t="s">
        <v>78</v>
      </c>
      <c r="E86" s="31" t="str">
        <f>$AG$2</f>
        <v>800</v>
      </c>
      <c r="F86" s="31" t="s">
        <v>35</v>
      </c>
      <c r="G86" s="31" t="s">
        <v>35</v>
      </c>
      <c r="H86" s="32" t="str">
        <f>SUBSTITUTE(totalFlex1H_quarter3+totalNonprofiled1H_quarter3+H73,",",".")</f>
        <v>4.5</v>
      </c>
      <c r="I86" s="2"/>
      <c r="J86" s="2"/>
      <c r="S86" s="2"/>
      <c r="T86" s="26">
        <f>SUMIFS(Tabel134232[quantity],Tabel134232[resolution],"PT15M",Tabel134232[from_ga],AG$3)-SUMIFS(Tabel134232[quantity],Tabel134232[resolution],"PT15M",Tabel134232[to_ga],AG$3)</f>
        <v>0</v>
      </c>
      <c r="U86" s="6">
        <f>(SUMIFS(Tabel134232[quantity],Tabel134232[resolution],"PT1H",Tabel134232[from_ga],AG$3)-SUMIFS(Tabel134232[quantity],Tabel134232[resolution],"PT1H",Tabel134232[to_ga],AG$3))/4</f>
        <v>2</v>
      </c>
      <c r="V86" s="16">
        <f>U86</f>
        <v>2</v>
      </c>
      <c r="W86" s="16"/>
      <c r="X86" s="16">
        <f t="shared" ref="X86:X109" si="14">ROUND(V86, 3)</f>
        <v>2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25">
      <c r="C87" s="2"/>
      <c r="D87" s="15" t="s">
        <v>79</v>
      </c>
      <c r="E87" s="31" t="str">
        <f>$AG$2</f>
        <v>800</v>
      </c>
      <c r="F87" s="34" t="s">
        <v>35</v>
      </c>
      <c r="G87" s="34" t="s">
        <v>35</v>
      </c>
      <c r="H87" s="35" t="str">
        <f>SUBSTITUTE(totalFlex1H_quarter4+totalNonprofiled1H_quarter4+H72,",",".")</f>
        <v>4.5</v>
      </c>
      <c r="I87" s="2"/>
      <c r="J87" s="2"/>
      <c r="S87" s="2"/>
      <c r="T87" s="26"/>
      <c r="U87" s="16">
        <f>U$86</f>
        <v>2</v>
      </c>
      <c r="V87" s="16">
        <f>W87+V86</f>
        <v>2</v>
      </c>
      <c r="W87" s="16">
        <f>U87-X86</f>
        <v>0</v>
      </c>
      <c r="X87" s="16">
        <f t="shared" si="14"/>
        <v>2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ht="23.25" x14ac:dyDescent="0.35">
      <c r="C88" s="2"/>
      <c r="E88" s="36" t="s">
        <v>82</v>
      </c>
      <c r="F88" s="36"/>
      <c r="G88" s="36"/>
      <c r="H88" s="36"/>
      <c r="I88" s="36"/>
      <c r="J88" s="2"/>
      <c r="S88" s="2"/>
      <c r="T88" s="26"/>
      <c r="U88" s="16">
        <f>U$86</f>
        <v>2</v>
      </c>
      <c r="V88" s="16">
        <f>W88+V87</f>
        <v>2</v>
      </c>
      <c r="W88" s="16">
        <f>U88-X87</f>
        <v>0</v>
      </c>
      <c r="X88" s="16">
        <f t="shared" si="14"/>
        <v>2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ht="18.75" x14ac:dyDescent="0.3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89</v>
      </c>
      <c r="J89" s="2"/>
      <c r="S89" s="2"/>
      <c r="T89" s="26"/>
      <c r="U89" s="16">
        <f>U$86</f>
        <v>2</v>
      </c>
      <c r="V89" s="16">
        <f>W89+V88</f>
        <v>2</v>
      </c>
      <c r="W89" s="16">
        <f>U89-X88</f>
        <v>0</v>
      </c>
      <c r="X89" s="16">
        <f t="shared" si="14"/>
        <v>2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25">
      <c r="C90" s="2"/>
      <c r="D90" s="15" t="s">
        <v>76</v>
      </c>
      <c r="E90" s="31" t="str">
        <f>IF(AND(ROW()&lt;86+(COUNTA(AG$2:AG$21)*4),ROW()&gt;89),$AG$2,"")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2</v>
      </c>
      <c r="I90" s="32" t="str" cm="1">
        <f t="array" aca="1" ref="I90" ca="1">IF(E90="","",INDIRECT("AG"&amp;ROUND((ROW()-80)*0.25,0)))</f>
        <v>801</v>
      </c>
      <c r="J90" s="2"/>
      <c r="S90" s="2"/>
      <c r="T90" s="26">
        <f>SUMIFS(Tabel134232[quantity],Tabel134232[resolution],"PT15M",Tabel134232[from_ga],AG$4)-SUMIFS(Tabel134232[quantity],Tabel134232[resolution],"PT15M",Tabel134232[to_ga],AG$4)</f>
        <v>0</v>
      </c>
      <c r="U90" s="6">
        <f>(SUMIFS(Tabel134232[quantity],Tabel134232[resolution],"PT1H",Tabel134232[from_ga],AG$4)-SUMIFS(Tabel134232[quantity],Tabel134232[resolution],"PT1H",Tabel134232[to_ga],AG$4))/4</f>
        <v>0</v>
      </c>
      <c r="V90" s="16">
        <f>U90</f>
        <v>0</v>
      </c>
      <c r="W90" s="16"/>
      <c r="X90" s="16">
        <f t="shared" si="14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25">
      <c r="C91" s="2"/>
      <c r="D91" s="15" t="s">
        <v>77</v>
      </c>
      <c r="E91" s="31" t="str">
        <f t="shared" ref="E91:E113" si="15">IF(AND(ROW()&lt;86+(COUNTA(AG$2:AG$21)*4),ROW()&gt;89),$AG$2,"")</f>
        <v>800</v>
      </c>
      <c r="F91" s="31" t="str">
        <f t="shared" ref="F91:F113" si="16">IF(E91&lt;&gt;"","null","")</f>
        <v>null</v>
      </c>
      <c r="G91" s="31" t="str">
        <f t="shared" ref="G91:G113" si="17">IF(E91&lt;&gt;"","null","")</f>
        <v>null</v>
      </c>
      <c r="H91" s="32" t="str">
        <f t="shared" ref="H91:H113" si="18">SUBSTITUTE(IF(E91="","",IF(D91="Quarter1",T87+X87,X87)),",",".")</f>
        <v>2</v>
      </c>
      <c r="I91" s="32" t="str" cm="1">
        <f t="array" aca="1" ref="I91" ca="1">IF(E91="","",INDIRECT("AG"&amp;ROUND((ROW()-80)*0.25,0)))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4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25">
      <c r="C92" s="2"/>
      <c r="D92" s="15" t="s">
        <v>78</v>
      </c>
      <c r="E92" s="31" t="str">
        <f t="shared" si="15"/>
        <v>800</v>
      </c>
      <c r="F92" s="31" t="str">
        <f t="shared" si="16"/>
        <v>null</v>
      </c>
      <c r="G92" s="31" t="str">
        <f t="shared" si="17"/>
        <v>null</v>
      </c>
      <c r="H92" s="32" t="str">
        <f t="shared" si="18"/>
        <v>2</v>
      </c>
      <c r="I92" s="32" t="str" cm="1">
        <f t="array" aca="1" ref="I92" ca="1">IF(E92="","",INDIRECT("AG"&amp;ROUND((ROW()-80)*0.25,0)))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4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25">
      <c r="C93" s="2"/>
      <c r="D93" s="15" t="s">
        <v>79</v>
      </c>
      <c r="E93" s="31" t="str">
        <f t="shared" si="15"/>
        <v>800</v>
      </c>
      <c r="F93" s="31" t="str">
        <f t="shared" si="16"/>
        <v>null</v>
      </c>
      <c r="G93" s="31" t="str">
        <f t="shared" si="17"/>
        <v>null</v>
      </c>
      <c r="H93" s="32" t="str">
        <f t="shared" si="18"/>
        <v>2</v>
      </c>
      <c r="I93" s="32" t="str" cm="1">
        <f t="array" aca="1" ref="I93" ca="1">IF(E93="","",INDIRECT("AG"&amp;ROUND((ROW()-80)*0.25,0)))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4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25">
      <c r="C94" s="2"/>
      <c r="D94" s="15" t="s">
        <v>76</v>
      </c>
      <c r="E94" s="31" t="str">
        <f t="shared" si="15"/>
        <v/>
      </c>
      <c r="F94" s="31" t="str">
        <f t="shared" si="16"/>
        <v/>
      </c>
      <c r="G94" s="31" t="str">
        <f t="shared" si="17"/>
        <v/>
      </c>
      <c r="H94" s="32" t="str">
        <f t="shared" si="18"/>
        <v/>
      </c>
      <c r="I94" s="32" t="str" cm="1">
        <f t="array" aca="1" ref="I94" ca="1">IF(E94="","",INDIRECT("AG"&amp;ROUND((ROW()-80)*0.25,0)))</f>
        <v/>
      </c>
      <c r="J94" s="2"/>
      <c r="S94" s="2"/>
      <c r="T94" s="26">
        <f>SUMIFS(Tabel134232[quantity],Tabel134232[resolution],"PT15M",Tabel134232[from_ga],AG$5)-SUMIFS(Tabel134232[quantity],Tabel134232[resolution],"PT15M",Tabel134232[to_ga],AG$5)</f>
        <v>0</v>
      </c>
      <c r="U94" s="6">
        <f>SUMIFS(Tabel134232[quantity],Tabel134232[resolution],"PT1H",Tabel134232[from_ga],AG$5)-SUMIFS(Tabel134232[quantity],Tabel134232[resolution],"PT1H",Tabel134232[to_ga],AG$5)/4</f>
        <v>0</v>
      </c>
      <c r="V94" s="16">
        <f>U94</f>
        <v>0</v>
      </c>
      <c r="W94" s="16"/>
      <c r="X94" s="16">
        <f t="shared" si="14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25">
      <c r="C95" s="2"/>
      <c r="D95" s="15" t="s">
        <v>77</v>
      </c>
      <c r="E95" s="31" t="str">
        <f t="shared" si="15"/>
        <v/>
      </c>
      <c r="F95" s="31" t="str">
        <f t="shared" si="16"/>
        <v/>
      </c>
      <c r="G95" s="31" t="str">
        <f t="shared" si="17"/>
        <v/>
      </c>
      <c r="H95" s="32" t="str">
        <f t="shared" si="18"/>
        <v/>
      </c>
      <c r="I95" s="32" t="str" cm="1">
        <f t="array" aca="1" ref="I95" ca="1">IF(E95="","",INDIRECT("AG"&amp;ROUND((ROW()-80)*0.25,0)))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4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25">
      <c r="C96" s="2"/>
      <c r="D96" s="15" t="s">
        <v>78</v>
      </c>
      <c r="E96" s="31" t="str">
        <f t="shared" si="15"/>
        <v/>
      </c>
      <c r="F96" s="31" t="str">
        <f t="shared" si="16"/>
        <v/>
      </c>
      <c r="G96" s="31" t="str">
        <f t="shared" si="17"/>
        <v/>
      </c>
      <c r="H96" s="32" t="str">
        <f t="shared" si="18"/>
        <v/>
      </c>
      <c r="I96" s="32" t="str" cm="1">
        <f t="array" aca="1" ref="I96" ca="1">IF(E96="","",INDIRECT("AG"&amp;ROUND((ROW()-80)*0.25,0)))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4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25">
      <c r="C97" s="2"/>
      <c r="D97" s="15" t="s">
        <v>79</v>
      </c>
      <c r="E97" s="31" t="str">
        <f t="shared" si="15"/>
        <v/>
      </c>
      <c r="F97" s="31" t="str">
        <f t="shared" si="16"/>
        <v/>
      </c>
      <c r="G97" s="31" t="str">
        <f t="shared" si="17"/>
        <v/>
      </c>
      <c r="H97" s="32" t="str">
        <f t="shared" si="18"/>
        <v/>
      </c>
      <c r="I97" s="32" t="str" cm="1">
        <f t="array" aca="1" ref="I97" ca="1">IF(E97="","",INDIRECT("AG"&amp;ROUND((ROW()-80)*0.25,0)))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4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25">
      <c r="C98" s="2"/>
      <c r="D98" s="15" t="s">
        <v>76</v>
      </c>
      <c r="E98" s="31" t="str">
        <f t="shared" si="15"/>
        <v/>
      </c>
      <c r="F98" s="31" t="str">
        <f t="shared" si="16"/>
        <v/>
      </c>
      <c r="G98" s="31" t="str">
        <f t="shared" si="17"/>
        <v/>
      </c>
      <c r="H98" s="32" t="str">
        <f t="shared" si="18"/>
        <v/>
      </c>
      <c r="I98" s="32" t="str" cm="1">
        <f t="array" aca="1" ref="I98" ca="1">IF(E98="","",INDIRECT("AG"&amp;ROUND((ROW()-80)*0.25,0)))</f>
        <v/>
      </c>
      <c r="J98" s="2"/>
      <c r="S98" s="2"/>
      <c r="T98" s="26">
        <f>SUMIFS(Tabel134232[quantity],Tabel134232[resolution],"PT15M",Tabel134232[from_ga],AG$6)-SUMIFS(Tabel134232[quantity],Tabel134232[resolution],"PT15M",Tabel134232[to_ga],AG$6)</f>
        <v>0</v>
      </c>
      <c r="U98" s="6">
        <f>(SUMIFS(Tabel134232[quantity],Tabel134232[resolution],"PT1H",Tabel134232[from_ga],AG$6)-SUMIFS(Tabel134232[quantity],Tabel134232[resolution],"PT1H",Tabel134232[to_ga],AG$6))/4</f>
        <v>0</v>
      </c>
      <c r="V98" s="16">
        <f>U98</f>
        <v>0</v>
      </c>
      <c r="W98" s="16"/>
      <c r="X98" s="16">
        <f t="shared" si="14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25">
      <c r="C99" s="2"/>
      <c r="D99" s="15" t="s">
        <v>77</v>
      </c>
      <c r="E99" s="31" t="str">
        <f t="shared" si="15"/>
        <v/>
      </c>
      <c r="F99" s="31" t="str">
        <f t="shared" si="16"/>
        <v/>
      </c>
      <c r="G99" s="31" t="str">
        <f t="shared" si="17"/>
        <v/>
      </c>
      <c r="H99" s="32" t="str">
        <f t="shared" si="18"/>
        <v/>
      </c>
      <c r="I99" s="32" t="str" cm="1">
        <f t="array" aca="1" ref="I99" ca="1">IF(E99="","",INDIRECT("AG"&amp;ROUND((ROW()-80)*0.25,0)))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4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25">
      <c r="C100" s="2"/>
      <c r="D100" s="15" t="s">
        <v>78</v>
      </c>
      <c r="E100" s="31" t="str">
        <f t="shared" si="15"/>
        <v/>
      </c>
      <c r="F100" s="31" t="str">
        <f t="shared" si="16"/>
        <v/>
      </c>
      <c r="G100" s="31" t="str">
        <f t="shared" si="17"/>
        <v/>
      </c>
      <c r="H100" s="32" t="str">
        <f t="shared" si="18"/>
        <v/>
      </c>
      <c r="I100" s="32" t="str" cm="1">
        <f t="array" aca="1" ref="I100" ca="1">IF(E100="","",INDIRECT("AG"&amp;ROUND((ROW()-80)*0.25,0)))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4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25">
      <c r="C101" s="2"/>
      <c r="D101" s="15" t="s">
        <v>79</v>
      </c>
      <c r="E101" s="31" t="str">
        <f t="shared" si="15"/>
        <v/>
      </c>
      <c r="F101" s="31" t="str">
        <f t="shared" si="16"/>
        <v/>
      </c>
      <c r="G101" s="31" t="str">
        <f t="shared" si="17"/>
        <v/>
      </c>
      <c r="H101" s="32" t="str">
        <f t="shared" si="18"/>
        <v/>
      </c>
      <c r="I101" s="32" t="str" cm="1">
        <f t="array" aca="1" ref="I101" ca="1">IF(E101="","",INDIRECT("AG"&amp;ROUND((ROW()-80)*0.25,0)))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4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25">
      <c r="C102" s="2"/>
      <c r="D102" s="15" t="s">
        <v>76</v>
      </c>
      <c r="E102" s="31" t="str">
        <f t="shared" si="15"/>
        <v/>
      </c>
      <c r="F102" s="31" t="str">
        <f t="shared" si="16"/>
        <v/>
      </c>
      <c r="G102" s="31" t="str">
        <f t="shared" si="17"/>
        <v/>
      </c>
      <c r="H102" s="32" t="str">
        <f t="shared" si="18"/>
        <v/>
      </c>
      <c r="I102" s="32" t="str" cm="1">
        <f t="array" aca="1" ref="I102" ca="1">IF(E102="","",INDIRECT("AG"&amp;ROUND((ROW()-80)*0.25,0)))</f>
        <v/>
      </c>
      <c r="J102" s="2"/>
      <c r="S102" s="2"/>
      <c r="T102" s="26">
        <f>SUMIFS(Tabel134232[quantity],Tabel134232[resolution],"PT15M",Tabel134232[from_ga],AG$7)-SUMIFS(Tabel134232[quantity],Tabel134232[resolution],"PT15M",Tabel134232[to_ga],AG$7)</f>
        <v>0</v>
      </c>
      <c r="U102" s="6">
        <f>(SUMIFS(Tabel134232[quantity],Tabel134232[resolution],"PT1H",Tabel134232[from_ga],AG$7)-SUMIFS(Tabel134232[quantity],Tabel134232[resolution],"PT1H",Tabel134232[to_ga],AG$7))/4</f>
        <v>0</v>
      </c>
      <c r="V102" s="16">
        <f>U102</f>
        <v>0</v>
      </c>
      <c r="W102" s="16"/>
      <c r="X102" s="16">
        <f t="shared" si="14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25">
      <c r="C103" s="2"/>
      <c r="D103" s="15" t="s">
        <v>77</v>
      </c>
      <c r="E103" s="31" t="str">
        <f t="shared" si="15"/>
        <v/>
      </c>
      <c r="F103" s="31" t="str">
        <f t="shared" si="16"/>
        <v/>
      </c>
      <c r="G103" s="31" t="str">
        <f t="shared" si="17"/>
        <v/>
      </c>
      <c r="H103" s="32" t="str">
        <f t="shared" si="18"/>
        <v/>
      </c>
      <c r="I103" s="32" t="str" cm="1">
        <f t="array" aca="1" ref="I103" ca="1">IF(E103="","",INDIRECT("AG"&amp;ROUND((ROW()-80)*0.25,0)))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4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25">
      <c r="C104" s="2"/>
      <c r="D104" s="15" t="s">
        <v>78</v>
      </c>
      <c r="E104" s="31" t="str">
        <f t="shared" si="15"/>
        <v/>
      </c>
      <c r="F104" s="31" t="str">
        <f t="shared" si="16"/>
        <v/>
      </c>
      <c r="G104" s="31" t="str">
        <f t="shared" si="17"/>
        <v/>
      </c>
      <c r="H104" s="32" t="str">
        <f t="shared" si="18"/>
        <v/>
      </c>
      <c r="I104" s="32" t="str" cm="1">
        <f t="array" aca="1" ref="I104" ca="1">IF(E104="","",INDIRECT("AG"&amp;ROUND((ROW()-80)*0.25,0)))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4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25">
      <c r="C105" s="2"/>
      <c r="D105" s="15" t="s">
        <v>79</v>
      </c>
      <c r="E105" s="31" t="str">
        <f t="shared" si="15"/>
        <v/>
      </c>
      <c r="F105" s="31" t="str">
        <f t="shared" si="16"/>
        <v/>
      </c>
      <c r="G105" s="31" t="str">
        <f t="shared" si="17"/>
        <v/>
      </c>
      <c r="H105" s="32" t="str">
        <f t="shared" si="18"/>
        <v/>
      </c>
      <c r="I105" s="32" t="str" cm="1">
        <f t="array" aca="1" ref="I105" ca="1">IF(E105="","",INDIRECT("AG"&amp;ROUND((ROW()-80)*0.25,0)))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4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25">
      <c r="C106" s="2"/>
      <c r="D106" s="15" t="s">
        <v>76</v>
      </c>
      <c r="E106" s="31" t="str">
        <f t="shared" si="15"/>
        <v/>
      </c>
      <c r="F106" s="31" t="str">
        <f t="shared" si="16"/>
        <v/>
      </c>
      <c r="G106" s="31" t="str">
        <f t="shared" si="17"/>
        <v/>
      </c>
      <c r="H106" s="32" t="str">
        <f t="shared" si="18"/>
        <v/>
      </c>
      <c r="I106" s="32" t="str" cm="1">
        <f t="array" aca="1" ref="I106" ca="1">IF(E106="","",INDIRECT("AG"&amp;ROUND((ROW()-80)*0.25,0)))</f>
        <v/>
      </c>
      <c r="J106" s="2"/>
      <c r="S106" s="2"/>
      <c r="T106" s="26"/>
      <c r="U106" s="6">
        <f>(SUMIFS(Tabel134232[quantity],Tabel134232[resolution],"PT1H",Tabel134232[from_ga],AG$8)-SUMIFS(Tabel134232[quantity],Tabel134232[resolution],"PT1H",Tabel134232[to_ga],AG$8))/4</f>
        <v>0</v>
      </c>
      <c r="V106" s="16">
        <f>U106</f>
        <v>0</v>
      </c>
      <c r="W106" s="16"/>
      <c r="X106" s="16">
        <f t="shared" si="14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25">
      <c r="C107" s="2"/>
      <c r="D107" s="15" t="s">
        <v>77</v>
      </c>
      <c r="E107" s="31" t="str">
        <f t="shared" si="15"/>
        <v/>
      </c>
      <c r="F107" s="31" t="str">
        <f t="shared" si="16"/>
        <v/>
      </c>
      <c r="G107" s="31" t="str">
        <f t="shared" si="17"/>
        <v/>
      </c>
      <c r="H107" s="32" t="str">
        <f t="shared" si="18"/>
        <v/>
      </c>
      <c r="I107" s="32" t="str" cm="1">
        <f t="array" aca="1" ref="I107" ca="1">IF(E107="","",INDIRECT("AG"&amp;ROUND((ROW()-80)*0.25,0)))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4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25">
      <c r="C108" s="2"/>
      <c r="D108" s="15" t="s">
        <v>78</v>
      </c>
      <c r="E108" s="31" t="str">
        <f t="shared" si="15"/>
        <v/>
      </c>
      <c r="F108" s="31" t="str">
        <f t="shared" si="16"/>
        <v/>
      </c>
      <c r="G108" s="31" t="str">
        <f t="shared" si="17"/>
        <v/>
      </c>
      <c r="H108" s="32" t="str">
        <f t="shared" si="18"/>
        <v/>
      </c>
      <c r="I108" s="32" t="str" cm="1">
        <f t="array" aca="1" ref="I108" ca="1">IF(E108="","",INDIRECT("AG"&amp;ROUND((ROW()-80)*0.25,0)))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4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25">
      <c r="C109" s="2"/>
      <c r="D109" s="15" t="s">
        <v>79</v>
      </c>
      <c r="E109" s="31" t="str">
        <f t="shared" si="15"/>
        <v/>
      </c>
      <c r="F109" s="31" t="str">
        <f t="shared" si="16"/>
        <v/>
      </c>
      <c r="G109" s="31" t="str">
        <f t="shared" si="17"/>
        <v/>
      </c>
      <c r="H109" s="32" t="str">
        <f t="shared" si="18"/>
        <v/>
      </c>
      <c r="I109" s="32" t="str" cm="1">
        <f t="array" aca="1" ref="I109" ca="1">IF(E109="","",INDIRECT("AG"&amp;ROUND((ROW()-80)*0.25,0)))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4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25">
      <c r="C110" s="2"/>
      <c r="D110" s="15" t="s">
        <v>76</v>
      </c>
      <c r="E110" s="31" t="str">
        <f t="shared" si="15"/>
        <v/>
      </c>
      <c r="F110" s="31" t="str">
        <f t="shared" si="16"/>
        <v/>
      </c>
      <c r="G110" s="31" t="str">
        <f t="shared" si="17"/>
        <v/>
      </c>
      <c r="H110" s="32" t="str">
        <f t="shared" si="18"/>
        <v/>
      </c>
      <c r="I110" s="32" t="str" cm="1">
        <f t="array" aca="1" ref="I110" ca="1">IF(E110="","",INDIRECT("AG"&amp;ROUND((ROW()-80)*0.25,0)))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25">
      <c r="C111" s="2"/>
      <c r="D111" s="15" t="s">
        <v>77</v>
      </c>
      <c r="E111" s="31" t="str">
        <f t="shared" si="15"/>
        <v/>
      </c>
      <c r="F111" s="31" t="str">
        <f t="shared" si="16"/>
        <v/>
      </c>
      <c r="G111" s="31" t="str">
        <f t="shared" si="17"/>
        <v/>
      </c>
      <c r="H111" s="32" t="str">
        <f t="shared" si="18"/>
        <v/>
      </c>
      <c r="I111" s="32" t="str" cm="1">
        <f t="array" aca="1" ref="I111" ca="1">IF(E111="","",INDIRECT("AG"&amp;ROUND((ROW()-80)*0.25,0)))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25">
      <c r="C112" s="2"/>
      <c r="D112" s="15" t="s">
        <v>78</v>
      </c>
      <c r="E112" s="31" t="str">
        <f t="shared" si="15"/>
        <v/>
      </c>
      <c r="F112" s="31" t="str">
        <f t="shared" si="16"/>
        <v/>
      </c>
      <c r="G112" s="31" t="str">
        <f t="shared" si="17"/>
        <v/>
      </c>
      <c r="H112" s="32" t="str">
        <f t="shared" si="18"/>
        <v/>
      </c>
      <c r="I112" s="32" t="str" cm="1">
        <f t="array" aca="1" ref="I112" ca="1">IF(E112="","",INDIRECT("AG"&amp;ROUND((ROW()-80)*0.25,0)))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25">
      <c r="C113" s="2"/>
      <c r="D113" s="15" t="s">
        <v>79</v>
      </c>
      <c r="E113" s="31" t="str">
        <f t="shared" si="15"/>
        <v/>
      </c>
      <c r="F113" s="31" t="str">
        <f t="shared" si="16"/>
        <v/>
      </c>
      <c r="G113" s="31" t="str">
        <f t="shared" si="17"/>
        <v/>
      </c>
      <c r="H113" s="32" t="str">
        <f t="shared" si="18"/>
        <v/>
      </c>
      <c r="I113" s="32" t="str" cm="1">
        <f t="array" aca="1" ref="I113" ca="1">IF(E113="","",INDIRECT("AG"&amp;ROUND((ROW()-80)*0.25,0)))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0">
    <mergeCell ref="T84:X84"/>
    <mergeCell ref="U64:V64"/>
    <mergeCell ref="E20:H20"/>
    <mergeCell ref="I20:K20"/>
    <mergeCell ref="U34:V34"/>
    <mergeCell ref="U40:V40"/>
    <mergeCell ref="E46:H46"/>
    <mergeCell ref="U46:V46"/>
    <mergeCell ref="U52:V52"/>
    <mergeCell ref="U58:V58"/>
  </mergeCells>
  <phoneticPr fontId="2" type="noConversion"/>
  <conditionalFormatting sqref="T34 W34">
    <cfRule type="expression" dxfId="5" priority="6">
      <formula>$T$34=$W$34</formula>
    </cfRule>
  </conditionalFormatting>
  <conditionalFormatting sqref="T40 W40">
    <cfRule type="expression" dxfId="4" priority="5">
      <formula>$T$40=$W$40</formula>
    </cfRule>
  </conditionalFormatting>
  <conditionalFormatting sqref="T46 W46">
    <cfRule type="expression" dxfId="3" priority="4">
      <formula>$T$46=$W$46</formula>
    </cfRule>
  </conditionalFormatting>
  <conditionalFormatting sqref="T52 W52">
    <cfRule type="expression" dxfId="2" priority="3">
      <formula>$T$52=$W$52</formula>
    </cfRule>
  </conditionalFormatting>
  <conditionalFormatting sqref="T58 W58">
    <cfRule type="expression" dxfId="1" priority="2">
      <formula>$T$58=$W$58</formula>
    </cfRule>
  </conditionalFormatting>
  <conditionalFormatting sqref="T64 W64">
    <cfRule type="expression" dxfId="0" priority="1">
      <formula>$T$64=$W$64</formula>
    </cfRule>
  </conditionalFormatting>
  <dataValidations count="2">
    <dataValidation type="list" allowBlank="1" showInputMessage="1" showErrorMessage="1" sqref="B2" xr:uid="{5D68D740-8E43-4088-9D84-DE092337F196}">
      <formula1>"flex_consumption,nonprofiled_consumption,production"</formula1>
    </dataValidation>
    <dataValidation type="list" allowBlank="1" showInputMessage="1" showErrorMessage="1" sqref="B1" xr:uid="{B4DBE740-73A7-40B4-8266-7AF11A014455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Day1</vt:lpstr>
      <vt:lpstr>'Day1'!gridLoss15M</vt:lpstr>
      <vt:lpstr>'Day1'!gridLoss1H_quarter1</vt:lpstr>
      <vt:lpstr>'Day1'!gridLoss1H_quarter2</vt:lpstr>
      <vt:lpstr>'Day1'!gridLoss1H_quarter3</vt:lpstr>
      <vt:lpstr>'Day1'!gridLoss1H_quarter4</vt:lpstr>
      <vt:lpstr>'Day1'!netEx_quarter1</vt:lpstr>
      <vt:lpstr>'Day1'!netEx_quarter2</vt:lpstr>
      <vt:lpstr>'Day1'!netEx_quarter3</vt:lpstr>
      <vt:lpstr>'Day1'!netEx_quarter4</vt:lpstr>
      <vt:lpstr>'Day1'!powerIn15M</vt:lpstr>
      <vt:lpstr>'Day1'!powerIn1H_quarter</vt:lpstr>
      <vt:lpstr>'Day1'!powerIn1H_quarter1</vt:lpstr>
      <vt:lpstr>'Day1'!powerIn1H_quarter2</vt:lpstr>
      <vt:lpstr>'Day1'!powerIn1H_quarter3</vt:lpstr>
      <vt:lpstr>'Day1'!powerIn1H_quarter4</vt:lpstr>
      <vt:lpstr>'Day1'!powerOut15M</vt:lpstr>
      <vt:lpstr>'Day1'!powerOut1H_quarter</vt:lpstr>
      <vt:lpstr>'Day1'!powerOut1H_quarter1</vt:lpstr>
      <vt:lpstr>'Day1'!powerOut1H_quarter2</vt:lpstr>
      <vt:lpstr>'Day1'!powerOut1H_quarter3</vt:lpstr>
      <vt:lpstr>'Day1'!powerOut1H_quarter4</vt:lpstr>
      <vt:lpstr>'Day1'!totalConsumption_quarter1</vt:lpstr>
      <vt:lpstr>'Day1'!totalConsumption_quarter2</vt:lpstr>
      <vt:lpstr>'Day1'!totalConsumption_quarter3</vt:lpstr>
      <vt:lpstr>'Day1'!totalConsumption_quarter4</vt:lpstr>
      <vt:lpstr>'Day1'!totalConsumption15M</vt:lpstr>
      <vt:lpstr>'Day1'!totalConsumption1H_quarter</vt:lpstr>
      <vt:lpstr>'Day1'!totalFlex15M</vt:lpstr>
      <vt:lpstr>'Day1'!totalFlex1H_quarter</vt:lpstr>
      <vt:lpstr>'Day1'!totalFlex1H_quarter1</vt:lpstr>
      <vt:lpstr>'Day1'!totalFlex1H_quarter2</vt:lpstr>
      <vt:lpstr>'Day1'!totalFlex1H_quarter3</vt:lpstr>
      <vt:lpstr>'Day1'!totalFlex1H_quarter4</vt:lpstr>
      <vt:lpstr>'Day1'!totalNonprofiled15M</vt:lpstr>
      <vt:lpstr>'Day1'!totalNonprofiled1H_quarter</vt:lpstr>
      <vt:lpstr>'Day1'!totalNonprofiled1H_quarter1</vt:lpstr>
      <vt:lpstr>'Day1'!totalNonprofiled1H_quarter2</vt:lpstr>
      <vt:lpstr>'Day1'!totalNonprofiled1H_quarter3</vt:lpstr>
      <vt:lpstr>'Day1'!totalNonprofiled1H_quarter4</vt:lpstr>
      <vt:lpstr>'Day1'!totalProduction15M</vt:lpstr>
      <vt:lpstr>'Day1'!totalProduction1H_quarter</vt:lpstr>
      <vt:lpstr>'Day1'!totalProduction1H_quarter1</vt:lpstr>
      <vt:lpstr>'Day1'!totalProduction1H_quarter2</vt:lpstr>
      <vt:lpstr>'Day1'!totalProduction1H_quarter3</vt:lpstr>
      <vt:lpstr>'Day1'!totalProduction1H_quarter4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2024-05-01T13:38:55Z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