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energy_calculation\given_template_tester\"/>
    </mc:Choice>
  </mc:AlternateContent>
  <xr:revisionPtr revIDLastSave="0" documentId="13_ncr:1_{76055099-BF13-42D6-BD21-0C6528877801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  <sheet name="time_series_points" sheetId="14" r:id="rId2"/>
    <sheet name="metering_point_periods" sheetId="13" r:id="rId3"/>
    <sheet name="grid_loss_metering_points" sheetId="15" r:id="rId4"/>
  </sheets>
  <definedNames>
    <definedName name="CurrentFilePath">Hour1!$AN$1</definedName>
    <definedName name="ExternalData_1" localSheetId="3" hidden="1">grid_loss_metering_points!$A$1:$A$3</definedName>
    <definedName name="ExternalData_1" localSheetId="2" hidden="1">metering_point_periods!$A$1:$M$18</definedName>
    <definedName name="ExternalData_1" localSheetId="1" hidden="1">time_series_points!$A$1:$D$27</definedName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1" l="1"/>
  <c r="B22" i="11" s="1"/>
  <c r="G22" i="11"/>
  <c r="C22" i="11" s="1"/>
  <c r="I33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AH3" i="11" a="1"/>
  <c r="AH3" i="11" s="1"/>
  <c r="AK28" i="11" a="1"/>
  <c r="AK28" i="11" s="1"/>
  <c r="AJ28" i="11" a="1"/>
  <c r="AJ28" i="11" s="1"/>
  <c r="AI28" i="11" a="1"/>
  <c r="AI28" i="11" s="1"/>
  <c r="AI3" i="11" a="1"/>
  <c r="AI3" i="11" s="1"/>
  <c r="AQ5" i="11" a="1"/>
  <c r="AQ5" i="11" s="1"/>
  <c r="AN5" i="11" a="1"/>
  <c r="AN5" i="11" s="1"/>
  <c r="C2" i="11"/>
  <c r="F2" i="11" s="1" a="1"/>
  <c r="F2" i="11" s="1"/>
  <c r="C3" i="11"/>
  <c r="H3" i="11" s="1" a="1"/>
  <c r="H3" i="11" s="1"/>
  <c r="C4" i="11"/>
  <c r="I4" i="11" s="1" a="1"/>
  <c r="I4" i="11" s="1"/>
  <c r="C5" i="11"/>
  <c r="G5" i="11" s="1" a="1"/>
  <c r="G5" i="11" s="1"/>
  <c r="C6" i="11"/>
  <c r="H6" i="11" s="1" a="1"/>
  <c r="H6" i="11" s="1"/>
  <c r="C7" i="11"/>
  <c r="F7" i="11" s="1" a="1"/>
  <c r="F7" i="11" s="1"/>
  <c r="C8" i="11"/>
  <c r="H8" i="11" s="1" a="1"/>
  <c r="H8" i="11" s="1"/>
  <c r="C9" i="11"/>
  <c r="F9" i="11" s="1" a="1"/>
  <c r="F9" i="11" s="1"/>
  <c r="C10" i="11"/>
  <c r="F10" i="11" s="1" a="1"/>
  <c r="F10" i="11" s="1"/>
  <c r="C11" i="11"/>
  <c r="G11" i="11" s="1" a="1"/>
  <c r="G11" i="11" s="1"/>
  <c r="C12" i="11"/>
  <c r="F12" i="11" s="1" a="1"/>
  <c r="F12" i="11" s="1"/>
  <c r="C13" i="11"/>
  <c r="F13" i="11" s="1" a="1"/>
  <c r="F13" i="11" s="1"/>
  <c r="C14" i="11"/>
  <c r="F14" i="11" s="1" a="1"/>
  <c r="F14" i="11" s="1"/>
  <c r="C15" i="11"/>
  <c r="G15" i="11" s="1" a="1"/>
  <c r="G15" i="11" s="1"/>
  <c r="C16" i="11"/>
  <c r="F16" i="11" s="1" a="1"/>
  <c r="F16" i="11" s="1"/>
  <c r="C17" i="11"/>
  <c r="F17" i="11" s="1" a="1"/>
  <c r="F17" i="11" s="1"/>
  <c r="C18" i="11"/>
  <c r="F18" i="11" s="1" a="1"/>
  <c r="F18" i="11" s="1"/>
  <c r="C19" i="11"/>
  <c r="F19" i="11" s="1" a="1"/>
  <c r="F19" i="11" s="1"/>
  <c r="AN1" i="11" a="1"/>
  <c r="AN1" i="11" s="1"/>
  <c r="AE27" i="11"/>
  <c r="AF27" i="11"/>
  <c r="F15" i="11" l="1" a="1"/>
  <c r="F15" i="11" s="1"/>
  <c r="F4" i="11" a="1"/>
  <c r="F4" i="11" s="1"/>
  <c r="F3" i="11" a="1"/>
  <c r="F3" i="11" s="1"/>
  <c r="G17" i="11" a="1"/>
  <c r="G17" i="11" s="1"/>
  <c r="G13" i="11" a="1"/>
  <c r="G13" i="11" s="1"/>
  <c r="G12" i="11" a="1"/>
  <c r="G12" i="11" s="1"/>
  <c r="G4" i="11" a="1"/>
  <c r="G4" i="11" s="1"/>
  <c r="G3" i="11" a="1"/>
  <c r="G3" i="11" s="1"/>
  <c r="G2" i="11" a="1"/>
  <c r="G2" i="11" s="1"/>
  <c r="H2" i="11" a="1"/>
  <c r="H2" i="11" s="1"/>
  <c r="I19" i="11" a="1"/>
  <c r="I19" i="11" s="1"/>
  <c r="I3" i="11" a="1"/>
  <c r="I3" i="11" s="1"/>
  <c r="I2" i="11" a="1"/>
  <c r="I2" i="11" s="1"/>
  <c r="G9" i="11" a="1"/>
  <c r="G9" i="11" s="1"/>
  <c r="G8" i="11" a="1"/>
  <c r="G8" i="11" s="1"/>
  <c r="G6" i="11" a="1"/>
  <c r="G6" i="11" s="1"/>
  <c r="H16" i="11" a="1"/>
  <c r="H16" i="11" s="1"/>
  <c r="H15" i="11" a="1"/>
  <c r="H15" i="11" s="1"/>
  <c r="H11" i="11" a="1"/>
  <c r="H11" i="11" s="1"/>
  <c r="H4" i="11" a="1"/>
  <c r="H4" i="11" s="1"/>
  <c r="F11" i="11" a="1"/>
  <c r="F11" i="11" s="1"/>
  <c r="F8" i="11" a="1"/>
  <c r="F8" i="11" s="1"/>
  <c r="I18" i="11" a="1"/>
  <c r="I18" i="11" s="1"/>
  <c r="F6" i="11" a="1"/>
  <c r="F6" i="11" s="1"/>
  <c r="I15" i="11" a="1"/>
  <c r="I15" i="11" s="1"/>
  <c r="I9" i="11" a="1"/>
  <c r="I9" i="11" s="1"/>
  <c r="G18" i="11" a="1"/>
  <c r="G18" i="11" s="1"/>
  <c r="F5" i="11" a="1"/>
  <c r="F5" i="11" s="1"/>
  <c r="H18" i="11" a="1"/>
  <c r="H18" i="11" s="1"/>
  <c r="J18" i="11" s="1"/>
  <c r="I17" i="11" a="1"/>
  <c r="I17" i="11" s="1"/>
  <c r="H19" i="11" a="1"/>
  <c r="H19" i="11" s="1"/>
  <c r="G19" i="11" a="1"/>
  <c r="G19" i="11" s="1"/>
  <c r="H17" i="11" a="1"/>
  <c r="H17" i="11" s="1"/>
  <c r="J17" i="11" s="1"/>
  <c r="I16" i="11" a="1"/>
  <c r="I16" i="11" s="1"/>
  <c r="G16" i="11" a="1"/>
  <c r="G16" i="11" s="1"/>
  <c r="H14" i="11" a="1"/>
  <c r="H14" i="11" s="1"/>
  <c r="I13" i="11" a="1"/>
  <c r="I13" i="11" s="1"/>
  <c r="H13" i="11" a="1"/>
  <c r="H13" i="11" s="1"/>
  <c r="I12" i="11" a="1"/>
  <c r="I12" i="11" s="1"/>
  <c r="I14" i="11" a="1"/>
  <c r="I14" i="11" s="1"/>
  <c r="G14" i="11" a="1"/>
  <c r="G14" i="11" s="1"/>
  <c r="H12" i="11" a="1"/>
  <c r="H12" i="11" s="1"/>
  <c r="I11" i="11" a="1"/>
  <c r="I11" i="11" s="1"/>
  <c r="I10" i="11" a="1"/>
  <c r="I10" i="11" s="1"/>
  <c r="H9" i="11" a="1"/>
  <c r="H9" i="11" s="1"/>
  <c r="I8" i="11" a="1"/>
  <c r="I8" i="11" s="1"/>
  <c r="H10" i="11" a="1"/>
  <c r="H10" i="11" s="1"/>
  <c r="G10" i="11" a="1"/>
  <c r="G10" i="11" s="1"/>
  <c r="I7" i="11" a="1"/>
  <c r="I7" i="11" s="1"/>
  <c r="I6" i="11" a="1"/>
  <c r="I6" i="11" s="1"/>
  <c r="H7" i="11" a="1"/>
  <c r="H7" i="11" s="1"/>
  <c r="I5" i="11" a="1"/>
  <c r="I5" i="11" s="1"/>
  <c r="G7" i="11" a="1"/>
  <c r="G7" i="11" s="1"/>
  <c r="H5" i="11" a="1"/>
  <c r="H5" i="11" s="1"/>
  <c r="O10" i="11"/>
  <c r="D10" i="11"/>
  <c r="N10" i="11"/>
  <c r="L18" i="11"/>
  <c r="E18" i="11"/>
  <c r="D18" i="11"/>
  <c r="Q18" i="11"/>
  <c r="P18" i="11"/>
  <c r="N18" i="11"/>
  <c r="N8" i="11"/>
  <c r="D8" i="11"/>
  <c r="O8" i="11"/>
  <c r="Q8" i="11"/>
  <c r="P8" i="11"/>
  <c r="E8" i="11"/>
  <c r="Q10" i="11"/>
  <c r="K18" i="11"/>
  <c r="K10" i="11"/>
  <c r="L8" i="11"/>
  <c r="M18" i="11"/>
  <c r="M10" i="11"/>
  <c r="P10" i="11"/>
  <c r="L4" i="11"/>
  <c r="M4" i="11"/>
  <c r="P4" i="11"/>
  <c r="D4" i="11"/>
  <c r="K4" i="11"/>
  <c r="Q4" i="11"/>
  <c r="O4" i="11"/>
  <c r="N4" i="11"/>
  <c r="E4" i="11"/>
  <c r="M3" i="11"/>
  <c r="Q3" i="11"/>
  <c r="P3" i="11"/>
  <c r="D3" i="11"/>
  <c r="N3" i="11" s="1"/>
  <c r="K3" i="11"/>
  <c r="L3" i="11"/>
  <c r="E3" i="11"/>
  <c r="O3" i="11"/>
  <c r="Q19" i="11"/>
  <c r="P19" i="11"/>
  <c r="O19" i="11"/>
  <c r="D19" i="11"/>
  <c r="M19" i="11"/>
  <c r="N19" i="11"/>
  <c r="K19" i="11"/>
  <c r="E19" i="11"/>
  <c r="L19" i="11"/>
  <c r="O17" i="11"/>
  <c r="E17" i="11"/>
  <c r="N17" i="11"/>
  <c r="L17" i="11"/>
  <c r="Q17" i="11"/>
  <c r="M17" i="11"/>
  <c r="D17" i="11"/>
  <c r="K17" i="11"/>
  <c r="P17" i="11"/>
  <c r="P16" i="11"/>
  <c r="O16" i="11"/>
  <c r="Q16" i="11"/>
  <c r="K16" i="11"/>
  <c r="N16" i="11"/>
  <c r="L16" i="11"/>
  <c r="M16" i="11"/>
  <c r="E16" i="11"/>
  <c r="D16" i="11"/>
  <c r="N15" i="11"/>
  <c r="D15" i="11"/>
  <c r="O15" i="11"/>
  <c r="K15" i="11"/>
  <c r="E15" i="11"/>
  <c r="L15" i="11"/>
  <c r="M15" i="11"/>
  <c r="P15" i="11"/>
  <c r="Q15" i="11"/>
  <c r="P14" i="11"/>
  <c r="N14" i="11"/>
  <c r="D14" i="11"/>
  <c r="M14" i="11"/>
  <c r="K14" i="11"/>
  <c r="Q14" i="11"/>
  <c r="O14" i="11"/>
  <c r="E14" i="11"/>
  <c r="L14" i="11"/>
  <c r="D13" i="11"/>
  <c r="O13" i="11"/>
  <c r="N13" i="11"/>
  <c r="E13" i="11"/>
  <c r="P13" i="11"/>
  <c r="Q13" i="11"/>
  <c r="K13" i="11"/>
  <c r="L13" i="11"/>
  <c r="M13" i="11"/>
  <c r="D11" i="11"/>
  <c r="K11" i="11"/>
  <c r="E11" i="11"/>
  <c r="M11" i="11"/>
  <c r="Q11" i="11"/>
  <c r="L11" i="11"/>
  <c r="P11" i="11"/>
  <c r="O11" i="11"/>
  <c r="N11" i="11"/>
  <c r="D6" i="11"/>
  <c r="K6" i="11"/>
  <c r="M6" i="11"/>
  <c r="L6" i="11"/>
  <c r="O6" i="11"/>
  <c r="N6" i="11"/>
  <c r="E6" i="11"/>
  <c r="P6" i="11"/>
  <c r="Q6" i="11"/>
  <c r="K5" i="11"/>
  <c r="L5" i="11"/>
  <c r="M5" i="11"/>
  <c r="P5" i="11"/>
  <c r="Q5" i="11"/>
  <c r="O5" i="11"/>
  <c r="N5" i="11"/>
  <c r="D5" i="11"/>
  <c r="E5" i="11"/>
  <c r="M2" i="11"/>
  <c r="P2" i="11"/>
  <c r="Q2" i="11"/>
  <c r="L2" i="11"/>
  <c r="D2" i="11"/>
  <c r="N2" i="11" s="1"/>
  <c r="O2" i="11"/>
  <c r="K2" i="11"/>
  <c r="E2" i="11"/>
  <c r="E12" i="11"/>
  <c r="M12" i="11"/>
  <c r="D12" i="11"/>
  <c r="P12" i="11"/>
  <c r="L12" i="11"/>
  <c r="K12" i="11"/>
  <c r="O12" i="11"/>
  <c r="Q12" i="11"/>
  <c r="N12" i="11"/>
  <c r="E9" i="11"/>
  <c r="K9" i="11"/>
  <c r="P9" i="11"/>
  <c r="O9" i="11"/>
  <c r="D9" i="11"/>
  <c r="L9" i="11"/>
  <c r="M9" i="11"/>
  <c r="Q9" i="11"/>
  <c r="N9" i="11"/>
  <c r="K7" i="11"/>
  <c r="M7" i="11"/>
  <c r="Q7" i="11"/>
  <c r="L7" i="11"/>
  <c r="E7" i="11"/>
  <c r="D7" i="11"/>
  <c r="N7" i="11"/>
  <c r="P7" i="11"/>
  <c r="O7" i="11"/>
  <c r="L10" i="11"/>
  <c r="M8" i="11"/>
  <c r="E10" i="11"/>
  <c r="K8" i="11"/>
  <c r="O18" i="11"/>
  <c r="J19" i="11"/>
  <c r="J2" i="11" l="1"/>
  <c r="J3" i="11"/>
  <c r="J4" i="11"/>
  <c r="J15" i="11"/>
  <c r="J7" i="11"/>
  <c r="V59" i="11" s="1"/>
  <c r="J14" i="11"/>
  <c r="J10" i="11"/>
  <c r="J13" i="11"/>
  <c r="J5" i="11"/>
  <c r="J9" i="11"/>
  <c r="J12" i="11"/>
  <c r="J8" i="11"/>
  <c r="J11" i="11"/>
  <c r="J6" i="11"/>
  <c r="J16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V42" i="11" l="1"/>
  <c r="V45" i="11" s="1"/>
  <c r="Z45" i="11" s="1"/>
  <c r="V47" i="11"/>
  <c r="V60" i="11"/>
  <c r="V64" i="11" s="1"/>
  <c r="V35" i="1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T29" i="11"/>
  <c r="S29" i="11"/>
  <c r="T26" i="11"/>
  <c r="U27" i="11"/>
  <c r="U32" i="11"/>
  <c r="V43" i="11" l="1"/>
  <c r="W43" i="11" s="1"/>
  <c r="Y43" i="11" s="1"/>
  <c r="H60" i="11" s="1"/>
  <c r="I60" i="11" s="1"/>
  <c r="V63" i="11"/>
  <c r="Z63" i="11" s="1"/>
  <c r="V44" i="11"/>
  <c r="Z44" i="11" s="1"/>
  <c r="V62" i="11"/>
  <c r="Z62" i="11" s="1"/>
  <c r="V46" i="11"/>
  <c r="Z46" i="11" s="1"/>
  <c r="V61" i="11"/>
  <c r="W61" i="11" s="1"/>
  <c r="Y61" i="11" s="1"/>
  <c r="AJ3" i="11" a="1"/>
  <c r="V57" i="11"/>
  <c r="Z57" i="11" s="1"/>
  <c r="V55" i="11"/>
  <c r="V58" i="11"/>
  <c r="Z58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T33" i="11"/>
  <c r="S33" i="11"/>
  <c r="S22" i="11"/>
  <c r="U25" i="11"/>
  <c r="U24" i="11"/>
  <c r="U23" i="11"/>
  <c r="T22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T27" i="11"/>
  <c r="S27" i="11"/>
  <c r="V86" i="11" a="1"/>
  <c r="V102" i="11" a="1"/>
  <c r="V108" i="11" a="1"/>
  <c r="V103" i="11" a="1"/>
  <c r="V100" i="11" a="1"/>
  <c r="V109" i="11" a="1"/>
  <c r="V105" i="11" a="1"/>
  <c r="V107" i="11" a="1"/>
  <c r="V98" i="11" a="1"/>
  <c r="V101" i="11" a="1"/>
  <c r="V106" i="11" a="1"/>
  <c r="V104" i="11" a="1"/>
  <c r="V99" i="11" a="1"/>
  <c r="V86" i="11" l="1"/>
  <c r="Z43" i="11"/>
  <c r="Z41" i="11" s="1"/>
  <c r="Z61" i="11"/>
  <c r="Z59" i="11" s="1"/>
  <c r="X44" i="11"/>
  <c r="W44" i="11" s="1"/>
  <c r="Y44" i="11" s="1"/>
  <c r="X45" i="11" s="1"/>
  <c r="W45" i="11" s="1"/>
  <c r="Y45" i="11" s="1"/>
  <c r="V102" i="1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E91" i="11"/>
  <c r="E107" i="11"/>
  <c r="E93" i="11"/>
  <c r="E104" i="11"/>
  <c r="E105" i="11"/>
  <c r="E109" i="11"/>
  <c r="E94" i="11"/>
  <c r="E110" i="11"/>
  <c r="I110" i="11" s="1" a="1"/>
  <c r="I110" i="11" s="1"/>
  <c r="E111" i="11"/>
  <c r="I111" i="11" s="1" a="1"/>
  <c r="I111" i="11" s="1"/>
  <c r="E112" i="11"/>
  <c r="I112" i="11" s="1" a="1"/>
  <c r="I112" i="11" s="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H35" i="11" s="1"/>
  <c r="U18" i="11"/>
  <c r="W55" i="11"/>
  <c r="Y55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7" i="11"/>
  <c r="Z65" i="11"/>
  <c r="X27" i="11"/>
  <c r="W27" i="11" s="1"/>
  <c r="Y27" i="11" s="1"/>
  <c r="X28" i="11" s="1"/>
  <c r="W28" i="11" s="1"/>
  <c r="Y28" i="11" s="1"/>
  <c r="X29" i="11" s="1"/>
  <c r="W29" i="11" s="1"/>
  <c r="Y29" i="11" s="1"/>
  <c r="I106" i="11" a="1"/>
  <c r="I104" i="11" a="1"/>
  <c r="I109" i="11" a="1"/>
  <c r="I95" i="11" a="1"/>
  <c r="I92" i="11" a="1"/>
  <c r="I98" i="11" a="1"/>
  <c r="I108" i="11" a="1"/>
  <c r="I90" i="11" a="1"/>
  <c r="I100" i="11" a="1"/>
  <c r="I107" i="11" a="1"/>
  <c r="I93" i="11" a="1"/>
  <c r="I105" i="11" a="1"/>
  <c r="I94" i="11" a="1"/>
  <c r="I102" i="11" a="1"/>
  <c r="I96" i="11" a="1"/>
  <c r="I91" i="11" a="1"/>
  <c r="I101" i="11" a="1"/>
  <c r="I103" i="11" a="1"/>
  <c r="I99" i="11" a="1"/>
  <c r="I97" i="11" a="1"/>
  <c r="V92" i="11" a="1"/>
  <c r="V96" i="11" a="1"/>
  <c r="V91" i="11" a="1"/>
  <c r="V90" i="11" a="1"/>
  <c r="V94" i="11" a="1"/>
  <c r="V97" i="11" a="1"/>
  <c r="V89" i="11" a="1"/>
  <c r="V93" i="11" a="1"/>
  <c r="V87" i="11" a="1"/>
  <c r="V95" i="11" a="1"/>
  <c r="V88" i="11" a="1"/>
  <c r="I97" i="11" l="1"/>
  <c r="I99" i="11"/>
  <c r="I103" i="11"/>
  <c r="I101" i="11"/>
  <c r="I91" i="11"/>
  <c r="I96" i="11"/>
  <c r="I102" i="11"/>
  <c r="I94" i="11"/>
  <c r="I105" i="11"/>
  <c r="I93" i="11"/>
  <c r="I107" i="11"/>
  <c r="I100" i="11"/>
  <c r="I90" i="11"/>
  <c r="I108" i="11"/>
  <c r="I98" i="11"/>
  <c r="I92" i="11"/>
  <c r="I95" i="11"/>
  <c r="I109" i="11"/>
  <c r="I104" i="11"/>
  <c r="I106" i="11"/>
  <c r="H61" i="11"/>
  <c r="I61" i="11" s="1"/>
  <c r="W100" i="11"/>
  <c r="X98" i="11"/>
  <c r="Z98" i="11" s="1"/>
  <c r="H102" i="11" s="1"/>
  <c r="J102" i="11" s="1"/>
  <c r="W99" i="11"/>
  <c r="W105" i="11"/>
  <c r="W103" i="11"/>
  <c r="X102" i="11"/>
  <c r="Z102" i="11" s="1"/>
  <c r="H106" i="11" s="1"/>
  <c r="J106" i="11" s="1"/>
  <c r="W104" i="11"/>
  <c r="W109" i="11"/>
  <c r="X106" i="11"/>
  <c r="Z106" i="11" s="1"/>
  <c r="W107" i="11"/>
  <c r="W108" i="11"/>
  <c r="V90" i="11"/>
  <c r="V91" i="11"/>
  <c r="V97" i="11"/>
  <c r="V92" i="11"/>
  <c r="V95" i="11"/>
  <c r="V93" i="11"/>
  <c r="V94" i="11"/>
  <c r="V96" i="11"/>
  <c r="V87" i="11"/>
  <c r="V88" i="11"/>
  <c r="V89" i="11"/>
  <c r="G101" i="11"/>
  <c r="G105" i="11"/>
  <c r="G111" i="11"/>
  <c r="G90" i="11"/>
  <c r="G104" i="11"/>
  <c r="F110" i="11"/>
  <c r="G98" i="11"/>
  <c r="G93" i="11"/>
  <c r="F99" i="11"/>
  <c r="G94" i="11"/>
  <c r="H112" i="11"/>
  <c r="J112" i="11" s="1"/>
  <c r="F103" i="11"/>
  <c r="F96" i="11"/>
  <c r="F92" i="11"/>
  <c r="G100" i="11"/>
  <c r="G97" i="11"/>
  <c r="F91" i="11"/>
  <c r="G95" i="1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W89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104" i="11" l="1"/>
  <c r="X104" i="11" s="1"/>
  <c r="Z104" i="11" s="1"/>
  <c r="H107" i="11"/>
  <c r="J107" i="11" s="1"/>
  <c r="H103" i="11"/>
  <c r="J103" i="11" s="1"/>
  <c r="H104" i="11"/>
  <c r="J104" i="11" s="1"/>
  <c r="Y91" i="1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105" i="11" l="1"/>
  <c r="X105" i="11" s="1"/>
  <c r="Z105" i="11" s="1"/>
  <c r="H109" i="11" s="1"/>
  <c r="J109" i="11" s="1"/>
  <c r="H108" i="11"/>
  <c r="J108" i="11" s="1"/>
  <c r="Y92" i="1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G35" i="11" l="1"/>
  <c r="I35" i="11"/>
  <c r="J35" i="11"/>
  <c r="C35" i="11" l="1"/>
  <c r="B35" i="11" l="1"/>
  <c r="K35" i="11" s="1"/>
  <c r="I39" i="11"/>
  <c r="I30" i="11"/>
  <c r="G32" i="11"/>
  <c r="G38" i="11"/>
  <c r="G30" i="11"/>
  <c r="G39" i="11"/>
  <c r="J32" i="11"/>
  <c r="J30" i="11"/>
  <c r="J39" i="11"/>
  <c r="J38" i="11"/>
  <c r="C38" i="11" l="1"/>
  <c r="I38" i="11"/>
  <c r="C39" i="11"/>
  <c r="B30" i="11"/>
  <c r="I32" i="11"/>
  <c r="B38" i="11"/>
  <c r="C30" i="11"/>
  <c r="C32" i="11"/>
  <c r="B32" i="11"/>
  <c r="B39" i="11" l="1"/>
  <c r="K39" i="11" s="1"/>
  <c r="I43" i="11"/>
  <c r="K32" i="11"/>
  <c r="H32" i="11" s="1"/>
  <c r="G43" i="11"/>
  <c r="J43" i="11"/>
  <c r="B43" i="11" l="1"/>
  <c r="C43" i="11" l="1"/>
  <c r="K43" i="11" s="1"/>
  <c r="G33" i="11" l="1"/>
  <c r="J33" i="11"/>
  <c r="C33" i="11" l="1"/>
  <c r="G31" i="11"/>
  <c r="G36" i="11"/>
  <c r="I36" i="11"/>
  <c r="B33" i="11"/>
  <c r="J31" i="11"/>
  <c r="J36" i="11"/>
  <c r="C36" i="11" l="1"/>
  <c r="K33" i="11"/>
  <c r="H33" i="11" s="1"/>
  <c r="I31" i="11"/>
  <c r="B36" i="11"/>
  <c r="B31" i="11"/>
  <c r="C31" i="11"/>
  <c r="K36" i="11" l="1"/>
  <c r="K31" i="11"/>
  <c r="H31" i="11" s="1"/>
  <c r="G26" i="11"/>
  <c r="J26" i="11"/>
  <c r="I26" i="11" l="1"/>
  <c r="C26" i="11"/>
  <c r="G41" i="11"/>
  <c r="G34" i="11"/>
  <c r="J41" i="11"/>
  <c r="J34" i="11"/>
  <c r="I34" i="11" l="1"/>
  <c r="B34" i="11"/>
  <c r="B26" i="11"/>
  <c r="B41" i="11"/>
  <c r="I41" i="11"/>
  <c r="C34" i="11"/>
  <c r="C41" i="11" l="1"/>
  <c r="K41" i="11" s="1"/>
  <c r="G40" i="11"/>
  <c r="I40" i="11"/>
  <c r="J40" i="11"/>
  <c r="B40" i="11" l="1"/>
  <c r="I44" i="11"/>
  <c r="G44" i="11"/>
  <c r="C40" i="11"/>
  <c r="J44" i="11"/>
  <c r="K40" i="11" l="1"/>
  <c r="C44" i="11"/>
  <c r="B44" i="11" l="1"/>
  <c r="K44" i="11" s="1"/>
  <c r="G28" i="11"/>
  <c r="I28" i="11" s="1"/>
  <c r="J28" i="11"/>
  <c r="J22" i="11"/>
  <c r="I22" i="11" l="1"/>
  <c r="C28" i="11"/>
  <c r="I42" i="11"/>
  <c r="G45" i="11"/>
  <c r="G42" i="11"/>
  <c r="J42" i="11"/>
  <c r="J45" i="11"/>
  <c r="B28" i="11" l="1"/>
  <c r="K28" i="11" s="1"/>
  <c r="H28" i="11" s="1"/>
  <c r="C45" i="11"/>
  <c r="I45" i="11"/>
  <c r="C42" i="11"/>
  <c r="G27" i="11"/>
  <c r="I27" i="11"/>
  <c r="G24" i="11"/>
  <c r="I24" i="11" s="1"/>
  <c r="B45" i="11"/>
  <c r="J24" i="11"/>
  <c r="J27" i="11"/>
  <c r="B27" i="11" l="1"/>
  <c r="B42" i="11"/>
  <c r="K45" i="11"/>
  <c r="C24" i="11"/>
  <c r="C27" i="11"/>
  <c r="H81" i="11"/>
  <c r="B24" i="11" l="1"/>
  <c r="K24" i="11" s="1"/>
  <c r="H24" i="11" s="1"/>
  <c r="K27" i="11"/>
  <c r="H27" i="11" s="1"/>
  <c r="I81" i="11"/>
  <c r="H84" i="11"/>
  <c r="I84" i="11" s="1"/>
  <c r="K30" i="11"/>
  <c r="H30" i="11" s="1"/>
  <c r="K38" i="11"/>
  <c r="K34" i="11"/>
  <c r="K42" i="11"/>
  <c r="I29" i="11"/>
  <c r="G37" i="11"/>
  <c r="G25" i="11"/>
  <c r="G29" i="11"/>
  <c r="I25" i="11"/>
  <c r="G23" i="11"/>
  <c r="H75" i="11"/>
  <c r="J25" i="11"/>
  <c r="J29" i="11"/>
  <c r="J23" i="11"/>
  <c r="J37" i="11"/>
  <c r="C37" i="11" l="1"/>
  <c r="C23" i="11"/>
  <c r="I37" i="11"/>
  <c r="B29" i="11"/>
  <c r="B25" i="11"/>
  <c r="I23" i="11"/>
  <c r="K22" i="11"/>
  <c r="H22" i="11" s="1"/>
  <c r="I75" i="11"/>
  <c r="K26" i="11"/>
  <c r="H26" i="11" s="1"/>
  <c r="B23" i="11"/>
  <c r="C25" i="11"/>
  <c r="C29" i="11"/>
  <c r="B37" i="11"/>
  <c r="K37" i="11" l="1"/>
  <c r="K29" i="11"/>
  <c r="H29" i="11" s="1"/>
  <c r="K25" i="11"/>
  <c r="H25" i="11" s="1"/>
  <c r="K23" i="11"/>
  <c r="H23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DAF47-2B46-4DBF-B925-92CB85119653}" keepAlive="1" name="Query - grid_loss_metering_points" description="Connection to the 'grid_loss_metering_points' query in the workbook." type="5" refreshedVersion="8" background="1" saveData="1">
    <dbPr connection="Provider=Microsoft.Mashup.OleDb.1;Data Source=$Workbook$;Location=grid_loss_metering_points;Extended Properties=&quot;&quot;" command="SELECT * FROM [grid_loss_metering_points]"/>
  </connection>
  <connection id="2" xr16:uid="{580B3D23-3E80-4C1A-8897-A6DCA4E2D555}" keepAlive="1" name="Query - metering_point_periods" description="Connection to the 'metering_point_periods' query in the workbook." type="5" refreshedVersion="8" background="1" saveData="1">
    <dbPr connection="Provider=Microsoft.Mashup.OleDb.1;Data Source=$Workbook$;Location=metering_point_periods;Extended Properties=&quot;&quot;" command="SELECT * FROM [metering_point_periods]"/>
  </connection>
  <connection id="3" xr16:uid="{EEBFB076-7D54-4DDD-BE5B-03C5E3DD33F8}" keepAlive="1" name="Query - time_series_points" description="Connection to the 'time_series_points' query in the workbook." type="5" refreshedVersion="8" background="1" saveData="1">
    <dbPr connection="Provider=Microsoft.Mashup.OleDb.1;Data Source=$Workbook$;Location=time_series_points;Extended Properties=&quot;&quot;" command="SELECT * FROM [time_series_poi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<sst xmlns="http://schemas.openxmlformats.org/spreadsheetml/2006/main" count="701" uniqueCount="173">
  <si>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</si>
  <si>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</si>
  <si>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</si>
  <si>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</si>
  <si>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</si>
  <si>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</si>
  <si>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</si>
  <si>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</si>
  <si>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</si>
  <si>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</si>
  <si>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</si>
  <si>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</si>
  <si>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</si>
  <si>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</si>
  <si>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</si>
  <si>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</si>
  <si>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</si>
  <si>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</si>
  <si>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</si>
  <si>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</si>
  <si>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</si>
  <si>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</si>
  <si>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</si>
  <si>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</si>
  <si>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</si>
  <si>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</si>
  <si>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</si>
  <si>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</si>
  <si>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</si>
  <si>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</si>
  <si>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</si>
  <si>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</si>
  <si>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</si>
  <si>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</si>
  <si>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</si>
  <si>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</si>
  <si>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</si>
  <si>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</si>
  <si>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</si>
  <si>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</si>
  <si>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</si>
  <si>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</si>
  <si>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</si>
  <si>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</si>
  <si>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</si>
  <si>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</si>
  <si>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</si>
  <si>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</si>
  <si>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</si>
  <si>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</si>
  <si>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</si>
  <si>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</si>
  <si>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</si>
  <si>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</si>
  <si>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</si>
  <si>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</si>
  <si>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</si>
  <si>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</si>
  <si>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</si>
  <si>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</si>
  <si>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</si>
  <si>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</si>
  <si>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</si>
  <si>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</si>
  <si>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</si>
  <si>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</si>
  <si>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</si>
  <si>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</si>
  <si>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</si>
  <si>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</si>
  <si>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</si>
  <si>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</si>
  <si>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</si>
  <si>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</si>
  <si>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</si>
  <si>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</si>
  <si>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</si>
  <si>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from_ga</t>
  </si>
  <si>
    <t>to_ga</t>
  </si>
  <si>
    <t>neighbour ga</t>
  </si>
  <si>
    <t>neighbour_ga afrunding</t>
  </si>
  <si>
    <t>number</t>
  </si>
  <si>
    <t>Number</t>
  </si>
  <si>
    <t>E17</t>
  </si>
  <si>
    <t>D01</t>
  </si>
  <si>
    <t>PT1H</t>
  </si>
  <si>
    <t>1000000000000</t>
  </si>
  <si>
    <t>1100000000000</t>
  </si>
  <si>
    <t>800</t>
  </si>
  <si>
    <t>E18</t>
  </si>
  <si>
    <t>E20</t>
  </si>
  <si>
    <t>3000000000000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</si>
  <si>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</si>
  <si>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</si>
  <si>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</si>
  <si>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</si>
  <si>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</si>
  <si>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</si>
  <si>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</si>
  <si>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</si>
  <si>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</si>
  <si>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</si>
  <si>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</si>
  <si>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</si>
  <si>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</si>
  <si>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170000000000000102</t>
  </si>
  <si>
    <t>neighbor_grid_area_code</t>
  </si>
  <si>
    <t>ga</t>
  </si>
  <si>
    <t>metering_point_id</t>
  </si>
  <si>
    <t>calculation_type</t>
  </si>
  <si>
    <t>grid_area_code</t>
  </si>
  <si>
    <t>from_grid_area_code</t>
  </si>
  <si>
    <t>to_grid_area_code</t>
  </si>
  <si>
    <t>parent_metering_point_id</t>
  </si>
  <si>
    <t>balance_responsible_party_id</t>
  </si>
  <si>
    <t>from_date</t>
  </si>
  <si>
    <t>to_date</t>
  </si>
  <si>
    <t/>
  </si>
  <si>
    <t>quality</t>
  </si>
  <si>
    <t>observation_time</t>
  </si>
  <si>
    <t>10</t>
  </si>
  <si>
    <t>measured</t>
  </si>
  <si>
    <t>8</t>
  </si>
  <si>
    <t>170000001500001000</t>
  </si>
  <si>
    <t>2023-01-31 23:00</t>
  </si>
  <si>
    <t>180000001500001000</t>
  </si>
  <si>
    <t>200000001500000001</t>
  </si>
  <si>
    <t>2020-02-02 23:00</t>
  </si>
  <si>
    <t>200000000000000002</t>
  </si>
  <si>
    <t>802</t>
  </si>
  <si>
    <t>200000001500000003</t>
  </si>
  <si>
    <t>803</t>
  </si>
  <si>
    <t>200000000000000004</t>
  </si>
  <si>
    <t>804</t>
  </si>
  <si>
    <t>170000001500000101</t>
  </si>
  <si>
    <t>170000000000000103</t>
  </si>
  <si>
    <t>170000001500000201</t>
  </si>
  <si>
    <t>170000000000000202</t>
  </si>
  <si>
    <t>170000000000000203</t>
  </si>
  <si>
    <t>180000001500000001</t>
  </si>
  <si>
    <t>180000000000000003</t>
  </si>
  <si>
    <t>180000000000000111</t>
  </si>
  <si>
    <t>111</t>
  </si>
  <si>
    <t>170000000000000111</t>
  </si>
  <si>
    <t>2023-07-02 02:00</t>
  </si>
  <si>
    <t>20.003</t>
  </si>
  <si>
    <t>5</t>
  </si>
  <si>
    <t>1.117</t>
  </si>
  <si>
    <t>0.807</t>
  </si>
  <si>
    <t>0.25</t>
  </si>
  <si>
    <t>6</t>
  </si>
  <si>
    <t>4</t>
  </si>
  <si>
    <t>2.003</t>
  </si>
  <si>
    <t>100000</t>
  </si>
  <si>
    <t>Grid Area</t>
  </si>
  <si>
    <t>2023-07-02 02:15</t>
  </si>
  <si>
    <t>2023-07-02 02:30</t>
  </si>
  <si>
    <t>2023-07-02 02:45</t>
  </si>
  <si>
    <t>Grid Areas in input</t>
  </si>
  <si>
    <t>Hours in input</t>
  </si>
  <si>
    <t>2023-07-02 03:45</t>
  </si>
  <si>
    <t>Hour</t>
  </si>
  <si>
    <t>2023-07-02 02:</t>
  </si>
  <si>
    <t>8.5</t>
  </si>
  <si>
    <t>2023-07-02 03:15</t>
  </si>
  <si>
    <t>2023-07-02 03:00</t>
  </si>
  <si>
    <t>Copy-friendly column</t>
  </si>
  <si>
    <t>exchange_per_neighbor</t>
  </si>
  <si>
    <t>1.1</t>
  </si>
  <si>
    <t>2023-07-02 03:30</t>
  </si>
  <si>
    <t>2023-07-03 02:15</t>
  </si>
  <si>
    <t>exchange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</si>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</sst>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164" fontId="0" fillId="3" borderId="0" xfId="0" applyNumberFormat="1" applyFill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0" fontId="12" fillId="2" borderId="0" xfId="0" applyFont="1" applyFill="1"/>
    <xf numFmtId="0" fontId="0" fillId="3" borderId="0" xfId="0" applyFill="1"/>
    <xf numFmtId="0" fontId="0" fillId="3" borderId="2" xfId="0" applyFill="1" applyBorder="1"/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0" xfId="0" applyNumberFormat="1" applyFont="1" applyFill="1"/>
    <xf numFmtId="0" fontId="0" fillId="0" borderId="0" xfId="0" applyNumberFormat="1"/>
    <xf numFmtId="0" fontId="0" fillId="2" borderId="0" xfId="0" applyNumberFormat="1" applyFill="1"/>
    <xf numFmtId="49" fontId="1" fillId="2" borderId="0" xfId="0" applyNumberFormat="1" applyFont="1" applyFill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3B0052C-1A7F-47E2-88DE-A6E97EB3B63C}" autoFormatId="16" applyNumberFormats="0" applyBorderFormats="0" applyFontFormats="0" applyPatternFormats="0" applyAlignmentFormats="0" applyWidthHeightFormats="0">
  <queryTableRefresh nextId="5">
    <queryTableFields count="4">
      <queryTableField id="1" name="metering_point_id" tableColumnId="1"/>
      <queryTableField id="2" name="quantity" tableColumnId="2"/>
      <queryTableField id="3" name="quality" tableColumnId="3"/>
      <queryTableField id="4" name="observ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4D1F53-26FF-4147-8840-28E249E270BD}" autoFormatId="16" applyNumberFormats="0" applyBorderFormats="0" applyFontFormats="0" applyPatternFormats="0" applyAlignmentFormats="0" applyWidthHeightFormats="0">
  <queryTableRefresh nextId="14">
    <queryTableFields count="13">
      <queryTableField id="1" name="metering_point_id" tableColumnId="1"/>
      <queryTableField id="2" name="type" tableColumnId="2"/>
      <queryTableField id="3" name="calculation_type" tableColumnId="3"/>
      <queryTableField id="4" name="settlement_method" tableColumnId="4"/>
      <queryTableField id="5" name="grid_area_code" tableColumnId="5"/>
      <queryTableField id="6" name="resolution" tableColumnId="6"/>
      <queryTableField id="7" name="from_grid_area_code" tableColumnId="7"/>
      <queryTableField id="8" name="to_grid_area_code" tableColumnId="8"/>
      <queryTableField id="9" name="parent_metering_point_id" tableColumnId="9"/>
      <queryTableField id="10" name="energy_supplier_id" tableColumnId="10"/>
      <queryTableField id="11" name="balance_responsible_party_id" tableColumnId="11"/>
      <queryTableField id="12" name="from_date" tableColumnId="12"/>
      <queryTableField id="13" name="to_dat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9FB377-695A-4C7B-A4FF-38B127B14D1E}" autoFormatId="16" applyNumberFormats="0" applyBorderFormats="0" applyFontFormats="0" applyPatternFormats="0" applyAlignmentFormats="0" applyWidthHeightFormats="0">
  <queryTableRefresh nextId="2">
    <queryTableFields count="1">
      <queryTableField id="1" name="metering_point_i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42" dataDxfId="41">
  <autoFilter ref="C1:Q19" xr:uid="{3814BBFA-A2E3-4A77-AAB1-6B1FF8D878B1}"/>
  <tableColumns count="15">
    <tableColumn id="1" xr3:uid="{2B69152A-55A7-4D2B-873F-7F3FB6F402A7}" name="mp id" dataDxfId="40">
      <calculatedColumnFormula>IFERROR(IF(OR(metering_point_periods[[#This Row],[grid_area_code]]=B$3,metering_point_periods[[#This Row],[from_grid_area_code]]=B$3,metering_point_periods[[#This Row],[to_grid_area_code]]=B$3),metering_point_periods[metering_point_id],""),"")</calculatedColumnFormula>
    </tableColumn>
    <tableColumn id="2" xr3:uid="{DA52C48F-158B-4538-B6A3-FC8044FE7DD3}" name="type" dataDxfId="39">
      <calculatedColumnFormula>IFERROR(VLOOKUP(TableDay1[[#This Row],[mp id]],metering_point_periods[],2,FALSE),"")</calculatedColumnFormula>
    </tableColumn>
    <tableColumn id="3" xr3:uid="{EF0BDE38-1365-4FBC-9631-C5B606CA358B}" name="settlement_method" dataDxfId="38">
      <calculatedColumnFormula>IFERROR(VLOOKUP(TableDay1[[#This Row],[mp id]],metering_point_periods[],4,FALSE),"")</calculatedColumnFormula>
    </tableColumn>
    <tableColumn id="4" xr3:uid="{B562A6FB-BEDA-4307-A449-0F2082B19BCA}" name="Quarter1" dataDxfId="15">
      <calculatedColumnFormula array="1">IFERROR(VALUE(SUBSTITUTE(INDEX(_xlfn._xlws.FILTER(time_series_points[],(time_series_points[observation_time]=_xlfn.CONCAT(B$4,"00"))*(time_series_points[metering_point_id]=TableDay1[[#This Row],[mp id]])),,2),".",",")),"")</calculatedColumnFormula>
    </tableColumn>
    <tableColumn id="5" xr3:uid="{6DA11D4D-F616-4050-A443-FB1A76B379F3}" name="Quarter2" dataDxfId="14">
      <calculatedColumnFormula array="1">IFERROR(VALUE(SUBSTITUTE(INDEX(_xlfn._xlws.FILTER(time_series_points[],(time_series_points[observation_time]=_xlfn.CONCAT(B$4,"15"))*(time_series_points[metering_point_id]=TableDay1[[#This Row],[mp id]])),,2),".",",")),"")</calculatedColumnFormula>
    </tableColumn>
    <tableColumn id="13" xr3:uid="{E2415720-F246-4A24-8E0D-1B0204263A5A}" name="Quarter3" dataDxfId="13">
      <calculatedColumnFormula array="1">IFERROR(VALUE(SUBSTITUTE(INDEX(_xlfn._xlws.FILTER(time_series_points[],(time_series_points[observation_time]=_xlfn.CONCAT(B$4,"30"))*(time_series_points[metering_point_id]=TableDay1[[#This Row],[mp id]])),,2),".",",")),"")</calculatedColumnFormula>
    </tableColumn>
    <tableColumn id="14" xr3:uid="{0EC1FA3B-BAAC-4F35-AAF5-67E6FD19CA93}" name="Quarter4" dataDxfId="12">
      <calculatedColumnFormula array="1">IFERROR(VALUE(SUBSTITUTE(INDEX(_xlfn._xlws.FILTER(time_series_points[],(time_series_points[observation_time]=_xlfn.CONCAT(B$4,"45"))*(time_series_points[metering_point_id]=TableDay1[[#This Row],[mp id]])),,2),".",",")),"")</calculatedColumnFormula>
    </tableColumn>
    <tableColumn id="15" xr3:uid="{5C23752B-DBE4-4FE9-BFE7-AC41B91886E5}" name="TotalHour" dataDxfId="37">
      <calculatedColumnFormula>IF(C2="","",SUM(F2:I2))</calculatedColumnFormula>
    </tableColumn>
    <tableColumn id="6" xr3:uid="{CD5BB13E-3854-4BA0-A8C2-7EB0351AE2FA}" name="resolution" dataDxfId="36">
      <calculatedColumnFormula>IFERROR(VLOOKUP(TableDay1[[#This Row],[mp id]],metering_point_periods[],6,FALSE),"")</calculatedColumnFormula>
    </tableColumn>
    <tableColumn id="7" xr3:uid="{900BB657-25A0-4ECA-8FE6-633F1CAE8BD7}" name="es_id" dataDxfId="35">
      <calculatedColumnFormula>IFERROR(VLOOKUP(TableDay1[[#This Row],[mp id]],metering_point_periods[],10,FALSE),"")</calculatedColumnFormula>
    </tableColumn>
    <tableColumn id="8" xr3:uid="{39625D12-7EE0-4C8F-8893-3E5902A7D039}" name="brp_id" dataDxfId="34">
      <calculatedColumnFormula>IFERROR(VLOOKUP(TableDay1[[#This Row],[mp id]],metering_point_periods[],11,FALSE),"")</calculatedColumnFormula>
    </tableColumn>
    <tableColumn id="9" xr3:uid="{4035FFB8-60AE-4E2D-9CA8-C736A1B70CC6}" name="note" dataDxfId="33">
      <calculatedColumnFormula>IF(COUNTIF(grid_loss_metering_points[metering_point_id],TableDay1[[#This Row],[mp id]])&gt;0,IF(TableDay1[[#This Row],[type]]="E17","glmp","skmp"),"")</calculatedColumnFormula>
    </tableColumn>
    <tableColumn id="10" xr3:uid="{F90F79EC-44B2-4BC6-8C23-82D64320CBD5}" name="ga_id" dataDxfId="32">
      <calculatedColumnFormula>IFERROR(VLOOKUP(TableDay1[[#This Row],[mp id]],metering_point_periods[],5,FALSE),"")</calculatedColumnFormula>
    </tableColumn>
    <tableColumn id="11" xr3:uid="{CD53BB86-08E7-49A0-BC6E-CFD857B5FCB7}" name="from_ga" dataDxfId="31">
      <calculatedColumnFormula>IFERROR(VLOOKUP(TableDay1[[#This Row],[mp id]],metering_point_periods[],7,FALSE),"")</calculatedColumnFormula>
    </tableColumn>
    <tableColumn id="12" xr3:uid="{75786D4A-9554-4C5E-B036-485331D1BE7F}" name="to_ga" dataDxfId="30">
      <calculatedColumnFormula>IFERROR(VLOOKUP(TableDay1[[#This Row],[mp id]],metering_point_periods[],8,FALSE),"")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615C8-DF1F-4BB3-AABC-F905945EC01F}" name="time_series_points" displayName="time_series_points" ref="A1:D27" tableType="queryTable" totalsRowShown="0">
  <autoFilter ref="A1:D27" xr:uid="{F87615C8-DF1F-4BB3-AABC-F905945EC01F}"/>
  <tableColumns count="4">
    <tableColumn id="1" xr3:uid="{4650DA98-483E-48FD-A977-85D3CCED5B4B}" uniqueName="1" name="metering_point_id" queryTableFieldId="1" dataDxfId="3"/>
    <tableColumn id="2" xr3:uid="{A482058C-C0CF-4A29-8601-EAB060DBA9D6}" uniqueName="2" name="quantity" queryTableFieldId="2" dataDxfId="2"/>
    <tableColumn id="3" xr3:uid="{A2A80198-7E87-4CA5-A89F-BA2D4BCA3D2B}" uniqueName="3" name="quality" queryTableFieldId="3" dataDxfId="1"/>
    <tableColumn id="4" xr3:uid="{8BF38BB7-2334-4872-A6BE-F89F82D7BB75}" uniqueName="4" name="observation_tim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65E36-BA47-4018-9FD0-3CF5846584AA}" name="metering_point_periods" displayName="metering_point_periods" ref="A1:M18" tableType="queryTable" totalsRowShown="0">
  <autoFilter ref="A1:M18" xr:uid="{C5865E36-BA47-4018-9FD0-3CF5846584AA}"/>
  <tableColumns count="13">
    <tableColumn id="1" xr3:uid="{CF01FDE7-D82C-4AB3-BB6C-33153E6DFA00}" uniqueName="1" name="metering_point_id" queryTableFieldId="1" dataDxfId="29"/>
    <tableColumn id="2" xr3:uid="{3B2D9D1A-4127-43D5-8C98-8E62AF0F1E72}" uniqueName="2" name="type" queryTableFieldId="2" dataDxfId="28"/>
    <tableColumn id="3" xr3:uid="{791A36B8-5DF2-49B5-B8C8-0490C4258304}" uniqueName="3" name="calculation_type" queryTableFieldId="3" dataDxfId="27"/>
    <tableColumn id="4" xr3:uid="{75D50AB1-CFF0-4CD6-9C3E-BBB09AA9A8BB}" uniqueName="4" name="settlement_method" queryTableFieldId="4" dataDxfId="26"/>
    <tableColumn id="5" xr3:uid="{41D002E8-A870-44D0-B2C6-8F42B9053E2C}" uniqueName="5" name="grid_area_code" queryTableFieldId="5" dataDxfId="25"/>
    <tableColumn id="6" xr3:uid="{9C53567F-6D4B-42DB-BB63-9CE6FEC7E624}" uniqueName="6" name="resolution" queryTableFieldId="6" dataDxfId="24"/>
    <tableColumn id="7" xr3:uid="{6F2ACC29-97F0-4287-84F1-EDA8A99CF9A2}" uniqueName="7" name="from_grid_area_code" queryTableFieldId="7" dataDxfId="23"/>
    <tableColumn id="8" xr3:uid="{16F757A9-7784-4D32-8F48-6C9625141608}" uniqueName="8" name="to_grid_area_code" queryTableFieldId="8" dataDxfId="22"/>
    <tableColumn id="9" xr3:uid="{A1D21AB3-40BE-4FB2-A50F-9A95960AE675}" uniqueName="9" name="parent_metering_point_id" queryTableFieldId="9" dataDxfId="21"/>
    <tableColumn id="10" xr3:uid="{340BC58F-4B70-4FD2-B7DD-96F6CF79A8E5}" uniqueName="10" name="energy_supplier_id" queryTableFieldId="10" dataDxfId="20"/>
    <tableColumn id="11" xr3:uid="{F0EC8FE7-5907-4DE3-A5B0-7CF64270A948}" uniqueName="11" name="balance_responsible_party_id" queryTableFieldId="11" dataDxfId="19"/>
    <tableColumn id="12" xr3:uid="{B7B064F6-D7B9-471E-8EC5-B43B1116B21B}" uniqueName="12" name="from_date" queryTableFieldId="12" dataDxfId="18"/>
    <tableColumn id="13" xr3:uid="{59475ADB-CA9D-4D8B-B373-8B94E5A339B6}" uniqueName="13" name="to_date" queryTableFieldId="1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190B5-78BC-41D2-950A-D64984111C13}" name="grid_loss_metering_points" displayName="grid_loss_metering_points" ref="A1:A3" tableType="queryTable" totalsRowShown="0">
  <autoFilter ref="A1:A3" xr:uid="{7D5190B5-78BC-41D2-950A-D64984111C13}"/>
  <tableColumns count="1">
    <tableColumn id="1" xr3:uid="{8EF66849-545B-46E8-A411-32C2A2A36764}" uniqueName="1" name="metering_point_id" queryTableFieldId="1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A37" zoomScaleNormal="100" workbookViewId="0">
      <selection activeCell="I78" sqref="I78:I81"/>
    </sheetView>
  </sheetViews>
  <sheetFormatPr defaultColWidth="8.7265625" defaultRowHeight="14.5" x14ac:dyDescent="0.35"/>
  <cols>
    <col min="1" max="1" width="19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8" width="24.453125" style="1" bestFit="1" customWidth="1"/>
    <col min="9" max="9" width="28.5429687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5" t="s">
        <v>22</v>
      </c>
      <c r="B1" s="34" t="s">
        <v>107</v>
      </c>
      <c r="C1" s="11" t="s">
        <v>7</v>
      </c>
      <c r="D1" s="11" t="s">
        <v>11</v>
      </c>
      <c r="E1" s="11" t="s">
        <v>12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98</v>
      </c>
      <c r="K1" s="11" t="s">
        <v>8</v>
      </c>
      <c r="L1" s="11" t="s">
        <v>9</v>
      </c>
      <c r="M1" s="11" t="s">
        <v>10</v>
      </c>
      <c r="N1" s="11" t="s">
        <v>13</v>
      </c>
      <c r="O1" s="11" t="s">
        <v>18</v>
      </c>
      <c r="P1" s="11" t="s">
        <v>77</v>
      </c>
      <c r="Q1" s="11" t="s">
        <v>78</v>
      </c>
      <c r="U1" s="12" t="s">
        <v>71</v>
      </c>
      <c r="V1" s="12" t="s">
        <v>72</v>
      </c>
      <c r="W1" s="12" t="s">
        <v>73</v>
      </c>
      <c r="X1" s="12" t="s">
        <v>74</v>
      </c>
      <c r="AA1" s="21"/>
      <c r="AC1" s="21"/>
      <c r="AD1" s="26" t="s">
        <v>19</v>
      </c>
      <c r="AE1" s="26" t="s">
        <v>16</v>
      </c>
      <c r="AF1" s="26" t="s">
        <v>17</v>
      </c>
      <c r="AG1" s="26" t="s">
        <v>97</v>
      </c>
      <c r="AH1" s="46" t="s">
        <v>79</v>
      </c>
      <c r="AI1" s="46"/>
      <c r="AJ1" s="46"/>
      <c r="AK1" s="46"/>
      <c r="AN1" s="41" t="str" cm="1">
        <f t="array" aca="1" ref="AN1" ca="1">LEFT(CELL("filename",$A$1),FIND("[",CELL("filename",$A$1),1)-1)</f>
        <v>C:\repo\opengeh-wholesale\source\databricks\calculation_engine\tests\features\energy_calculation\given_template_tester\</v>
      </c>
    </row>
    <row r="2" spans="1:92" ht="21" x14ac:dyDescent="0.5">
      <c r="A2" s="15" t="s">
        <v>25</v>
      </c>
      <c r="B2" s="14" t="s">
        <v>172</v>
      </c>
      <c r="C2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170000001500001000</v>
      </c>
      <c r="D2" s="42" t="str">
        <f>IFERROR(VLOOKUP(TableDay1[[#This Row],[mp id]],metering_point_periods[],2,FALSE),"")</f>
        <v>E17</v>
      </c>
      <c r="E2" s="42" t="str">
        <f>IFERROR(VLOOKUP(TableDay1[[#This Row],[mp id]],metering_point_periods[],4,FALSE),"")</f>
        <v>D01</v>
      </c>
      <c r="F2" s="10" t="str" cm="1">
        <f t="array" ref="F2">IFERROR(VALUE(SUBSTITUTE(INDEX(_xlfn._xlws.FILTER(time_series_points[],(time_series_points[observation_time]=_xlfn.CONCAT(B$4,"00"))*(time_series_points[metering_point_id]=TableDay1[[#This Row],[mp id]])),,2),".",",")),"")</f>
        <v/>
      </c>
      <c r="G2" s="10" t="str" cm="1">
        <f t="array" ref="G2">IFERROR(VALUE(SUBSTITUTE(INDEX(_xlfn._xlws.FILTER(time_series_points[],(time_series_points[observation_time]=_xlfn.CONCAT(B$4,"15"))*(time_series_points[metering_point_id]=TableDay1[[#This Row],[mp id]])),,2),".",",")),"")</f>
        <v/>
      </c>
      <c r="H2" s="35" t="str" cm="1">
        <f t="array" ref="H2">IFERROR(VALUE(SUBSTITUTE(INDEX(_xlfn._xlws.FILTER(time_series_points[],(time_series_points[observation_time]=_xlfn.CONCAT(B$4,"30"))*(time_series_points[metering_point_id]=TableDay1[[#This Row],[mp id]])),,2),".",",")),"")</f>
        <v/>
      </c>
      <c r="I2" s="35" t="str" cm="1">
        <f t="array" ref="I2">IFERROR(VALUE(SUBSTITUTE(INDEX(_xlfn._xlws.FILTER(time_series_points[],(time_series_points[observation_time]=_xlfn.CONCAT(B$4,"45"))*(time_series_points[metering_point_id]=TableDay1[[#This Row],[mp id]])),,2),".",",")),"")</f>
        <v/>
      </c>
      <c r="J2" s="37">
        <f t="shared" ref="J2:J19" si="0">IF(C2="","",SUM(F2:I2))</f>
        <v>0</v>
      </c>
      <c r="K2" s="42" t="str">
        <f>IFERROR(VLOOKUP(TableDay1[[#This Row],[mp id]],metering_point_periods[],6,FALSE),"")</f>
        <v>PT15M</v>
      </c>
      <c r="L2" s="42" t="str">
        <f>IFERROR(VLOOKUP(TableDay1[[#This Row],[mp id]],metering_point_periods[],10,FALSE),"")</f>
        <v>1000000000000</v>
      </c>
      <c r="M2" s="42" t="str">
        <f>IFERROR(VLOOKUP(TableDay1[[#This Row],[mp id]],metering_point_periods[],11,FALSE),"")</f>
        <v>1100000000000</v>
      </c>
      <c r="N2" s="42" t="str">
        <f>IF(COUNTIF(grid_loss_metering_points[metering_point_id],TableDay1[[#This Row],[mp id]])&gt;0,IF(TableDay1[[#This Row],[type]]="E17","glmp","skmp"),"")</f>
        <v>glmp</v>
      </c>
      <c r="O2" s="42" t="str">
        <f>IFERROR(VLOOKUP(TableDay1[[#This Row],[mp id]],metering_point_periods[],5,FALSE),"")</f>
        <v>800</v>
      </c>
      <c r="P2" s="42" t="str">
        <f>IFERROR(VLOOKUP(TableDay1[[#This Row],[mp id]],metering_point_periods[],7,FALSE),"")</f>
        <v/>
      </c>
      <c r="Q2" s="42" t="str">
        <f>IFERROR(VLOOKUP(TableDay1[[#This Row],[mp id]],metering_point_periods[],8,FALSE),"")</f>
        <v/>
      </c>
      <c r="R2" s="21"/>
      <c r="S2" s="7" t="s">
        <v>33</v>
      </c>
      <c r="T2" s="9">
        <f>SUMIFS(TableDay1[TotalHour],TableDay1[settlement_method],"D01",TableDay1[resolution],"PT15M")</f>
        <v>13.299999999999999</v>
      </c>
      <c r="U2" s="36">
        <f>SUMIFS(TableDay1[Quarter1],TableDay1[settlement_method],"D01",TableDay1[resolution],"PT15M")</f>
        <v>10</v>
      </c>
      <c r="V2" s="36">
        <f>SUMIFS(TableDay1[Quarter2],TableDay1[settlement_method],"D01",TableDay1[resolution],"PT15M")</f>
        <v>1.1000000000000001</v>
      </c>
      <c r="W2" s="36">
        <f>SUMIFS(TableDay1[Quarter3],TableDay1[settlement_method],"D01",TableDay1[resolution],"PT15M")</f>
        <v>1.1000000000000001</v>
      </c>
      <c r="X2" s="36">
        <f>SUMIFS(TableDay1[Quarter4],TableDay1[settlement_method],"D01",TableDay1[resolution],"PT15M")</f>
        <v>1.1000000000000001</v>
      </c>
      <c r="Y2" s="21"/>
      <c r="Z2" s="21"/>
      <c r="AA2" s="21"/>
      <c r="AC2" s="21"/>
      <c r="AD2" s="24" t="str" cm="1">
        <f t="array" ref="AD2:AD4">_xlfn._xlws.SORT(_xlfn.UNIQUE(_xlfn._xlws.FILTER(TableDay1[ga_id],TableDay1[ga_id] &lt;&gt; "")))</f>
        <v>800</v>
      </c>
      <c r="AE2" s="24" t="str" cm="1">
        <f t="array" ref="AE2:AE4">_xlfn._xlws.SORT(_xlfn.UNIQUE(_xlfn._xlws.FILTER(AE28:AE41,AE28:AE41 &lt;&gt; "")))</f>
        <v>1000000000000</v>
      </c>
      <c r="AF2" s="24" t="str" cm="1">
        <f t="array" ref="AF2:AF3">_xlfn._xlws.SORT(_xlfn.UNIQUE(_xlfn._xlws.FILTER(AF28:AF40,AF28:AF40 &lt;&gt; "")))</f>
        <v>1100000000000</v>
      </c>
      <c r="AG2" s="24" t="str">
        <f>IF(B$2="production","E18",IF($B$2="flex_consumption","D01","E02"))</f>
        <v>D01</v>
      </c>
      <c r="AH2" s="24" t="s">
        <v>102</v>
      </c>
      <c r="AI2" s="21" t="s">
        <v>103</v>
      </c>
      <c r="AJ2" s="24" t="s">
        <v>104</v>
      </c>
      <c r="AK2" s="2"/>
      <c r="AL2" s="2"/>
    </row>
    <row r="3" spans="1:92" ht="21" x14ac:dyDescent="0.5">
      <c r="A3" s="15" t="s">
        <v>154</v>
      </c>
      <c r="B3" s="14" t="s">
        <v>88</v>
      </c>
      <c r="C3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180000001500001000</v>
      </c>
      <c r="D3" s="42" t="str">
        <f>IFERROR(VLOOKUP(TableDay1[[#This Row],[mp id]],metering_point_periods[],2,FALSE),"")</f>
        <v>E18</v>
      </c>
      <c r="E3" s="42" t="str">
        <f>IFERROR(VLOOKUP(TableDay1[[#This Row],[mp id]],metering_point_periods[],4,FALSE),"")</f>
        <v/>
      </c>
      <c r="F3" s="10" t="str" cm="1">
        <f t="array" ref="F3">IFERROR(VALUE(SUBSTITUTE(INDEX(_xlfn._xlws.FILTER(time_series_points[],(time_series_points[observation_time]=_xlfn.CONCAT(B$4,"00"))*(time_series_points[metering_point_id]=TableDay1[[#This Row],[mp id]])),,2),".",",")),"")</f>
        <v/>
      </c>
      <c r="G3" s="10" t="str" cm="1">
        <f t="array" ref="G3">IFERROR(VALUE(SUBSTITUTE(INDEX(_xlfn._xlws.FILTER(time_series_points[],(time_series_points[observation_time]=_xlfn.CONCAT(B$4,"15"))*(time_series_points[metering_point_id]=TableDay1[[#This Row],[mp id]])),,2),".",",")),"")</f>
        <v/>
      </c>
      <c r="H3" s="35" t="str" cm="1">
        <f t="array" ref="H3">IFERROR(VALUE(SUBSTITUTE(INDEX(_xlfn._xlws.FILTER(time_series_points[],(time_series_points[observation_time]=_xlfn.CONCAT(B$4,"30"))*(time_series_points[metering_point_id]=TableDay1[[#This Row],[mp id]])),,2),".",",")),"")</f>
        <v/>
      </c>
      <c r="I3" s="35" t="str" cm="1">
        <f t="array" ref="I3">IFERROR(VALUE(SUBSTITUTE(INDEX(_xlfn._xlws.FILTER(time_series_points[],(time_series_points[observation_time]=_xlfn.CONCAT(B$4,"45"))*(time_series_points[metering_point_id]=TableDay1[[#This Row],[mp id]])),,2),".",",")),"")</f>
        <v/>
      </c>
      <c r="J3" s="37">
        <f t="shared" si="0"/>
        <v>0</v>
      </c>
      <c r="K3" s="42" t="str">
        <f>IFERROR(VLOOKUP(TableDay1[[#This Row],[mp id]],metering_point_periods[],6,FALSE),"")</f>
        <v>PT15M</v>
      </c>
      <c r="L3" s="42" t="str">
        <f>IFERROR(VLOOKUP(TableDay1[[#This Row],[mp id]],metering_point_periods[],10,FALSE),"")</f>
        <v>3000000000000</v>
      </c>
      <c r="M3" s="42" t="str">
        <f>IFERROR(VLOOKUP(TableDay1[[#This Row],[mp id]],metering_point_periods[],11,FALSE),"")</f>
        <v>2200000000000</v>
      </c>
      <c r="N3" s="42" t="str">
        <f>IF(COUNTIF(grid_loss_metering_points[metering_point_id],TableDay1[[#This Row],[mp id]])&gt;0,IF(TableDay1[[#This Row],[type]]="E17","glmp","skmp"),"")</f>
        <v>skmp</v>
      </c>
      <c r="O3" s="42" t="str">
        <f>IFERROR(VLOOKUP(TableDay1[[#This Row],[mp id]],metering_point_periods[],5,FALSE),"")</f>
        <v>800</v>
      </c>
      <c r="P3" s="42" t="str">
        <f>IFERROR(VLOOKUP(TableDay1[[#This Row],[mp id]],metering_point_periods[],7,FALSE),"")</f>
        <v/>
      </c>
      <c r="Q3" s="42" t="str">
        <f>IFERROR(VLOOKUP(TableDay1[[#This Row],[mp id]],metering_point_periods[],8,FALSE),"")</f>
        <v/>
      </c>
      <c r="R3" s="21"/>
      <c r="S3" s="7" t="s">
        <v>37</v>
      </c>
      <c r="T3" s="9">
        <f>SUMIFS(TableDay1[TotalHour],TableDay1[settlement_method],"E02",TableDay1[resolution],"PT15M")</f>
        <v>5</v>
      </c>
      <c r="U3" s="36">
        <f>SUMIFS(TableDay1[Quarter1],TableDay1[settlement_method],"E02",TableDay1[resolution],"PT15M")</f>
        <v>5</v>
      </c>
      <c r="V3" s="36">
        <f>SUMIFS(TableDay1[Quarter2],TableDay1[settlement_method],"E02",TableDay1[resolution],"PT15M")</f>
        <v>0</v>
      </c>
      <c r="W3" s="36">
        <f>SUMIFS(TableDay1[Quarter3],TableDay1[settlement_method],"E02",TableDay1[resolution],"PT15M")</f>
        <v>0</v>
      </c>
      <c r="X3" s="36">
        <f>SUMIFS(TableDay1[Quarter4],TableDay1[settlement_method],"E02",TableDay1[resolution],"PT15M")</f>
        <v>0</v>
      </c>
      <c r="Y3" s="21"/>
      <c r="Z3" s="21"/>
      <c r="AA3" s="21"/>
      <c r="AC3" s="21"/>
      <c r="AD3" s="21" t="str">
        <v>801</v>
      </c>
      <c r="AE3" s="21" t="str">
        <v>2000000000000</v>
      </c>
      <c r="AF3" s="21" t="str">
        <v>2200000000000</v>
      </c>
      <c r="AG3" s="21"/>
      <c r="AH3" s="24" t="str" cm="1">
        <f t="array" ref="AH3:AH6">_xlfn.UNIQUE(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)</f>
        <v>801</v>
      </c>
      <c r="AI3" s="24" t="str" cm="1">
        <f t="array" ref="AI3:AI6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1" t="str" cm="1">
        <f t="array" ref="AJ3:AK13">_xlfn._xlws.SORT(AH3:AI13,1)</f>
        <v>801</v>
      </c>
      <c r="AK3" s="21" t="str">
        <v>801</v>
      </c>
      <c r="AL3" s="21"/>
      <c r="AM3" s="21"/>
      <c r="AN3" s="21"/>
      <c r="AO3" s="21"/>
      <c r="AP3" s="21"/>
      <c r="AQ3" s="21"/>
    </row>
    <row r="4" spans="1:92" ht="21" x14ac:dyDescent="0.5">
      <c r="A4" s="15" t="s">
        <v>161</v>
      </c>
      <c r="B4" s="14" t="s">
        <v>162</v>
      </c>
      <c r="C4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200000001500000001</v>
      </c>
      <c r="D4" s="42" t="str">
        <f>IFERROR(VLOOKUP(TableDay1[[#This Row],[mp id]],metering_point_periods[],2,FALSE),"")</f>
        <v>E20</v>
      </c>
      <c r="E4" s="42" t="str">
        <f>IFERROR(VLOOKUP(TableDay1[[#This Row],[mp id]],metering_point_periods[],4,FALSE),"")</f>
        <v/>
      </c>
      <c r="F4" s="10" t="str" cm="1">
        <f t="array" ref="F4">IFERROR(VALUE(SUBSTITUTE(INDEX(_xlfn._xlws.FILTER(time_series_points[],(time_series_points[observation_time]=_xlfn.CONCAT(B$4,"00"))*(time_series_points[metering_point_id]=TableDay1[[#This Row],[mp id]])),,2),".",",")),"")</f>
        <v/>
      </c>
      <c r="G4" s="10" cm="1">
        <f t="array" ref="G4">IFERROR(VALUE(SUBSTITUTE(INDEX(_xlfn._xlws.FILTER(time_series_points[],(time_series_points[observation_time]=_xlfn.CONCAT(B$4,"15"))*(time_series_points[metering_point_id]=TableDay1[[#This Row],[mp id]])),,2),".",",")),"")</f>
        <v>10</v>
      </c>
      <c r="H4" s="10" t="str" cm="1">
        <f t="array" ref="H4">IFERROR(VALUE(SUBSTITUTE(INDEX(_xlfn._xlws.FILTER(time_series_points[],(time_series_points[observation_time]=_xlfn.CONCAT(B$4,"30"))*(time_series_points[metering_point_id]=TableDay1[[#This Row],[mp id]])),,2),".",",")),"")</f>
        <v/>
      </c>
      <c r="I4" s="10" t="str" cm="1">
        <f t="array" ref="I4">IFERROR(VALUE(SUBSTITUTE(INDEX(_xlfn._xlws.FILTER(time_series_points[],(time_series_points[observation_time]=_xlfn.CONCAT(B$4,"45"))*(time_series_points[metering_point_id]=TableDay1[[#This Row],[mp id]])),,2),".",",")),"")</f>
        <v/>
      </c>
      <c r="J4" s="37">
        <f t="shared" si="0"/>
        <v>10</v>
      </c>
      <c r="K4" s="42" t="str">
        <f>IFERROR(VLOOKUP(TableDay1[[#This Row],[mp id]],metering_point_periods[],6,FALSE),"")</f>
        <v>PT15M</v>
      </c>
      <c r="L4" s="42" t="str">
        <f>IFERROR(VLOOKUP(TableDay1[[#This Row],[mp id]],metering_point_periods[],10,FALSE),"")</f>
        <v/>
      </c>
      <c r="M4" s="42" t="str">
        <f>IFERROR(VLOOKUP(TableDay1[[#This Row],[mp id]],metering_point_periods[],11,FALSE),"")</f>
        <v/>
      </c>
      <c r="N4" s="42" t="str">
        <f>IF(COUNTIF(grid_loss_metering_points[metering_point_id],TableDay1[[#This Row],[mp id]])&gt;0,IF(TableDay1[[#This Row],[type]]="E17","glmp","skmp"),"")</f>
        <v/>
      </c>
      <c r="O4" s="42" t="str">
        <f>IFERROR(VLOOKUP(TableDay1[[#This Row],[mp id]],metering_point_periods[],5,FALSE),"")</f>
        <v>801</v>
      </c>
      <c r="P4" s="42" t="str">
        <f>IFERROR(VLOOKUP(TableDay1[[#This Row],[mp id]],metering_point_periods[],7,FALSE),"")</f>
        <v>801</v>
      </c>
      <c r="Q4" s="42" t="str">
        <f>IFERROR(VLOOKUP(TableDay1[[#This Row],[mp id]],metering_point_periods[],8,FALSE),"")</f>
        <v>800</v>
      </c>
      <c r="R4" s="21"/>
      <c r="S4" s="7" t="s">
        <v>28</v>
      </c>
      <c r="T4" s="9">
        <f>SUMIFS(TableDay1[TotalHour],TableDay1[type],"E18",TableDay1[resolution],"PT15M")</f>
        <v>6</v>
      </c>
      <c r="U4" s="36">
        <f>SUMIFS(TableDay1[Quarter1],TableDay1[type],"E18",TableDay1[resolution],"PT15M")</f>
        <v>6</v>
      </c>
      <c r="V4" s="36">
        <f>SUMIFS(TableDay1[Quarter2],TableDay1[type],"E18",TableDay1[resolution],"PT15M")</f>
        <v>0</v>
      </c>
      <c r="W4" s="36">
        <f>SUMIFS(TableDay1[Quarter3],TableDay1[type],"E18",TableDay1[resolution],"PT15M")</f>
        <v>0</v>
      </c>
      <c r="X4" s="36">
        <f>SUMIFS(TableDay1[Quarter4],TableDay1[type],"E18",TableDay1[resolution],"PT15M")</f>
        <v>0</v>
      </c>
      <c r="Y4" s="21"/>
      <c r="Z4" s="21"/>
      <c r="AA4" s="21"/>
      <c r="AC4" s="21"/>
      <c r="AD4" s="21" t="str">
        <v>802</v>
      </c>
      <c r="AE4" s="21" t="str">
        <v>3000000000000</v>
      </c>
      <c r="AF4" s="21"/>
      <c r="AG4" s="21"/>
      <c r="AH4" s="21" t="str">
        <v>802</v>
      </c>
      <c r="AI4" s="21" t="str">
        <v>802</v>
      </c>
      <c r="AJ4" s="21" t="str">
        <v>802</v>
      </c>
      <c r="AK4" s="21" t="str">
        <v>802</v>
      </c>
      <c r="AL4" s="21"/>
      <c r="AM4" s="21"/>
      <c r="AN4" s="26" t="s">
        <v>158</v>
      </c>
      <c r="AO4" s="21"/>
      <c r="AP4" s="21"/>
      <c r="AQ4" s="26" t="s">
        <v>159</v>
      </c>
    </row>
    <row r="5" spans="1:92" x14ac:dyDescent="0.35">
      <c r="C5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200000000000000002</v>
      </c>
      <c r="D5" s="42" t="str">
        <f>IFERROR(VLOOKUP(TableDay1[[#This Row],[mp id]],metering_point_periods[],2,FALSE),"")</f>
        <v>E20</v>
      </c>
      <c r="E5" s="42" t="str">
        <f>IFERROR(VLOOKUP(TableDay1[[#This Row],[mp id]],metering_point_periods[],4,FALSE),"")</f>
        <v/>
      </c>
      <c r="F5" s="10" cm="1">
        <f t="array" ref="F5">IFERROR(VALUE(SUBSTITUTE(INDEX(_xlfn._xlws.FILTER(time_series_points[],(time_series_points[observation_time]=_xlfn.CONCAT(B$4,"00"))*(time_series_points[metering_point_id]=TableDay1[[#This Row],[mp id]])),,2),".",",")),"")</f>
        <v>20.003</v>
      </c>
      <c r="G5" s="10" t="str" cm="1">
        <f t="array" ref="G5">IFERROR(VALUE(SUBSTITUTE(INDEX(_xlfn._xlws.FILTER(time_series_points[],(time_series_points[observation_time]=_xlfn.CONCAT(B$4,"15"))*(time_series_points[metering_point_id]=TableDay1[[#This Row],[mp id]])),,2),".",",")),"")</f>
        <v/>
      </c>
      <c r="H5" s="35" t="str" cm="1">
        <f t="array" ref="H5">IFERROR(VALUE(SUBSTITUTE(INDEX(_xlfn._xlws.FILTER(time_series_points[],(time_series_points[observation_time]=_xlfn.CONCAT(B$4,"30"))*(time_series_points[metering_point_id]=TableDay1[[#This Row],[mp id]])),,2),".",",")),"")</f>
        <v/>
      </c>
      <c r="I5" s="35" t="str" cm="1">
        <f t="array" ref="I5">IFERROR(VALUE(SUBSTITUTE(INDEX(_xlfn._xlws.FILTER(time_series_points[],(time_series_points[observation_time]=_xlfn.CONCAT(B$4,"45"))*(time_series_points[metering_point_id]=TableDay1[[#This Row],[mp id]])),,2),".",",")),"")</f>
        <v/>
      </c>
      <c r="J5" s="37">
        <f t="shared" si="0"/>
        <v>20.003</v>
      </c>
      <c r="K5" s="42" t="str">
        <f>IFERROR(VLOOKUP(TableDay1[[#This Row],[mp id]],metering_point_periods[],6,FALSE),"")</f>
        <v>PT1H</v>
      </c>
      <c r="L5" s="42" t="str">
        <f>IFERROR(VLOOKUP(TableDay1[[#This Row],[mp id]],metering_point_periods[],10,FALSE),"")</f>
        <v/>
      </c>
      <c r="M5" s="42" t="str">
        <f>IFERROR(VLOOKUP(TableDay1[[#This Row],[mp id]],metering_point_periods[],11,FALSE),"")</f>
        <v/>
      </c>
      <c r="N5" s="42" t="str">
        <f>IF(COUNTIF(grid_loss_metering_points[metering_point_id],TableDay1[[#This Row],[mp id]])&gt;0,IF(TableDay1[[#This Row],[type]]="E17","glmp","skmp"),"")</f>
        <v/>
      </c>
      <c r="O5" s="42" t="str">
        <f>IFERROR(VLOOKUP(TableDay1[[#This Row],[mp id]],metering_point_periods[],5,FALSE),"")</f>
        <v>802</v>
      </c>
      <c r="P5" s="42" t="str">
        <f>IFERROR(VLOOKUP(TableDay1[[#This Row],[mp id]],metering_point_periods[],7,FALSE),"")</f>
        <v>802</v>
      </c>
      <c r="Q5" s="42" t="str">
        <f>IFERROR(VLOOKUP(TableDay1[[#This Row],[mp id]],metering_point_periods[],8,FALSE),"")</f>
        <v>800</v>
      </c>
      <c r="R5" s="21"/>
      <c r="S5" s="7" t="s">
        <v>26</v>
      </c>
      <c r="T5" s="9">
        <f>SUMIFS(TableDay1[TotalHour],TableDay1[type],"E17",TableDay1[resolution],"PT15M")</f>
        <v>18.299999999999997</v>
      </c>
      <c r="U5" s="36">
        <f>SUMIFS(TableDay1[Quarter1],TableDay1[type],"E17",TableDay1[resolution],"PT15M")</f>
        <v>15</v>
      </c>
      <c r="V5" s="36">
        <f>SUMIFS(TableDay1[Quarter2],TableDay1[type],"E17",TableDay1[resolution],"PT15M")</f>
        <v>1.1000000000000001</v>
      </c>
      <c r="W5" s="36">
        <f>SUMIFS(TableDay1[Quarter3],TableDay1[type],"E17",TableDay1[resolution],"PT15M")</f>
        <v>1.1000000000000001</v>
      </c>
      <c r="X5" s="36">
        <f>SUMIFS(TableDay1[Quarter4],TableDay1[type],"E17",TableDay1[resolution],"PT15M")</f>
        <v>1.1000000000000001</v>
      </c>
      <c r="Y5" s="21"/>
      <c r="Z5" s="21"/>
      <c r="AA5" s="21"/>
      <c r="AC5" s="21"/>
      <c r="AD5" s="21"/>
      <c r="AE5" s="21"/>
      <c r="AF5" s="21"/>
      <c r="AG5" s="21"/>
      <c r="AH5" s="21" t="str">
        <v>803</v>
      </c>
      <c r="AI5" s="21" t="str">
        <v>803</v>
      </c>
      <c r="AJ5" s="21" t="str">
        <v>803</v>
      </c>
      <c r="AK5" s="21" t="str">
        <v>803</v>
      </c>
      <c r="AL5" s="21"/>
      <c r="AM5" s="21"/>
      <c r="AN5" s="24" t="str" cm="1">
        <f t="array" ref="AN5:AN8">_xlfn.UNIQUE(metering_point_periods[grid_area_code])</f>
        <v>800</v>
      </c>
      <c r="AO5" s="21"/>
      <c r="AP5" s="21"/>
      <c r="AQ5" s="55" t="str" cm="1">
        <f t="array" ref="AQ5:AQ7">_xlfn.UNIQUE(LEFT(time_series_points[observation_time],14))</f>
        <v>2023-07-02 02:</v>
      </c>
    </row>
    <row r="6" spans="1:92" x14ac:dyDescent="0.35">
      <c r="C6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200000001500000003</v>
      </c>
      <c r="D6" s="42" t="str">
        <f>IFERROR(VLOOKUP(TableDay1[[#This Row],[mp id]],metering_point_periods[],2,FALSE),"")</f>
        <v>E20</v>
      </c>
      <c r="E6" s="42" t="str">
        <f>IFERROR(VLOOKUP(TableDay1[[#This Row],[mp id]],metering_point_periods[],4,FALSE),"")</f>
        <v/>
      </c>
      <c r="F6" s="10" t="str" cm="1">
        <f t="array" ref="F6">IFERROR(VALUE(SUBSTITUTE(INDEX(_xlfn._xlws.FILTER(time_series_points[],(time_series_points[observation_time]=_xlfn.CONCAT(B$4,"00"))*(time_series_points[metering_point_id]=TableDay1[[#This Row],[mp id]])),,2),".",",")),"")</f>
        <v/>
      </c>
      <c r="G6" s="10" cm="1">
        <f t="array" ref="G6">IFERROR(VALUE(SUBSTITUTE(INDEX(_xlfn._xlws.FILTER(time_series_points[],(time_series_points[observation_time]=_xlfn.CONCAT(B$4,"15"))*(time_series_points[metering_point_id]=TableDay1[[#This Row],[mp id]])),,2),".",",")),"")</f>
        <v>5</v>
      </c>
      <c r="H6" s="10" t="str" cm="1">
        <f t="array" ref="H6">IFERROR(VALUE(SUBSTITUTE(INDEX(_xlfn._xlws.FILTER(time_series_points[],(time_series_points[observation_time]=_xlfn.CONCAT(B$4,"30"))*(time_series_points[metering_point_id]=TableDay1[[#This Row],[mp id]])),,2),".",",")),"")</f>
        <v/>
      </c>
      <c r="I6" s="10" t="str" cm="1">
        <f t="array" ref="I6">IFERROR(VALUE(SUBSTITUTE(INDEX(_xlfn._xlws.FILTER(time_series_points[],(time_series_points[observation_time]=_xlfn.CONCAT(B$4,"45"))*(time_series_points[metering_point_id]=TableDay1[[#This Row],[mp id]])),,2),".",",")),"")</f>
        <v/>
      </c>
      <c r="J6" s="37">
        <f t="shared" si="0"/>
        <v>5</v>
      </c>
      <c r="K6" s="42" t="str">
        <f>IFERROR(VLOOKUP(TableDay1[[#This Row],[mp id]],metering_point_periods[],6,FALSE),"")</f>
        <v>PT15M</v>
      </c>
      <c r="L6" s="42" t="str">
        <f>IFERROR(VLOOKUP(TableDay1[[#This Row],[mp id]],metering_point_periods[],10,FALSE),"")</f>
        <v/>
      </c>
      <c r="M6" s="42" t="str">
        <f>IFERROR(VLOOKUP(TableDay1[[#This Row],[mp id]],metering_point_periods[],11,FALSE),"")</f>
        <v/>
      </c>
      <c r="N6" s="42" t="str">
        <f>IF(COUNTIF(grid_loss_metering_points[metering_point_id],TableDay1[[#This Row],[mp id]])&gt;0,IF(TableDay1[[#This Row],[type]]="E17","glmp","skmp"),"")</f>
        <v/>
      </c>
      <c r="O6" s="42" t="str">
        <f>IFERROR(VLOOKUP(TableDay1[[#This Row],[mp id]],metering_point_periods[],5,FALSE),"")</f>
        <v>800</v>
      </c>
      <c r="P6" s="42" t="str">
        <f>IFERROR(VLOOKUP(TableDay1[[#This Row],[mp id]],metering_point_periods[],7,FALSE),"")</f>
        <v>800</v>
      </c>
      <c r="Q6" s="42" t="str">
        <f>IFERROR(VLOOKUP(TableDay1[[#This Row],[mp id]],metering_point_periods[],8,FALSE),"")</f>
        <v>803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C6" s="21"/>
      <c r="AD6" s="21"/>
      <c r="AE6" s="21"/>
      <c r="AF6" s="21"/>
      <c r="AG6" s="21"/>
      <c r="AH6" s="21" t="str">
        <v>804</v>
      </c>
      <c r="AI6" s="21" t="str">
        <v>804</v>
      </c>
      <c r="AJ6" s="21" t="str">
        <v>804</v>
      </c>
      <c r="AK6" s="21" t="str">
        <v>804</v>
      </c>
      <c r="AL6" s="21"/>
      <c r="AM6" s="21"/>
      <c r="AN6" s="21" t="str">
        <v>801</v>
      </c>
      <c r="AO6" s="21"/>
      <c r="AP6" s="21"/>
      <c r="AQ6" s="21" t="str">
        <v>2023-07-02 03:</v>
      </c>
    </row>
    <row r="7" spans="1:92" x14ac:dyDescent="0.35">
      <c r="C7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200000000000000004</v>
      </c>
      <c r="D7" s="42" t="str">
        <f>IFERROR(VLOOKUP(TableDay1[[#This Row],[mp id]],metering_point_periods[],2,FALSE),"")</f>
        <v>E20</v>
      </c>
      <c r="E7" s="42" t="str">
        <f>IFERROR(VLOOKUP(TableDay1[[#This Row],[mp id]],metering_point_periods[],4,FALSE),"")</f>
        <v/>
      </c>
      <c r="F7" s="10" cm="1">
        <f t="array" ref="F7">IFERROR(VALUE(SUBSTITUTE(INDEX(_xlfn._xlws.FILTER(time_series_points[],(time_series_points[observation_time]=_xlfn.CONCAT(B$4,"00"))*(time_series_points[metering_point_id]=TableDay1[[#This Row],[mp id]])),,2),".",",")),"")</f>
        <v>1.117</v>
      </c>
      <c r="G7" s="10" t="str" cm="1">
        <f t="array" ref="G7">IFERROR(VALUE(SUBSTITUTE(INDEX(_xlfn._xlws.FILTER(time_series_points[],(time_series_points[observation_time]=_xlfn.CONCAT(B$4,"15"))*(time_series_points[metering_point_id]=TableDay1[[#This Row],[mp id]])),,2),".",",")),"")</f>
        <v/>
      </c>
      <c r="H7" s="35" t="str" cm="1">
        <f t="array" ref="H7">IFERROR(VALUE(SUBSTITUTE(INDEX(_xlfn._xlws.FILTER(time_series_points[],(time_series_points[observation_time]=_xlfn.CONCAT(B$4,"30"))*(time_series_points[metering_point_id]=TableDay1[[#This Row],[mp id]])),,2),".",",")),"")</f>
        <v/>
      </c>
      <c r="I7" s="35" t="str" cm="1">
        <f t="array" ref="I7">IFERROR(VALUE(SUBSTITUTE(INDEX(_xlfn._xlws.FILTER(time_series_points[],(time_series_points[observation_time]=_xlfn.CONCAT(B$4,"45"))*(time_series_points[metering_point_id]=TableDay1[[#This Row],[mp id]])),,2),".",",")),"")</f>
        <v/>
      </c>
      <c r="J7" s="37">
        <f t="shared" si="0"/>
        <v>1.117</v>
      </c>
      <c r="K7" s="42" t="str">
        <f>IFERROR(VLOOKUP(TableDay1[[#This Row],[mp id]],metering_point_periods[],6,FALSE),"")</f>
        <v>PT1H</v>
      </c>
      <c r="L7" s="42" t="str">
        <f>IFERROR(VLOOKUP(TableDay1[[#This Row],[mp id]],metering_point_periods[],10,FALSE),"")</f>
        <v/>
      </c>
      <c r="M7" s="42" t="str">
        <f>IFERROR(VLOOKUP(TableDay1[[#This Row],[mp id]],metering_point_periods[],11,FALSE),"")</f>
        <v/>
      </c>
      <c r="N7" s="42" t="str">
        <f>IF(COUNTIF(grid_loss_metering_points[metering_point_id],TableDay1[[#This Row],[mp id]])&gt;0,IF(TableDay1[[#This Row],[type]]="E17","glmp","skmp"),"")</f>
        <v/>
      </c>
      <c r="O7" s="42" t="str">
        <f>IFERROR(VLOOKUP(TableDay1[[#This Row],[mp id]],metering_point_periods[],5,FALSE),"")</f>
        <v>800</v>
      </c>
      <c r="P7" s="42" t="str">
        <f>IFERROR(VLOOKUP(TableDay1[[#This Row],[mp id]],metering_point_periods[],7,FALSE),"")</f>
        <v>800</v>
      </c>
      <c r="Q7" s="42" t="str">
        <f>IFERROR(VLOOKUP(TableDay1[[#This Row],[mp id]],metering_point_periods[],8,FALSE),"")</f>
        <v>804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C7" s="21"/>
      <c r="AD7" s="21"/>
      <c r="AE7" s="21"/>
      <c r="AF7" s="21"/>
      <c r="AG7" s="21"/>
      <c r="AH7" s="21"/>
      <c r="AI7" s="21"/>
      <c r="AJ7" s="21">
        <v>0</v>
      </c>
      <c r="AK7" s="21">
        <v>0</v>
      </c>
      <c r="AL7" s="21"/>
      <c r="AM7" s="21"/>
      <c r="AN7" s="21" t="str">
        <v>802</v>
      </c>
      <c r="AO7" s="21"/>
      <c r="AP7" s="21"/>
      <c r="AQ7" s="21" t="str">
        <v>2023-07-03 02:</v>
      </c>
    </row>
    <row r="8" spans="1:92" x14ac:dyDescent="0.35">
      <c r="C8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170000001500000101</v>
      </c>
      <c r="D8" s="42" t="str">
        <f>IFERROR(VLOOKUP(TableDay1[[#This Row],[mp id]],metering_point_periods[],2,FALSE),"")</f>
        <v>E17</v>
      </c>
      <c r="E8" s="42" t="str">
        <f>IFERROR(VLOOKUP(TableDay1[[#This Row],[mp id]],metering_point_periods[],4,FALSE),"")</f>
        <v>E02</v>
      </c>
      <c r="F8" s="10" cm="1">
        <f t="array" ref="F8">IFERROR(VALUE(SUBSTITUTE(INDEX(_xlfn._xlws.FILTER(time_series_points[],(time_series_points[observation_time]=_xlfn.CONCAT(B$4,"00"))*(time_series_points[metering_point_id]=TableDay1[[#This Row],[mp id]])),,2),".",",")),"")</f>
        <v>5</v>
      </c>
      <c r="G8" s="10" t="str" cm="1">
        <f t="array" ref="G8">IFERROR(VALUE(SUBSTITUTE(INDEX(_xlfn._xlws.FILTER(time_series_points[],(time_series_points[observation_time]=_xlfn.CONCAT(B$4,"15"))*(time_series_points[metering_point_id]=TableDay1[[#This Row],[mp id]])),,2),".",",")),"")</f>
        <v/>
      </c>
      <c r="H8" s="35" t="str" cm="1">
        <f t="array" ref="H8">IFERROR(VALUE(SUBSTITUTE(INDEX(_xlfn._xlws.FILTER(time_series_points[],(time_series_points[observation_time]=_xlfn.CONCAT(B$4,"30"))*(time_series_points[metering_point_id]=TableDay1[[#This Row],[mp id]])),,2),".",",")),"")</f>
        <v/>
      </c>
      <c r="I8" s="35" t="str" cm="1">
        <f t="array" ref="I8">IFERROR(VALUE(SUBSTITUTE(INDEX(_xlfn._xlws.FILTER(time_series_points[],(time_series_points[observation_time]=_xlfn.CONCAT(B$4,"45"))*(time_series_points[metering_point_id]=TableDay1[[#This Row],[mp id]])),,2),".",",")),"")</f>
        <v/>
      </c>
      <c r="J8" s="37">
        <f t="shared" si="0"/>
        <v>5</v>
      </c>
      <c r="K8" s="42" t="str">
        <f>IFERROR(VLOOKUP(TableDay1[[#This Row],[mp id]],metering_point_periods[],6,FALSE),"")</f>
        <v>PT15M</v>
      </c>
      <c r="L8" s="42" t="str">
        <f>IFERROR(VLOOKUP(TableDay1[[#This Row],[mp id]],metering_point_periods[],10,FALSE),"")</f>
        <v>1000000000000</v>
      </c>
      <c r="M8" s="42" t="str">
        <f>IFERROR(VLOOKUP(TableDay1[[#This Row],[mp id]],metering_point_periods[],11,FALSE),"")</f>
        <v>1100000000000</v>
      </c>
      <c r="N8" s="42" t="str">
        <f>IF(COUNTIF(grid_loss_metering_points[metering_point_id],TableDay1[[#This Row],[mp id]])&gt;0,IF(TableDay1[[#This Row],[type]]="E17","glmp","skmp"),"")</f>
        <v/>
      </c>
      <c r="O8" s="42" t="str">
        <f>IFERROR(VLOOKUP(TableDay1[[#This Row],[mp id]],metering_point_periods[],5,FALSE),"")</f>
        <v>800</v>
      </c>
      <c r="P8" s="42" t="str">
        <f>IFERROR(VLOOKUP(TableDay1[[#This Row],[mp id]],metering_point_periods[],7,FALSE),"")</f>
        <v/>
      </c>
      <c r="Q8" s="42" t="str">
        <f>IFERROR(VLOOKUP(TableDay1[[#This Row],[mp id]],metering_point_periods[],8,FALSE),"")</f>
        <v/>
      </c>
      <c r="R8" s="21"/>
      <c r="S8" s="21"/>
      <c r="T8" s="21"/>
      <c r="U8" s="21"/>
      <c r="V8" s="21"/>
      <c r="W8" s="21"/>
      <c r="X8" s="21"/>
      <c r="Y8" s="21"/>
      <c r="Z8" s="21"/>
      <c r="AA8" s="21"/>
      <c r="AC8" s="21"/>
      <c r="AD8" s="21"/>
      <c r="AE8" s="21"/>
      <c r="AF8" s="21"/>
      <c r="AG8" s="21"/>
      <c r="AH8" s="21"/>
      <c r="AI8" s="21"/>
      <c r="AJ8" s="21">
        <v>0</v>
      </c>
      <c r="AK8" s="21">
        <v>0</v>
      </c>
      <c r="AL8" s="21"/>
      <c r="AM8" s="21"/>
      <c r="AN8" s="21" t="str">
        <v>111</v>
      </c>
      <c r="AO8" s="21"/>
      <c r="AP8" s="21"/>
      <c r="AQ8" s="21"/>
    </row>
    <row r="9" spans="1:92" x14ac:dyDescent="0.35">
      <c r="C9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170000000000000102</v>
      </c>
      <c r="D9" s="42" t="str">
        <f>IFERROR(VLOOKUP(TableDay1[[#This Row],[mp id]],metering_point_periods[],2,FALSE),"")</f>
        <v>E17</v>
      </c>
      <c r="E9" s="42" t="str">
        <f>IFERROR(VLOOKUP(TableDay1[[#This Row],[mp id]],metering_point_periods[],4,FALSE),"")</f>
        <v>E02</v>
      </c>
      <c r="F9" s="10" cm="1">
        <f t="array" ref="F9">IFERROR(VALUE(SUBSTITUTE(INDEX(_xlfn._xlws.FILTER(time_series_points[],(time_series_points[observation_time]=_xlfn.CONCAT(B$4,"00"))*(time_series_points[metering_point_id]=TableDay1[[#This Row],[mp id]])),,2),".",",")),"")</f>
        <v>8</v>
      </c>
      <c r="G9" s="10" t="str" cm="1">
        <f t="array" ref="G9">IFERROR(VALUE(SUBSTITUTE(INDEX(_xlfn._xlws.FILTER(time_series_points[],(time_series_points[observation_time]=_xlfn.CONCAT(B$4,"15"))*(time_series_points[metering_point_id]=TableDay1[[#This Row],[mp id]])),,2),".",",")),"")</f>
        <v/>
      </c>
      <c r="H9" s="35" t="str" cm="1">
        <f t="array" ref="H9">IFERROR(VALUE(SUBSTITUTE(INDEX(_xlfn._xlws.FILTER(time_series_points[],(time_series_points[observation_time]=_xlfn.CONCAT(B$4,"30"))*(time_series_points[metering_point_id]=TableDay1[[#This Row],[mp id]])),,2),".",",")),"")</f>
        <v/>
      </c>
      <c r="I9" s="35" t="str" cm="1">
        <f t="array" ref="I9">IFERROR(VALUE(SUBSTITUTE(INDEX(_xlfn._xlws.FILTER(time_series_points[],(time_series_points[observation_time]=_xlfn.CONCAT(B$4,"45"))*(time_series_points[metering_point_id]=TableDay1[[#This Row],[mp id]])),,2),".",",")),"")</f>
        <v/>
      </c>
      <c r="J9" s="37">
        <f t="shared" si="0"/>
        <v>8</v>
      </c>
      <c r="K9" s="42" t="str">
        <f>IFERROR(VLOOKUP(TableDay1[[#This Row],[mp id]],metering_point_periods[],6,FALSE),"")</f>
        <v>PT1H</v>
      </c>
      <c r="L9" s="42" t="str">
        <f>IFERROR(VLOOKUP(TableDay1[[#This Row],[mp id]],metering_point_periods[],10,FALSE),"")</f>
        <v>2000000000000</v>
      </c>
      <c r="M9" s="42" t="str">
        <f>IFERROR(VLOOKUP(TableDay1[[#This Row],[mp id]],metering_point_periods[],11,FALSE),"")</f>
        <v>1100000000000</v>
      </c>
      <c r="N9" s="42" t="str">
        <f>IF(COUNTIF(grid_loss_metering_points[metering_point_id],TableDay1[[#This Row],[mp id]])&gt;0,IF(TableDay1[[#This Row],[type]]="E17","glmp","skmp"),"")</f>
        <v/>
      </c>
      <c r="O9" s="42" t="str">
        <f>IFERROR(VLOOKUP(TableDay1[[#This Row],[mp id]],metering_point_periods[],5,FALSE),"")</f>
        <v>800</v>
      </c>
      <c r="P9" s="42" t="str">
        <f>IFERROR(VLOOKUP(TableDay1[[#This Row],[mp id]],metering_point_periods[],7,FALSE),"")</f>
        <v/>
      </c>
      <c r="Q9" s="42" t="str">
        <f>IFERROR(VLOOKUP(TableDay1[[#This Row],[mp id]],metering_point_periods[],8,FALSE),"")</f>
        <v/>
      </c>
      <c r="R9" s="21"/>
      <c r="S9" s="22"/>
      <c r="T9" s="7" t="s">
        <v>10</v>
      </c>
      <c r="U9" s="7" t="s">
        <v>9</v>
      </c>
      <c r="V9" s="7" t="s">
        <v>81</v>
      </c>
      <c r="W9" s="7" t="s">
        <v>42</v>
      </c>
      <c r="X9" s="7" t="s">
        <v>43</v>
      </c>
      <c r="Y9" s="7" t="s">
        <v>44</v>
      </c>
      <c r="Z9" s="24"/>
      <c r="AA9" s="21"/>
      <c r="AC9" s="21"/>
      <c r="AD9" s="31"/>
      <c r="AE9" s="31"/>
      <c r="AF9" s="31"/>
      <c r="AG9" s="31"/>
      <c r="AH9" s="31"/>
      <c r="AI9" s="21"/>
      <c r="AJ9" s="21">
        <v>0</v>
      </c>
      <c r="AK9" s="21">
        <v>0</v>
      </c>
      <c r="AL9" s="21"/>
      <c r="AM9" s="21"/>
      <c r="AN9" s="21"/>
      <c r="AO9" s="21"/>
      <c r="AP9" s="21"/>
      <c r="AQ9" s="21"/>
    </row>
    <row r="10" spans="1:92" x14ac:dyDescent="0.35">
      <c r="C10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170000000000000103</v>
      </c>
      <c r="D10" s="42" t="str">
        <f>IFERROR(VLOOKUP(TableDay1[[#This Row],[mp id]],metering_point_periods[],2,FALSE),"")</f>
        <v>E17</v>
      </c>
      <c r="E10" s="42" t="str">
        <f>IFERROR(VLOOKUP(TableDay1[[#This Row],[mp id]],metering_point_periods[],4,FALSE),"")</f>
        <v>E02</v>
      </c>
      <c r="F10" s="10" cm="1">
        <f t="array" ref="F10">IFERROR(VALUE(SUBSTITUTE(INDEX(_xlfn._xlws.FILTER(time_series_points[],(time_series_points[observation_time]=_xlfn.CONCAT(B$4,"00"))*(time_series_points[metering_point_id]=TableDay1[[#This Row],[mp id]])),,2),".",",")),"")</f>
        <v>0.80700000000000005</v>
      </c>
      <c r="G10" s="10" t="str" cm="1">
        <f t="array" ref="G10">IFERROR(VALUE(SUBSTITUTE(INDEX(_xlfn._xlws.FILTER(time_series_points[],(time_series_points[observation_time]=_xlfn.CONCAT(B$4,"15"))*(time_series_points[metering_point_id]=TableDay1[[#This Row],[mp id]])),,2),".",",")),"")</f>
        <v/>
      </c>
      <c r="H10" s="35" t="str" cm="1">
        <f t="array" ref="H10">IFERROR(VALUE(SUBSTITUTE(INDEX(_xlfn._xlws.FILTER(time_series_points[],(time_series_points[observation_time]=_xlfn.CONCAT(B$4,"30"))*(time_series_points[metering_point_id]=TableDay1[[#This Row],[mp id]])),,2),".",",")),"")</f>
        <v/>
      </c>
      <c r="I10" s="35" t="str" cm="1">
        <f t="array" ref="I10">IFERROR(VALUE(SUBSTITUTE(INDEX(_xlfn._xlws.FILTER(time_series_points[],(time_series_points[observation_time]=_xlfn.CONCAT(B$4,"45"))*(time_series_points[metering_point_id]=TableDay1[[#This Row],[mp id]])),,2),".",",")),"")</f>
        <v/>
      </c>
      <c r="J10" s="37">
        <f t="shared" si="0"/>
        <v>0.80700000000000005</v>
      </c>
      <c r="K10" s="42" t="str">
        <f>IFERROR(VLOOKUP(TableDay1[[#This Row],[mp id]],metering_point_periods[],6,FALSE),"")</f>
        <v>PT1H</v>
      </c>
      <c r="L10" s="42" t="str">
        <f>IFERROR(VLOOKUP(TableDay1[[#This Row],[mp id]],metering_point_periods[],10,FALSE),"")</f>
        <v>3000000000000</v>
      </c>
      <c r="M10" s="42" t="str">
        <f>IFERROR(VLOOKUP(TableDay1[[#This Row],[mp id]],metering_point_periods[],11,FALSE),"")</f>
        <v>2200000000000</v>
      </c>
      <c r="N10" s="42" t="str">
        <f>IF(COUNTIF(grid_loss_metering_points[metering_point_id],TableDay1[[#This Row],[mp id]])&gt;0,IF(TableDay1[[#This Row],[type]]="E17","glmp","skmp"),"")</f>
        <v/>
      </c>
      <c r="O10" s="42" t="str">
        <f>IFERROR(VLOOKUP(TableDay1[[#This Row],[mp id]],metering_point_periods[],5,FALSE),"")</f>
        <v>800</v>
      </c>
      <c r="P10" s="42" t="str">
        <f>IFERROR(VLOOKUP(TableDay1[[#This Row],[mp id]],metering_point_periods[],7,FALSE),"")</f>
        <v/>
      </c>
      <c r="Q10" s="42" t="str">
        <f>IFERROR(VLOOKUP(TableDay1[[#This Row],[mp id]],metering_point_periods[],8,FALSE),"")</f>
        <v/>
      </c>
      <c r="R10" s="12" t="s">
        <v>71</v>
      </c>
      <c r="S10" s="23" t="str">
        <f>_xlfn.IFNA(INDEX(TableDay1[ga_id],MATCH(U10,TableDay1[es_id],0)),"")</f>
        <v>800</v>
      </c>
      <c r="T10" s="23" t="str">
        <f>_xlfn.IFNA(INDEX(TableDay1[brp_id],MATCH(U10,TableDay1[es_id],0)),"")</f>
        <v>1100000000000</v>
      </c>
      <c r="U10" s="23" t="str">
        <f>IF(AE$2=0,"",AE$2)</f>
        <v>1000000000000</v>
      </c>
      <c r="V10" s="17">
        <f>SUMIFS(TableDay1[TotalHour],TableDay1[es_id],U10,IF(B$2="production",TableDay1[type],TableDay1[settlement_method]),AG$2,TableDay1[resolution],"PT1H")/4</f>
        <v>0</v>
      </c>
      <c r="W10" s="16">
        <f>V10</f>
        <v>0</v>
      </c>
      <c r="X10" s="16"/>
      <c r="Y10" s="20">
        <f t="shared" ref="Y10:Y33" si="1">ROUND(W10, 3)</f>
        <v>0</v>
      </c>
      <c r="Z10" s="24"/>
      <c r="AA10" s="21"/>
      <c r="AC10" s="24"/>
      <c r="AD10" s="32"/>
      <c r="AE10" s="32"/>
      <c r="AF10" s="32"/>
      <c r="AG10" s="32"/>
      <c r="AH10" s="31"/>
      <c r="AI10" s="21"/>
      <c r="AJ10" s="21">
        <v>0</v>
      </c>
      <c r="AK10" s="21">
        <v>0</v>
      </c>
      <c r="AL10" s="21"/>
      <c r="AM10" s="21"/>
      <c r="AN10" s="21"/>
      <c r="AO10" s="21"/>
      <c r="AP10" s="21"/>
      <c r="AQ10" s="21"/>
    </row>
    <row r="11" spans="1:92" x14ac:dyDescent="0.35">
      <c r="C11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170000001500000201</v>
      </c>
      <c r="D11" s="42" t="str">
        <f>IFERROR(VLOOKUP(TableDay1[[#This Row],[mp id]],metering_point_periods[],2,FALSE),"")</f>
        <v>E17</v>
      </c>
      <c r="E11" s="42" t="str">
        <f>IFERROR(VLOOKUP(TableDay1[[#This Row],[mp id]],metering_point_periods[],4,FALSE),"")</f>
        <v>D01</v>
      </c>
      <c r="F11" s="10" cm="1">
        <f t="array" ref="F11">IFERROR(VALUE(SUBSTITUTE(INDEX(_xlfn._xlws.FILTER(time_series_points[],(time_series_points[observation_time]=_xlfn.CONCAT(B$4,"00"))*(time_series_points[metering_point_id]=TableDay1[[#This Row],[mp id]])),,2),".",",")),"")</f>
        <v>10</v>
      </c>
      <c r="G11" s="10" cm="1">
        <f t="array" ref="G11">IFERROR(VALUE(SUBSTITUTE(INDEX(_xlfn._xlws.FILTER(time_series_points[],(time_series_points[observation_time]=_xlfn.CONCAT(B$4,"15"))*(time_series_points[metering_point_id]=TableDay1[[#This Row],[mp id]])),,2),".",",")),"")</f>
        <v>1.1000000000000001</v>
      </c>
      <c r="H11" s="35" cm="1">
        <f t="array" ref="H11">IFERROR(VALUE(SUBSTITUTE(INDEX(_xlfn._xlws.FILTER(time_series_points[],(time_series_points[observation_time]=_xlfn.CONCAT(B$4,"30"))*(time_series_points[metering_point_id]=TableDay1[[#This Row],[mp id]])),,2),".",",")),"")</f>
        <v>1.1000000000000001</v>
      </c>
      <c r="I11" s="35" cm="1">
        <f t="array" ref="I11">IFERROR(VALUE(SUBSTITUTE(INDEX(_xlfn._xlws.FILTER(time_series_points[],(time_series_points[observation_time]=_xlfn.CONCAT(B$4,"45"))*(time_series_points[metering_point_id]=TableDay1[[#This Row],[mp id]])),,2),".",",")),"")</f>
        <v>1.1000000000000001</v>
      </c>
      <c r="J11" s="37">
        <f t="shared" si="0"/>
        <v>13.299999999999999</v>
      </c>
      <c r="K11" s="42" t="str">
        <f>IFERROR(VLOOKUP(TableDay1[[#This Row],[mp id]],metering_point_periods[],6,FALSE),"")</f>
        <v>PT15M</v>
      </c>
      <c r="L11" s="42" t="str">
        <f>IFERROR(VLOOKUP(TableDay1[[#This Row],[mp id]],metering_point_periods[],10,FALSE),"")</f>
        <v>1000000000000</v>
      </c>
      <c r="M11" s="42" t="str">
        <f>IFERROR(VLOOKUP(TableDay1[[#This Row],[mp id]],metering_point_periods[],11,FALSE),"")</f>
        <v>1100000000000</v>
      </c>
      <c r="N11" s="42" t="str">
        <f>IF(COUNTIF(grid_loss_metering_points[metering_point_id],TableDay1[[#This Row],[mp id]])&gt;0,IF(TableDay1[[#This Row],[type]]="E17","glmp","skmp"),"")</f>
        <v/>
      </c>
      <c r="O11" s="42" t="str">
        <f>IFERROR(VLOOKUP(TableDay1[[#This Row],[mp id]],metering_point_periods[],5,FALSE),"")</f>
        <v>800</v>
      </c>
      <c r="P11" s="42" t="str">
        <f>IFERROR(VLOOKUP(TableDay1[[#This Row],[mp id]],metering_point_periods[],7,FALSE),"")</f>
        <v/>
      </c>
      <c r="Q11" s="42" t="str">
        <f>IFERROR(VLOOKUP(TableDay1[[#This Row],[mp id]],metering_point_periods[],8,FALSE),"")</f>
        <v/>
      </c>
      <c r="R11" s="12" t="s">
        <v>72</v>
      </c>
      <c r="S11" s="23" t="str">
        <f>_xlfn.IFNA(INDEX(TableDay1[ga_id],MATCH(U11,TableDay1[es_id],0)),"")</f>
        <v>800</v>
      </c>
      <c r="T11" s="23" t="str">
        <f>_xlfn.IFNA(INDEX(TableDay1[brp_id],MATCH(U11,TableDay1[es_id],0)),"")</f>
        <v>1100000000000</v>
      </c>
      <c r="U11" s="23" t="str">
        <f t="shared" ref="U11:V13" si="2">U$10</f>
        <v>1000000000000</v>
      </c>
      <c r="V11" s="16">
        <f t="shared" si="2"/>
        <v>0</v>
      </c>
      <c r="W11" s="16">
        <f>X11+W10</f>
        <v>0</v>
      </c>
      <c r="X11" s="16">
        <f>V11-Y10</f>
        <v>0</v>
      </c>
      <c r="Y11" s="20">
        <f t="shared" si="1"/>
        <v>0</v>
      </c>
      <c r="Z11" s="24"/>
      <c r="AA11" s="21"/>
      <c r="AC11" s="24"/>
      <c r="AD11" s="32"/>
      <c r="AE11" s="32"/>
      <c r="AF11" s="32"/>
      <c r="AG11" s="32"/>
      <c r="AH11" s="31"/>
      <c r="AI11" s="21"/>
      <c r="AJ11" s="21">
        <v>0</v>
      </c>
      <c r="AK11" s="21">
        <v>0</v>
      </c>
      <c r="AL11" s="21"/>
      <c r="AM11" s="21"/>
      <c r="AN11" s="21"/>
      <c r="AO11" s="21"/>
      <c r="AP11" s="21"/>
      <c r="AQ11" s="21"/>
    </row>
    <row r="12" spans="1:92" x14ac:dyDescent="0.35">
      <c r="C12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170000000000000202</v>
      </c>
      <c r="D12" s="42" t="str">
        <f>IFERROR(VLOOKUP(TableDay1[[#This Row],[mp id]],metering_point_periods[],2,FALSE),"")</f>
        <v>E17</v>
      </c>
      <c r="E12" s="42" t="str">
        <f>IFERROR(VLOOKUP(TableDay1[[#This Row],[mp id]],metering_point_periods[],4,FALSE),"")</f>
        <v>D01</v>
      </c>
      <c r="F12" s="10" cm="1">
        <f t="array" ref="F12">IFERROR(VALUE(SUBSTITUTE(INDEX(_xlfn._xlws.FILTER(time_series_points[],(time_series_points[observation_time]=_xlfn.CONCAT(B$4,"00"))*(time_series_points[metering_point_id]=TableDay1[[#This Row],[mp id]])),,2),".",",")),"")</f>
        <v>10</v>
      </c>
      <c r="G12" s="10" t="str" cm="1">
        <f t="array" ref="G12">IFERROR(VALUE(SUBSTITUTE(INDEX(_xlfn._xlws.FILTER(time_series_points[],(time_series_points[observation_time]=_xlfn.CONCAT(B$4,"15"))*(time_series_points[metering_point_id]=TableDay1[[#This Row],[mp id]])),,2),".",",")),"")</f>
        <v/>
      </c>
      <c r="H12" s="35" t="str" cm="1">
        <f t="array" ref="H12">IFERROR(VALUE(SUBSTITUTE(INDEX(_xlfn._xlws.FILTER(time_series_points[],(time_series_points[observation_time]=_xlfn.CONCAT(B$4,"30"))*(time_series_points[metering_point_id]=TableDay1[[#This Row],[mp id]])),,2),".",",")),"")</f>
        <v/>
      </c>
      <c r="I12" s="35" t="str" cm="1">
        <f t="array" ref="I12">IFERROR(VALUE(SUBSTITUTE(INDEX(_xlfn._xlws.FILTER(time_series_points[],(time_series_points[observation_time]=_xlfn.CONCAT(B$4,"45"))*(time_series_points[metering_point_id]=TableDay1[[#This Row],[mp id]])),,2),".",",")),"")</f>
        <v/>
      </c>
      <c r="J12" s="37">
        <f t="shared" si="0"/>
        <v>10</v>
      </c>
      <c r="K12" s="42" t="str">
        <f>IFERROR(VLOOKUP(TableDay1[[#This Row],[mp id]],metering_point_periods[],6,FALSE),"")</f>
        <v>PT1H</v>
      </c>
      <c r="L12" s="42" t="str">
        <f>IFERROR(VLOOKUP(TableDay1[[#This Row],[mp id]],metering_point_periods[],10,FALSE),"")</f>
        <v>2000000000000</v>
      </c>
      <c r="M12" s="42" t="str">
        <f>IFERROR(VLOOKUP(TableDay1[[#This Row],[mp id]],metering_point_periods[],11,FALSE),"")</f>
        <v>1100000000000</v>
      </c>
      <c r="N12" s="42" t="str">
        <f>IF(COUNTIF(grid_loss_metering_points[metering_point_id],TableDay1[[#This Row],[mp id]])&gt;0,IF(TableDay1[[#This Row],[type]]="E17","glmp","skmp"),"")</f>
        <v/>
      </c>
      <c r="O12" s="42" t="str">
        <f>IFERROR(VLOOKUP(TableDay1[[#This Row],[mp id]],metering_point_periods[],5,FALSE),"")</f>
        <v>800</v>
      </c>
      <c r="P12" s="42" t="str">
        <f>IFERROR(VLOOKUP(TableDay1[[#This Row],[mp id]],metering_point_periods[],7,FALSE),"")</f>
        <v/>
      </c>
      <c r="Q12" s="42" t="str">
        <f>IFERROR(VLOOKUP(TableDay1[[#This Row],[mp id]],metering_point_periods[],8,FALSE),"")</f>
        <v/>
      </c>
      <c r="R12" s="12" t="s">
        <v>73</v>
      </c>
      <c r="S12" s="23" t="str">
        <f>_xlfn.IFNA(INDEX(TableDay1[ga_id],MATCH(U12,TableDay1[es_id],0)),"")</f>
        <v>800</v>
      </c>
      <c r="T12" s="23" t="str">
        <f>_xlfn.IFNA(INDEX(TableDay1[brp_id],MATCH(U12,TableDay1[es_id],0)),"")</f>
        <v>1100000000000</v>
      </c>
      <c r="U12" s="23" t="str">
        <f t="shared" si="2"/>
        <v>1000000000000</v>
      </c>
      <c r="V12" s="16">
        <f t="shared" si="2"/>
        <v>0</v>
      </c>
      <c r="W12" s="16">
        <f>X12+W11</f>
        <v>0</v>
      </c>
      <c r="X12" s="16">
        <f>V12-Y11</f>
        <v>0</v>
      </c>
      <c r="Y12" s="20">
        <f t="shared" si="1"/>
        <v>0</v>
      </c>
      <c r="Z12" s="24"/>
      <c r="AA12" s="21"/>
      <c r="AC12" s="24"/>
      <c r="AD12" s="32"/>
      <c r="AE12" s="32" t="s">
        <v>95</v>
      </c>
      <c r="AF12" s="32" t="s">
        <v>96</v>
      </c>
      <c r="AG12" s="32"/>
      <c r="AH12" s="31"/>
      <c r="AI12" s="21"/>
      <c r="AJ12" s="21">
        <v>0</v>
      </c>
      <c r="AK12" s="21">
        <v>0</v>
      </c>
      <c r="AL12" s="21"/>
      <c r="AM12" s="21"/>
      <c r="AN12" s="21"/>
      <c r="AO12" s="21"/>
      <c r="AP12" s="21"/>
      <c r="AQ12" s="21"/>
    </row>
    <row r="13" spans="1:92" x14ac:dyDescent="0.35">
      <c r="C13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170000000000000203</v>
      </c>
      <c r="D13" s="42" t="str">
        <f>IFERROR(VLOOKUP(TableDay1[[#This Row],[mp id]],metering_point_periods[],2,FALSE),"")</f>
        <v>E17</v>
      </c>
      <c r="E13" s="42" t="str">
        <f>IFERROR(VLOOKUP(TableDay1[[#This Row],[mp id]],metering_point_periods[],4,FALSE),"")</f>
        <v>D01</v>
      </c>
      <c r="F13" s="10" cm="1">
        <f t="array" ref="F13">IFERROR(VALUE(SUBSTITUTE(INDEX(_xlfn._xlws.FILTER(time_series_points[],(time_series_points[observation_time]=_xlfn.CONCAT(B$4,"00"))*(time_series_points[metering_point_id]=TableDay1[[#This Row],[mp id]])),,2),".",",")),"")</f>
        <v>0.25</v>
      </c>
      <c r="G13" s="10" t="str" cm="1">
        <f t="array" ref="G13">IFERROR(VALUE(SUBSTITUTE(INDEX(_xlfn._xlws.FILTER(time_series_points[],(time_series_points[observation_time]=_xlfn.CONCAT(B$4,"15"))*(time_series_points[metering_point_id]=TableDay1[[#This Row],[mp id]])),,2),".",",")),"")</f>
        <v/>
      </c>
      <c r="H13" s="35" t="str" cm="1">
        <f t="array" ref="H13">IFERROR(VALUE(SUBSTITUTE(INDEX(_xlfn._xlws.FILTER(time_series_points[],(time_series_points[observation_time]=_xlfn.CONCAT(B$4,"30"))*(time_series_points[metering_point_id]=TableDay1[[#This Row],[mp id]])),,2),".",",")),"")</f>
        <v/>
      </c>
      <c r="I13" s="35" t="str" cm="1">
        <f t="array" ref="I13">IFERROR(VALUE(SUBSTITUTE(INDEX(_xlfn._xlws.FILTER(time_series_points[],(time_series_points[observation_time]=_xlfn.CONCAT(B$4,"45"))*(time_series_points[metering_point_id]=TableDay1[[#This Row],[mp id]])),,2),".",",")),"")</f>
        <v/>
      </c>
      <c r="J13" s="37">
        <f t="shared" si="0"/>
        <v>0.25</v>
      </c>
      <c r="K13" s="42" t="str">
        <f>IFERROR(VLOOKUP(TableDay1[[#This Row],[mp id]],metering_point_periods[],6,FALSE),"")</f>
        <v>PT1H</v>
      </c>
      <c r="L13" s="42" t="str">
        <f>IFERROR(VLOOKUP(TableDay1[[#This Row],[mp id]],metering_point_periods[],10,FALSE),"")</f>
        <v>3000000000000</v>
      </c>
      <c r="M13" s="42" t="str">
        <f>IFERROR(VLOOKUP(TableDay1[[#This Row],[mp id]],metering_point_periods[],11,FALSE),"")</f>
        <v>2200000000000</v>
      </c>
      <c r="N13" s="42" t="str">
        <f>IF(COUNTIF(grid_loss_metering_points[metering_point_id],TableDay1[[#This Row],[mp id]])&gt;0,IF(TableDay1[[#This Row],[type]]="E17","glmp","skmp"),"")</f>
        <v/>
      </c>
      <c r="O13" s="42" t="str">
        <f>IFERROR(VLOOKUP(TableDay1[[#This Row],[mp id]],metering_point_periods[],5,FALSE),"")</f>
        <v>800</v>
      </c>
      <c r="P13" s="42" t="str">
        <f>IFERROR(VLOOKUP(TableDay1[[#This Row],[mp id]],metering_point_periods[],7,FALSE),"")</f>
        <v/>
      </c>
      <c r="Q13" s="42" t="str">
        <f>IFERROR(VLOOKUP(TableDay1[[#This Row],[mp id]],metering_point_periods[],8,FALSE),"")</f>
        <v/>
      </c>
      <c r="R13" s="12" t="s">
        <v>74</v>
      </c>
      <c r="S13" s="23" t="str">
        <f>_xlfn.IFNA(INDEX(TableDay1[ga_id],MATCH(U13,TableDay1[es_id],0)),"")</f>
        <v>800</v>
      </c>
      <c r="T13" s="23" t="str">
        <f>_xlfn.IFNA(INDEX(TableDay1[brp_id],MATCH(U13,TableDay1[es_id],0)),"")</f>
        <v>1100000000000</v>
      </c>
      <c r="U13" s="23" t="str">
        <f t="shared" si="2"/>
        <v>1000000000000</v>
      </c>
      <c r="V13" s="16">
        <f t="shared" si="2"/>
        <v>0</v>
      </c>
      <c r="W13" s="16">
        <f>X13+W12</f>
        <v>0</v>
      </c>
      <c r="X13" s="16">
        <f>V13-Y12</f>
        <v>0</v>
      </c>
      <c r="Y13" s="20">
        <f t="shared" si="1"/>
        <v>0</v>
      </c>
      <c r="Z13" s="24"/>
      <c r="AA13" s="21"/>
      <c r="AC13" s="2"/>
      <c r="AD13" s="32"/>
      <c r="AE13" s="32" t="str" cm="1">
        <f t="array" ref="AE13:AE15">_xlfn._xlws.SORT(_xlfn.UNIQUE(_xlfn._xlws.FILTER(TableDay1[es_id],TableDay1[es_id] &lt;&gt; "")))</f>
        <v>1000000000000</v>
      </c>
      <c r="AF13" s="32" t="str" cm="1">
        <f t="array" ref="AF13:AF14">_xlfn._xlws.SORT(_xlfn.UNIQUE(_xlfn._xlws.FILTER(TableDay1[brp_id],TableDay1[brp_id] &lt;&gt; "")))</f>
        <v>1100000000000</v>
      </c>
      <c r="AG13" s="32"/>
      <c r="AH13" s="31"/>
      <c r="AI13" s="21"/>
      <c r="AJ13" s="21">
        <v>0</v>
      </c>
      <c r="AK13" s="21">
        <v>0</v>
      </c>
      <c r="AL13" s="21"/>
      <c r="AM13" s="21"/>
      <c r="AN13" s="21"/>
      <c r="AO13" s="21"/>
      <c r="AP13" s="21"/>
      <c r="AQ13" s="21"/>
    </row>
    <row r="14" spans="1:92" x14ac:dyDescent="0.35">
      <c r="C14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180000001500000001</v>
      </c>
      <c r="D14" s="42" t="str">
        <f>IFERROR(VLOOKUP(TableDay1[[#This Row],[mp id]],metering_point_periods[],2,FALSE),"")</f>
        <v>E18</v>
      </c>
      <c r="E14" s="42" t="str">
        <f>IFERROR(VLOOKUP(TableDay1[[#This Row],[mp id]],metering_point_periods[],4,FALSE),"")</f>
        <v/>
      </c>
      <c r="F14" s="10" cm="1">
        <f t="array" ref="F14">IFERROR(VALUE(SUBSTITUTE(INDEX(_xlfn._xlws.FILTER(time_series_points[],(time_series_points[observation_time]=_xlfn.CONCAT(B$4,"00"))*(time_series_points[metering_point_id]=TableDay1[[#This Row],[mp id]])),,2),".",",")),"")</f>
        <v>6</v>
      </c>
      <c r="G14" s="10" t="str" cm="1">
        <f t="array" ref="G14">IFERROR(VALUE(SUBSTITUTE(INDEX(_xlfn._xlws.FILTER(time_series_points[],(time_series_points[observation_time]=_xlfn.CONCAT(B$4,"15"))*(time_series_points[metering_point_id]=TableDay1[[#This Row],[mp id]])),,2),".",",")),"")</f>
        <v/>
      </c>
      <c r="H14" s="35" t="str" cm="1">
        <f t="array" ref="H14">IFERROR(VALUE(SUBSTITUTE(INDEX(_xlfn._xlws.FILTER(time_series_points[],(time_series_points[observation_time]=_xlfn.CONCAT(B$4,"30"))*(time_series_points[metering_point_id]=TableDay1[[#This Row],[mp id]])),,2),".",",")),"")</f>
        <v/>
      </c>
      <c r="I14" s="35" t="str" cm="1">
        <f t="array" ref="I14">IFERROR(VALUE(SUBSTITUTE(INDEX(_xlfn._xlws.FILTER(time_series_points[],(time_series_points[observation_time]=_xlfn.CONCAT(B$4,"45"))*(time_series_points[metering_point_id]=TableDay1[[#This Row],[mp id]])),,2),".",",")),"")</f>
        <v/>
      </c>
      <c r="J14" s="37">
        <f t="shared" si="0"/>
        <v>6</v>
      </c>
      <c r="K14" s="42" t="str">
        <f>IFERROR(VLOOKUP(TableDay1[[#This Row],[mp id]],metering_point_periods[],6,FALSE),"")</f>
        <v>PT15M</v>
      </c>
      <c r="L14" s="42" t="str">
        <f>IFERROR(VLOOKUP(TableDay1[[#This Row],[mp id]],metering_point_periods[],10,FALSE),"")</f>
        <v>1000000000000</v>
      </c>
      <c r="M14" s="42" t="str">
        <f>IFERROR(VLOOKUP(TableDay1[[#This Row],[mp id]],metering_point_periods[],11,FALSE),"")</f>
        <v>1100000000000</v>
      </c>
      <c r="N14" s="42" t="str">
        <f>IF(COUNTIF(grid_loss_metering_points[metering_point_id],TableDay1[[#This Row],[mp id]])&gt;0,IF(TableDay1[[#This Row],[type]]="E17","glmp","skmp"),"")</f>
        <v/>
      </c>
      <c r="O14" s="42" t="str">
        <f>IFERROR(VLOOKUP(TableDay1[[#This Row],[mp id]],metering_point_periods[],5,FALSE),"")</f>
        <v>800</v>
      </c>
      <c r="P14" s="42" t="str">
        <f>IFERROR(VLOOKUP(TableDay1[[#This Row],[mp id]],metering_point_periods[],7,FALSE),"")</f>
        <v/>
      </c>
      <c r="Q14" s="42" t="str">
        <f>IFERROR(VLOOKUP(TableDay1[[#This Row],[mp id]],metering_point_periods[],8,FALSE),"")</f>
        <v/>
      </c>
      <c r="R14" s="12" t="s">
        <v>71</v>
      </c>
      <c r="S14" s="23" t="str">
        <f>_xlfn.IFNA(INDEX(TableDay1[ga_id],MATCH(U14,TableDay1[es_id],0)),"")</f>
        <v>800</v>
      </c>
      <c r="T14" s="23" t="str">
        <f>_xlfn.IFNA(INDEX(TableDay1[brp_id],MATCH(U14,TableDay1[es_id],0)),"")</f>
        <v>1100000000000</v>
      </c>
      <c r="U14" s="23" t="str">
        <f>IF(AE$3=0,"",AE$3)</f>
        <v>2000000000000</v>
      </c>
      <c r="V14" s="17">
        <f>SUMIFS(TableDay1[TotalHour],TableDay1[es_id],U14,IF(B$2="production",TableDay1[type],TableDay1[settlement_method]),AG$2,TableDay1[resolution],"PT1H")/4</f>
        <v>2.5</v>
      </c>
      <c r="W14" s="16">
        <f>V14</f>
        <v>2.5</v>
      </c>
      <c r="X14" s="16"/>
      <c r="Y14" s="20">
        <f t="shared" si="1"/>
        <v>2.5</v>
      </c>
      <c r="Z14" s="24"/>
      <c r="AA14" s="24"/>
      <c r="AB14" s="2"/>
      <c r="AC14" s="2"/>
      <c r="AD14" s="32"/>
      <c r="AE14" s="32" t="str">
        <v>2000000000000</v>
      </c>
      <c r="AF14" s="32" t="str">
        <v>2200000000000</v>
      </c>
      <c r="AG14" s="32"/>
      <c r="AH14" s="32"/>
      <c r="AI14" s="21"/>
      <c r="AJ14" s="21"/>
      <c r="AK14" s="21"/>
      <c r="AL14" s="21"/>
      <c r="AM14" s="21"/>
      <c r="AN14" s="21"/>
      <c r="AO14" s="21"/>
      <c r="AP14" s="21"/>
      <c r="AQ14" s="21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43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180000000000000002</v>
      </c>
      <c r="D15" s="42" t="str">
        <f>IFERROR(VLOOKUP(TableDay1[[#This Row],[mp id]],metering_point_periods[],2,FALSE),"")</f>
        <v>E18</v>
      </c>
      <c r="E15" s="42" t="str">
        <f>IFERROR(VLOOKUP(TableDay1[[#This Row],[mp id]],metering_point_periods[],4,FALSE),"")</f>
        <v/>
      </c>
      <c r="F15" s="10" cm="1">
        <f t="array" ref="F15">IFERROR(VALUE(SUBSTITUTE(INDEX(_xlfn._xlws.FILTER(time_series_points[],(time_series_points[observation_time]=_xlfn.CONCAT(B$4,"00"))*(time_series_points[metering_point_id]=TableDay1[[#This Row],[mp id]])),,2),".",",")),"")</f>
        <v>4</v>
      </c>
      <c r="G15" s="10" t="str" cm="1">
        <f t="array" ref="G15">IFERROR(VALUE(SUBSTITUTE(INDEX(_xlfn._xlws.FILTER(time_series_points[],(time_series_points[observation_time]=_xlfn.CONCAT(B$4,"15"))*(time_series_points[metering_point_id]=TableDay1[[#This Row],[mp id]])),,2),".",",")),"")</f>
        <v/>
      </c>
      <c r="H15" s="35" t="str" cm="1">
        <f t="array" ref="H15">IFERROR(VALUE(SUBSTITUTE(INDEX(_xlfn._xlws.FILTER(time_series_points[],(time_series_points[observation_time]=_xlfn.CONCAT(B$4,"30"))*(time_series_points[metering_point_id]=TableDay1[[#This Row],[mp id]])),,2),".",",")),"")</f>
        <v/>
      </c>
      <c r="I15" s="35" t="str" cm="1">
        <f t="array" ref="I15">IFERROR(VALUE(SUBSTITUTE(INDEX(_xlfn._xlws.FILTER(time_series_points[],(time_series_points[observation_time]=_xlfn.CONCAT(B$4,"45"))*(time_series_points[metering_point_id]=TableDay1[[#This Row],[mp id]])),,2),".",",")),"")</f>
        <v/>
      </c>
      <c r="J15" s="37">
        <f t="shared" si="0"/>
        <v>4</v>
      </c>
      <c r="K15" s="42" t="str">
        <f>IFERROR(VLOOKUP(TableDay1[[#This Row],[mp id]],metering_point_periods[],6,FALSE),"")</f>
        <v>PT1H</v>
      </c>
      <c r="L15" s="42" t="str">
        <f>IFERROR(VLOOKUP(TableDay1[[#This Row],[mp id]],metering_point_periods[],10,FALSE),"")</f>
        <v>2000000000000</v>
      </c>
      <c r="M15" s="42" t="str">
        <f>IFERROR(VLOOKUP(TableDay1[[#This Row],[mp id]],metering_point_periods[],11,FALSE),"")</f>
        <v>1100000000000</v>
      </c>
      <c r="N15" s="42" t="str">
        <f>IF(COUNTIF(grid_loss_metering_points[metering_point_id],TableDay1[[#This Row],[mp id]])&gt;0,IF(TableDay1[[#This Row],[type]]="E17","glmp","skmp"),"")</f>
        <v/>
      </c>
      <c r="O15" s="42" t="str">
        <f>IFERROR(VLOOKUP(TableDay1[[#This Row],[mp id]],metering_point_periods[],5,FALSE),"")</f>
        <v>800</v>
      </c>
      <c r="P15" s="42" t="str">
        <f>IFERROR(VLOOKUP(TableDay1[[#This Row],[mp id]],metering_point_periods[],7,FALSE),"")</f>
        <v/>
      </c>
      <c r="Q15" s="42" t="str">
        <f>IFERROR(VLOOKUP(TableDay1[[#This Row],[mp id]],metering_point_periods[],8,FALSE),"")</f>
        <v/>
      </c>
      <c r="R15" s="12" t="s">
        <v>72</v>
      </c>
      <c r="S15" s="23" t="str">
        <f>_xlfn.IFNA(INDEX(TableDay1[ga_id],MATCH(U15,TableDay1[es_id],0)),"")</f>
        <v>800</v>
      </c>
      <c r="T15" s="23" t="str">
        <f>_xlfn.IFNA(INDEX(TableDay1[brp_id],MATCH(U15,TableDay1[es_id],0)),"")</f>
        <v>1100000000000</v>
      </c>
      <c r="U15" s="23" t="str">
        <f t="shared" ref="U15:V17" si="3">U$14</f>
        <v>2000000000000</v>
      </c>
      <c r="V15" s="16">
        <f t="shared" si="3"/>
        <v>2.5</v>
      </c>
      <c r="W15" s="16">
        <f>X15+W14</f>
        <v>2.5</v>
      </c>
      <c r="X15" s="16">
        <f>V15-Y14</f>
        <v>0</v>
      </c>
      <c r="Y15" s="20">
        <f t="shared" si="1"/>
        <v>2.5</v>
      </c>
      <c r="Z15" s="24"/>
      <c r="AA15" s="24"/>
      <c r="AB15" s="2"/>
      <c r="AC15" s="2"/>
      <c r="AD15" s="32"/>
      <c r="AE15" s="32" t="str">
        <v>3000000000000</v>
      </c>
      <c r="AF15" s="32"/>
      <c r="AG15" s="32"/>
      <c r="AH15" s="32"/>
      <c r="AI15" s="21"/>
      <c r="AJ15" s="21"/>
      <c r="AK15" s="21"/>
      <c r="AL15" s="21"/>
      <c r="AM15" s="21"/>
      <c r="AN15" s="21"/>
      <c r="AO15" s="21"/>
      <c r="AP15" s="21"/>
      <c r="AQ15" s="21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43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>180000000000000003</v>
      </c>
      <c r="D16" s="42" t="str">
        <f>IFERROR(VLOOKUP(TableDay1[[#This Row],[mp id]],metering_point_periods[],2,FALSE),"")</f>
        <v>E18</v>
      </c>
      <c r="E16" s="42" t="str">
        <f>IFERROR(VLOOKUP(TableDay1[[#This Row],[mp id]],metering_point_periods[],4,FALSE),"")</f>
        <v/>
      </c>
      <c r="F16" s="10" cm="1">
        <f t="array" ref="F16">IFERROR(VALUE(SUBSTITUTE(INDEX(_xlfn._xlws.FILTER(time_series_points[],(time_series_points[observation_time]=_xlfn.CONCAT(B$4,"00"))*(time_series_points[metering_point_id]=TableDay1[[#This Row],[mp id]])),,2),".",",")),"")</f>
        <v>2.0030000000000001</v>
      </c>
      <c r="G16" s="10" t="str" cm="1">
        <f t="array" ref="G16">IFERROR(VALUE(SUBSTITUTE(INDEX(_xlfn._xlws.FILTER(time_series_points[],(time_series_points[observation_time]=_xlfn.CONCAT(B$4,"15"))*(time_series_points[metering_point_id]=TableDay1[[#This Row],[mp id]])),,2),".",",")),"")</f>
        <v/>
      </c>
      <c r="H16" s="35" t="str" cm="1">
        <f t="array" ref="H16">IFERROR(VALUE(SUBSTITUTE(INDEX(_xlfn._xlws.FILTER(time_series_points[],(time_series_points[observation_time]=_xlfn.CONCAT(B$4,"30"))*(time_series_points[metering_point_id]=TableDay1[[#This Row],[mp id]])),,2),".",",")),"")</f>
        <v/>
      </c>
      <c r="I16" s="35" t="str" cm="1">
        <f t="array" ref="I16">IFERROR(VALUE(SUBSTITUTE(INDEX(_xlfn._xlws.FILTER(time_series_points[],(time_series_points[observation_time]=_xlfn.CONCAT(B$4,"45"))*(time_series_points[metering_point_id]=TableDay1[[#This Row],[mp id]])),,2),".",",")),"")</f>
        <v/>
      </c>
      <c r="J16" s="37">
        <f t="shared" si="0"/>
        <v>2.0030000000000001</v>
      </c>
      <c r="K16" s="42" t="str">
        <f>IFERROR(VLOOKUP(TableDay1[[#This Row],[mp id]],metering_point_periods[],6,FALSE),"")</f>
        <v>PT1H</v>
      </c>
      <c r="L16" s="42" t="str">
        <f>IFERROR(VLOOKUP(TableDay1[[#This Row],[mp id]],metering_point_periods[],10,FALSE),"")</f>
        <v>3000000000000</v>
      </c>
      <c r="M16" s="42" t="str">
        <f>IFERROR(VLOOKUP(TableDay1[[#This Row],[mp id]],metering_point_periods[],11,FALSE),"")</f>
        <v>2200000000000</v>
      </c>
      <c r="N16" s="42" t="str">
        <f>IF(COUNTIF(grid_loss_metering_points[metering_point_id],TableDay1[[#This Row],[mp id]])&gt;0,IF(TableDay1[[#This Row],[type]]="E17","glmp","skmp"),"")</f>
        <v/>
      </c>
      <c r="O16" s="42" t="str">
        <f>IFERROR(VLOOKUP(TableDay1[[#This Row],[mp id]],metering_point_periods[],5,FALSE),"")</f>
        <v>800</v>
      </c>
      <c r="P16" s="42" t="str">
        <f>IFERROR(VLOOKUP(TableDay1[[#This Row],[mp id]],metering_point_periods[],7,FALSE),"")</f>
        <v/>
      </c>
      <c r="Q16" s="42" t="str">
        <f>IFERROR(VLOOKUP(TableDay1[[#This Row],[mp id]],metering_point_periods[],8,FALSE),"")</f>
        <v/>
      </c>
      <c r="R16" s="12" t="s">
        <v>73</v>
      </c>
      <c r="S16" s="23" t="str">
        <f>_xlfn.IFNA(INDEX(TableDay1[ga_id],MATCH(U16,TableDay1[es_id],0)),"")</f>
        <v>800</v>
      </c>
      <c r="T16" s="23" t="str">
        <f>_xlfn.IFNA(INDEX(TableDay1[brp_id],MATCH(U16,TableDay1[es_id],0)),"")</f>
        <v>1100000000000</v>
      </c>
      <c r="U16" s="23" t="str">
        <f t="shared" si="3"/>
        <v>2000000000000</v>
      </c>
      <c r="V16" s="16">
        <f t="shared" si="3"/>
        <v>2.5</v>
      </c>
      <c r="W16" s="16">
        <f>X16+W15</f>
        <v>2.5</v>
      </c>
      <c r="X16" s="16">
        <f>V16-Y15</f>
        <v>0</v>
      </c>
      <c r="Y16" s="20">
        <f t="shared" si="1"/>
        <v>2.5</v>
      </c>
      <c r="Z16" s="24"/>
      <c r="AA16" s="24"/>
      <c r="AB16" s="2"/>
      <c r="AC16" s="2"/>
      <c r="AD16" s="32"/>
      <c r="AE16" s="32"/>
      <c r="AF16" s="32"/>
      <c r="AG16" s="32"/>
      <c r="AH16" s="32"/>
      <c r="AI16" s="21"/>
      <c r="AJ16" s="21"/>
      <c r="AK16" s="21"/>
      <c r="AL16" s="21"/>
      <c r="AM16" s="21"/>
      <c r="AN16" s="21"/>
      <c r="AO16" s="21"/>
      <c r="AP16" s="21"/>
      <c r="AQ16" s="21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7" s="42" t="str">
        <f>IFERROR(VLOOKUP(TableDay1[[#This Row],[mp id]],metering_point_periods[],2,FALSE),"")</f>
        <v/>
      </c>
      <c r="E17" s="42" t="str">
        <f>IFERROR(VLOOKUP(TableDay1[[#This Row],[mp id]],metering_point_periods[],4,FALSE),"")</f>
        <v/>
      </c>
      <c r="F17" s="10" t="str" cm="1">
        <f t="array" ref="F17">IFERROR(VALUE(SUBSTITUTE(INDEX(_xlfn._xlws.FILTER(time_series_points[],(time_series_points[observation_time]=_xlfn.CONCAT(B$4,"00"))*(time_series_points[metering_point_id]=TableDay1[[#This Row],[mp id]])),,2),".",",")),"")</f>
        <v/>
      </c>
      <c r="G17" s="10" t="str" cm="1">
        <f t="array" ref="G17">IFERROR(VALUE(SUBSTITUTE(INDEX(_xlfn._xlws.FILTER(time_series_points[],(time_series_points[observation_time]=_xlfn.CONCAT(B$4,"15"))*(time_series_points[metering_point_id]=TableDay1[[#This Row],[mp id]])),,2),".",",")),"")</f>
        <v/>
      </c>
      <c r="H17" s="35" t="str" cm="1">
        <f t="array" ref="H17">IFERROR(VALUE(SUBSTITUTE(INDEX(_xlfn._xlws.FILTER(time_series_points[],(time_series_points[observation_time]=_xlfn.CONCAT(B$4,"30"))*(time_series_points[metering_point_id]=TableDay1[[#This Row],[mp id]])),,2),".",",")),"")</f>
        <v/>
      </c>
      <c r="I17" s="35" t="str" cm="1">
        <f t="array" ref="I17">IFERROR(VALUE(SUBSTITUTE(INDEX(_xlfn._xlws.FILTER(time_series_points[],(time_series_points[observation_time]=_xlfn.CONCAT(B$4,"45"))*(time_series_points[metering_point_id]=TableDay1[[#This Row],[mp id]])),,2),".",",")),"")</f>
        <v/>
      </c>
      <c r="J17" s="37" t="str">
        <f t="shared" si="0"/>
        <v/>
      </c>
      <c r="K17" s="42" t="str">
        <f>IFERROR(VLOOKUP(TableDay1[[#This Row],[mp id]],metering_point_periods[],6,FALSE),"")</f>
        <v/>
      </c>
      <c r="L17" s="42" t="str">
        <f>IFERROR(VLOOKUP(TableDay1[[#This Row],[mp id]],metering_point_periods[],10,FALSE),"")</f>
        <v/>
      </c>
      <c r="M17" s="42" t="str">
        <f>IFERROR(VLOOKUP(TableDay1[[#This Row],[mp id]],metering_point_periods[],11,FALSE),"")</f>
        <v/>
      </c>
      <c r="N17" s="42" t="str">
        <f>IF(COUNTIF(grid_loss_metering_points[metering_point_id],TableDay1[[#This Row],[mp id]])&gt;0,IF(TableDay1[[#This Row],[type]]="E17","glmp","skmp"),"")</f>
        <v/>
      </c>
      <c r="O17" s="42" t="str">
        <f>IFERROR(VLOOKUP(TableDay1[[#This Row],[mp id]],metering_point_periods[],5,FALSE),"")</f>
        <v/>
      </c>
      <c r="P17" s="42" t="str">
        <f>IFERROR(VLOOKUP(TableDay1[[#This Row],[mp id]],metering_point_periods[],7,FALSE),"")</f>
        <v/>
      </c>
      <c r="Q17" s="42" t="str">
        <f>IFERROR(VLOOKUP(TableDay1[[#This Row],[mp id]],metering_point_periods[],8,FALSE),"")</f>
        <v/>
      </c>
      <c r="R17" s="12" t="s">
        <v>74</v>
      </c>
      <c r="S17" s="23" t="str">
        <f>_xlfn.IFNA(INDEX(TableDay1[ga_id],MATCH(U17,TableDay1[es_id],0)),"")</f>
        <v>800</v>
      </c>
      <c r="T17" s="23" t="str">
        <f>_xlfn.IFNA(INDEX(TableDay1[brp_id],MATCH(U17,TableDay1[es_id],0)),"")</f>
        <v>1100000000000</v>
      </c>
      <c r="U17" s="23" t="str">
        <f t="shared" si="3"/>
        <v>2000000000000</v>
      </c>
      <c r="V17" s="16">
        <f t="shared" si="3"/>
        <v>2.5</v>
      </c>
      <c r="W17" s="16">
        <f>X17+W16</f>
        <v>2.5</v>
      </c>
      <c r="X17" s="16">
        <f>V17-Y16</f>
        <v>0</v>
      </c>
      <c r="Y17" s="20">
        <f t="shared" si="1"/>
        <v>2.5</v>
      </c>
      <c r="Z17" s="24"/>
      <c r="AA17" s="24"/>
      <c r="AB17" s="2"/>
      <c r="AC17" s="2"/>
      <c r="AD17" s="32"/>
      <c r="AE17" s="32"/>
      <c r="AF17" s="32"/>
      <c r="AG17" s="32"/>
      <c r="AH17" s="32"/>
      <c r="AI17" s="21"/>
      <c r="AJ17" s="21"/>
      <c r="AK17" s="21"/>
      <c r="AL17" s="21"/>
      <c r="AM17" s="21"/>
      <c r="AN17" s="21"/>
      <c r="AO17" s="21"/>
      <c r="AP17" s="21"/>
      <c r="AQ17" s="21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8" s="42" t="str">
        <f>IFERROR(VLOOKUP(TableDay1[[#This Row],[mp id]],metering_point_periods[],2,FALSE),"")</f>
        <v/>
      </c>
      <c r="E18" s="42" t="str">
        <f>IFERROR(VLOOKUP(TableDay1[[#This Row],[mp id]],metering_point_periods[],4,FALSE),"")</f>
        <v/>
      </c>
      <c r="F18" s="10" t="str" cm="1">
        <f t="array" ref="F18">IFERROR(VALUE(SUBSTITUTE(INDEX(_xlfn._xlws.FILTER(time_series_points[],(time_series_points[observation_time]=_xlfn.CONCAT(B$4,"00"))*(time_series_points[metering_point_id]=TableDay1[[#This Row],[mp id]])),,2),".",",")),"")</f>
        <v/>
      </c>
      <c r="G18" s="10" t="str" cm="1">
        <f t="array" ref="G18">IFERROR(VALUE(SUBSTITUTE(INDEX(_xlfn._xlws.FILTER(time_series_points[],(time_series_points[observation_time]=_xlfn.CONCAT(B$4,"15"))*(time_series_points[metering_point_id]=TableDay1[[#This Row],[mp id]])),,2),".",",")),"")</f>
        <v/>
      </c>
      <c r="H18" s="35" t="str" cm="1">
        <f t="array" ref="H18">IFERROR(VALUE(SUBSTITUTE(INDEX(_xlfn._xlws.FILTER(time_series_points[],(time_series_points[observation_time]=_xlfn.CONCAT(B$4,"30"))*(time_series_points[metering_point_id]=TableDay1[[#This Row],[mp id]])),,2),".",",")),"")</f>
        <v/>
      </c>
      <c r="I18" s="35" t="str" cm="1">
        <f t="array" ref="I18">IFERROR(VALUE(SUBSTITUTE(INDEX(_xlfn._xlws.FILTER(time_series_points[],(time_series_points[observation_time]=_xlfn.CONCAT(B$4,"45"))*(time_series_points[metering_point_id]=TableDay1[[#This Row],[mp id]])),,2),".",",")),"")</f>
        <v/>
      </c>
      <c r="J18" s="37" t="str">
        <f t="shared" si="0"/>
        <v/>
      </c>
      <c r="K18" s="42" t="str">
        <f>IFERROR(VLOOKUP(TableDay1[[#This Row],[mp id]],metering_point_periods[],6,FALSE),"")</f>
        <v/>
      </c>
      <c r="L18" s="42" t="str">
        <f>IFERROR(VLOOKUP(TableDay1[[#This Row],[mp id]],metering_point_periods[],10,FALSE),"")</f>
        <v/>
      </c>
      <c r="M18" s="42" t="str">
        <f>IFERROR(VLOOKUP(TableDay1[[#This Row],[mp id]],metering_point_periods[],11,FALSE),"")</f>
        <v/>
      </c>
      <c r="N18" s="42" t="str">
        <f>IF(COUNTIF(grid_loss_metering_points[metering_point_id],TableDay1[[#This Row],[mp id]])&gt;0,IF(TableDay1[[#This Row],[type]]="E17","glmp","skmp"),"")</f>
        <v/>
      </c>
      <c r="O18" s="42" t="str">
        <f>IFERROR(VLOOKUP(TableDay1[[#This Row],[mp id]],metering_point_periods[],5,FALSE),"")</f>
        <v/>
      </c>
      <c r="P18" s="42" t="str">
        <f>IFERROR(VLOOKUP(TableDay1[[#This Row],[mp id]],metering_point_periods[],7,FALSE),"")</f>
        <v/>
      </c>
      <c r="Q18" s="42" t="str">
        <f>IFERROR(VLOOKUP(TableDay1[[#This Row],[mp id]],metering_point_periods[],8,FALSE),"")</f>
        <v/>
      </c>
      <c r="R18" s="12" t="s">
        <v>71</v>
      </c>
      <c r="S18" s="23" t="str">
        <f>_xlfn.IFNA(INDEX(TableDay1[ga_id],MATCH(U18,TableDay1[es_id],0)),"")</f>
        <v>800</v>
      </c>
      <c r="T18" s="23" t="str">
        <f>_xlfn.IFNA(INDEX(TableDay1[brp_id],MATCH(U18,TableDay1[es_id],0)),"")</f>
        <v>2200000000000</v>
      </c>
      <c r="U18" s="23" t="str">
        <f>IF(AE$4=0,"",AE$4)</f>
        <v>3000000000000</v>
      </c>
      <c r="V18" s="17">
        <f>SUMIFS(TableDay1[TotalHour],TableDay1[es_id],U18,IF(B$2="production",TableDay1[type],TableDay1[settlement_method]),AG$2,TableDay1[resolution],"PT1H")/4</f>
        <v>6.25E-2</v>
      </c>
      <c r="W18" s="16">
        <f>V18</f>
        <v>6.25E-2</v>
      </c>
      <c r="X18" s="16"/>
      <c r="Y18" s="20">
        <f t="shared" si="1"/>
        <v>6.3E-2</v>
      </c>
      <c r="Z18" s="24"/>
      <c r="AA18" s="24"/>
      <c r="AB18" s="2"/>
      <c r="AC18" s="2"/>
      <c r="AD18" s="32"/>
      <c r="AE18" s="31"/>
      <c r="AF18" s="32"/>
      <c r="AG18" s="32"/>
      <c r="AH18" s="32"/>
      <c r="AI18" s="21"/>
      <c r="AJ18" s="21"/>
      <c r="AK18" s="21"/>
      <c r="AL18" s="21"/>
      <c r="AM18" s="21"/>
      <c r="AN18" s="21"/>
      <c r="AO18" s="21"/>
      <c r="AP18" s="21"/>
      <c r="AQ18" s="21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42" t="str">
        <f>IFERROR(IF(OR(metering_point_periods[[#This Row],[grid_area_code]]=B$3,metering_point_periods[[#This Row],[from_grid_area_code]]=B$3,metering_point_periods[[#This Row],[to_grid_area_code]]=B$3),metering_point_periods[metering_point_id],""),"")</f>
        <v/>
      </c>
      <c r="D19" s="42" t="str">
        <f>IFERROR(VLOOKUP(TableDay1[[#This Row],[mp id]],metering_point_periods[],2,FALSE),"")</f>
        <v/>
      </c>
      <c r="E19" s="42" t="str">
        <f>IFERROR(VLOOKUP(TableDay1[[#This Row],[mp id]],metering_point_periods[],4,FALSE),"")</f>
        <v/>
      </c>
      <c r="F19" s="10" t="str" cm="1">
        <f t="array" ref="F19">IFERROR(VALUE(SUBSTITUTE(INDEX(_xlfn._xlws.FILTER(time_series_points[],(time_series_points[observation_time]=_xlfn.CONCAT(B$4,"00"))*(time_series_points[metering_point_id]=TableDay1[[#This Row],[mp id]])),,2),".",",")),"")</f>
        <v/>
      </c>
      <c r="G19" s="10" t="str" cm="1">
        <f t="array" ref="G19">IFERROR(VALUE(SUBSTITUTE(INDEX(_xlfn._xlws.FILTER(time_series_points[],(time_series_points[observation_time]=_xlfn.CONCAT(B$4,"15"))*(time_series_points[metering_point_id]=TableDay1[[#This Row],[mp id]])),,2),".",",")),"")</f>
        <v/>
      </c>
      <c r="H19" s="35" t="str" cm="1">
        <f t="array" ref="H19">IFERROR(VALUE(SUBSTITUTE(INDEX(_xlfn._xlws.FILTER(time_series_points[],(time_series_points[observation_time]=_xlfn.CONCAT(B$4,"30"))*(time_series_points[metering_point_id]=TableDay1[[#This Row],[mp id]])),,2),".",",")),"")</f>
        <v/>
      </c>
      <c r="I19" s="35" t="str" cm="1">
        <f t="array" ref="I19">IFERROR(VALUE(SUBSTITUTE(INDEX(_xlfn._xlws.FILTER(time_series_points[],(time_series_points[observation_time]=_xlfn.CONCAT(B$4,"45"))*(time_series_points[metering_point_id]=TableDay1[[#This Row],[mp id]])),,2),".",",")),"")</f>
        <v/>
      </c>
      <c r="J19" s="37" t="str">
        <f t="shared" si="0"/>
        <v/>
      </c>
      <c r="K19" s="42" t="str">
        <f>IFERROR(VLOOKUP(TableDay1[[#This Row],[mp id]],metering_point_periods[],6,FALSE),"")</f>
        <v/>
      </c>
      <c r="L19" s="42" t="str">
        <f>IFERROR(VLOOKUP(TableDay1[[#This Row],[mp id]],metering_point_periods[],10,FALSE),"")</f>
        <v/>
      </c>
      <c r="M19" s="42" t="str">
        <f>IFERROR(VLOOKUP(TableDay1[[#This Row],[mp id]],metering_point_periods[],11,FALSE),"")</f>
        <v/>
      </c>
      <c r="N19" s="42" t="str">
        <f>IF(COUNTIF(grid_loss_metering_points[metering_point_id],TableDay1[[#This Row],[mp id]])&gt;0,IF(TableDay1[[#This Row],[type]]="E17","glmp","skmp"),"")</f>
        <v/>
      </c>
      <c r="O19" s="42" t="str">
        <f>IFERROR(VLOOKUP(TableDay1[[#This Row],[mp id]],metering_point_periods[],5,FALSE),"")</f>
        <v/>
      </c>
      <c r="P19" s="42" t="str">
        <f>IFERROR(VLOOKUP(TableDay1[[#This Row],[mp id]],metering_point_periods[],7,FALSE),"")</f>
        <v/>
      </c>
      <c r="Q19" s="42" t="str">
        <f>IFERROR(VLOOKUP(TableDay1[[#This Row],[mp id]],metering_point_periods[],8,FALSE),"")</f>
        <v/>
      </c>
      <c r="R19" s="12" t="s">
        <v>72</v>
      </c>
      <c r="S19" s="23" t="str">
        <f>_xlfn.IFNA(INDEX(TableDay1[ga_id],MATCH(U19,TableDay1[es_id],0)),"")</f>
        <v>800</v>
      </c>
      <c r="T19" s="23" t="str">
        <f>_xlfn.IFNA(INDEX(TableDay1[brp_id],MATCH(U19,TableDay1[es_id],0)),"")</f>
        <v>2200000000000</v>
      </c>
      <c r="U19" s="23" t="str">
        <f t="shared" ref="U19:V21" si="4">U$18</f>
        <v>3000000000000</v>
      </c>
      <c r="V19" s="16">
        <f t="shared" si="4"/>
        <v>6.25E-2</v>
      </c>
      <c r="W19" s="16">
        <f>X19+W18</f>
        <v>6.2E-2</v>
      </c>
      <c r="X19" s="16">
        <f>V19-Y18</f>
        <v>-5.0000000000000044E-4</v>
      </c>
      <c r="Y19" s="20">
        <f t="shared" si="1"/>
        <v>6.2E-2</v>
      </c>
      <c r="Z19" s="24"/>
      <c r="AA19" s="24"/>
      <c r="AB19" s="2"/>
      <c r="AC19" s="2"/>
      <c r="AD19" s="32"/>
      <c r="AE19" s="32"/>
      <c r="AF19" s="32"/>
      <c r="AG19" s="32"/>
      <c r="AH19" s="32"/>
      <c r="AI19" s="21"/>
      <c r="AJ19" s="21"/>
      <c r="AK19" s="21"/>
      <c r="AL19" s="21"/>
      <c r="AM19" s="21"/>
      <c r="AN19" s="21"/>
      <c r="AO19" s="21"/>
      <c r="AP19" s="21"/>
      <c r="AQ19" s="21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7" t="str">
        <f>CONCATENATE(B2,"_per_",B1)</f>
        <v>flex_consumption_per_ga</v>
      </c>
      <c r="F20" s="47"/>
      <c r="G20" s="47"/>
      <c r="H20" s="47"/>
      <c r="I20" s="48" t="s">
        <v>21</v>
      </c>
      <c r="J20" s="49"/>
      <c r="K20" s="50"/>
      <c r="R20" s="12" t="s">
        <v>73</v>
      </c>
      <c r="S20" s="23" t="str">
        <f>_xlfn.IFNA(INDEX(TableDay1[ga_id],MATCH(U20,TableDay1[es_id],0)),"")</f>
        <v>800</v>
      </c>
      <c r="T20" s="23" t="str">
        <f>_xlfn.IFNA(INDEX(TableDay1[brp_id],MATCH(U20,TableDay1[es_id],0)),"")</f>
        <v>2200000000000</v>
      </c>
      <c r="U20" s="23" t="str">
        <f t="shared" si="4"/>
        <v>3000000000000</v>
      </c>
      <c r="V20" s="16">
        <f t="shared" si="4"/>
        <v>6.25E-2</v>
      </c>
      <c r="W20" s="16">
        <f>X20+W19</f>
        <v>6.25E-2</v>
      </c>
      <c r="X20" s="16">
        <f>V20-Y19</f>
        <v>5.0000000000000044E-4</v>
      </c>
      <c r="Y20" s="20">
        <f t="shared" si="1"/>
        <v>6.3E-2</v>
      </c>
      <c r="Z20" s="24"/>
      <c r="AA20" s="24"/>
      <c r="AB20" s="2"/>
      <c r="AC20" s="2"/>
      <c r="AD20" s="32"/>
      <c r="AE20" s="32"/>
      <c r="AF20" s="32"/>
      <c r="AG20" s="32"/>
      <c r="AH20" s="32"/>
      <c r="AI20" s="21"/>
      <c r="AJ20" s="21"/>
      <c r="AK20" s="21"/>
      <c r="AL20" s="21"/>
      <c r="AM20" s="21"/>
      <c r="AN20" s="21"/>
      <c r="AO20" s="21"/>
      <c r="AP20" s="21"/>
      <c r="AQ20" s="21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75</v>
      </c>
      <c r="L21" s="2"/>
      <c r="M21" s="2"/>
      <c r="N21" s="2"/>
      <c r="O21" s="2"/>
      <c r="P21" s="2"/>
      <c r="Q21" s="2"/>
      <c r="R21" s="12" t="s">
        <v>74</v>
      </c>
      <c r="S21" s="23" t="str">
        <f>_xlfn.IFNA(INDEX(TableDay1[ga_id],MATCH(U21,TableDay1[es_id],0)),"")</f>
        <v>800</v>
      </c>
      <c r="T21" s="23" t="str">
        <f>_xlfn.IFNA(INDEX(TableDay1[brp_id],MATCH(U21,TableDay1[es_id],0)),"")</f>
        <v>2200000000000</v>
      </c>
      <c r="U21" s="23" t="str">
        <f t="shared" si="4"/>
        <v>3000000000000</v>
      </c>
      <c r="V21" s="16">
        <f t="shared" si="4"/>
        <v>6.25E-2</v>
      </c>
      <c r="W21" s="16">
        <f>X21+W20</f>
        <v>6.2E-2</v>
      </c>
      <c r="X21" s="16">
        <f>V21-Y20</f>
        <v>-5.0000000000000044E-4</v>
      </c>
      <c r="Y21" s="20">
        <f t="shared" si="1"/>
        <v>6.2E-2</v>
      </c>
      <c r="Z21" s="24"/>
      <c r="AA21" s="24"/>
      <c r="AB21" s="2"/>
      <c r="AC21" s="2"/>
      <c r="AD21" s="32"/>
      <c r="AE21" s="31"/>
      <c r="AF21" s="31"/>
      <c r="AG21" s="32"/>
      <c r="AH21" s="32"/>
      <c r="AI21" s="21"/>
      <c r="AJ21" s="21"/>
      <c r="AK21" s="21"/>
      <c r="AL21" s="21"/>
      <c r="AM21" s="21"/>
      <c r="AN21" s="21"/>
      <c r="AO21" s="21"/>
      <c r="AP21" s="21"/>
      <c r="AQ21" s="21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3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3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2" t="s">
        <v>71</v>
      </c>
      <c r="E22" s="27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27" t="str">
        <f>IF(B$1="ga",IF(E22="","","null"),IF(OR(B$1="ga_es",B$1="ga_brp_es"),IF(AE$2=0,"",AE$2),IF(B$1="ga_brp",IF(G22="","","null"))))</f>
        <v>null</v>
      </c>
      <c r="G22" s="27" t="str">
        <f>IF(B$1="ga",IF(E22="","","null"),IF(B$1="ga_es",IF(F22="","","null"),IF(B$1="ga_brp",IF(AF$2=0,"",AF$2),IF(F22="","",INDEX(TableDay1[brp_id],MATCH(F22,TableDay1[es_id],0),1)))))</f>
        <v>null</v>
      </c>
      <c r="H22" s="29" t="str">
        <f ca="1">IF(E22="","",SUBSTITUTE(ROUND(I22+J22+K22,3),",","."))</f>
        <v>12.563</v>
      </c>
      <c r="I22" s="9">
        <f>SUMIFS(Y$10:Y$33,IF(OR(B$1="ga_es",B$1="ga_brp_es"),U$10:U$33,IF(B$1="ga_brp",T$10:T$33,S$10:S$33)),IF(OR(B$1="ga_es",B$1="ga_brp_es"),F22,IF(B$1="ga_brp",G22,E22)),R$10:R$33,D22)</f>
        <v>2.5630000000000002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2" t="s">
        <v>71</v>
      </c>
      <c r="S22" s="23" t="str">
        <f>_xlfn.IFNA(INDEX(TableDay1[ga_id],MATCH(U22,TableDay1[es_id],0)),"")</f>
        <v>801</v>
      </c>
      <c r="T22" s="23" t="str">
        <f>_xlfn.IFNA(INDEX(TableDay1[brp_id],MATCH(U22,TableDay1[es_id],0)),"")</f>
        <v/>
      </c>
      <c r="U22" s="23" t="str">
        <f>IF(AE$5=0,"",AE$5)</f>
        <v/>
      </c>
      <c r="V22" s="17">
        <f>SUMIFS(TableDay1[TotalHour],TableDay1[es_id],U22,IF(B$2="production",TableDay1[type],TableDay1[settlement_method]),AG$2,TableDay1[resolution],"PT1H")/4</f>
        <v>0</v>
      </c>
      <c r="W22" s="16">
        <f>V22</f>
        <v>0</v>
      </c>
      <c r="X22" s="16"/>
      <c r="Y22" s="20">
        <f t="shared" si="1"/>
        <v>0</v>
      </c>
      <c r="Z22" s="24"/>
      <c r="AA22" s="24"/>
      <c r="AB22" s="2"/>
      <c r="AC22" s="2"/>
      <c r="AD22" s="32"/>
      <c r="AE22" s="31"/>
      <c r="AF22" s="31"/>
      <c r="AG22" s="32"/>
      <c r="AH22" s="32"/>
      <c r="AI22" s="21"/>
      <c r="AJ22" s="21"/>
      <c r="AK22" s="21"/>
      <c r="AL22" s="21"/>
      <c r="AM22" s="21"/>
      <c r="AN22" s="21"/>
      <c r="AO22" s="21"/>
      <c r="AP22" s="21"/>
      <c r="AQ22" s="21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3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3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2" t="s">
        <v>72</v>
      </c>
      <c r="E23" s="27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27" t="str">
        <f>IF(B$1="ga",IF(E23="","","null"),IF(OR(B$1="ga_es",B$1="ga_brp_es"),IF(AE$2=0,"",AE$2),IF(B$1="ga_brp",IF(G23="","","null"))))</f>
        <v>null</v>
      </c>
      <c r="G23" s="27" t="str">
        <f>IF(B$1="ga",IF(E23="","","null"),IF(B$1="ga_es",IF(F23="","","null"),IF(B$1="ga_brp",IF(AF$2=0,"",AF$2),IF(F23="","",INDEX(TableDay1[brp_id],MATCH(F23,TableDay1[es_id],0),1)))))</f>
        <v>null</v>
      </c>
      <c r="H23" s="29" t="str">
        <f t="shared" ref="H23:H45" ca="1" si="7">IF(E23="","",SUBSTITUTE(ROUND(I23+J23+K23,3),",","."))</f>
        <v>9.02</v>
      </c>
      <c r="I23" s="9">
        <f t="shared" ref="I23:I45" si="8">SUMIFS(Y$10:Y$33,IF(OR(B$1="ga_es",B$1="ga_brp_es"),U$10:U$33,IF(B$1="ga_brp",T$10:T$33,S$10:S$33)),IF(OR(B$1="ga_es",B$1="ga_brp_es"),F23,IF(B$1="ga_brp",G23,E23)),R$10:R$33,D23)</f>
        <v>2.5619999999999998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1.1000000000000001</v>
      </c>
      <c r="K23" s="9">
        <f t="shared" ca="1" si="5"/>
        <v>5.3580000000000023</v>
      </c>
      <c r="L23" s="2"/>
      <c r="M23" s="2"/>
      <c r="N23" s="2"/>
      <c r="O23" s="2"/>
      <c r="P23" s="2"/>
      <c r="Q23" s="2"/>
      <c r="R23" s="12" t="s">
        <v>72</v>
      </c>
      <c r="S23" s="23" t="str">
        <f>_xlfn.IFNA(INDEX(TableDay1[ga_id],MATCH(U23,TableDay1[es_id],0)),"")</f>
        <v>801</v>
      </c>
      <c r="T23" s="23" t="str">
        <f>_xlfn.IFNA(INDEX(TableDay1[brp_id],MATCH(U23,TableDay1[es_id],0)),"")</f>
        <v/>
      </c>
      <c r="U23" s="23" t="str">
        <f t="shared" ref="U23:V25" si="9">U$22</f>
        <v/>
      </c>
      <c r="V23" s="16">
        <f t="shared" si="9"/>
        <v>0</v>
      </c>
      <c r="W23" s="16">
        <f>X23+W22</f>
        <v>0</v>
      </c>
      <c r="X23" s="16">
        <f>V23-Y22</f>
        <v>0</v>
      </c>
      <c r="Y23" s="20">
        <f t="shared" si="1"/>
        <v>0</v>
      </c>
      <c r="Z23" s="24"/>
      <c r="AA23" s="24"/>
      <c r="AB23" s="2"/>
      <c r="AC23" s="2"/>
      <c r="AD23" s="32"/>
      <c r="AE23" s="31"/>
      <c r="AF23" s="31"/>
      <c r="AG23" s="32"/>
      <c r="AH23" s="32"/>
      <c r="AI23" s="21"/>
      <c r="AJ23" s="21"/>
      <c r="AK23" s="21"/>
      <c r="AL23" s="21"/>
      <c r="AM23" s="21"/>
      <c r="AN23" s="21"/>
      <c r="AO23" s="21"/>
      <c r="AP23" s="21"/>
      <c r="AQ23" s="21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3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3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2" t="s">
        <v>73</v>
      </c>
      <c r="E24" s="27" t="str">
        <f t="shared" si="6"/>
        <v>800</v>
      </c>
      <c r="F24" s="27" t="str">
        <f>IF(B$1="ga",IF(E24="","","null"),IF(OR(B$1="ga_es",B$1="ga_brp_es"),IF(AE$2=0,"",AE$2),IF(B$1="ga_brp",IF(G24="","","null"))))</f>
        <v>null</v>
      </c>
      <c r="G24" s="27" t="str">
        <f>IF(B$1="ga",IF(E24="","","null"),IF(B$1="ga_es",IF(F24="","","null"),IF(B$1="ga_brp",IF(AF$2=0,"",AF$2),IF(F24="","",INDEX(TableDay1[brp_id],MATCH(F24,TableDay1[es_id],0),1)))))</f>
        <v>null</v>
      </c>
      <c r="H24" s="29" t="str">
        <f t="shared" ca="1" si="7"/>
        <v>4.02</v>
      </c>
      <c r="I24" s="9">
        <f t="shared" si="8"/>
        <v>2.5630000000000002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1.1000000000000001</v>
      </c>
      <c r="K24" s="9">
        <f t="shared" ca="1" si="5"/>
        <v>0.35699999999999976</v>
      </c>
      <c r="L24" s="2"/>
      <c r="M24" s="2"/>
      <c r="N24" s="2"/>
      <c r="O24" s="2"/>
      <c r="P24" s="2"/>
      <c r="Q24" s="2"/>
      <c r="R24" s="12" t="s">
        <v>73</v>
      </c>
      <c r="S24" s="23" t="str">
        <f>_xlfn.IFNA(INDEX(TableDay1[ga_id],MATCH(U24,TableDay1[es_id],0)),"")</f>
        <v>801</v>
      </c>
      <c r="T24" s="23" t="str">
        <f>_xlfn.IFNA(INDEX(TableDay1[brp_id],MATCH(U24,TableDay1[es_id],0)),"")</f>
        <v/>
      </c>
      <c r="U24" s="23" t="str">
        <f t="shared" si="9"/>
        <v/>
      </c>
      <c r="V24" s="16">
        <f t="shared" si="9"/>
        <v>0</v>
      </c>
      <c r="W24" s="16">
        <f>X24+W23</f>
        <v>0</v>
      </c>
      <c r="X24" s="16">
        <f>V24-Y23</f>
        <v>0</v>
      </c>
      <c r="Y24" s="20">
        <f t="shared" si="1"/>
        <v>0</v>
      </c>
      <c r="Z24" s="24" t="str" cm="1">
        <f t="array" ref="Z24">_xlfn._xlws.SORT(_xlfn.UNIQUE(IFERROR(INDEX(_xlfn._xlws.FILTER(TableDay1[[type]:[brp_id]],(TableDay1[es_id]=AE6)*(TableDay1[settlement_method]="D01"),""),,6),"")))</f>
        <v/>
      </c>
      <c r="AA24" s="24"/>
      <c r="AB24" s="2"/>
      <c r="AC24" s="2"/>
      <c r="AD24" s="32"/>
      <c r="AE24" s="31"/>
      <c r="AF24" s="31"/>
      <c r="AG24" s="32"/>
      <c r="AH24" s="32"/>
      <c r="AI24" s="21"/>
      <c r="AJ24" s="21"/>
      <c r="AK24" s="21"/>
      <c r="AL24" s="21"/>
      <c r="AM24" s="21"/>
      <c r="AN24" s="21"/>
      <c r="AO24" s="21"/>
      <c r="AP24" s="21"/>
      <c r="AQ24" s="21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3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3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2" t="s">
        <v>74</v>
      </c>
      <c r="E25" s="27" t="str">
        <f t="shared" si="6"/>
        <v>800</v>
      </c>
      <c r="F25" s="27" t="str">
        <f>IF(B$1="ga",IF(E25="","","null"),IF(OR(B$1="ga_es",B$1="ga_brp_es"),IF(AE$2=0,"",AE$2),IF(B$1="ga_brp",IF(G25="","","null"))))</f>
        <v>null</v>
      </c>
      <c r="G25" s="27" t="str">
        <f>IF(B$1="ga",IF(E25="","","null"),IF(B$1="ga_es",IF(F25="","","null"),IF(B$1="ga_brp",IF(AF$2=0,"",AF$2),IF(F25="","",INDEX(TableDay1[brp_id],MATCH(F25,TableDay1[es_id],0),1)))))</f>
        <v>null</v>
      </c>
      <c r="H25" s="29" t="str">
        <f t="shared" ca="1" si="7"/>
        <v>4.021</v>
      </c>
      <c r="I25" s="9">
        <f t="shared" si="8"/>
        <v>2.5619999999999998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1.1000000000000001</v>
      </c>
      <c r="K25" s="9">
        <f t="shared" ca="1" si="5"/>
        <v>0.35900000000000087</v>
      </c>
      <c r="L25" s="33"/>
      <c r="M25" s="2"/>
      <c r="N25" s="2"/>
      <c r="O25" s="2"/>
      <c r="P25" s="2"/>
      <c r="Q25" s="2"/>
      <c r="R25" s="12" t="s">
        <v>74</v>
      </c>
      <c r="S25" s="23" t="str">
        <f>_xlfn.IFNA(INDEX(TableDay1[ga_id],MATCH(U25,TableDay1[es_id],0)),"")</f>
        <v>801</v>
      </c>
      <c r="T25" s="23" t="str">
        <f>_xlfn.IFNA(INDEX(TableDay1[brp_id],MATCH(U25,TableDay1[es_id],0)),"")</f>
        <v/>
      </c>
      <c r="U25" s="23" t="str">
        <f t="shared" si="9"/>
        <v/>
      </c>
      <c r="V25" s="16">
        <f t="shared" si="9"/>
        <v>0</v>
      </c>
      <c r="W25" s="16">
        <f>X25+W24</f>
        <v>0</v>
      </c>
      <c r="X25" s="16">
        <f>V25-Y24</f>
        <v>0</v>
      </c>
      <c r="Y25" s="20">
        <f t="shared" si="1"/>
        <v>0</v>
      </c>
      <c r="Z25" s="24" t="str" cm="1">
        <f t="array" ref="Z25">_xlfn._xlws.SORT(_xlfn.UNIQUE(IFERROR(INDEX(_xlfn._xlws.FILTER(TableDay1[[type]:[brp_id]],(TableDay1[es_id]=AE7)*(TableDay1[settlement_method]="D01"),""),,6),"")))</f>
        <v/>
      </c>
      <c r="AA25" s="24"/>
      <c r="AB25" s="2"/>
      <c r="AC25" s="2"/>
      <c r="AD25" s="32"/>
      <c r="AE25" s="31"/>
      <c r="AF25" s="31"/>
      <c r="AG25" s="32"/>
      <c r="AH25" s="32"/>
      <c r="AI25" s="21"/>
      <c r="AJ25" s="21"/>
      <c r="AK25" s="21"/>
      <c r="AL25" s="21"/>
      <c r="AM25" s="21"/>
      <c r="AN25" s="21"/>
      <c r="AO25" s="21"/>
      <c r="AP25" s="21"/>
      <c r="AQ25" s="21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3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3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2" t="s">
        <v>71</v>
      </c>
      <c r="E26" s="27" t="str">
        <f t="shared" si="6"/>
        <v/>
      </c>
      <c r="F26" s="27" t="str">
        <f>IF(B$1="ga",IF(E26="","","null"),IF(OR(B$1="ga_es",B$1="ga_brp_es"),IF(AE$3=0,"",AE$3),IF(B$1="ga_brp",IF(G26="","","null"))))</f>
        <v/>
      </c>
      <c r="G26" s="27" t="str">
        <f>IF(B$1="ga",IF(E26="","","null"),IF(B$1="ga_es",IF(F26="","","null"),IF(B$1="ga_brp",IF(AF$3=0,"",AF$3),IF(F26="","",INDEX(TableDay1[brp_id],MATCH(F26,TableDay1[es_id],0),1)))))</f>
        <v/>
      </c>
      <c r="H26" s="29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2" t="s">
        <v>71</v>
      </c>
      <c r="S26" s="23" t="str">
        <f>_xlfn.IFNA(INDEX(TableDay1[ga_id],MATCH(U26,TableDay1[es_id],0)),"")</f>
        <v>801</v>
      </c>
      <c r="T26" s="23" t="str">
        <f>_xlfn.IFNA(INDEX(TableDay1[brp_id],MATCH(U26,TableDay1[es_id],0)),"")</f>
        <v/>
      </c>
      <c r="U26" s="23" t="str">
        <f>IF(AE$6=0,"",AE$6)</f>
        <v/>
      </c>
      <c r="V26" s="17">
        <f>SUMIFS(TableDay1[TotalHour],TableDay1[es_id],U26,IF(B$2="production",TableDay1[type],TableDay1[settlement_method]),AG$2,TableDay1[resolution],"PT1H")/4</f>
        <v>0</v>
      </c>
      <c r="W26" s="16">
        <f>V26</f>
        <v>0</v>
      </c>
      <c r="X26" s="16"/>
      <c r="Y26" s="20">
        <f t="shared" si="1"/>
        <v>0</v>
      </c>
      <c r="Z26" s="21"/>
      <c r="AA26" s="24"/>
      <c r="AB26" s="2"/>
      <c r="AC26" s="2"/>
      <c r="AD26" s="32"/>
      <c r="AE26" s="31"/>
      <c r="AF26" s="31"/>
      <c r="AG26" s="32"/>
      <c r="AH26" s="32"/>
      <c r="AI26" s="21"/>
      <c r="AJ26" s="21"/>
      <c r="AK26" s="21"/>
      <c r="AL26" s="21"/>
      <c r="AM26" s="21"/>
      <c r="AN26" s="21"/>
      <c r="AO26" s="21"/>
      <c r="AP26" s="21"/>
      <c r="AQ26" s="2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3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3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2" t="s">
        <v>72</v>
      </c>
      <c r="E27" s="27" t="str">
        <f t="shared" si="6"/>
        <v/>
      </c>
      <c r="F27" s="27" t="str">
        <f>IF(B$1="ga",IF(E27="","","null"),IF(OR(B$1="ga_es",B$1="ga_brp_es"),IF(AE$3=0,"",AE$3),IF(B$1="ga_brp",IF(G27="","","null"))))</f>
        <v/>
      </c>
      <c r="G27" s="27" t="str">
        <f>IF(B$1="ga",IF(E27="","","null"),IF(B$1="ga_es",IF(F27="","","null"),IF(B$1="ga_brp",IF(AF$3=0,"",AF$3),IF(F27="","",INDEX(TableDay1[brp_id],MATCH(F27,TableDay1[es_id],0),1)))))</f>
        <v/>
      </c>
      <c r="H27" s="29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2" t="s">
        <v>72</v>
      </c>
      <c r="S27" s="23" t="str">
        <f>_xlfn.IFNA(INDEX(TableDay1[ga_id],MATCH(U27,TableDay1[es_id],0)),"")</f>
        <v>801</v>
      </c>
      <c r="T27" s="23" t="str">
        <f>_xlfn.IFNA(INDEX(TableDay1[brp_id],MATCH(U27,TableDay1[es_id],0)),"")</f>
        <v/>
      </c>
      <c r="U27" s="23" t="str">
        <f t="shared" ref="U27:V29" si="10">U$26</f>
        <v/>
      </c>
      <c r="V27" s="16">
        <f t="shared" si="10"/>
        <v>0</v>
      </c>
      <c r="W27" s="16">
        <f>X27+W26</f>
        <v>0</v>
      </c>
      <c r="X27" s="16">
        <f>V27-Y26</f>
        <v>0</v>
      </c>
      <c r="Y27" s="20">
        <f t="shared" si="1"/>
        <v>0</v>
      </c>
      <c r="Z27" s="21"/>
      <c r="AA27" s="24"/>
      <c r="AB27" s="2"/>
      <c r="AC27" s="2"/>
      <c r="AD27" s="32"/>
      <c r="AE27" s="32" t="str">
        <f>_xlfn.CONCAT("Energy suppliers for "&amp;B2)</f>
        <v>Energy suppliers for flex_consumption</v>
      </c>
      <c r="AF27" s="32" t="str">
        <f>_xlfn.CONCAT("Balance responsibles for "&amp;B2)</f>
        <v>Balance responsibles for flex_consumption</v>
      </c>
      <c r="AG27" s="32"/>
      <c r="AH27" s="32"/>
      <c r="AI27" s="21"/>
      <c r="AJ27" s="21"/>
      <c r="AK27" s="21"/>
      <c r="AL27" s="21"/>
      <c r="AM27" s="21"/>
      <c r="AN27" s="21"/>
      <c r="AO27" s="21"/>
      <c r="AP27" s="21"/>
      <c r="AQ27" s="21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3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3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2" t="s">
        <v>73</v>
      </c>
      <c r="E28" s="27" t="str">
        <f t="shared" si="6"/>
        <v/>
      </c>
      <c r="F28" s="27" t="str">
        <f>IF(B$1="ga",IF(E28="","","null"),IF(OR(B$1="ga_es",B$1="ga_brp_es"),IF(AE$3=0,"",AE$3),IF(B$1="ga_brp",IF(G28="","","null"))))</f>
        <v/>
      </c>
      <c r="G28" s="27" t="str">
        <f>IF(B$1="ga",IF(E28="","","null"),IF(B$1="ga_es",IF(F28="","","null"),IF(B$1="ga_brp",IF(AF$3=0,"",AF$3),IF(F28="","",INDEX(TableDay1[brp_id],MATCH(F28,TableDay1[es_id],0),1)))))</f>
        <v/>
      </c>
      <c r="H28" s="29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2" t="s">
        <v>73</v>
      </c>
      <c r="S28" s="23" t="str">
        <f>_xlfn.IFNA(INDEX(TableDay1[ga_id],MATCH(U28,TableDay1[es_id],0)),"")</f>
        <v>801</v>
      </c>
      <c r="T28" s="23" t="str">
        <f>_xlfn.IFNA(INDEX(TableDay1[brp_id],MATCH(U28,TableDay1[es_id],0)),"")</f>
        <v/>
      </c>
      <c r="U28" s="23" t="str">
        <f t="shared" si="10"/>
        <v/>
      </c>
      <c r="V28" s="16">
        <f t="shared" si="10"/>
        <v>0</v>
      </c>
      <c r="W28" s="16">
        <f>X28+W27</f>
        <v>0</v>
      </c>
      <c r="X28" s="16">
        <f>V28-Y27</f>
        <v>0</v>
      </c>
      <c r="Y28" s="20">
        <f t="shared" si="1"/>
        <v>0</v>
      </c>
      <c r="Z28" s="21"/>
      <c r="AA28" s="24"/>
      <c r="AB28" s="2"/>
      <c r="AC28" s="2"/>
      <c r="AD28" s="32"/>
      <c r="AE28" s="32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2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2"/>
      <c r="AH28" s="32"/>
      <c r="AI28" s="55" t="str" cm="1">
        <f t="array" ref="AI28:AI31">_xlfn._xlws.FILTER(TableDay1[from_ga],(TableDay1[from_ga]=$AD$2)+(TableDay1[to_ga]=$AD$2))</f>
        <v>801</v>
      </c>
      <c r="AJ28" s="55" t="str" cm="1">
        <f t="array" ref="AJ28:AJ31">_xlfn._xlws.FILTER(TableDay1[to_ga],(TableDay1[from_ga]=$AD$2)+(TableDay1[to_ga]=$AD$2))</f>
        <v>800</v>
      </c>
      <c r="AK28" s="55" t="str" cm="1">
        <f t="array" ref="AK28:AK31">_xlfn._xlws.FILTER(_xlfn.VSTACK(_xlfn._xlws.FILTER(TableDay1[from_ga],(TableDay1[from_ga]=$AD$2)+(TableDay1[to_ga]=$AD$2)),_xlfn._xlws.FILTER(TableDay1[to_ga],(TableDay1[from_ga]=$AD$2)+(TableDay1[to_ga]=$AD$2))),_xlfn.VSTACK(_xlfn._xlws.FILTER(TableDay1[from_ga],(TableDay1[from_ga]=$AD$2)+(TableDay1[to_ga]=$AD$2)),_xlfn._xlws.FILTER(TableDay1[to_ga],(TableDay1[from_ga]=$AD$2)+(TableDay1[to_ga]=$AD$2)))&lt;&gt;$AD$2)</f>
        <v>801</v>
      </c>
      <c r="AL28" s="21"/>
      <c r="AM28" s="21"/>
      <c r="AN28" s="21"/>
      <c r="AO28" s="21"/>
      <c r="AP28" s="21"/>
      <c r="AQ28" s="21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3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3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2" t="s">
        <v>74</v>
      </c>
      <c r="E29" s="27" t="str">
        <f t="shared" si="6"/>
        <v/>
      </c>
      <c r="F29" s="27" t="str">
        <f>IF(B$1="ga",IF(E29="","","null"),IF(OR(B$1="ga_es",B$1="ga_brp_es"),IF(AE$3=0,"",AE$3),IF(B$1="ga_brp",IF(G29="","","null"))))</f>
        <v/>
      </c>
      <c r="G29" s="27" t="str">
        <f>IF(B$1="ga",IF(E29="","","null"),IF(B$1="ga_es",IF(F29="","","null"),IF(B$1="ga_brp",IF(AF$3=0,"",AF$3),IF(F29="","",INDEX(TableDay1[brp_id],MATCH(F29,TableDay1[es_id],0),1)))))</f>
        <v/>
      </c>
      <c r="H29" s="29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2" t="s">
        <v>74</v>
      </c>
      <c r="S29" s="23" t="str">
        <f>_xlfn.IFNA(INDEX(TableDay1[ga_id],MATCH(U29,TableDay1[es_id],0)),"")</f>
        <v>801</v>
      </c>
      <c r="T29" s="23" t="str">
        <f>_xlfn.IFNA(INDEX(TableDay1[brp_id],MATCH(U29,TableDay1[es_id],0)),"")</f>
        <v/>
      </c>
      <c r="U29" s="23" t="str">
        <f t="shared" si="10"/>
        <v/>
      </c>
      <c r="V29" s="16">
        <f t="shared" si="10"/>
        <v>0</v>
      </c>
      <c r="W29" s="16">
        <f>X29+W28</f>
        <v>0</v>
      </c>
      <c r="X29" s="16">
        <f>V29-Y28</f>
        <v>0</v>
      </c>
      <c r="Y29" s="20">
        <f t="shared" si="1"/>
        <v>0</v>
      </c>
      <c r="Z29" s="21"/>
      <c r="AA29" s="24"/>
      <c r="AB29" s="2"/>
      <c r="AC29" s="2"/>
      <c r="AD29" s="32"/>
      <c r="AE29" s="32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2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2"/>
      <c r="AH29" s="32"/>
      <c r="AI29" s="21" t="str">
        <v>802</v>
      </c>
      <c r="AJ29" s="21" t="str">
        <v>800</v>
      </c>
      <c r="AK29" s="21" t="str">
        <v>802</v>
      </c>
      <c r="AL29" s="21"/>
      <c r="AM29" s="21"/>
      <c r="AN29" s="21"/>
      <c r="AO29" s="21"/>
      <c r="AP29" s="21"/>
      <c r="AQ29" s="21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3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3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2" t="s">
        <v>71</v>
      </c>
      <c r="E30" s="27" t="str">
        <f t="shared" si="6"/>
        <v/>
      </c>
      <c r="F30" s="27" t="str">
        <f>IF(B$1="ga",IF(E30="","","null"),IF(OR(B$1="ga_es",B$1="ga_brp_es"),IF(AE$4=0,"",AE$4),IF(B$1="ga_brp",IF(G30="","","null"))))</f>
        <v/>
      </c>
      <c r="G30" s="27" t="str">
        <f>IF(B$1="ga",IF(E30="","","null"),IF(B$1="ga_es",IF(F30="","","null"),IF(B$1="ga_brp",IF(AF$4=0,"",AF$4),IF(F30="","",INDEX(TableDay1[brp_id],MATCH(F30,TableDay1[es_id],0),1)))))</f>
        <v/>
      </c>
      <c r="H30" s="29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2" t="s">
        <v>71</v>
      </c>
      <c r="S30" s="23" t="str">
        <f>_xlfn.IFNA(INDEX(TableDay1[ga_id],MATCH(U30,TableDay1[es_id],0)),"")</f>
        <v>801</v>
      </c>
      <c r="T30" s="23" t="str">
        <f>_xlfn.IFNA(INDEX(TableDay1[brp_id],MATCH(U30,TableDay1[es_id],0)),"")</f>
        <v/>
      </c>
      <c r="U30" s="23" t="str">
        <f>IF(AE$7=0,"",AE$7)</f>
        <v/>
      </c>
      <c r="V30" s="17">
        <f>SUMIFS(TableDay1[TotalHour],TableDay1[es_id],U30,IF(B$2="production",TableDay1[type],TableDay1[settlement_method]),AG$2,TableDay1[resolution],"PT1H")/4</f>
        <v>0</v>
      </c>
      <c r="W30" s="16">
        <f>V30</f>
        <v>0</v>
      </c>
      <c r="X30" s="16"/>
      <c r="Y30" s="20">
        <f t="shared" si="1"/>
        <v>0</v>
      </c>
      <c r="Z30" s="21"/>
      <c r="AA30" s="24"/>
      <c r="AB30" s="2"/>
      <c r="AC30" s="2"/>
      <c r="AD30" s="32"/>
      <c r="AE30" s="32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2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2"/>
      <c r="AH30" s="32"/>
      <c r="AI30" s="21" t="str">
        <v>800</v>
      </c>
      <c r="AJ30" s="21" t="str">
        <v>803</v>
      </c>
      <c r="AK30" s="21" t="str">
        <v>803</v>
      </c>
      <c r="AL30" s="21"/>
      <c r="AM30" s="21"/>
      <c r="AN30" s="21"/>
      <c r="AO30" s="21"/>
      <c r="AP30" s="21"/>
      <c r="AQ30" s="21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3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3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2" t="s">
        <v>72</v>
      </c>
      <c r="E31" s="27" t="str">
        <f t="shared" si="6"/>
        <v/>
      </c>
      <c r="F31" s="27" t="str">
        <f>IF(B$1="ga",IF(E31="","","null"),IF(OR(B$1="ga_es",B$1="ga_brp_es"),IF(AE$4=0,"",AE$4),IF(B$1="ga_brp",IF(G31="","","null"))))</f>
        <v/>
      </c>
      <c r="G31" s="27" t="str">
        <f>IF(B$1="ga",IF(E31="","","null"),IF(B$1="ga_es",IF(F31="","","null"),IF(B$1="ga_brp",IF(AF$4=0,"",AF$4),IF(F31="","",INDEX(TableDay1[brp_id],MATCH(F31,TableDay1[es_id],0),1)))))</f>
        <v/>
      </c>
      <c r="H31" s="29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2" t="s">
        <v>72</v>
      </c>
      <c r="S31" s="23" t="str">
        <f>_xlfn.IFNA(INDEX(TableDay1[ga_id],MATCH(U31,TableDay1[es_id],0)),"")</f>
        <v>801</v>
      </c>
      <c r="T31" s="23" t="str">
        <f>_xlfn.IFNA(INDEX(TableDay1[brp_id],MATCH(U31,TableDay1[es_id],0)),"")</f>
        <v/>
      </c>
      <c r="U31" s="23" t="str">
        <f t="shared" ref="U31:V33" si="11">U$30</f>
        <v/>
      </c>
      <c r="V31" s="16">
        <f t="shared" si="11"/>
        <v>0</v>
      </c>
      <c r="W31" s="16">
        <f>X31+W30</f>
        <v>0</v>
      </c>
      <c r="X31" s="16">
        <f>V31-Y30</f>
        <v>0</v>
      </c>
      <c r="Y31" s="20">
        <f t="shared" si="1"/>
        <v>0</v>
      </c>
      <c r="Z31" s="21"/>
      <c r="AA31" s="24"/>
      <c r="AB31" s="2"/>
      <c r="AC31" s="2"/>
      <c r="AD31" s="32"/>
      <c r="AE31" s="32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2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2"/>
      <c r="AH31" s="32"/>
      <c r="AI31" s="21" t="str">
        <v>800</v>
      </c>
      <c r="AJ31" s="21" t="str">
        <v>804</v>
      </c>
      <c r="AK31" s="21" t="str">
        <v>804</v>
      </c>
      <c r="AL31" s="21"/>
      <c r="AM31" s="21"/>
      <c r="AN31" s="21"/>
      <c r="AO31" s="21"/>
      <c r="AP31" s="21"/>
      <c r="AQ31" s="21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3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3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2" t="s">
        <v>73</v>
      </c>
      <c r="E32" s="27" t="str">
        <f t="shared" si="6"/>
        <v/>
      </c>
      <c r="F32" s="27" t="str">
        <f>IF(B$1="ga",IF(E32="","","null"),IF(OR(B$1="ga_es",B$1="ga_brp_es"),IF(AE$4=0,"",AE$4),IF(B$1="ga_brp",IF(G32="","","null"))))</f>
        <v/>
      </c>
      <c r="G32" s="27" t="str">
        <f>IF(B$1="ga",IF(E32="","","null"),IF(B$1="ga_es",IF(F32="","","null"),IF(B$1="ga_brp",IF(AF$4=0,"",AF$4),IF(F32="","",INDEX(TableDay1[brp_id],MATCH(F32,TableDay1[es_id],0),1)))))</f>
        <v/>
      </c>
      <c r="H32" s="29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2" t="s">
        <v>73</v>
      </c>
      <c r="S32" s="23" t="str">
        <f>_xlfn.IFNA(INDEX(TableDay1[ga_id],MATCH(U32,TableDay1[es_id],0)),"")</f>
        <v>801</v>
      </c>
      <c r="T32" s="23" t="str">
        <f>_xlfn.IFNA(INDEX(TableDay1[brp_id],MATCH(U32,TableDay1[es_id],0)),"")</f>
        <v/>
      </c>
      <c r="U32" s="23" t="str">
        <f t="shared" si="11"/>
        <v/>
      </c>
      <c r="V32" s="16">
        <f t="shared" si="11"/>
        <v>0</v>
      </c>
      <c r="W32" s="16">
        <f>X32+W31</f>
        <v>0</v>
      </c>
      <c r="X32" s="16">
        <f>V32-Y31</f>
        <v>0</v>
      </c>
      <c r="Y32" s="20">
        <f t="shared" si="1"/>
        <v>0</v>
      </c>
      <c r="Z32" s="21"/>
      <c r="AA32" s="24"/>
      <c r="AB32" s="2"/>
      <c r="AC32" s="2"/>
      <c r="AD32" s="32"/>
      <c r="AE32" s="32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2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2"/>
      <c r="AH32" s="32"/>
      <c r="AI32" s="21"/>
      <c r="AJ32" s="21"/>
      <c r="AK32" s="21"/>
      <c r="AL32" s="21"/>
      <c r="AM32" s="21"/>
      <c r="AN32" s="21"/>
      <c r="AO32" s="21"/>
      <c r="AP32" s="21"/>
      <c r="AQ32" s="21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3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3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2" t="s">
        <v>74</v>
      </c>
      <c r="E33" s="27" t="str">
        <f t="shared" si="6"/>
        <v/>
      </c>
      <c r="F33" s="27" t="str">
        <f>IF(B$1="ga",IF(E33="","","null"),IF(OR(B$1="ga_es",B$1="ga_brp_es"),IF(AE$4=0,"",AE$4),IF(B$1="ga_brp",IF(G33="","","null"))))</f>
        <v/>
      </c>
      <c r="G33" s="27" t="str">
        <f>IF(B$1="ga",IF(E33="","","null"),IF(B$1="ga_es",IF(F33="","","null"),IF(B$1="ga_brp",IF(AF$4=0,"",AF$4),IF(F33="","",INDEX(TableDay1[brp_id],MATCH(F33,TableDay1[es_id],0),1)))))</f>
        <v/>
      </c>
      <c r="H33" s="29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2" t="s">
        <v>74</v>
      </c>
      <c r="S33" s="23" t="str">
        <f>_xlfn.IFNA(INDEX(TableDay1[ga_id],MATCH(U33,TableDay1[es_id],0)),"")</f>
        <v>801</v>
      </c>
      <c r="T33" s="23" t="str">
        <f>_xlfn.IFNA(INDEX(TableDay1[brp_id],MATCH(U33,TableDay1[es_id],0)),"")</f>
        <v/>
      </c>
      <c r="U33" s="23" t="str">
        <f t="shared" si="11"/>
        <v/>
      </c>
      <c r="V33" s="16">
        <f t="shared" si="11"/>
        <v>0</v>
      </c>
      <c r="W33" s="16">
        <f>X33+W32</f>
        <v>0</v>
      </c>
      <c r="X33" s="16">
        <f>V33-Y32</f>
        <v>0</v>
      </c>
      <c r="Y33" s="20">
        <f t="shared" si="1"/>
        <v>0</v>
      </c>
      <c r="Z33" s="21"/>
      <c r="AA33" s="24"/>
      <c r="AB33" s="2"/>
      <c r="AC33" s="2"/>
      <c r="AD33" s="32"/>
      <c r="AE33" s="32"/>
      <c r="AF33" s="32"/>
      <c r="AG33" s="32"/>
      <c r="AH33" s="32"/>
      <c r="AI33" s="21"/>
      <c r="AJ33" s="21"/>
      <c r="AK33" s="21"/>
      <c r="AL33" s="21"/>
      <c r="AM33" s="21"/>
      <c r="AN33" s="21"/>
      <c r="AO33" s="21"/>
      <c r="AP33" s="21"/>
      <c r="AQ33" s="21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3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3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2" t="s">
        <v>71</v>
      </c>
      <c r="E34" s="27" t="str">
        <f t="shared" si="6"/>
        <v/>
      </c>
      <c r="F34" s="27" t="str">
        <f>IF(B$1="ga",IF(E34="","","null"),IF(OR(B$1="ga_es",B$1="ga_brp_es"),IF(AE$5=0,"",AE$5),IF(B$1="ga_brp",IF(G34="","","null"))))</f>
        <v/>
      </c>
      <c r="G34" s="27" t="str">
        <f>IF(B$1="ga",IF(E34="","","null"),IF(B$1="ga_es",IF(F34="","","null"),IF(B$1="ga_brp",IF(AF$5=0,"",AF$5),IF(F34="","",INDEX(TableDay1[brp_id],MATCH(F34,TableDay1[es_id],0),1)))))</f>
        <v/>
      </c>
      <c r="H34" s="29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1"/>
      <c r="S34" s="21"/>
      <c r="T34" s="21"/>
      <c r="U34" s="21"/>
      <c r="V34" s="21"/>
      <c r="W34" s="21"/>
      <c r="X34" s="21"/>
      <c r="Y34" s="21"/>
      <c r="Z34" s="21"/>
      <c r="AA34" s="24"/>
      <c r="AB34" s="2"/>
      <c r="AC34" s="2"/>
      <c r="AD34" s="32"/>
      <c r="AE34" s="32"/>
      <c r="AF34" s="32"/>
      <c r="AG34" s="32"/>
      <c r="AH34" s="32"/>
      <c r="AI34" s="21"/>
      <c r="AJ34" s="21"/>
      <c r="AK34" s="21"/>
      <c r="AL34" s="21"/>
      <c r="AM34" s="21"/>
      <c r="AN34" s="21"/>
      <c r="AO34" s="21"/>
      <c r="AP34" s="21"/>
      <c r="AQ34" s="21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3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3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2" t="s">
        <v>72</v>
      </c>
      <c r="E35" s="27" t="str">
        <f t="shared" si="6"/>
        <v/>
      </c>
      <c r="F35" s="27" t="str">
        <f>IF(B$1="ga",IF(E35="","","null"),IF(OR(B$1="ga_es",B$1="ga_brp_es"),IF(AE$5=0,"",AE$5),IF(B$1="ga_brp",IF(G35="","","null"))))</f>
        <v/>
      </c>
      <c r="G35" s="27" t="str">
        <f>IF(B$1="ga",IF(E35="","","null"),IF(B$1="ga_es",IF(F35="","","null"),IF(B$1="ga_brp",IF(AF$5=0,"",AF$5),IF(F35="","",INDEX(TableDay1[brp_id],MATCH(F35,TableDay1[es_id],0),1)))))</f>
        <v/>
      </c>
      <c r="H35" s="29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1"/>
      <c r="S35" s="21"/>
      <c r="T35" s="21"/>
      <c r="U35" s="21"/>
      <c r="V35" s="25">
        <f>SUMIFS(TableDay1[TotalHour],TableDay1[settlement_method],"D01",TableDay1[resolution],"PT1H")</f>
        <v>10.25</v>
      </c>
      <c r="W35" s="44" t="s">
        <v>46</v>
      </c>
      <c r="X35" s="45"/>
      <c r="Y35" s="25">
        <f>SUM(Y37:Y40)</f>
        <v>10.25</v>
      </c>
      <c r="Z35" s="18">
        <f>SUM(Z37:Z40)</f>
        <v>10.252000000000001</v>
      </c>
      <c r="AA35" s="24"/>
      <c r="AB35" s="2"/>
      <c r="AC35" s="2"/>
      <c r="AD35" s="32"/>
      <c r="AE35" s="32"/>
      <c r="AF35" s="32"/>
      <c r="AG35" s="32"/>
      <c r="AH35" s="32"/>
      <c r="AI35" s="21"/>
      <c r="AJ35" s="21"/>
      <c r="AK35" s="21"/>
      <c r="AL35" s="21"/>
      <c r="AM35" s="21"/>
      <c r="AN35" s="21"/>
      <c r="AO35" s="21"/>
      <c r="AP35" s="21"/>
      <c r="AQ35" s="21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3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3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2" t="s">
        <v>73</v>
      </c>
      <c r="E36" s="27" t="str">
        <f t="shared" si="6"/>
        <v/>
      </c>
      <c r="F36" s="27" t="str">
        <f>IF(B$1="ga",IF(E36="","","null"),IF(OR(B$1="ga_es",B$1="ga_brp_es"),IF(AE$5=0,"",AE$5),IF(B$1="ga_brp",IF(G36="","","null"))))</f>
        <v/>
      </c>
      <c r="G36" s="27" t="str">
        <f>IF(B$1="ga",IF(E36="","","null"),IF(B$1="ga_es",IF(F36="","","null"),IF(B$1="ga_brp",IF(AF$5=0,"",AF$5),IF(F36="","",INDEX(TableDay1[brp_id],MATCH(F36,TableDay1[es_id],0),1)))))</f>
        <v/>
      </c>
      <c r="H36" s="29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1"/>
      <c r="S36" s="21"/>
      <c r="T36" s="21"/>
      <c r="U36" s="7" t="s">
        <v>40</v>
      </c>
      <c r="V36" s="17">
        <f>SUMIFS(TableDay1[TotalHour],TableDay1[settlement_method],"D01",TableDay1[resolution],"PT1H")/4</f>
        <v>2.5625</v>
      </c>
      <c r="W36" s="7" t="s">
        <v>42</v>
      </c>
      <c r="X36" s="7" t="s">
        <v>43</v>
      </c>
      <c r="Y36" s="7" t="s">
        <v>44</v>
      </c>
      <c r="Z36" s="7" t="s">
        <v>45</v>
      </c>
      <c r="AA36" s="24"/>
      <c r="AB36" s="2"/>
      <c r="AC36" s="2"/>
      <c r="AD36" s="32"/>
      <c r="AE36" s="32"/>
      <c r="AF36" s="32"/>
      <c r="AG36" s="32"/>
      <c r="AH36" s="3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3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3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2" t="s">
        <v>74</v>
      </c>
      <c r="E37" s="27" t="str">
        <f t="shared" si="6"/>
        <v/>
      </c>
      <c r="F37" s="27" t="str">
        <f>IF(B$1="ga",IF(E37="","","null"),IF(OR(B$1="ga_es",B$1="ga_brp_es"),IF(AE$5=0,"",AE$5),IF(B$1="ga_brp",IF(G37="","","null"))))</f>
        <v/>
      </c>
      <c r="G37" s="27" t="str">
        <f>IF(B$1="ga",IF(E37="","","null"),IF(B$1="ga_es",IF(F37="","","null"),IF(B$1="ga_brp",IF(AF$5=0,"",AF$5),IF(F37="","",INDEX(TableDay1[brp_id],MATCH(F37,TableDay1[es_id],0),1)))))</f>
        <v/>
      </c>
      <c r="H37" s="29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1"/>
      <c r="S37" s="21"/>
      <c r="T37" s="21"/>
      <c r="U37" s="12" t="s">
        <v>51</v>
      </c>
      <c r="V37" s="16">
        <f>V$36</f>
        <v>2.5625</v>
      </c>
      <c r="W37" s="16">
        <f>V37</f>
        <v>2.5625</v>
      </c>
      <c r="X37" s="16"/>
      <c r="Y37" s="20">
        <f>ROUND(W37, 3)</f>
        <v>2.5630000000000002</v>
      </c>
      <c r="Z37" s="20">
        <f>ROUND(V37,3)</f>
        <v>2.5630000000000002</v>
      </c>
      <c r="AA37" s="24"/>
      <c r="AB37" s="2"/>
      <c r="AC37" s="2"/>
      <c r="AD37" s="32"/>
      <c r="AE37" s="32"/>
      <c r="AF37" s="32"/>
      <c r="AG37" s="32"/>
      <c r="AH37" s="3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3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3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2" t="s">
        <v>71</v>
      </c>
      <c r="E38" s="27" t="str">
        <f t="shared" si="6"/>
        <v/>
      </c>
      <c r="F38" s="27" t="str">
        <f>IF(B$1="ga",IF(E38="","","null"),IF(OR(B$1="ga_es",B$1="ga_brp_es"),IF(AE$6=0,"",AE$5),IF(B$1="ga_brp",IF(G38="","","null"))))</f>
        <v/>
      </c>
      <c r="G38" s="27" t="str">
        <f>IF(B$1="ga",IF(E38="","","null"),IF(B$1="ga_es",IF(F38="","","null"),IF(B$1="ga_brp",IF(AF$5=0,"",AF$5),IF(F38="","",INDEX(TableDay1[brp_id],MATCH(F38,TableDay1[es_id],0),1)))))</f>
        <v/>
      </c>
      <c r="H38" s="29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1"/>
      <c r="S38" s="21"/>
      <c r="T38" s="21"/>
      <c r="U38" s="12" t="s">
        <v>52</v>
      </c>
      <c r="V38" s="16">
        <f>V$36</f>
        <v>2.5625</v>
      </c>
      <c r="W38" s="16">
        <f>X38+W37</f>
        <v>2.5619999999999998</v>
      </c>
      <c r="X38" s="16">
        <f>V38-Y37</f>
        <v>-5.0000000000016698E-4</v>
      </c>
      <c r="Y38" s="20">
        <f>ROUND(W38, 3)</f>
        <v>2.5619999999999998</v>
      </c>
      <c r="Z38" s="20">
        <f>ROUND(V38,3)</f>
        <v>2.5630000000000002</v>
      </c>
      <c r="AA38" s="24"/>
      <c r="AB38" s="2"/>
      <c r="AC38" s="2"/>
      <c r="AD38" s="32"/>
      <c r="AE38" s="32"/>
      <c r="AF38" s="32"/>
      <c r="AG38" s="32"/>
      <c r="AH38" s="3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3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3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2" t="s">
        <v>72</v>
      </c>
      <c r="E39" s="27" t="str">
        <f t="shared" si="6"/>
        <v/>
      </c>
      <c r="F39" s="27" t="str">
        <f>IF(B$1="ga",IF(E39="","","null"),IF(OR(B$1="ga_es",B$1="ga_brp_es"),IF(AE$6=0,"",AE$5),IF(B$1="ga_brp",IF(G39="","","null"))))</f>
        <v/>
      </c>
      <c r="G39" s="27" t="str">
        <f>IF(B$1="ga",IF(E39="","","null"),IF(B$1="ga_es",IF(F39="","","null"),IF(B$1="ga_brp",IF(AF$5=0,"",AF$5),IF(F39="","",INDEX(TableDay1[brp_id],MATCH(F39,TableDay1[es_id],0),1)))))</f>
        <v/>
      </c>
      <c r="H39" s="29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1"/>
      <c r="S39" s="21"/>
      <c r="T39" s="21"/>
      <c r="U39" s="12" t="s">
        <v>53</v>
      </c>
      <c r="V39" s="16">
        <f>V$36</f>
        <v>2.5625</v>
      </c>
      <c r="W39" s="16">
        <f>X39+W38</f>
        <v>2.5625</v>
      </c>
      <c r="X39" s="16">
        <f>V39-Y38</f>
        <v>5.0000000000016698E-4</v>
      </c>
      <c r="Y39" s="20">
        <f>ROUND(W39, 3)</f>
        <v>2.5630000000000002</v>
      </c>
      <c r="Z39" s="20">
        <f>ROUND(V39,3)</f>
        <v>2.5630000000000002</v>
      </c>
      <c r="AA39" s="24"/>
      <c r="AB39" s="2"/>
      <c r="AC39" s="2"/>
      <c r="AD39" s="32"/>
      <c r="AE39" s="32"/>
      <c r="AF39" s="32"/>
      <c r="AG39" s="32"/>
      <c r="AH39" s="3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3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3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2" t="s">
        <v>73</v>
      </c>
      <c r="E40" s="27" t="str">
        <f t="shared" si="6"/>
        <v/>
      </c>
      <c r="F40" s="27" t="str">
        <f>IF(B$1="ga",IF(E40="","","null"),IF(OR(B$1="ga_es",B$1="ga_brp_es"),IF(AE$6=0,"",AE$5),IF(B$1="ga_brp",IF(G40="","","null"))))</f>
        <v/>
      </c>
      <c r="G40" s="27" t="str">
        <f>IF(B$1="ga",IF(E40="","","null"),IF(B$1="ga_es",IF(F40="","","null"),IF(B$1="ga_brp",IF(AF$5=0,"",AF$5),IF(F40="","",INDEX(TableDay1[brp_id],MATCH(F40,TableDay1[es_id],0),1)))))</f>
        <v/>
      </c>
      <c r="H40" s="29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1"/>
      <c r="S40" s="21"/>
      <c r="T40" s="21"/>
      <c r="U40" s="12" t="s">
        <v>54</v>
      </c>
      <c r="V40" s="16">
        <f>V$36</f>
        <v>2.5625</v>
      </c>
      <c r="W40" s="16">
        <f>X40+W39</f>
        <v>2.5619999999999998</v>
      </c>
      <c r="X40" s="16">
        <f>V40-Y39</f>
        <v>-5.0000000000016698E-4</v>
      </c>
      <c r="Y40" s="20">
        <f>ROUND(W40, 3)</f>
        <v>2.5619999999999998</v>
      </c>
      <c r="Z40" s="20">
        <f>ROUND(V40,3)</f>
        <v>2.5630000000000002</v>
      </c>
      <c r="AA40" s="24"/>
      <c r="AB40" s="2"/>
      <c r="AC40" s="2"/>
      <c r="AD40" s="32"/>
      <c r="AE40" s="32"/>
      <c r="AF40" s="32"/>
      <c r="AG40" s="32"/>
      <c r="AH40" s="3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3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3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2" t="s">
        <v>74</v>
      </c>
      <c r="E41" s="27" t="str">
        <f t="shared" si="6"/>
        <v/>
      </c>
      <c r="F41" s="27" t="str">
        <f>IF(B$1="ga",IF(E41="","","null"),IF(OR(B$1="ga_es",B$1="ga_brp_es"),IF(AE$6=0,"",AE$5),IF(B$1="ga_brp",IF(G41="","","null"))))</f>
        <v/>
      </c>
      <c r="G41" s="27" t="str">
        <f>IF(B$1="ga",IF(E41="","","null"),IF(B$1="ga_es",IF(F41="","","null"),IF(B$1="ga_brp",IF(AF$5=0,"",AF$5),IF(F41="","",INDEX(TableDay1[brp_id],MATCH(F41,TableDay1[es_id],0),1)))))</f>
        <v/>
      </c>
      <c r="H41" s="29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1"/>
      <c r="S41" s="21"/>
      <c r="T41" s="21"/>
      <c r="U41" s="21"/>
      <c r="V41" s="25">
        <f>SUMIFS(TableDay1[TotalHour],TableDay1[type],"E18",TableDay1[resolution],"PT1H")</f>
        <v>6.0030000000000001</v>
      </c>
      <c r="W41" s="44" t="s">
        <v>46</v>
      </c>
      <c r="X41" s="45"/>
      <c r="Y41" s="25">
        <f>SUM(Y43:Y46)</f>
        <v>6.0030000000000001</v>
      </c>
      <c r="Z41" s="18">
        <f>SUM(Z43:Z46)</f>
        <v>6.0039999999999996</v>
      </c>
      <c r="AA41" s="24"/>
      <c r="AB41" s="2"/>
      <c r="AC41" s="2"/>
      <c r="AD41" s="32"/>
      <c r="AE41" s="32"/>
      <c r="AF41" s="32"/>
      <c r="AG41" s="32"/>
      <c r="AH41" s="3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3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3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2" t="s">
        <v>71</v>
      </c>
      <c r="E42" s="27" t="str">
        <f t="shared" si="6"/>
        <v/>
      </c>
      <c r="F42" s="27" t="str">
        <f>IF(B$1="ga",IF(E42="","","null"),IF(OR(B$1="ga_es",B$1="ga_brp_es"),IF(AE$7=0,"",AE$5),IF(B$1="ga_brp",IF(G42="","","null"))))</f>
        <v/>
      </c>
      <c r="G42" s="27" t="str">
        <f>IF(B$1="ga",IF(E42="","","null"),IF(B$1="ga_es",IF(F42="","","null"),IF(B$1="ga_brp",IF(AF$5=0,"",AF$5),IF(F42="","",INDEX(TableDay1[brp_id],MATCH(F42,TableDay1[es_id],0),1)))))</f>
        <v/>
      </c>
      <c r="H42" s="29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1"/>
      <c r="S42" s="21"/>
      <c r="T42" s="21"/>
      <c r="U42" s="7" t="s">
        <v>29</v>
      </c>
      <c r="V42" s="19">
        <f>SUMIFS(TableDay1[TotalHour],TableDay1[type],"E18",TableDay1[resolution],"PT1H")/4</f>
        <v>1.50075</v>
      </c>
      <c r="W42" s="7" t="s">
        <v>42</v>
      </c>
      <c r="X42" s="7" t="s">
        <v>43</v>
      </c>
      <c r="Y42" s="7" t="s">
        <v>44</v>
      </c>
      <c r="Z42" s="7" t="s">
        <v>45</v>
      </c>
      <c r="AA42" s="24"/>
      <c r="AB42" s="2"/>
      <c r="AC42" s="2"/>
      <c r="AD42" s="32"/>
      <c r="AE42" s="32"/>
      <c r="AF42" s="32"/>
      <c r="AG42" s="32"/>
      <c r="AH42" s="3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3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3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2" t="s">
        <v>72</v>
      </c>
      <c r="E43" s="27" t="str">
        <f t="shared" si="6"/>
        <v/>
      </c>
      <c r="F43" s="27" t="str">
        <f>IF(B$1="ga",IF(E43="","","null"),IF(OR(B$1="ga_es",B$1="ga_brp_es"),IF(AE$7=0,"",AE$5),IF(B$1="ga_brp",IF(G43="","","null"))))</f>
        <v/>
      </c>
      <c r="G43" s="27" t="str">
        <f>IF(B$1="ga",IF(E43="","","null"),IF(B$1="ga_es",IF(F43="","","null"),IF(B$1="ga_brp",IF(AF$5=0,"",AF$5),IF(F43="","",INDEX(TableDay1[brp_id],MATCH(F43,TableDay1[es_id],0),1)))))</f>
        <v/>
      </c>
      <c r="H43" s="29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1"/>
      <c r="S43" s="21"/>
      <c r="T43" s="21"/>
      <c r="U43" s="12" t="s">
        <v>47</v>
      </c>
      <c r="V43" s="16">
        <f>V$42</f>
        <v>1.50075</v>
      </c>
      <c r="W43" s="16">
        <f>V43</f>
        <v>1.50075</v>
      </c>
      <c r="X43" s="16"/>
      <c r="Y43" s="20">
        <f>ROUND(W43, 3)</f>
        <v>1.5009999999999999</v>
      </c>
      <c r="Z43" s="20">
        <f>ROUND(V43,3)</f>
        <v>1.5009999999999999</v>
      </c>
      <c r="AA43" s="24"/>
      <c r="AB43" s="2"/>
      <c r="AC43" s="2"/>
      <c r="AD43" s="32"/>
      <c r="AE43" s="32"/>
      <c r="AF43" s="32"/>
      <c r="AG43" s="32"/>
      <c r="AH43" s="3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3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3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2" t="s">
        <v>73</v>
      </c>
      <c r="E44" s="27" t="str">
        <f t="shared" si="6"/>
        <v/>
      </c>
      <c r="F44" s="27" t="str">
        <f>IF(B$1="ga",IF(E44="","","null"),IF(OR(B$1="ga_es",B$1="ga_brp_es"),IF(AE$7=0,"",AE$5),IF(B$1="ga_brp",IF(G44="","","null"))))</f>
        <v/>
      </c>
      <c r="G44" s="27" t="str">
        <f>IF(B$1="ga",IF(E44="","","null"),IF(B$1="ga_es",IF(F44="","","null"),IF(B$1="ga_brp",IF(AF$5=0,"",AF$5),IF(F44="","",INDEX(TableDay1[brp_id],MATCH(F44,TableDay1[es_id],0),1)))))</f>
        <v/>
      </c>
      <c r="H44" s="29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M44" s="57"/>
      <c r="R44" s="21"/>
      <c r="S44" s="21"/>
      <c r="T44" s="21"/>
      <c r="U44" s="12" t="s">
        <v>48</v>
      </c>
      <c r="V44" s="16">
        <f>V$42</f>
        <v>1.50075</v>
      </c>
      <c r="W44" s="16">
        <f>X44+W43</f>
        <v>1.5005000000000002</v>
      </c>
      <c r="X44" s="16">
        <f>V44-Y43</f>
        <v>-2.4999999999986144E-4</v>
      </c>
      <c r="Y44" s="20">
        <f>ROUND(W44, 3)</f>
        <v>1.5009999999999999</v>
      </c>
      <c r="Z44" s="20">
        <f>ROUND(V44,3)</f>
        <v>1.5009999999999999</v>
      </c>
      <c r="AA44" s="24"/>
      <c r="AB44" s="2"/>
      <c r="AC44" s="2"/>
      <c r="AD44" s="32"/>
      <c r="AE44" s="32"/>
      <c r="AF44" s="32"/>
      <c r="AG44" s="2"/>
      <c r="AH44" s="3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3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3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2" t="s">
        <v>74</v>
      </c>
      <c r="E45" s="27" t="str">
        <f t="shared" si="6"/>
        <v/>
      </c>
      <c r="F45" s="27" t="str">
        <f>IF(B$1="ga",IF(E45="","","null"),IF(OR(B$1="ga_es",B$1="ga_brp_es"),IF(AE$7=0,"",AE$5),IF(B$1="ga_brp",IF(G45="","","null"))))</f>
        <v/>
      </c>
      <c r="G45" s="27" t="str">
        <f>IF(B$1="ga",IF(E45="","","null"),IF(B$1="ga_es",IF(F45="","","null"),IF(B$1="ga_brp",IF(AF$5=0,"",AF$5),IF(F45="","",INDEX(TableDay1[brp_id],MATCH(F45,TableDay1[es_id],0),1)))))</f>
        <v/>
      </c>
      <c r="H45" s="29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1"/>
      <c r="S45" s="21"/>
      <c r="T45" s="21"/>
      <c r="U45" s="12" t="s">
        <v>49</v>
      </c>
      <c r="V45" s="16">
        <f>V$42</f>
        <v>1.50075</v>
      </c>
      <c r="W45" s="16">
        <f>X45+W44</f>
        <v>1.5002500000000003</v>
      </c>
      <c r="X45" s="16">
        <f>V45-Y44</f>
        <v>-2.4999999999986144E-4</v>
      </c>
      <c r="Y45" s="20">
        <f>ROUND(W45, 3)</f>
        <v>1.5</v>
      </c>
      <c r="Z45" s="20">
        <f>ROUND(V45,3)</f>
        <v>1.5009999999999999</v>
      </c>
      <c r="AA45" s="24"/>
      <c r="AB45" s="2"/>
      <c r="AC45" s="2"/>
      <c r="AD45" s="32"/>
      <c r="AE45" s="32"/>
      <c r="AF45" s="32"/>
      <c r="AG45" s="32"/>
      <c r="AH45" s="3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7" t="s">
        <v>171</v>
      </c>
      <c r="F46" s="47"/>
      <c r="G46" s="47"/>
      <c r="H46" s="47"/>
      <c r="R46" s="21"/>
      <c r="S46" s="21"/>
      <c r="T46" s="21"/>
      <c r="U46" s="12" t="s">
        <v>50</v>
      </c>
      <c r="V46" s="16">
        <f>V$42</f>
        <v>1.50075</v>
      </c>
      <c r="W46" s="16">
        <f>X46+W45</f>
        <v>1.5010000000000003</v>
      </c>
      <c r="X46" s="16">
        <f>V46-Y45</f>
        <v>7.5000000000002842E-4</v>
      </c>
      <c r="Y46" s="20">
        <f>ROUND(W46, 3)</f>
        <v>1.5009999999999999</v>
      </c>
      <c r="Z46" s="20">
        <f>ROUND(V46,3)</f>
        <v>1.5009999999999999</v>
      </c>
      <c r="AA46" s="24"/>
      <c r="AB46" s="2"/>
      <c r="AC46" s="2"/>
      <c r="AD46" s="32"/>
      <c r="AE46" s="32"/>
      <c r="AF46" s="32"/>
      <c r="AG46" s="32"/>
      <c r="AH46" s="3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I47" s="58" t="s">
        <v>166</v>
      </c>
      <c r="R47" s="21"/>
      <c r="S47" s="21"/>
      <c r="T47" s="21"/>
      <c r="U47" s="21"/>
      <c r="V47" s="25">
        <f>SUMIFS(TableDay1[TotalHour],TableDay1[settlement_method],"E02",TableDay1[resolution],"PT1H")</f>
        <v>8.8070000000000004</v>
      </c>
      <c r="W47" s="44" t="s">
        <v>46</v>
      </c>
      <c r="X47" s="45"/>
      <c r="Y47" s="25">
        <f>SUM(Y49:Y52)</f>
        <v>8.8070000000000004</v>
      </c>
      <c r="Z47" s="18">
        <f>SUM(Z49:Z52)</f>
        <v>8.8079999999999998</v>
      </c>
      <c r="AA47" s="24"/>
      <c r="AB47" s="2"/>
      <c r="AC47" s="2"/>
      <c r="AD47" s="32"/>
      <c r="AE47" s="32"/>
      <c r="AF47" s="32"/>
      <c r="AG47" s="32"/>
      <c r="AH47" s="3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71</v>
      </c>
      <c r="E48" s="27" t="str">
        <f>$AD$2</f>
        <v>800</v>
      </c>
      <c r="F48" s="27" t="s">
        <v>32</v>
      </c>
      <c r="G48" s="27" t="s">
        <v>32</v>
      </c>
      <c r="H48" s="28">
        <f ca="1">SUMIF(D90:D113,D48,H90:H113)</f>
        <v>4.7220000000000004</v>
      </c>
      <c r="I48" s="24" t="str">
        <f ca="1">SUBSTITUTE(ROUND(H48,3),",",".")</f>
        <v>4.722</v>
      </c>
      <c r="J48" s="2"/>
      <c r="R48" s="21"/>
      <c r="S48" s="21"/>
      <c r="T48" s="21"/>
      <c r="U48" s="7" t="s">
        <v>41</v>
      </c>
      <c r="V48" s="9">
        <f>SUMIFS(TableDay1[TotalHour],TableDay1[settlement_method],"E02",TableDay1[resolution],"PT1H")/4</f>
        <v>2.2017500000000001</v>
      </c>
      <c r="W48" s="7" t="s">
        <v>42</v>
      </c>
      <c r="X48" s="7" t="s">
        <v>43</v>
      </c>
      <c r="Y48" s="7" t="s">
        <v>44</v>
      </c>
      <c r="Z48" s="7" t="s">
        <v>45</v>
      </c>
      <c r="AA48" s="24"/>
      <c r="AB48" s="2"/>
      <c r="AC48" s="2"/>
      <c r="AD48" s="32"/>
      <c r="AE48" s="32"/>
      <c r="AF48" s="32"/>
      <c r="AG48" s="32"/>
      <c r="AH48" s="3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72</v>
      </c>
      <c r="E49" s="27" t="str">
        <f t="shared" ref="E49:E51" si="12">$AD$2</f>
        <v>800</v>
      </c>
      <c r="F49" s="27" t="s">
        <v>32</v>
      </c>
      <c r="G49" s="27" t="s">
        <v>32</v>
      </c>
      <c r="H49" s="28">
        <f t="shared" ref="H49:H51" ca="1" si="13">SUMIF(D91:D114,D49,H91:H114)</f>
        <v>9.7210000000000019</v>
      </c>
      <c r="I49" s="24" t="str">
        <f t="shared" ref="I49:I51" ca="1" si="14">SUBSTITUTE(ROUND(H49,3),",",".")</f>
        <v>9.721</v>
      </c>
      <c r="J49" s="2"/>
      <c r="R49" s="21"/>
      <c r="S49" s="21"/>
      <c r="T49" s="21"/>
      <c r="U49" s="12" t="s">
        <v>55</v>
      </c>
      <c r="V49" s="16">
        <f>V$48</f>
        <v>2.2017500000000001</v>
      </c>
      <c r="W49" s="16">
        <f>V49</f>
        <v>2.2017500000000001</v>
      </c>
      <c r="X49" s="16"/>
      <c r="Y49" s="20">
        <f>ROUND(W49, 3)</f>
        <v>2.202</v>
      </c>
      <c r="Z49" s="20">
        <f>ROUND(V49,3)</f>
        <v>2.202</v>
      </c>
      <c r="AA49" s="24"/>
      <c r="AB49" s="2"/>
      <c r="AC49" s="2"/>
      <c r="AD49" s="2"/>
      <c r="AE49" s="32"/>
      <c r="AF49" s="32"/>
      <c r="AG49" s="24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73</v>
      </c>
      <c r="E50" s="27" t="str">
        <f t="shared" si="12"/>
        <v>800</v>
      </c>
      <c r="F50" s="27" t="s">
        <v>32</v>
      </c>
      <c r="G50" s="27" t="s">
        <v>32</v>
      </c>
      <c r="H50" s="28">
        <f t="shared" ca="1" si="13"/>
        <v>4.7210000000000001</v>
      </c>
      <c r="I50" s="24" t="str">
        <f t="shared" ca="1" si="14"/>
        <v>4.721</v>
      </c>
      <c r="J50" s="2"/>
      <c r="R50" s="21"/>
      <c r="S50" s="21"/>
      <c r="T50" s="21"/>
      <c r="U50" s="12" t="s">
        <v>56</v>
      </c>
      <c r="V50" s="16">
        <f>V$48</f>
        <v>2.2017500000000001</v>
      </c>
      <c r="W50" s="16">
        <f>X50+W49</f>
        <v>2.2015000000000002</v>
      </c>
      <c r="X50" s="16">
        <f>V50-Y49</f>
        <v>-2.4999999999986144E-4</v>
      </c>
      <c r="Y50" s="20">
        <f>ROUND(W50, 3)</f>
        <v>2.202</v>
      </c>
      <c r="Z50" s="20">
        <f>ROUND(V50,3)</f>
        <v>2.202</v>
      </c>
      <c r="AA50" s="21"/>
      <c r="AB50" s="2"/>
      <c r="AC50" s="2"/>
      <c r="AD50" s="2"/>
      <c r="AE50" s="2"/>
      <c r="AF50" s="32"/>
      <c r="AG50" s="24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74</v>
      </c>
      <c r="E51" s="27" t="str">
        <f t="shared" si="12"/>
        <v>800</v>
      </c>
      <c r="F51" s="27" t="s">
        <v>32</v>
      </c>
      <c r="G51" s="27" t="s">
        <v>32</v>
      </c>
      <c r="H51" s="28">
        <f t="shared" ca="1" si="13"/>
        <v>4.7220000000000004</v>
      </c>
      <c r="I51" s="24" t="str">
        <f t="shared" ca="1" si="14"/>
        <v>4.722</v>
      </c>
      <c r="J51" s="2"/>
      <c r="R51" s="21"/>
      <c r="S51" s="21"/>
      <c r="T51" s="21"/>
      <c r="U51" s="12" t="s">
        <v>57</v>
      </c>
      <c r="V51" s="16">
        <f>V$48</f>
        <v>2.2017500000000001</v>
      </c>
      <c r="W51" s="16">
        <f>X51+W50</f>
        <v>2.2012500000000004</v>
      </c>
      <c r="X51" s="16">
        <f>V51-Y50</f>
        <v>-2.4999999999986144E-4</v>
      </c>
      <c r="Y51" s="20">
        <f>ROUND(W51, 3)</f>
        <v>2.2010000000000001</v>
      </c>
      <c r="Z51" s="20">
        <f>ROUND(V51,3)</f>
        <v>2.202</v>
      </c>
      <c r="AA51" s="21"/>
      <c r="AB51" s="2"/>
      <c r="AC51" s="2"/>
      <c r="AD51" s="2"/>
      <c r="AE51" s="2"/>
      <c r="AF51" s="2"/>
      <c r="AG51" s="24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1" t="s">
        <v>34</v>
      </c>
      <c r="F52" s="52"/>
      <c r="G52" s="52"/>
      <c r="H52" s="53"/>
      <c r="R52" s="21"/>
      <c r="S52" s="21"/>
      <c r="T52" s="21"/>
      <c r="U52" s="12" t="s">
        <v>58</v>
      </c>
      <c r="V52" s="16">
        <f>V$48</f>
        <v>2.2017500000000001</v>
      </c>
      <c r="W52" s="16">
        <f>X52+W51</f>
        <v>2.2020000000000004</v>
      </c>
      <c r="X52" s="16">
        <f>V52-Y51</f>
        <v>7.5000000000002842E-4</v>
      </c>
      <c r="Y52" s="20">
        <f>ROUND(W52, 3)</f>
        <v>2.202</v>
      </c>
      <c r="Z52" s="20">
        <f>ROUND(V52,3)</f>
        <v>2.202</v>
      </c>
      <c r="AA52" s="21"/>
      <c r="AB52" s="2"/>
      <c r="AC52" s="2"/>
      <c r="AD52" s="2"/>
      <c r="AE52" s="2"/>
      <c r="AF52" s="2"/>
      <c r="AG52" s="24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1"/>
      <c r="S53" s="21"/>
      <c r="T53" s="21"/>
      <c r="U53" s="21"/>
      <c r="V53" s="25">
        <f>ROUND(SUMIFS(TableDay1[TotalHour],TableDay1[type],"E20",TableDay1[resolution],"PT1H",TableDay1[to_ga],$AD$2),3)</f>
        <v>20.003</v>
      </c>
      <c r="W53" s="44" t="s">
        <v>46</v>
      </c>
      <c r="X53" s="45"/>
      <c r="Y53" s="25">
        <f>ROUND(SUM(Y55:Y58),3)</f>
        <v>20.003</v>
      </c>
      <c r="Z53" s="18">
        <f>SUM(Z55:Z58)</f>
        <v>20.004000000000001</v>
      </c>
      <c r="AA53" s="21"/>
      <c r="AB53" s="2"/>
      <c r="AC53" s="2"/>
      <c r="AD53" s="2"/>
      <c r="AE53" s="2"/>
      <c r="AF53" s="2"/>
      <c r="AG53" s="24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27" t="str">
        <f>$AD$2</f>
        <v>800</v>
      </c>
      <c r="F54" s="27" t="s">
        <v>32</v>
      </c>
      <c r="G54" s="27" t="s">
        <v>32</v>
      </c>
      <c r="H54" s="28">
        <f>totalFlex1H_quarter1+totalFlex15M_quarter1</f>
        <v>12.563000000000001</v>
      </c>
      <c r="I54" s="24" t="str">
        <f>SUBSTITUTE(ROUND(H54,3),",",".")</f>
        <v>12.563</v>
      </c>
      <c r="Q54" s="40"/>
      <c r="R54" s="40"/>
      <c r="S54" s="21"/>
      <c r="T54" s="21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42</v>
      </c>
      <c r="X54" s="7" t="s">
        <v>43</v>
      </c>
      <c r="Y54" s="7" t="s">
        <v>44</v>
      </c>
      <c r="Z54" s="7" t="s">
        <v>45</v>
      </c>
      <c r="AA54" s="21"/>
      <c r="AB54" s="2"/>
      <c r="AC54" s="2"/>
      <c r="AD54" s="2"/>
      <c r="AE54" s="2"/>
      <c r="AF54" s="2"/>
      <c r="AG54" s="24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27" t="str">
        <f t="shared" ref="E55:E57" si="15">$AD$2</f>
        <v>800</v>
      </c>
      <c r="F55" s="27" t="s">
        <v>32</v>
      </c>
      <c r="G55" s="27" t="s">
        <v>32</v>
      </c>
      <c r="H55" s="28">
        <f>totalFlex1H_quarter2+totalFlex15M_quarter2</f>
        <v>3.6619999999999999</v>
      </c>
      <c r="I55" s="24" t="str">
        <f t="shared" ref="I55:I57" si="16">SUBSTITUTE(ROUND(H55,3),",",".")</f>
        <v>3.662</v>
      </c>
      <c r="R55" s="38"/>
      <c r="S55" s="21"/>
      <c r="T55" s="21"/>
      <c r="U55" s="12" t="s">
        <v>59</v>
      </c>
      <c r="V55" s="16">
        <f>V$54</f>
        <v>5.00075</v>
      </c>
      <c r="W55" s="16">
        <f>V55</f>
        <v>5.00075</v>
      </c>
      <c r="X55" s="16"/>
      <c r="Y55" s="20">
        <f>ROUND(W55,3)</f>
        <v>5.0010000000000003</v>
      </c>
      <c r="Z55" s="20">
        <f>ROUND(V55,3)</f>
        <v>5.0010000000000003</v>
      </c>
      <c r="AA55" s="39"/>
      <c r="AB55" s="2"/>
      <c r="AC55" s="2"/>
      <c r="AD55" s="2"/>
      <c r="AE55" s="2"/>
      <c r="AF55" s="2"/>
      <c r="AG55" s="24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27" t="str">
        <f t="shared" si="15"/>
        <v>800</v>
      </c>
      <c r="F56" s="27" t="s">
        <v>32</v>
      </c>
      <c r="G56" s="27" t="s">
        <v>32</v>
      </c>
      <c r="H56" s="28">
        <f>totalFlex1H_quarter3+totalFlex15M_quarter3</f>
        <v>3.6630000000000003</v>
      </c>
      <c r="I56" s="24" t="str">
        <f t="shared" si="16"/>
        <v>3.663</v>
      </c>
      <c r="R56" s="21"/>
      <c r="S56" s="21"/>
      <c r="T56" s="21"/>
      <c r="U56" s="12" t="s">
        <v>60</v>
      </c>
      <c r="V56" s="16">
        <f>V$54</f>
        <v>5.00075</v>
      </c>
      <c r="W56" s="16">
        <f>X56+W55</f>
        <v>5.0004999999999997</v>
      </c>
      <c r="X56" s="16">
        <f>V56-Y55</f>
        <v>-2.5000000000030553E-4</v>
      </c>
      <c r="Y56" s="20">
        <f t="shared" ref="Y56:Y58" si="17">ROUND(W56,3)</f>
        <v>5.0010000000000003</v>
      </c>
      <c r="Z56" s="20">
        <f>ROUND(V56,3)</f>
        <v>5.0010000000000003</v>
      </c>
      <c r="AA56" s="39"/>
      <c r="AB56" s="2"/>
      <c r="AC56" s="2"/>
      <c r="AD56" s="2"/>
      <c r="AE56" s="2"/>
      <c r="AF56" s="2"/>
      <c r="AG56" s="24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27" t="str">
        <f t="shared" si="15"/>
        <v>800</v>
      </c>
      <c r="F57" s="27" t="s">
        <v>32</v>
      </c>
      <c r="G57" s="27" t="s">
        <v>32</v>
      </c>
      <c r="H57" s="28">
        <f>totalFlex1H_quarter4+totalFlex15M_quarter4</f>
        <v>3.6619999999999999</v>
      </c>
      <c r="I57" s="24" t="str">
        <f t="shared" si="16"/>
        <v>3.662</v>
      </c>
      <c r="R57" s="21"/>
      <c r="S57" s="21"/>
      <c r="T57" s="21"/>
      <c r="U57" s="12" t="s">
        <v>61</v>
      </c>
      <c r="V57" s="16">
        <f>V$54</f>
        <v>5.00075</v>
      </c>
      <c r="W57" s="16">
        <f>X57+W56</f>
        <v>5.0002499999999994</v>
      </c>
      <c r="X57" s="16">
        <f>V57-Y56</f>
        <v>-2.5000000000030553E-4</v>
      </c>
      <c r="Y57" s="20">
        <f t="shared" si="17"/>
        <v>5</v>
      </c>
      <c r="Z57" s="20">
        <f>ROUND(V57,3)</f>
        <v>5.0010000000000003</v>
      </c>
      <c r="AA57" s="39"/>
      <c r="AB57" s="2"/>
      <c r="AC57" s="2"/>
      <c r="AD57" s="2"/>
      <c r="AE57" s="2"/>
      <c r="AF57" s="2"/>
      <c r="AG57" s="24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1" t="s">
        <v>35</v>
      </c>
      <c r="F58" s="52"/>
      <c r="G58" s="52"/>
      <c r="H58" s="53"/>
      <c r="R58" s="21"/>
      <c r="S58" s="21"/>
      <c r="T58" s="21"/>
      <c r="U58" s="12" t="s">
        <v>62</v>
      </c>
      <c r="V58" s="16">
        <f>V$54</f>
        <v>5.00075</v>
      </c>
      <c r="W58" s="16">
        <f>X58+W57</f>
        <v>5.0009999999999994</v>
      </c>
      <c r="X58" s="16">
        <f>V58-Y57</f>
        <v>7.5000000000002842E-4</v>
      </c>
      <c r="Y58" s="20">
        <f t="shared" si="17"/>
        <v>5.0010000000000003</v>
      </c>
      <c r="Z58" s="20">
        <f>ROUND(V58,3)</f>
        <v>5.0010000000000003</v>
      </c>
      <c r="AA58" s="39"/>
      <c r="AB58" s="2"/>
      <c r="AC58" s="2"/>
      <c r="AD58" s="2"/>
      <c r="AE58" s="2"/>
      <c r="AF58" s="2"/>
      <c r="AG58" s="24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1"/>
      <c r="S59" s="21"/>
      <c r="T59" s="21"/>
      <c r="U59" s="21"/>
      <c r="V59" s="25">
        <f>ROUND(SUMIFS(TableDay1[TotalHour],TableDay1[type],"E20",TableDay1[resolution],"PT1H",TableDay1[from_ga],"800"),3)</f>
        <v>1.117</v>
      </c>
      <c r="W59" s="44" t="s">
        <v>46</v>
      </c>
      <c r="X59" s="45"/>
      <c r="Y59" s="25">
        <f>ROUND(SUM(Y61:Y64),3)</f>
        <v>1.117</v>
      </c>
      <c r="Z59" s="18">
        <f>SUM(Z61:Z64)</f>
        <v>1.1160000000000001</v>
      </c>
      <c r="AA59" s="24"/>
      <c r="AB59" s="2"/>
      <c r="AC59" s="2"/>
      <c r="AD59" s="2"/>
      <c r="AE59" s="2"/>
      <c r="AF59" s="2"/>
      <c r="AG59" s="24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27" t="str">
        <f>$AD$2</f>
        <v>800</v>
      </c>
      <c r="F60" s="27" t="s">
        <v>32</v>
      </c>
      <c r="G60" s="27" t="s">
        <v>32</v>
      </c>
      <c r="H60" s="28">
        <f>totalProduction1H_quarter1+totalProduction15M_quarter1</f>
        <v>7.5009999999999994</v>
      </c>
      <c r="I60" s="24" t="str">
        <f>SUBSTITUTE(ROUND(H60,3),",",".")</f>
        <v>7.501</v>
      </c>
      <c r="R60" s="38"/>
      <c r="S60" s="21"/>
      <c r="T60" s="21"/>
      <c r="U60" s="6" t="s">
        <v>31</v>
      </c>
      <c r="V60" s="9">
        <f>SUMIFS(TableDay1[TotalHour],TableDay1[type],"E20",TableDay1[resolution],"PT1H",TableDay1[from_ga],"800")/4</f>
        <v>0.27925</v>
      </c>
      <c r="W60" s="7" t="s">
        <v>42</v>
      </c>
      <c r="X60" s="7" t="s">
        <v>43</v>
      </c>
      <c r="Y60" s="7" t="s">
        <v>44</v>
      </c>
      <c r="Z60" s="7" t="s">
        <v>45</v>
      </c>
      <c r="AA60" s="24"/>
      <c r="AB60" s="2"/>
      <c r="AC60" s="2"/>
      <c r="AD60" s="2"/>
      <c r="AE60" s="2"/>
      <c r="AF60" s="2"/>
      <c r="AG60" s="24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27" t="str">
        <f t="shared" ref="E61:E63" si="18">$AD$2</f>
        <v>800</v>
      </c>
      <c r="F61" s="27" t="s">
        <v>32</v>
      </c>
      <c r="G61" s="27" t="s">
        <v>32</v>
      </c>
      <c r="H61" s="28">
        <f>totalProduction1H_quarter2+totalProduction15M_quarter2</f>
        <v>1.5009999999999999</v>
      </c>
      <c r="I61" s="24" t="str">
        <f t="shared" ref="I61:I63" si="19">SUBSTITUTE(ROUND(H61,3),",",".")</f>
        <v>1.501</v>
      </c>
      <c r="R61" s="21"/>
      <c r="S61" s="21"/>
      <c r="T61" s="21"/>
      <c r="U61" s="12" t="s">
        <v>63</v>
      </c>
      <c r="V61" s="16">
        <f>V$60</f>
        <v>0.27925</v>
      </c>
      <c r="W61" s="16">
        <f>V61</f>
        <v>0.27925</v>
      </c>
      <c r="X61" s="16"/>
      <c r="Y61" s="20">
        <f>ROUND(W61,3)</f>
        <v>0.27900000000000003</v>
      </c>
      <c r="Z61" s="20">
        <f>ROUND(V61,3)</f>
        <v>0.27900000000000003</v>
      </c>
      <c r="AA61" s="39"/>
      <c r="AB61" s="2"/>
      <c r="AC61" s="2"/>
      <c r="AD61" s="2"/>
      <c r="AE61" s="2"/>
      <c r="AF61" s="2"/>
      <c r="AG61" s="24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27" t="str">
        <f t="shared" si="18"/>
        <v>800</v>
      </c>
      <c r="F62" s="27" t="s">
        <v>32</v>
      </c>
      <c r="G62" s="27" t="s">
        <v>32</v>
      </c>
      <c r="H62" s="28">
        <f>totalProduction1H_quarter3+totalProduction15M_quarter3</f>
        <v>1.5</v>
      </c>
      <c r="I62" s="24" t="str">
        <f t="shared" si="19"/>
        <v>1.5</v>
      </c>
      <c r="R62" s="21"/>
      <c r="S62" s="21"/>
      <c r="T62" s="21"/>
      <c r="U62" s="12" t="s">
        <v>64</v>
      </c>
      <c r="V62" s="16">
        <f>V$60</f>
        <v>0.27925</v>
      </c>
      <c r="W62" s="16">
        <f>X62+W61</f>
        <v>0.27949999999999997</v>
      </c>
      <c r="X62" s="16">
        <f>V62-Y61</f>
        <v>2.4999999999997247E-4</v>
      </c>
      <c r="Y62" s="20">
        <f t="shared" ref="Y62:Y64" si="20">ROUND(W62,3)</f>
        <v>0.28000000000000003</v>
      </c>
      <c r="Z62" s="20">
        <f>ROUND(V62,3)</f>
        <v>0.27900000000000003</v>
      </c>
      <c r="AA62" s="39"/>
      <c r="AB62" s="2"/>
      <c r="AC62" s="2"/>
      <c r="AD62" s="2"/>
      <c r="AE62" s="2"/>
      <c r="AF62" s="2"/>
      <c r="AG62" s="24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27" t="str">
        <f t="shared" si="18"/>
        <v>800</v>
      </c>
      <c r="F63" s="27" t="s">
        <v>32</v>
      </c>
      <c r="G63" s="27" t="s">
        <v>32</v>
      </c>
      <c r="H63" s="28">
        <f>totalProduction1H_quarter4+totalProduction15M_quarter4</f>
        <v>1.5009999999999999</v>
      </c>
      <c r="I63" s="24" t="str">
        <f t="shared" si="19"/>
        <v>1.501</v>
      </c>
      <c r="R63" s="21"/>
      <c r="S63" s="21"/>
      <c r="T63" s="21"/>
      <c r="U63" s="12" t="s">
        <v>65</v>
      </c>
      <c r="V63" s="16">
        <f>V$60</f>
        <v>0.27925</v>
      </c>
      <c r="W63" s="16">
        <f>X63+W62</f>
        <v>0.27874999999999994</v>
      </c>
      <c r="X63" s="16">
        <f>V63-Y62</f>
        <v>-7.5000000000002842E-4</v>
      </c>
      <c r="Y63" s="20">
        <f t="shared" si="20"/>
        <v>0.27900000000000003</v>
      </c>
      <c r="Z63" s="20">
        <f>ROUND(V63,3)</f>
        <v>0.27900000000000003</v>
      </c>
      <c r="AA63" s="39"/>
      <c r="AB63" s="2"/>
      <c r="AC63" s="2"/>
      <c r="AD63" s="2"/>
      <c r="AE63" s="2"/>
      <c r="AF63" s="2"/>
      <c r="AG63" s="24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1" t="s">
        <v>36</v>
      </c>
      <c r="F64" s="52"/>
      <c r="G64" s="52"/>
      <c r="H64" s="53"/>
      <c r="R64" s="21"/>
      <c r="S64" s="21"/>
      <c r="T64" s="21"/>
      <c r="U64" s="12" t="s">
        <v>66</v>
      </c>
      <c r="V64" s="16">
        <f>V$60</f>
        <v>0.27925</v>
      </c>
      <c r="W64" s="16">
        <f>X64+W63</f>
        <v>0.27899999999999991</v>
      </c>
      <c r="X64" s="16">
        <f>V64-Y63</f>
        <v>2.4999999999997247E-4</v>
      </c>
      <c r="Y64" s="20">
        <f t="shared" si="20"/>
        <v>0.27900000000000003</v>
      </c>
      <c r="Z64" s="20">
        <f>ROUND(V64,3)</f>
        <v>0.27900000000000003</v>
      </c>
      <c r="AA64" s="39"/>
      <c r="AB64" s="2"/>
      <c r="AC64" s="2"/>
      <c r="AD64" s="2"/>
      <c r="AE64" s="2"/>
      <c r="AF64" s="2"/>
      <c r="AG64" s="24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1"/>
      <c r="S65" s="21"/>
      <c r="T65" s="21"/>
      <c r="U65" s="21"/>
      <c r="V65" s="25">
        <f>ROUND(SUMIFS(TableDay1[TotalHour],TableDay1[type],"E17",TableDay1[resolution],"PT1H"),3)</f>
        <v>19.056999999999999</v>
      </c>
      <c r="W65" s="44" t="s">
        <v>46</v>
      </c>
      <c r="X65" s="45"/>
      <c r="Y65" s="25">
        <f>ROUND(SUM(Y67:Y70),3)</f>
        <v>19.056999999999999</v>
      </c>
      <c r="Z65" s="18">
        <f>SUM(Z67:Z70)</f>
        <v>19.056000000000001</v>
      </c>
      <c r="AA65" s="24"/>
      <c r="AB65" s="2"/>
      <c r="AC65" s="2"/>
      <c r="AD65" s="2"/>
      <c r="AE65" s="2"/>
      <c r="AF65" s="2"/>
      <c r="AG65" s="24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27" t="str">
        <f>$AD$2</f>
        <v>800</v>
      </c>
      <c r="F66" s="27" t="s">
        <v>32</v>
      </c>
      <c r="G66" s="27" t="s">
        <v>32</v>
      </c>
      <c r="H66" s="28">
        <f ca="1">totalProduction1H_quarter1+totalProduction15M_quarter1+netEx_quarter1-totalFlex1H_quarter1-totalFlex15M_quarter1-totalNonprofiled1H_quarter1-totalNonprofiled15M_quarter1</f>
        <v>-7.5420000000000016</v>
      </c>
      <c r="I66" s="24" t="str">
        <f ca="1">SUBSTITUTE(ROUND(H66,3),",",".")</f>
        <v>-7.542</v>
      </c>
      <c r="R66" s="21"/>
      <c r="S66" s="21"/>
      <c r="T66" s="21"/>
      <c r="U66" s="7" t="s">
        <v>27</v>
      </c>
      <c r="V66" s="9">
        <f>SUMIFS(TableDay1[TotalHour],TableDay1[type],"E17",TableDay1[resolution],"PT1H")/4</f>
        <v>4.7642500000000005</v>
      </c>
      <c r="W66" s="7" t="s">
        <v>42</v>
      </c>
      <c r="X66" s="7" t="s">
        <v>43</v>
      </c>
      <c r="Y66" s="7" t="s">
        <v>44</v>
      </c>
      <c r="Z66" s="7" t="s">
        <v>45</v>
      </c>
      <c r="AA66" s="24"/>
      <c r="AB66" s="2"/>
      <c r="AC66" s="2"/>
      <c r="AD66" s="2"/>
      <c r="AE66" s="2"/>
      <c r="AF66" s="2"/>
      <c r="AG66" s="24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27" t="str">
        <f t="shared" ref="E67:E69" si="21">$AD$2</f>
        <v>800</v>
      </c>
      <c r="F67" s="27" t="s">
        <v>32</v>
      </c>
      <c r="G67" s="27" t="s">
        <v>32</v>
      </c>
      <c r="H67" s="28">
        <f ca="1">totalProduction1H_quarter2+totalProduction15M_quarter2+netEx_quarter2-totalFlex1H_quarter2-totalFlex15M_quarter2-totalNonprofiled1H_quarter2-totalNonprofiled15M_quarter2</f>
        <v>5.3580000000000023</v>
      </c>
      <c r="I67" s="24" t="str">
        <f t="shared" ref="I67:I69" ca="1" si="22">SUBSTITUTE(ROUND(H67,3),",",".")</f>
        <v>5.358</v>
      </c>
      <c r="R67" s="21"/>
      <c r="S67" s="21"/>
      <c r="T67" s="21"/>
      <c r="U67" s="12" t="s">
        <v>67</v>
      </c>
      <c r="V67" s="16">
        <f>V$66</f>
        <v>4.7642500000000005</v>
      </c>
      <c r="W67" s="16">
        <f>V67</f>
        <v>4.7642500000000005</v>
      </c>
      <c r="X67" s="16"/>
      <c r="Y67" s="20">
        <f>ROUND(W67, 3)</f>
        <v>4.7640000000000002</v>
      </c>
      <c r="Z67" s="20">
        <f>ROUND(V67,3)</f>
        <v>4.7640000000000002</v>
      </c>
      <c r="AA67" s="24"/>
      <c r="AB67" s="2"/>
      <c r="AC67" s="2"/>
      <c r="AD67" s="2"/>
      <c r="AE67" s="2"/>
      <c r="AF67" s="2"/>
      <c r="AG67" s="24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27" t="str">
        <f t="shared" si="21"/>
        <v>800</v>
      </c>
      <c r="F68" s="27" t="s">
        <v>32</v>
      </c>
      <c r="G68" s="27" t="s">
        <v>32</v>
      </c>
      <c r="H68" s="28">
        <f ca="1">totalProduction1H_quarter3+totalProduction15M_quarter3+netEx_quarter3-totalFlex1H_quarter3-totalFlex15M_quarter3-totalNonprofiled1H_quarter3-totalNonprofiled15M_quarter3</f>
        <v>0.35699999999999976</v>
      </c>
      <c r="I68" s="24" t="str">
        <f t="shared" ca="1" si="22"/>
        <v>0.357</v>
      </c>
      <c r="R68" s="21"/>
      <c r="S68" s="21"/>
      <c r="T68" s="21"/>
      <c r="U68" s="12" t="s">
        <v>68</v>
      </c>
      <c r="V68" s="16">
        <f>V$66</f>
        <v>4.7642500000000005</v>
      </c>
      <c r="W68" s="16">
        <f>X68+W67</f>
        <v>4.7645000000000008</v>
      </c>
      <c r="X68" s="16">
        <f>V68-Y67</f>
        <v>2.5000000000030553E-4</v>
      </c>
      <c r="Y68" s="20">
        <f>ROUND(W68, 3)</f>
        <v>4.7649999999999997</v>
      </c>
      <c r="Z68" s="20">
        <f>ROUND(V68,3)</f>
        <v>4.7640000000000002</v>
      </c>
      <c r="AA68" s="24"/>
      <c r="AB68" s="2"/>
      <c r="AC68" s="2"/>
      <c r="AD68" s="2"/>
      <c r="AE68" s="2"/>
      <c r="AF68" s="2"/>
      <c r="AG68" s="24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27" t="str">
        <f t="shared" si="21"/>
        <v>800</v>
      </c>
      <c r="F69" s="27" t="s">
        <v>32</v>
      </c>
      <c r="G69" s="27" t="s">
        <v>32</v>
      </c>
      <c r="H69" s="28">
        <f ca="1">totalProduction1H_quarter4+totalProduction15M_quarter4+netEx_quarter4-totalFlex1H_quarter4-totalFlex15M_quarter4-totalNonprofiled1H_quarter4-totalNonprofiled15M_quarter4</f>
        <v>0.35900000000000087</v>
      </c>
      <c r="I69" s="24" t="str">
        <f t="shared" ca="1" si="22"/>
        <v>0.359</v>
      </c>
      <c r="J69" s="2"/>
      <c r="R69" s="21"/>
      <c r="S69" s="21"/>
      <c r="T69" s="21"/>
      <c r="U69" s="12" t="s">
        <v>69</v>
      </c>
      <c r="V69" s="16">
        <f>V$66</f>
        <v>4.7642500000000005</v>
      </c>
      <c r="W69" s="16">
        <f>X69+W68</f>
        <v>4.7637500000000017</v>
      </c>
      <c r="X69" s="16">
        <f>V69-Y68</f>
        <v>-7.4999999999914024E-4</v>
      </c>
      <c r="Y69" s="20">
        <f>ROUND(W69, 3)</f>
        <v>4.7640000000000002</v>
      </c>
      <c r="Z69" s="20">
        <f>ROUND(V69,3)</f>
        <v>4.7640000000000002</v>
      </c>
      <c r="AA69" s="24"/>
      <c r="AB69" s="2"/>
      <c r="AC69" s="2"/>
      <c r="AD69" s="2"/>
      <c r="AE69" s="2"/>
      <c r="AF69" s="2"/>
      <c r="AG69" s="24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1" t="s">
        <v>38</v>
      </c>
      <c r="F70" s="52"/>
      <c r="G70" s="52"/>
      <c r="H70" s="53"/>
      <c r="R70" s="21"/>
      <c r="S70" s="21"/>
      <c r="T70" s="24"/>
      <c r="U70" s="12" t="s">
        <v>70</v>
      </c>
      <c r="V70" s="16">
        <f>V$66</f>
        <v>4.7642500000000005</v>
      </c>
      <c r="W70" s="16">
        <f>X70+W69</f>
        <v>4.764000000000002</v>
      </c>
      <c r="X70" s="16">
        <f>V70-Y69</f>
        <v>2.5000000000030553E-4</v>
      </c>
      <c r="Y70" s="20">
        <f>ROUND(W70, 3)</f>
        <v>4.7640000000000002</v>
      </c>
      <c r="Z70" s="20">
        <f>ROUND(V70,3)</f>
        <v>4.7640000000000002</v>
      </c>
      <c r="AA70" s="24"/>
      <c r="AB70" s="2"/>
      <c r="AC70" s="2"/>
      <c r="AD70" s="2"/>
      <c r="AE70" s="2"/>
      <c r="AF70" s="2"/>
      <c r="AG70" s="24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1"/>
      <c r="S71" s="24"/>
      <c r="T71" s="24"/>
      <c r="U71" s="21"/>
      <c r="V71" s="21"/>
      <c r="W71" s="21"/>
      <c r="X71" s="21"/>
      <c r="Y71" s="21"/>
      <c r="Z71" s="21"/>
      <c r="AA71" s="24"/>
      <c r="AB71" s="2"/>
      <c r="AC71" s="2"/>
      <c r="AD71" s="2"/>
      <c r="AE71" s="2"/>
      <c r="AF71" s="2"/>
      <c r="AG71" s="24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2" t="s">
        <v>74</v>
      </c>
      <c r="E72" s="27" t="str">
        <f>$AD$2</f>
        <v>800</v>
      </c>
      <c r="F72" s="27" t="s">
        <v>32</v>
      </c>
      <c r="G72" s="27" t="s">
        <v>32</v>
      </c>
      <c r="H72" s="28">
        <f ca="1">IF(gridLoss1H_quarter4&gt;0,gridLoss1H_quarter4,0)</f>
        <v>0.35900000000000087</v>
      </c>
      <c r="I72" s="24" t="str">
        <f ca="1">SUBSTITUTE(ROUND(H72,3),",",".")</f>
        <v>0.359</v>
      </c>
      <c r="R72" s="21"/>
      <c r="S72" s="24"/>
      <c r="T72" s="24"/>
      <c r="U72" s="21"/>
      <c r="V72" s="21"/>
      <c r="W72" s="21"/>
      <c r="X72" s="21"/>
      <c r="Y72" s="21"/>
      <c r="Z72" s="21"/>
      <c r="AA72" s="24"/>
      <c r="AB72" s="2"/>
      <c r="AC72" s="2"/>
      <c r="AD72" s="2"/>
      <c r="AE72" s="2"/>
      <c r="AF72" s="2"/>
      <c r="AG72" s="24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2" t="s">
        <v>73</v>
      </c>
      <c r="E73" s="27" t="str">
        <f t="shared" ref="E73:E75" si="23">$AD$2</f>
        <v>800</v>
      </c>
      <c r="F73" s="27" t="s">
        <v>32</v>
      </c>
      <c r="G73" s="27" t="s">
        <v>32</v>
      </c>
      <c r="H73" s="28">
        <f ca="1">IF(gridLoss1H_quarter3&gt;0,gridLoss1H_quarter3,0)</f>
        <v>0.35699999999999976</v>
      </c>
      <c r="I73" s="24" t="str">
        <f t="shared" ref="I73:I75" ca="1" si="24">SUBSTITUTE(ROUND(H73,3),",",".")</f>
        <v>0.357</v>
      </c>
      <c r="S73" s="2"/>
      <c r="T73" s="2"/>
      <c r="AA73" s="2"/>
      <c r="AB73" s="2"/>
      <c r="AC73" s="2"/>
      <c r="AD73" s="2"/>
      <c r="AE73" s="2"/>
      <c r="AF73" s="2"/>
      <c r="AG73" s="2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2" t="s">
        <v>72</v>
      </c>
      <c r="E74" s="27" t="str">
        <f t="shared" si="23"/>
        <v>800</v>
      </c>
      <c r="F74" s="27" t="s">
        <v>32</v>
      </c>
      <c r="G74" s="27" t="s">
        <v>32</v>
      </c>
      <c r="H74" s="28">
        <f ca="1">IF(gridLoss1H_quarter2&gt;0,gridLoss1H_quarter2,0)</f>
        <v>5.3580000000000023</v>
      </c>
      <c r="I74" s="24" t="str">
        <f t="shared" ca="1" si="24"/>
        <v>5.358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4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2" t="s">
        <v>71</v>
      </c>
      <c r="E75" s="27" t="str">
        <f t="shared" si="23"/>
        <v>800</v>
      </c>
      <c r="F75" s="27" t="s">
        <v>32</v>
      </c>
      <c r="G75" s="27" t="s">
        <v>32</v>
      </c>
      <c r="H75" s="28">
        <f ca="1">IF(gridLoss1H_quarter1&gt;0,gridLoss1H_quarter1,0)</f>
        <v>0</v>
      </c>
      <c r="I75" s="24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4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1" t="s">
        <v>39</v>
      </c>
      <c r="F76" s="52"/>
      <c r="G76" s="52"/>
      <c r="H76" s="5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4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2" t="s">
        <v>74</v>
      </c>
      <c r="E78" s="27" t="str">
        <f>$AD$2</f>
        <v>800</v>
      </c>
      <c r="F78" s="27" t="s">
        <v>32</v>
      </c>
      <c r="G78" s="27" t="s">
        <v>32</v>
      </c>
      <c r="H78" s="28">
        <f ca="1">IF(gridLoss1H_quarter4&lt;0,gridLoss1H_quarter4*-1,0)</f>
        <v>0</v>
      </c>
      <c r="I78" s="24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4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2" t="s">
        <v>73</v>
      </c>
      <c r="E79" s="27" t="str">
        <f t="shared" ref="E79:E81" si="25">$AD$2</f>
        <v>800</v>
      </c>
      <c r="F79" s="27" t="s">
        <v>32</v>
      </c>
      <c r="G79" s="27" t="s">
        <v>32</v>
      </c>
      <c r="H79" s="28">
        <f ca="1">IF(gridLoss1H_quarter3&lt;0,gridLoss1H_quarter3*-1,0)</f>
        <v>0</v>
      </c>
      <c r="I79" s="24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4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2" t="s">
        <v>72</v>
      </c>
      <c r="E80" s="27" t="str">
        <f t="shared" si="25"/>
        <v>800</v>
      </c>
      <c r="F80" s="27" t="s">
        <v>32</v>
      </c>
      <c r="G80" s="27" t="s">
        <v>32</v>
      </c>
      <c r="H80" s="28">
        <f ca="1">IF(gridLoss1H_quarter2&lt;0,gridLoss1H_quarter2*-1,0)</f>
        <v>0</v>
      </c>
      <c r="I80" s="24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4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2" t="s">
        <v>71</v>
      </c>
      <c r="E81" s="27" t="str">
        <f t="shared" si="25"/>
        <v>800</v>
      </c>
      <c r="F81" s="27" t="s">
        <v>32</v>
      </c>
      <c r="G81" s="27" t="s">
        <v>32</v>
      </c>
      <c r="H81" s="28">
        <f ca="1">IF(gridLoss1H_quarter1&lt;0,(gridLoss1H_quarter1)*-1,0)</f>
        <v>7.5420000000000016</v>
      </c>
      <c r="I81" s="24" t="str">
        <f t="shared" ca="1" si="26"/>
        <v>7.542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4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1" t="s">
        <v>76</v>
      </c>
      <c r="F82" s="52"/>
      <c r="G82" s="52"/>
      <c r="H82" s="5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4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4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2" t="s">
        <v>71</v>
      </c>
      <c r="E84" s="27" t="str">
        <f>$AD$2</f>
        <v>800</v>
      </c>
      <c r="F84" s="27" t="s">
        <v>32</v>
      </c>
      <c r="G84" s="27" t="s">
        <v>32</v>
      </c>
      <c r="H84" s="28">
        <f ca="1">netEx_quarter1+totalProduction1H_quarter1+totalProduction15M_quarter1+negGridLossQuarter1</f>
        <v>19.765000000000001</v>
      </c>
      <c r="I84" s="24" t="str">
        <f ca="1">SUBSTITUTE(ROUND(H84,3),",",".")</f>
        <v>19.765</v>
      </c>
      <c r="J84" s="2"/>
      <c r="U84" s="2"/>
      <c r="V84" s="54" t="s">
        <v>80</v>
      </c>
      <c r="W84" s="54"/>
      <c r="X84" s="54"/>
      <c r="Y84" s="54"/>
      <c r="Z84" s="54"/>
      <c r="AA84" s="2"/>
      <c r="AB84" s="2"/>
      <c r="AC84" s="2"/>
      <c r="AD84" s="2"/>
      <c r="AE84" s="2"/>
      <c r="AF84" s="2"/>
      <c r="AG84" s="24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2" t="s">
        <v>72</v>
      </c>
      <c r="E85" s="27" t="str">
        <f t="shared" ref="E85:E87" si="27">$AD$2</f>
        <v>800</v>
      </c>
      <c r="F85" s="27" t="s">
        <v>32</v>
      </c>
      <c r="G85" s="27" t="s">
        <v>32</v>
      </c>
      <c r="H85" s="28">
        <f ca="1">netEx_quarter2+totalProduction1H_quarter2+totalProduction15M_quarter2+negGridLossQuarter2</f>
        <v>11.222000000000001</v>
      </c>
      <c r="I85" s="24" t="str">
        <f t="shared" ref="I85:I87" ca="1" si="28">SUBSTITUTE(ROUND(H85,3),",",".")</f>
        <v>11.222</v>
      </c>
      <c r="J85" s="2"/>
      <c r="K85" s="2"/>
      <c r="U85" s="2"/>
      <c r="V85" s="6" t="s">
        <v>14</v>
      </c>
      <c r="W85" s="6" t="s">
        <v>82</v>
      </c>
      <c r="X85" s="6" t="s">
        <v>42</v>
      </c>
      <c r="Y85" s="6" t="s">
        <v>43</v>
      </c>
      <c r="Z85" s="6" t="s">
        <v>44</v>
      </c>
      <c r="AA85" s="2"/>
      <c r="AB85" s="2"/>
      <c r="AC85" s="2"/>
      <c r="AD85" s="2"/>
      <c r="AE85" s="2"/>
      <c r="AF85" s="2"/>
      <c r="AH85" s="24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2" t="s">
        <v>73</v>
      </c>
      <c r="E86" s="27" t="str">
        <f t="shared" si="27"/>
        <v>800</v>
      </c>
      <c r="F86" s="27" t="s">
        <v>32</v>
      </c>
      <c r="G86" s="27" t="s">
        <v>32</v>
      </c>
      <c r="H86" s="28">
        <f ca="1">netEx_quarter3+totalProduction1H_quarter3+totalProduction15M_quarter3+negGridLossQuarter3</f>
        <v>6.2210000000000001</v>
      </c>
      <c r="I86" s="24" t="str">
        <f t="shared" ca="1" si="28"/>
        <v>6.221</v>
      </c>
      <c r="J86" s="2"/>
      <c r="R86" s="33"/>
      <c r="S86" s="2"/>
      <c r="U86" s="12" t="s">
        <v>71</v>
      </c>
      <c r="V86" s="23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</v>
      </c>
      <c r="X86" s="13">
        <f>W86</f>
        <v>0</v>
      </c>
      <c r="Y86" s="13"/>
      <c r="Z86" s="13">
        <f t="shared" ref="Z86:Z109" si="29">ROUND(X86, 3)</f>
        <v>0</v>
      </c>
      <c r="AA86" s="2"/>
      <c r="AB86" s="2"/>
      <c r="AC86" s="2"/>
      <c r="AE86" s="2"/>
      <c r="AF86" s="2"/>
      <c r="AG86" s="2"/>
      <c r="AH86" s="24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2" t="s">
        <v>74</v>
      </c>
      <c r="E87" s="27" t="str">
        <f t="shared" si="27"/>
        <v>800</v>
      </c>
      <c r="F87" s="30" t="s">
        <v>32</v>
      </c>
      <c r="G87" s="30" t="s">
        <v>32</v>
      </c>
      <c r="H87" s="28">
        <f ca="1">netEx_quarter4+totalProduction1H_quarter4+totalProduction15M_quarter4+negGridLossQuarter4</f>
        <v>6.2230000000000008</v>
      </c>
      <c r="I87" s="24" t="str">
        <f t="shared" ca="1" si="28"/>
        <v>6.223</v>
      </c>
      <c r="J87" s="2"/>
      <c r="R87" s="2"/>
      <c r="S87" s="2"/>
      <c r="U87" s="12" t="s">
        <v>72</v>
      </c>
      <c r="V87" s="23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10</v>
      </c>
      <c r="W87" s="13">
        <f>W$86</f>
        <v>0</v>
      </c>
      <c r="X87" s="13">
        <f>Y87+X86</f>
        <v>0</v>
      </c>
      <c r="Y87" s="13">
        <f>W87-Z86</f>
        <v>0</v>
      </c>
      <c r="Z87" s="13">
        <f t="shared" si="29"/>
        <v>0</v>
      </c>
      <c r="AA87" s="2"/>
      <c r="AB87" s="2"/>
      <c r="AC87" s="2"/>
      <c r="AD87" s="2"/>
      <c r="AE87" s="2"/>
      <c r="AF87" s="2"/>
      <c r="AG87" s="24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1" t="s">
        <v>167</v>
      </c>
      <c r="F88" s="52"/>
      <c r="G88" s="52"/>
      <c r="H88" s="52"/>
      <c r="I88" s="53"/>
      <c r="J88" s="2"/>
      <c r="R88" s="2"/>
      <c r="S88" s="2"/>
      <c r="U88" s="12" t="s">
        <v>73</v>
      </c>
      <c r="V88" s="23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3">
        <f>W$86</f>
        <v>0</v>
      </c>
      <c r="X88" s="13">
        <f>Y88+X87</f>
        <v>0</v>
      </c>
      <c r="Y88" s="13">
        <f>W88-Z87</f>
        <v>0</v>
      </c>
      <c r="Z88" s="13">
        <f t="shared" si="29"/>
        <v>0</v>
      </c>
      <c r="AA88" s="2"/>
      <c r="AB88" s="2"/>
      <c r="AC88" s="2"/>
      <c r="AD88" s="2"/>
      <c r="AE88" s="2"/>
      <c r="AF88" s="2"/>
      <c r="AG88" s="24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110</v>
      </c>
      <c r="F89" s="5" t="s">
        <v>0</v>
      </c>
      <c r="G89" s="5" t="s">
        <v>1</v>
      </c>
      <c r="H89" s="5" t="s">
        <v>2</v>
      </c>
      <c r="I89" s="5" t="s">
        <v>106</v>
      </c>
      <c r="J89" s="2"/>
      <c r="R89" s="2"/>
      <c r="S89" s="2"/>
      <c r="U89" s="12" t="s">
        <v>74</v>
      </c>
      <c r="V89" s="23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3">
        <f>W$86</f>
        <v>0</v>
      </c>
      <c r="X89" s="13">
        <f>Y89+X88</f>
        <v>0</v>
      </c>
      <c r="Y89" s="13">
        <f>W89-Z88</f>
        <v>0</v>
      </c>
      <c r="Z89" s="13">
        <f t="shared" si="29"/>
        <v>0</v>
      </c>
      <c r="AA89" s="2"/>
      <c r="AB89" s="2"/>
      <c r="AC89" s="2"/>
      <c r="AD89" s="2"/>
      <c r="AE89" s="2"/>
      <c r="AF89" s="2"/>
      <c r="AG89" s="24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2" t="s">
        <v>71</v>
      </c>
      <c r="E90" s="27" t="str">
        <f>IF(ROW()&lt;90+(COUNTA(AH$3:AH$21)*4),$AD$2,"")</f>
        <v>800</v>
      </c>
      <c r="F90" s="27" t="str">
        <f>IF(E90&lt;&gt;"","null","")</f>
        <v>null</v>
      </c>
      <c r="G90" s="27" t="str">
        <f>IF(E90&lt;&gt;"","null","")</f>
        <v>null</v>
      </c>
      <c r="H90" s="28">
        <f ca="1">IF(E90="","",V86+Z86)</f>
        <v>0</v>
      </c>
      <c r="I90" s="28" t="str" cm="1">
        <f t="array" aca="1" ref="I90" ca="1">IF(E90="","",INDIRECT("AJ"&amp;ROUND((ROW()-79)*0.25,0)))</f>
        <v>801</v>
      </c>
      <c r="J90" s="24" t="str">
        <f ca="1">IFERROR(SUBSTITUTE(ROUND(H90,3),",","."),"")</f>
        <v>0</v>
      </c>
      <c r="R90" s="2"/>
      <c r="S90" s="2"/>
      <c r="U90" s="12" t="s">
        <v>71</v>
      </c>
      <c r="V90" s="23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5.00075</v>
      </c>
      <c r="X90" s="13">
        <f>W90</f>
        <v>5.00075</v>
      </c>
      <c r="Y90" s="13"/>
      <c r="Z90" s="13">
        <f t="shared" si="29"/>
        <v>5.0010000000000003</v>
      </c>
      <c r="AA90" s="2"/>
      <c r="AB90" s="2"/>
      <c r="AC90" s="2"/>
      <c r="AD90" s="2"/>
      <c r="AE90" s="2"/>
      <c r="AF90" s="2"/>
      <c r="AG90" s="24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2" t="s">
        <v>72</v>
      </c>
      <c r="E91" s="27" t="str">
        <f t="shared" ref="E91:E113" si="30">IF(ROW()&lt;90+(COUNTA(AH$3:AH$21)*4),$AD$2,"")</f>
        <v>800</v>
      </c>
      <c r="F91" s="27" t="str">
        <f t="shared" ref="F91:F113" si="31">IF(E91&lt;&gt;"","null","")</f>
        <v>null</v>
      </c>
      <c r="G91" s="27" t="str">
        <f t="shared" ref="G91:G113" si="32">IF(E91&lt;&gt;"","null","")</f>
        <v>null</v>
      </c>
      <c r="H91" s="28">
        <f t="shared" ref="H91:H113" ca="1" si="33">IF(E91="","",V87+Z87)</f>
        <v>10</v>
      </c>
      <c r="I91" s="28" t="str" cm="1">
        <f t="array" aca="1" ref="I91" ca="1">IF(E91="","",INDIRECT("AJ"&amp;ROUND((ROW()-80)*0.25,0)))</f>
        <v>801</v>
      </c>
      <c r="J91" s="24" t="str">
        <f t="shared" ref="J91:J113" ca="1" si="34">IFERROR(SUBSTITUTE(ROUND(H91,3),",","."),"")</f>
        <v>10</v>
      </c>
      <c r="R91" s="2"/>
      <c r="U91" s="12" t="s">
        <v>72</v>
      </c>
      <c r="V91" s="23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3">
        <f>W$90</f>
        <v>5.00075</v>
      </c>
      <c r="X91" s="13">
        <f>Y91+X90</f>
        <v>5.0004999999999997</v>
      </c>
      <c r="Y91" s="13">
        <f>W91-Z90</f>
        <v>-2.5000000000030553E-4</v>
      </c>
      <c r="Z91" s="13">
        <f t="shared" si="29"/>
        <v>5.0010000000000003</v>
      </c>
      <c r="AA91" s="2"/>
      <c r="AB91" s="2"/>
      <c r="AC91" s="2"/>
      <c r="AD91" s="2"/>
      <c r="AE91" s="2"/>
      <c r="AF91" s="2"/>
      <c r="AG91" s="24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2" t="s">
        <v>73</v>
      </c>
      <c r="E92" s="27" t="str">
        <f t="shared" si="30"/>
        <v>800</v>
      </c>
      <c r="F92" s="27" t="str">
        <f t="shared" si="31"/>
        <v>null</v>
      </c>
      <c r="G92" s="27" t="str">
        <f t="shared" si="32"/>
        <v>null</v>
      </c>
      <c r="H92" s="28">
        <f t="shared" ca="1" si="33"/>
        <v>0</v>
      </c>
      <c r="I92" s="28" t="str" cm="1">
        <f t="array" aca="1" ref="I92" ca="1">IF(E92="","",INDIRECT("AJ"&amp;ROUND((ROW()-80)*0.25,0)))</f>
        <v>801</v>
      </c>
      <c r="J92" s="24" t="str">
        <f t="shared" ca="1" si="34"/>
        <v>0</v>
      </c>
      <c r="U92" s="12" t="s">
        <v>73</v>
      </c>
      <c r="V92" s="23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3">
        <f>W$90</f>
        <v>5.00075</v>
      </c>
      <c r="X92" s="13">
        <f>Y92+X91</f>
        <v>5.0002499999999994</v>
      </c>
      <c r="Y92" s="13">
        <f>W92-Z91</f>
        <v>-2.5000000000030553E-4</v>
      </c>
      <c r="Z92" s="13">
        <f t="shared" si="29"/>
        <v>5</v>
      </c>
      <c r="AA92" s="2"/>
      <c r="AB92" s="2"/>
      <c r="AC92" s="2"/>
      <c r="AD92" s="2"/>
      <c r="AE92" s="2"/>
      <c r="AF92" s="2"/>
      <c r="AG92" s="24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2" t="s">
        <v>74</v>
      </c>
      <c r="E93" s="27" t="str">
        <f t="shared" si="30"/>
        <v>800</v>
      </c>
      <c r="F93" s="27" t="str">
        <f t="shared" si="31"/>
        <v>null</v>
      </c>
      <c r="G93" s="27" t="str">
        <f t="shared" si="32"/>
        <v>null</v>
      </c>
      <c r="H93" s="28">
        <f t="shared" ca="1" si="33"/>
        <v>0</v>
      </c>
      <c r="I93" s="28" t="str" cm="1">
        <f t="array" aca="1" ref="I93" ca="1">IF(E93="","",INDIRECT("AJ"&amp;ROUND((ROW()-80)*0.25,0)))</f>
        <v>801</v>
      </c>
      <c r="J93" s="24" t="str">
        <f t="shared" ca="1" si="34"/>
        <v>0</v>
      </c>
      <c r="U93" s="12" t="s">
        <v>74</v>
      </c>
      <c r="V93" s="23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3">
        <f>W$90</f>
        <v>5.00075</v>
      </c>
      <c r="X93" s="13">
        <f>Y93+X92</f>
        <v>5.0009999999999994</v>
      </c>
      <c r="Y93" s="13">
        <f>W93-Z92</f>
        <v>7.5000000000002842E-4</v>
      </c>
      <c r="Z93" s="13">
        <f t="shared" si="29"/>
        <v>5.0010000000000003</v>
      </c>
      <c r="AA93" s="2"/>
      <c r="AB93" s="2"/>
      <c r="AC93" s="2"/>
      <c r="AD93" s="2"/>
      <c r="AE93" s="2"/>
      <c r="AF93" s="2"/>
      <c r="AG93" s="24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2" t="s">
        <v>71</v>
      </c>
      <c r="E94" s="27" t="str">
        <f t="shared" si="30"/>
        <v>800</v>
      </c>
      <c r="F94" s="27" t="str">
        <f t="shared" si="31"/>
        <v>null</v>
      </c>
      <c r="G94" s="27" t="str">
        <f t="shared" si="32"/>
        <v>null</v>
      </c>
      <c r="H94" s="28">
        <f t="shared" ca="1" si="33"/>
        <v>5.0010000000000003</v>
      </c>
      <c r="I94" s="28" t="str" cm="1">
        <f t="array" aca="1" ref="I94" ca="1">IF(E94="","",INDIRECT("AJ"&amp;ROUND((ROW()-80)*0.25,0)))</f>
        <v>802</v>
      </c>
      <c r="J94" s="24" t="str">
        <f t="shared" ca="1" si="34"/>
        <v>5.001</v>
      </c>
      <c r="U94" s="12" t="s">
        <v>71</v>
      </c>
      <c r="V94" s="23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3">
        <f>W94</f>
        <v>0</v>
      </c>
      <c r="Y94" s="13"/>
      <c r="Z94" s="13">
        <f t="shared" si="29"/>
        <v>0</v>
      </c>
      <c r="AA94" s="2"/>
      <c r="AB94" s="2"/>
      <c r="AC94" s="2"/>
      <c r="AD94" s="2"/>
      <c r="AE94" s="2"/>
      <c r="AF94" s="2"/>
      <c r="AG94" s="24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2" t="s">
        <v>72</v>
      </c>
      <c r="E95" s="27" t="str">
        <f t="shared" si="30"/>
        <v>800</v>
      </c>
      <c r="F95" s="27" t="str">
        <f t="shared" si="31"/>
        <v>null</v>
      </c>
      <c r="G95" s="27" t="str">
        <f t="shared" si="32"/>
        <v>null</v>
      </c>
      <c r="H95" s="28">
        <f t="shared" ca="1" si="33"/>
        <v>5.0010000000000003</v>
      </c>
      <c r="I95" s="28" t="str" cm="1">
        <f t="array" aca="1" ref="I95" ca="1">IF(E95="","",INDIRECT("AJ"&amp;ROUND((ROW()-80)*0.25,0)))</f>
        <v>802</v>
      </c>
      <c r="J95" s="24" t="str">
        <f t="shared" ca="1" si="34"/>
        <v>5.001</v>
      </c>
      <c r="U95" s="12" t="s">
        <v>72</v>
      </c>
      <c r="V95" s="23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-5</v>
      </c>
      <c r="W95" s="13">
        <f>W$94</f>
        <v>0</v>
      </c>
      <c r="X95" s="13">
        <f>Y95+X94</f>
        <v>0</v>
      </c>
      <c r="Y95" s="13">
        <f>W95-Z94</f>
        <v>0</v>
      </c>
      <c r="Z95" s="13">
        <f t="shared" si="29"/>
        <v>0</v>
      </c>
      <c r="AA95" s="2"/>
      <c r="AB95" s="2"/>
      <c r="AC95" s="2"/>
      <c r="AD95" s="2"/>
      <c r="AE95" s="2"/>
      <c r="AF95" s="2"/>
      <c r="AG95" s="24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2" t="s">
        <v>73</v>
      </c>
      <c r="E96" s="27" t="str">
        <f t="shared" si="30"/>
        <v>800</v>
      </c>
      <c r="F96" s="27" t="str">
        <f t="shared" si="31"/>
        <v>null</v>
      </c>
      <c r="G96" s="27" t="str">
        <f t="shared" si="32"/>
        <v>null</v>
      </c>
      <c r="H96" s="28">
        <f t="shared" ca="1" si="33"/>
        <v>5</v>
      </c>
      <c r="I96" s="28" t="str" cm="1">
        <f t="array" aca="1" ref="I96" ca="1">IF(E96="","",INDIRECT("AJ"&amp;ROUND((ROW()-80)*0.25,0)))</f>
        <v>802</v>
      </c>
      <c r="J96" s="24" t="str">
        <f t="shared" ca="1" si="34"/>
        <v>5</v>
      </c>
      <c r="U96" s="12" t="s">
        <v>73</v>
      </c>
      <c r="V96" s="23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3">
        <f>W$94</f>
        <v>0</v>
      </c>
      <c r="X96" s="13">
        <f>Y96+X95</f>
        <v>0</v>
      </c>
      <c r="Y96" s="13">
        <f>W96-Z95</f>
        <v>0</v>
      </c>
      <c r="Z96" s="13">
        <f t="shared" si="29"/>
        <v>0</v>
      </c>
      <c r="AA96" s="2"/>
      <c r="AB96" s="2"/>
      <c r="AC96" s="2"/>
      <c r="AD96" s="2"/>
      <c r="AE96" s="2"/>
      <c r="AF96" s="2"/>
      <c r="AG96" s="24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2" t="s">
        <v>74</v>
      </c>
      <c r="E97" s="27" t="str">
        <f t="shared" si="30"/>
        <v>800</v>
      </c>
      <c r="F97" s="27" t="str">
        <f t="shared" si="31"/>
        <v>null</v>
      </c>
      <c r="G97" s="27" t="str">
        <f t="shared" si="32"/>
        <v>null</v>
      </c>
      <c r="H97" s="28">
        <f t="shared" ca="1" si="33"/>
        <v>5.0010000000000003</v>
      </c>
      <c r="I97" s="28" t="str" cm="1">
        <f t="array" aca="1" ref="I97" ca="1">IF(E97="","",INDIRECT("AJ"&amp;ROUND((ROW()-80)*0.25,0)))</f>
        <v>802</v>
      </c>
      <c r="J97" s="24" t="str">
        <f t="shared" ca="1" si="34"/>
        <v>5.001</v>
      </c>
      <c r="U97" s="12" t="s">
        <v>74</v>
      </c>
      <c r="V97" s="23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3">
        <f>W$94</f>
        <v>0</v>
      </c>
      <c r="X97" s="13">
        <f>Y97+X96</f>
        <v>0</v>
      </c>
      <c r="Y97" s="13">
        <f>W97-Z96</f>
        <v>0</v>
      </c>
      <c r="Z97" s="13">
        <f t="shared" si="29"/>
        <v>0</v>
      </c>
      <c r="AA97" s="2"/>
      <c r="AB97" s="2"/>
      <c r="AC97" s="2"/>
      <c r="AD97" s="2"/>
      <c r="AE97" s="2"/>
      <c r="AF97" s="2"/>
      <c r="AG97" s="24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2" t="s">
        <v>71</v>
      </c>
      <c r="E98" s="27" t="str">
        <f t="shared" si="30"/>
        <v>800</v>
      </c>
      <c r="F98" s="27" t="str">
        <f t="shared" si="31"/>
        <v>null</v>
      </c>
      <c r="G98" s="27" t="str">
        <f t="shared" si="32"/>
        <v>null</v>
      </c>
      <c r="H98" s="28">
        <f t="shared" ca="1" si="33"/>
        <v>0</v>
      </c>
      <c r="I98" s="28" t="str" cm="1">
        <f t="array" aca="1" ref="I98" ca="1">IF(E98="","",INDIRECT("AJ"&amp;ROUND((ROW()-80)*0.25,0)))</f>
        <v>803</v>
      </c>
      <c r="J98" s="24" t="str">
        <f t="shared" ca="1" si="34"/>
        <v>0</v>
      </c>
      <c r="U98" s="12" t="s">
        <v>71</v>
      </c>
      <c r="V98" s="23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-0.27925</v>
      </c>
      <c r="X98" s="13">
        <f>W98</f>
        <v>-0.27925</v>
      </c>
      <c r="Y98" s="13"/>
      <c r="Z98" s="13">
        <f t="shared" si="29"/>
        <v>-0.27900000000000003</v>
      </c>
      <c r="AA98" s="2"/>
      <c r="AB98" s="2"/>
      <c r="AC98" s="2"/>
      <c r="AD98" s="2"/>
      <c r="AE98" s="2"/>
      <c r="AF98" s="2"/>
      <c r="AG98" s="24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2" t="s">
        <v>72</v>
      </c>
      <c r="E99" s="27" t="str">
        <f t="shared" si="30"/>
        <v>800</v>
      </c>
      <c r="F99" s="27" t="str">
        <f t="shared" si="31"/>
        <v>null</v>
      </c>
      <c r="G99" s="27" t="str">
        <f t="shared" si="32"/>
        <v>null</v>
      </c>
      <c r="H99" s="28">
        <f t="shared" ca="1" si="33"/>
        <v>-5</v>
      </c>
      <c r="I99" s="28" t="str" cm="1">
        <f t="array" aca="1" ref="I99" ca="1">IF(E99="","",INDIRECT("AJ"&amp;ROUND((ROW()-80)*0.25,0)))</f>
        <v>803</v>
      </c>
      <c r="J99" s="24" t="str">
        <f t="shared" ca="1" si="34"/>
        <v>-5</v>
      </c>
      <c r="U99" s="12" t="s">
        <v>72</v>
      </c>
      <c r="V99" s="23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3">
        <f>W$98</f>
        <v>-0.27925</v>
      </c>
      <c r="X99" s="13">
        <f>Y99+X98</f>
        <v>-0.27949999999999997</v>
      </c>
      <c r="Y99" s="13">
        <f>W99-Z98</f>
        <v>-2.4999999999997247E-4</v>
      </c>
      <c r="Z99" s="13">
        <f t="shared" si="29"/>
        <v>-0.28000000000000003</v>
      </c>
      <c r="AA99" s="2"/>
      <c r="AB99" s="2"/>
      <c r="AC99" s="2"/>
      <c r="AD99" s="2"/>
      <c r="AE99" s="2"/>
      <c r="AF99" s="2"/>
      <c r="AG99" s="24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2" t="s">
        <v>73</v>
      </c>
      <c r="E100" s="27" t="str">
        <f t="shared" si="30"/>
        <v>800</v>
      </c>
      <c r="F100" s="27" t="str">
        <f t="shared" si="31"/>
        <v>null</v>
      </c>
      <c r="G100" s="27" t="str">
        <f t="shared" si="32"/>
        <v>null</v>
      </c>
      <c r="H100" s="28">
        <f t="shared" ca="1" si="33"/>
        <v>0</v>
      </c>
      <c r="I100" s="28" t="str" cm="1">
        <f t="array" aca="1" ref="I100" ca="1">IF(E100="","",INDIRECT("AJ"&amp;ROUND((ROW()-80)*0.25,0)))</f>
        <v>803</v>
      </c>
      <c r="J100" s="24" t="str">
        <f t="shared" ca="1" si="34"/>
        <v>0</v>
      </c>
      <c r="U100" s="12" t="s">
        <v>73</v>
      </c>
      <c r="V100" s="23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3">
        <f>W$98</f>
        <v>-0.27925</v>
      </c>
      <c r="X100" s="13">
        <f>Y100+X99</f>
        <v>-0.27874999999999994</v>
      </c>
      <c r="Y100" s="13">
        <f>W100-Z99</f>
        <v>7.5000000000002842E-4</v>
      </c>
      <c r="Z100" s="13">
        <f t="shared" si="29"/>
        <v>-0.27900000000000003</v>
      </c>
      <c r="AA100" s="2"/>
      <c r="AB100" s="2"/>
      <c r="AC100" s="2"/>
      <c r="AD100" s="2"/>
      <c r="AE100" s="2"/>
      <c r="AF100" s="2"/>
      <c r="AG100" s="24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2" t="s">
        <v>74</v>
      </c>
      <c r="E101" s="27" t="str">
        <f t="shared" si="30"/>
        <v>800</v>
      </c>
      <c r="F101" s="27" t="str">
        <f t="shared" si="31"/>
        <v>null</v>
      </c>
      <c r="G101" s="27" t="str">
        <f t="shared" si="32"/>
        <v>null</v>
      </c>
      <c r="H101" s="28">
        <f t="shared" ca="1" si="33"/>
        <v>0</v>
      </c>
      <c r="I101" s="28" t="str" cm="1">
        <f t="array" aca="1" ref="I101" ca="1">IF(E101="","",INDIRECT("AJ"&amp;ROUND((ROW()-80)*0.25,0)))</f>
        <v>803</v>
      </c>
      <c r="J101" s="24" t="str">
        <f t="shared" ca="1" si="34"/>
        <v>0</v>
      </c>
      <c r="U101" s="12" t="s">
        <v>74</v>
      </c>
      <c r="V101" s="23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3">
        <f>W$98</f>
        <v>-0.27925</v>
      </c>
      <c r="X101" s="13">
        <f>Y101+X100</f>
        <v>-0.27899999999999991</v>
      </c>
      <c r="Y101" s="13">
        <f>W101-Z100</f>
        <v>-2.4999999999997247E-4</v>
      </c>
      <c r="Z101" s="13">
        <f t="shared" si="29"/>
        <v>-0.27900000000000003</v>
      </c>
      <c r="AA101" s="2"/>
      <c r="AB101" s="2"/>
      <c r="AC101" s="2"/>
      <c r="AD101" s="2"/>
      <c r="AE101" s="2"/>
      <c r="AF101" s="2"/>
      <c r="AG101" s="24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2" t="s">
        <v>71</v>
      </c>
      <c r="E102" s="27" t="str">
        <f t="shared" si="30"/>
        <v>800</v>
      </c>
      <c r="F102" s="27" t="str">
        <f t="shared" si="31"/>
        <v>null</v>
      </c>
      <c r="G102" s="27" t="str">
        <f t="shared" si="32"/>
        <v>null</v>
      </c>
      <c r="H102" s="28">
        <f t="shared" ca="1" si="33"/>
        <v>-0.27900000000000003</v>
      </c>
      <c r="I102" s="28" t="str" cm="1">
        <f t="array" aca="1" ref="I102" ca="1">IF(E102="","",INDIRECT("AJ"&amp;ROUND((ROW()-80)*0.25,0)))</f>
        <v>804</v>
      </c>
      <c r="J102" s="24" t="str">
        <f t="shared" ca="1" si="34"/>
        <v>-0.279</v>
      </c>
      <c r="U102" s="12" t="s">
        <v>71</v>
      </c>
      <c r="V102" s="23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3">
        <f>W102</f>
        <v>0</v>
      </c>
      <c r="Y102" s="13"/>
      <c r="Z102" s="13">
        <f t="shared" si="29"/>
        <v>0</v>
      </c>
      <c r="AA102" s="2"/>
      <c r="AB102" s="2"/>
      <c r="AC102" s="2"/>
      <c r="AD102" s="2"/>
      <c r="AE102" s="2"/>
      <c r="AF102" s="2"/>
      <c r="AG102" s="24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2" t="s">
        <v>72</v>
      </c>
      <c r="E103" s="27" t="str">
        <f t="shared" si="30"/>
        <v>800</v>
      </c>
      <c r="F103" s="27" t="str">
        <f t="shared" si="31"/>
        <v>null</v>
      </c>
      <c r="G103" s="27" t="str">
        <f t="shared" si="32"/>
        <v>null</v>
      </c>
      <c r="H103" s="28">
        <f t="shared" ca="1" si="33"/>
        <v>-0.28000000000000003</v>
      </c>
      <c r="I103" s="28" t="str" cm="1">
        <f t="array" aca="1" ref="I103" ca="1">IF(E103="","",INDIRECT("AJ"&amp;ROUND((ROW()-80)*0.25,0)))</f>
        <v>804</v>
      </c>
      <c r="J103" s="24" t="str">
        <f t="shared" ca="1" si="34"/>
        <v>-0.28</v>
      </c>
      <c r="U103" s="12" t="s">
        <v>72</v>
      </c>
      <c r="V103" s="23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3">
        <f>W$102</f>
        <v>0</v>
      </c>
      <c r="X103" s="13">
        <f>Y103+X102</f>
        <v>0</v>
      </c>
      <c r="Y103" s="13">
        <f>W103-Z102</f>
        <v>0</v>
      </c>
      <c r="Z103" s="13">
        <f t="shared" si="29"/>
        <v>0</v>
      </c>
      <c r="AA103" s="2"/>
      <c r="AB103" s="2"/>
      <c r="AC103" s="2"/>
      <c r="AD103" s="2"/>
      <c r="AE103" s="2"/>
      <c r="AF103" s="2"/>
      <c r="AG103" s="24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2" t="s">
        <v>73</v>
      </c>
      <c r="E104" s="27" t="str">
        <f t="shared" si="30"/>
        <v>800</v>
      </c>
      <c r="F104" s="27" t="str">
        <f t="shared" si="31"/>
        <v>null</v>
      </c>
      <c r="G104" s="27" t="str">
        <f t="shared" si="32"/>
        <v>null</v>
      </c>
      <c r="H104" s="28">
        <f t="shared" ca="1" si="33"/>
        <v>-0.27900000000000003</v>
      </c>
      <c r="I104" s="28" t="str" cm="1">
        <f t="array" aca="1" ref="I104" ca="1">IF(E104="","",INDIRECT("AJ"&amp;ROUND((ROW()-80)*0.25,0)))</f>
        <v>804</v>
      </c>
      <c r="J104" s="24" t="str">
        <f t="shared" ca="1" si="34"/>
        <v>-0.279</v>
      </c>
      <c r="U104" s="12" t="s">
        <v>73</v>
      </c>
      <c r="V104" s="23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3">
        <f>W$102</f>
        <v>0</v>
      </c>
      <c r="X104" s="13">
        <f>Y104+X103</f>
        <v>0</v>
      </c>
      <c r="Y104" s="13">
        <f>W104-Z103</f>
        <v>0</v>
      </c>
      <c r="Z104" s="13">
        <f t="shared" si="29"/>
        <v>0</v>
      </c>
      <c r="AA104" s="2"/>
      <c r="AB104" s="2"/>
      <c r="AC104" s="2"/>
      <c r="AD104" s="2"/>
      <c r="AE104" s="2"/>
      <c r="AF104" s="2"/>
      <c r="AG104" s="24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2" t="s">
        <v>74</v>
      </c>
      <c r="E105" s="27" t="str">
        <f t="shared" si="30"/>
        <v>800</v>
      </c>
      <c r="F105" s="27" t="str">
        <f t="shared" si="31"/>
        <v>null</v>
      </c>
      <c r="G105" s="27" t="str">
        <f t="shared" si="32"/>
        <v>null</v>
      </c>
      <c r="H105" s="28">
        <f t="shared" ca="1" si="33"/>
        <v>-0.27900000000000003</v>
      </c>
      <c r="I105" s="28" t="str" cm="1">
        <f t="array" aca="1" ref="I105" ca="1">IF(E105="","",INDIRECT("AJ"&amp;ROUND((ROW()-80)*0.25,0)))</f>
        <v>804</v>
      </c>
      <c r="J105" s="24" t="str">
        <f t="shared" ca="1" si="34"/>
        <v>-0.279</v>
      </c>
      <c r="U105" s="12" t="s">
        <v>74</v>
      </c>
      <c r="V105" s="23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3">
        <f>W$102</f>
        <v>0</v>
      </c>
      <c r="X105" s="13">
        <f>Y105+X104</f>
        <v>0</v>
      </c>
      <c r="Y105" s="13">
        <f>W105-Z104</f>
        <v>0</v>
      </c>
      <c r="Z105" s="13">
        <f t="shared" si="29"/>
        <v>0</v>
      </c>
      <c r="AA105" s="2"/>
      <c r="AB105" s="2"/>
      <c r="AC105" s="2"/>
      <c r="AD105" s="2"/>
      <c r="AE105" s="2"/>
      <c r="AF105" s="2"/>
      <c r="AG105" s="24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2" t="s">
        <v>71</v>
      </c>
      <c r="E106" s="27" t="str">
        <f t="shared" si="30"/>
        <v/>
      </c>
      <c r="F106" s="27" t="str">
        <f t="shared" si="31"/>
        <v/>
      </c>
      <c r="G106" s="27" t="str">
        <f t="shared" si="32"/>
        <v/>
      </c>
      <c r="H106" s="28" t="str">
        <f t="shared" si="33"/>
        <v/>
      </c>
      <c r="I106" s="28" t="str" cm="1">
        <f t="array" aca="1" ref="I106" ca="1">IF(E106="","",INDIRECT("AJ"&amp;ROUND((ROW()-80)*0.25,0)))</f>
        <v/>
      </c>
      <c r="J106" s="24" t="str">
        <f t="shared" si="34"/>
        <v/>
      </c>
      <c r="U106" s="12" t="s">
        <v>71</v>
      </c>
      <c r="V106" s="23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3">
        <f>W106</f>
        <v>0</v>
      </c>
      <c r="Y106" s="13"/>
      <c r="Z106" s="13">
        <f t="shared" si="29"/>
        <v>0</v>
      </c>
      <c r="AA106" s="2"/>
      <c r="AB106" s="2"/>
      <c r="AC106" s="2"/>
      <c r="AD106" s="2"/>
      <c r="AE106" s="2"/>
      <c r="AF106" s="2"/>
      <c r="AG106" s="24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2" t="s">
        <v>72</v>
      </c>
      <c r="E107" s="27" t="str">
        <f t="shared" si="30"/>
        <v/>
      </c>
      <c r="F107" s="27" t="str">
        <f t="shared" si="31"/>
        <v/>
      </c>
      <c r="G107" s="27" t="str">
        <f t="shared" si="32"/>
        <v/>
      </c>
      <c r="H107" s="28" t="str">
        <f t="shared" si="33"/>
        <v/>
      </c>
      <c r="I107" s="28" t="str" cm="1">
        <f t="array" aca="1" ref="I107" ca="1">IF(E107="","",INDIRECT("AJ"&amp;ROUND((ROW()-80)*0.25,0)))</f>
        <v/>
      </c>
      <c r="J107" s="24" t="str">
        <f t="shared" si="34"/>
        <v/>
      </c>
      <c r="U107" s="12" t="s">
        <v>72</v>
      </c>
      <c r="V107" s="23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3">
        <f>W$106</f>
        <v>0</v>
      </c>
      <c r="X107" s="13">
        <f>Y107+X106</f>
        <v>0</v>
      </c>
      <c r="Y107" s="13">
        <f>W107-Z106</f>
        <v>0</v>
      </c>
      <c r="Z107" s="13">
        <f t="shared" si="29"/>
        <v>0</v>
      </c>
      <c r="AA107" s="2"/>
      <c r="AB107" s="2"/>
      <c r="AC107" s="2"/>
      <c r="AD107" s="2"/>
      <c r="AE107" s="2"/>
      <c r="AF107" s="2"/>
      <c r="AG107" s="24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2" t="s">
        <v>73</v>
      </c>
      <c r="E108" s="27" t="str">
        <f t="shared" si="30"/>
        <v/>
      </c>
      <c r="F108" s="27" t="str">
        <f t="shared" si="31"/>
        <v/>
      </c>
      <c r="G108" s="27" t="str">
        <f t="shared" si="32"/>
        <v/>
      </c>
      <c r="H108" s="28" t="str">
        <f t="shared" si="33"/>
        <v/>
      </c>
      <c r="I108" s="28" t="str" cm="1">
        <f t="array" aca="1" ref="I108" ca="1">IF(E108="","",INDIRECT("AJ"&amp;ROUND((ROW()-80)*0.25,0)))</f>
        <v/>
      </c>
      <c r="J108" s="24" t="str">
        <f t="shared" si="34"/>
        <v/>
      </c>
      <c r="U108" s="12" t="s">
        <v>73</v>
      </c>
      <c r="V108" s="23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3">
        <f>W$106</f>
        <v>0</v>
      </c>
      <c r="X108" s="13">
        <f>Y108+X107</f>
        <v>0</v>
      </c>
      <c r="Y108" s="13">
        <f>W108-Z107</f>
        <v>0</v>
      </c>
      <c r="Z108" s="13">
        <f t="shared" si="29"/>
        <v>0</v>
      </c>
      <c r="AA108" s="2"/>
      <c r="AB108" s="2"/>
      <c r="AC108" s="2"/>
      <c r="AD108" s="2"/>
      <c r="AE108" s="2"/>
      <c r="AF108" s="2"/>
      <c r="AG108" s="24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2" t="s">
        <v>74</v>
      </c>
      <c r="E109" s="27" t="str">
        <f t="shared" si="30"/>
        <v/>
      </c>
      <c r="F109" s="27" t="str">
        <f t="shared" si="31"/>
        <v/>
      </c>
      <c r="G109" s="27" t="str">
        <f t="shared" si="32"/>
        <v/>
      </c>
      <c r="H109" s="28" t="str">
        <f t="shared" si="33"/>
        <v/>
      </c>
      <c r="I109" s="28" t="str" cm="1">
        <f t="array" aca="1" ref="I109" ca="1">IF(E109="","",INDIRECT("AJ"&amp;ROUND((ROW()-80)*0.25,0)))</f>
        <v/>
      </c>
      <c r="J109" s="24" t="str">
        <f t="shared" si="34"/>
        <v/>
      </c>
      <c r="U109" s="12" t="s">
        <v>74</v>
      </c>
      <c r="V109" s="23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3">
        <f>W$106</f>
        <v>0</v>
      </c>
      <c r="X109" s="13">
        <f>Y109+X108</f>
        <v>0</v>
      </c>
      <c r="Y109" s="13">
        <f>W109-Z108</f>
        <v>0</v>
      </c>
      <c r="Z109" s="13">
        <f t="shared" si="29"/>
        <v>0</v>
      </c>
      <c r="AA109" s="2"/>
      <c r="AB109" s="2"/>
      <c r="AC109" s="2"/>
      <c r="AD109" s="2"/>
      <c r="AE109" s="2"/>
      <c r="AF109" s="2"/>
      <c r="AG109" s="24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2" t="s">
        <v>71</v>
      </c>
      <c r="E110" s="27" t="str">
        <f t="shared" si="30"/>
        <v/>
      </c>
      <c r="F110" s="27" t="str">
        <f t="shared" si="31"/>
        <v/>
      </c>
      <c r="G110" s="27" t="str">
        <f t="shared" si="32"/>
        <v/>
      </c>
      <c r="H110" s="28" t="str">
        <f t="shared" si="33"/>
        <v/>
      </c>
      <c r="I110" s="28" t="str" cm="1">
        <f t="array" aca="1" ref="I110" ca="1">IF(E110="","",INDIRECT("AJ"&amp;ROUND((ROW()-80)*0.25,0)))</f>
        <v/>
      </c>
      <c r="J110" s="24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4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2" t="s">
        <v>72</v>
      </c>
      <c r="E111" s="27" t="str">
        <f t="shared" si="30"/>
        <v/>
      </c>
      <c r="F111" s="27" t="str">
        <f t="shared" si="31"/>
        <v/>
      </c>
      <c r="G111" s="27" t="str">
        <f t="shared" si="32"/>
        <v/>
      </c>
      <c r="H111" s="28" t="str">
        <f t="shared" si="33"/>
        <v/>
      </c>
      <c r="I111" s="28" t="str" cm="1">
        <f t="array" aca="1" ref="I111" ca="1">IF(E111="","",INDIRECT("AJ"&amp;ROUND((ROW()-80)*0.25,0)))</f>
        <v/>
      </c>
      <c r="J111" s="24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4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2" t="s">
        <v>73</v>
      </c>
      <c r="E112" s="27" t="str">
        <f t="shared" si="30"/>
        <v/>
      </c>
      <c r="F112" s="27" t="str">
        <f t="shared" si="31"/>
        <v/>
      </c>
      <c r="G112" s="27" t="str">
        <f t="shared" si="32"/>
        <v/>
      </c>
      <c r="H112" s="28" t="str">
        <f t="shared" si="33"/>
        <v/>
      </c>
      <c r="I112" s="28" t="str" cm="1">
        <f t="array" aca="1" ref="I112" ca="1">IF(E112="","",INDIRECT("AJ"&amp;ROUND((ROW()-80)*0.25,0)))</f>
        <v/>
      </c>
      <c r="J112" s="24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4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2" t="s">
        <v>74</v>
      </c>
      <c r="E113" s="27" t="str">
        <f t="shared" si="30"/>
        <v/>
      </c>
      <c r="F113" s="27" t="str">
        <f t="shared" si="31"/>
        <v/>
      </c>
      <c r="G113" s="27" t="str">
        <f t="shared" si="32"/>
        <v/>
      </c>
      <c r="H113" s="28" t="str">
        <f t="shared" si="33"/>
        <v/>
      </c>
      <c r="I113" s="28" t="str" cm="1">
        <f t="array" aca="1" ref="I113" ca="1">IF(E113="","",INDIRECT("AJ"&amp;ROUND((ROW()-80)*0.25,0)))</f>
        <v/>
      </c>
      <c r="J113" s="24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4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4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4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4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4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4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4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4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4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4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4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4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4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4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4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4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2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4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2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4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2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4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2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4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2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4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2:92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4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2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4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2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4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2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4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2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4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2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4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2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4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2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4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2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4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2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4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2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4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4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4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4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4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4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4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4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4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4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4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4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4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4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4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4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4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4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4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4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4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4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4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4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4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4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4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4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4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4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4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4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4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4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4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4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4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4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4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4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4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4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4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4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4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4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4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4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4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4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4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4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4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4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4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4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4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4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4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4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4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4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4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4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4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4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4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4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4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4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4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4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4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4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4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4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4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4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4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4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4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4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4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4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4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4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4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4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4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4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4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4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4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4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4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4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4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4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4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4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4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4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4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4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4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8"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  <mergeCell ref="W53:X53"/>
    <mergeCell ref="W59:X59"/>
    <mergeCell ref="W47:X47"/>
    <mergeCell ref="AH1:AK1"/>
    <mergeCell ref="E20:H20"/>
    <mergeCell ref="I20:K20"/>
    <mergeCell ref="E46:H46"/>
    <mergeCell ref="W35:X35"/>
    <mergeCell ref="W41:X41"/>
  </mergeCells>
  <phoneticPr fontId="11" type="noConversion"/>
  <conditionalFormatting sqref="F2:I19">
    <cfRule type="expression" dxfId="11" priority="1">
      <formula>OR($N2="glmp",$N2="skmp")</formula>
    </cfRule>
  </conditionalFormatting>
  <conditionalFormatting sqref="G2:I19">
    <cfRule type="expression" dxfId="10" priority="2">
      <formula>$K2="PT1H"</formula>
    </cfRule>
  </conditionalFormatting>
  <conditionalFormatting sqref="V35 Y35">
    <cfRule type="expression" dxfId="9" priority="10">
      <formula>$V$35=$Y$35</formula>
    </cfRule>
  </conditionalFormatting>
  <conditionalFormatting sqref="V41 Y41">
    <cfRule type="expression" dxfId="8" priority="9">
      <formula>$V$41=$Y$41</formula>
    </cfRule>
  </conditionalFormatting>
  <conditionalFormatting sqref="V47 Y47">
    <cfRule type="expression" dxfId="7" priority="8">
      <formula>$V$47=$Y$47</formula>
    </cfRule>
  </conditionalFormatting>
  <conditionalFormatting sqref="V53 Y53">
    <cfRule type="expression" dxfId="6" priority="7">
      <formula>$V$53=$Y$53</formula>
    </cfRule>
  </conditionalFormatting>
  <conditionalFormatting sqref="V59 Y59">
    <cfRule type="expression" dxfId="5" priority="6">
      <formula>$V$59=$Y$59</formula>
    </cfRule>
  </conditionalFormatting>
  <conditionalFormatting sqref="V65 Y65">
    <cfRule type="expression" dxfId="4" priority="5">
      <formula>$V$65=$Y$65</formula>
    </cfRule>
  </conditionalFormatting>
  <dataValidations disablePrompts="1" count="4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B3" xr:uid="{2727D3B3-0AF3-4375-B8A8-5490498219A6}">
      <formula1>$AN$5:$AN$20</formula1>
    </dataValidation>
    <dataValidation type="list" allowBlank="1" showInputMessage="1" showErrorMessage="1" sqref="B4" xr:uid="{C4B19C62-B1C2-40D7-89E4-CACD379D7931}">
      <formula1>$AQ$5:$AQ$1048576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5817-B39F-49E8-8089-3BDC03B8D1E9}">
  <dimension ref="A1:D27"/>
  <sheetViews>
    <sheetView workbookViewId="0">
      <selection activeCell="A7" sqref="A7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9.1796875" bestFit="1" customWidth="1"/>
    <col min="4" max="4" width="18" bestFit="1" customWidth="1"/>
  </cols>
  <sheetData>
    <row r="1" spans="1:4" x14ac:dyDescent="0.35">
      <c r="A1" t="s">
        <v>108</v>
      </c>
      <c r="B1" t="s">
        <v>2</v>
      </c>
      <c r="C1" t="s">
        <v>118</v>
      </c>
      <c r="D1" t="s">
        <v>119</v>
      </c>
    </row>
    <row r="2" spans="1:4" x14ac:dyDescent="0.35">
      <c r="A2" s="56" t="s">
        <v>126</v>
      </c>
      <c r="B2" s="56" t="s">
        <v>120</v>
      </c>
      <c r="C2" s="56" t="s">
        <v>121</v>
      </c>
      <c r="D2" s="56" t="s">
        <v>155</v>
      </c>
    </row>
    <row r="3" spans="1:4" x14ac:dyDescent="0.35">
      <c r="A3" s="56" t="s">
        <v>128</v>
      </c>
      <c r="B3" s="56" t="s">
        <v>145</v>
      </c>
      <c r="C3" s="56" t="s">
        <v>121</v>
      </c>
      <c r="D3" s="56" t="s">
        <v>144</v>
      </c>
    </row>
    <row r="4" spans="1:4" x14ac:dyDescent="0.35">
      <c r="A4" s="56" t="s">
        <v>130</v>
      </c>
      <c r="B4" s="56" t="s">
        <v>146</v>
      </c>
      <c r="C4" s="56" t="s">
        <v>121</v>
      </c>
      <c r="D4" s="56" t="s">
        <v>155</v>
      </c>
    </row>
    <row r="5" spans="1:4" x14ac:dyDescent="0.35">
      <c r="A5" s="56" t="s">
        <v>132</v>
      </c>
      <c r="B5" s="56" t="s">
        <v>147</v>
      </c>
      <c r="C5" s="56" t="s">
        <v>121</v>
      </c>
      <c r="D5" s="56" t="s">
        <v>144</v>
      </c>
    </row>
    <row r="6" spans="1:4" x14ac:dyDescent="0.35">
      <c r="A6" s="56" t="s">
        <v>134</v>
      </c>
      <c r="B6" s="56" t="s">
        <v>146</v>
      </c>
      <c r="C6" s="56" t="s">
        <v>121</v>
      </c>
      <c r="D6" s="56" t="s">
        <v>144</v>
      </c>
    </row>
    <row r="7" spans="1:4" x14ac:dyDescent="0.35">
      <c r="A7" s="56" t="s">
        <v>105</v>
      </c>
      <c r="B7" s="56" t="s">
        <v>122</v>
      </c>
      <c r="C7" s="56" t="s">
        <v>121</v>
      </c>
      <c r="D7" s="56" t="s">
        <v>144</v>
      </c>
    </row>
    <row r="8" spans="1:4" x14ac:dyDescent="0.35">
      <c r="A8" s="56" t="s">
        <v>135</v>
      </c>
      <c r="B8" s="56" t="s">
        <v>148</v>
      </c>
      <c r="C8" s="56" t="s">
        <v>121</v>
      </c>
      <c r="D8" s="56" t="s">
        <v>144</v>
      </c>
    </row>
    <row r="9" spans="1:4" x14ac:dyDescent="0.35">
      <c r="A9" s="56" t="s">
        <v>136</v>
      </c>
      <c r="B9" s="56" t="s">
        <v>120</v>
      </c>
      <c r="C9" s="56" t="s">
        <v>121</v>
      </c>
      <c r="D9" s="56" t="s">
        <v>144</v>
      </c>
    </row>
    <row r="10" spans="1:4" x14ac:dyDescent="0.35">
      <c r="A10" s="56" t="s">
        <v>137</v>
      </c>
      <c r="B10" s="56" t="s">
        <v>120</v>
      </c>
      <c r="C10" s="56" t="s">
        <v>121</v>
      </c>
      <c r="D10" s="56" t="s">
        <v>144</v>
      </c>
    </row>
    <row r="11" spans="1:4" x14ac:dyDescent="0.35">
      <c r="A11" s="56" t="s">
        <v>138</v>
      </c>
      <c r="B11" s="56" t="s">
        <v>149</v>
      </c>
      <c r="C11" s="56" t="s">
        <v>121</v>
      </c>
      <c r="D11" s="56" t="s">
        <v>144</v>
      </c>
    </row>
    <row r="12" spans="1:4" x14ac:dyDescent="0.35">
      <c r="A12" s="56" t="s">
        <v>139</v>
      </c>
      <c r="B12" s="56" t="s">
        <v>150</v>
      </c>
      <c r="C12" s="56" t="s">
        <v>121</v>
      </c>
      <c r="D12" s="56" t="s">
        <v>144</v>
      </c>
    </row>
    <row r="13" spans="1:4" x14ac:dyDescent="0.35">
      <c r="A13" s="56" t="s">
        <v>99</v>
      </c>
      <c r="B13" s="56" t="s">
        <v>151</v>
      </c>
      <c r="C13" s="56" t="s">
        <v>121</v>
      </c>
      <c r="D13" s="56" t="s">
        <v>144</v>
      </c>
    </row>
    <row r="14" spans="1:4" x14ac:dyDescent="0.35">
      <c r="A14" s="56" t="s">
        <v>140</v>
      </c>
      <c r="B14" s="56" t="s">
        <v>152</v>
      </c>
      <c r="C14" s="56" t="s">
        <v>121</v>
      </c>
      <c r="D14" s="56" t="s">
        <v>144</v>
      </c>
    </row>
    <row r="15" spans="1:4" x14ac:dyDescent="0.35">
      <c r="A15" s="56" t="s">
        <v>141</v>
      </c>
      <c r="B15" s="56" t="s">
        <v>153</v>
      </c>
      <c r="C15" s="56" t="s">
        <v>121</v>
      </c>
      <c r="D15" s="56" t="s">
        <v>144</v>
      </c>
    </row>
    <row r="16" spans="1:4" x14ac:dyDescent="0.35">
      <c r="A16" s="56" t="s">
        <v>143</v>
      </c>
      <c r="B16" s="56" t="s">
        <v>153</v>
      </c>
      <c r="C16" s="56" t="s">
        <v>121</v>
      </c>
      <c r="D16" s="56" t="s">
        <v>144</v>
      </c>
    </row>
    <row r="17" spans="1:4" x14ac:dyDescent="0.35">
      <c r="A17" s="56" t="s">
        <v>99</v>
      </c>
      <c r="B17" s="56" t="s">
        <v>151</v>
      </c>
      <c r="C17" s="56" t="s">
        <v>121</v>
      </c>
      <c r="D17" s="56" t="s">
        <v>165</v>
      </c>
    </row>
    <row r="18" spans="1:4" x14ac:dyDescent="0.35">
      <c r="A18" s="56" t="s">
        <v>126</v>
      </c>
      <c r="B18" s="56" t="s">
        <v>163</v>
      </c>
      <c r="C18" s="56" t="s">
        <v>121</v>
      </c>
      <c r="D18" s="56" t="s">
        <v>164</v>
      </c>
    </row>
    <row r="19" spans="1:4" x14ac:dyDescent="0.35">
      <c r="A19" s="56" t="s">
        <v>136</v>
      </c>
      <c r="B19" s="56" t="s">
        <v>168</v>
      </c>
      <c r="C19" s="56" t="s">
        <v>121</v>
      </c>
      <c r="D19" s="56" t="s">
        <v>155</v>
      </c>
    </row>
    <row r="20" spans="1:4" x14ac:dyDescent="0.35">
      <c r="A20" s="56" t="s">
        <v>136</v>
      </c>
      <c r="B20" s="56" t="s">
        <v>168</v>
      </c>
      <c r="C20" s="56" t="s">
        <v>121</v>
      </c>
      <c r="D20" s="56" t="s">
        <v>156</v>
      </c>
    </row>
    <row r="21" spans="1:4" x14ac:dyDescent="0.35">
      <c r="A21" s="56" t="s">
        <v>136</v>
      </c>
      <c r="B21" s="56" t="s">
        <v>168</v>
      </c>
      <c r="C21" s="56" t="s">
        <v>121</v>
      </c>
      <c r="D21" s="56" t="s">
        <v>157</v>
      </c>
    </row>
    <row r="22" spans="1:4" x14ac:dyDescent="0.35">
      <c r="A22" s="56" t="s">
        <v>136</v>
      </c>
      <c r="B22" s="56" t="s">
        <v>168</v>
      </c>
      <c r="C22" s="56" t="s">
        <v>121</v>
      </c>
      <c r="D22" s="56" t="s">
        <v>164</v>
      </c>
    </row>
    <row r="23" spans="1:4" x14ac:dyDescent="0.35">
      <c r="A23" s="56" t="s">
        <v>136</v>
      </c>
      <c r="B23" s="56" t="s">
        <v>168</v>
      </c>
      <c r="C23" s="56" t="s">
        <v>121</v>
      </c>
      <c r="D23" s="56" t="s">
        <v>169</v>
      </c>
    </row>
    <row r="24" spans="1:4" x14ac:dyDescent="0.35">
      <c r="A24" s="56" t="s">
        <v>136</v>
      </c>
      <c r="B24" s="56" t="s">
        <v>168</v>
      </c>
      <c r="C24" s="56" t="s">
        <v>121</v>
      </c>
      <c r="D24" s="56" t="s">
        <v>160</v>
      </c>
    </row>
    <row r="25" spans="1:4" x14ac:dyDescent="0.35">
      <c r="A25" s="56" t="s">
        <v>130</v>
      </c>
      <c r="B25" s="56" t="s">
        <v>146</v>
      </c>
      <c r="C25" s="56" t="s">
        <v>121</v>
      </c>
      <c r="D25" s="56" t="s">
        <v>170</v>
      </c>
    </row>
    <row r="26" spans="1:4" x14ac:dyDescent="0.35">
      <c r="A26" s="56" t="s">
        <v>130</v>
      </c>
      <c r="B26" s="56" t="s">
        <v>146</v>
      </c>
      <c r="C26" s="56" t="s">
        <v>121</v>
      </c>
      <c r="D26" s="56" t="s">
        <v>170</v>
      </c>
    </row>
    <row r="27" spans="1:4" x14ac:dyDescent="0.35">
      <c r="A27" s="56" t="s">
        <v>130</v>
      </c>
      <c r="B27" s="56" t="s">
        <v>146</v>
      </c>
      <c r="C27" s="56" t="s">
        <v>121</v>
      </c>
      <c r="D27" s="56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D26-CE82-43C9-B72B-2777D9A9E2A3}">
  <dimension ref="A1:M18"/>
  <sheetViews>
    <sheetView workbookViewId="0">
      <selection activeCell="A25" sqref="A25"/>
    </sheetView>
  </sheetViews>
  <sheetFormatPr defaultRowHeight="14.5" x14ac:dyDescent="0.35"/>
  <cols>
    <col min="1" max="1" width="19" bestFit="1" customWidth="1"/>
    <col min="2" max="2" width="6.81640625" bestFit="1" customWidth="1"/>
    <col min="3" max="3" width="16.90625" bestFit="1" customWidth="1"/>
    <col min="4" max="4" width="20.08984375" bestFit="1" customWidth="1"/>
    <col min="5" max="5" width="16.08984375" bestFit="1" customWidth="1"/>
    <col min="6" max="6" width="11.6328125" bestFit="1" customWidth="1"/>
    <col min="7" max="7" width="21.26953125" bestFit="1" customWidth="1"/>
    <col min="8" max="8" width="18.90625" bestFit="1" customWidth="1"/>
    <col min="9" max="9" width="25.54296875" bestFit="1" customWidth="1"/>
    <col min="10" max="10" width="19.08984375" bestFit="1" customWidth="1"/>
    <col min="11" max="11" width="28.54296875" bestFit="1" customWidth="1"/>
    <col min="12" max="12" width="15.1796875" bestFit="1" customWidth="1"/>
    <col min="13" max="13" width="9.7265625" bestFit="1" customWidth="1"/>
  </cols>
  <sheetData>
    <row r="1" spans="1:13" x14ac:dyDescent="0.35">
      <c r="A1" t="s">
        <v>108</v>
      </c>
      <c r="B1" t="s">
        <v>11</v>
      </c>
      <c r="C1" t="s">
        <v>109</v>
      </c>
      <c r="D1" t="s">
        <v>12</v>
      </c>
      <c r="E1" t="s">
        <v>110</v>
      </c>
      <c r="F1" t="s">
        <v>8</v>
      </c>
      <c r="G1" t="s">
        <v>111</v>
      </c>
      <c r="H1" t="s">
        <v>112</v>
      </c>
      <c r="I1" t="s">
        <v>113</v>
      </c>
      <c r="J1" t="s">
        <v>0</v>
      </c>
      <c r="K1" t="s">
        <v>114</v>
      </c>
      <c r="L1" t="s">
        <v>115</v>
      </c>
      <c r="M1" t="s">
        <v>116</v>
      </c>
    </row>
    <row r="2" spans="1:13" x14ac:dyDescent="0.35">
      <c r="A2" t="s">
        <v>123</v>
      </c>
      <c r="B2" t="s">
        <v>83</v>
      </c>
      <c r="C2" t="s">
        <v>117</v>
      </c>
      <c r="D2" t="s">
        <v>84</v>
      </c>
      <c r="E2" t="s">
        <v>88</v>
      </c>
      <c r="F2" t="s">
        <v>92</v>
      </c>
      <c r="G2" t="s">
        <v>117</v>
      </c>
      <c r="H2" t="s">
        <v>117</v>
      </c>
      <c r="I2" t="s">
        <v>117</v>
      </c>
      <c r="J2" t="s">
        <v>86</v>
      </c>
      <c r="K2" t="s">
        <v>87</v>
      </c>
      <c r="L2" t="s">
        <v>124</v>
      </c>
      <c r="M2" t="s">
        <v>117</v>
      </c>
    </row>
    <row r="3" spans="1:13" x14ac:dyDescent="0.35">
      <c r="A3" t="s">
        <v>125</v>
      </c>
      <c r="B3" t="s">
        <v>89</v>
      </c>
      <c r="C3" t="s">
        <v>117</v>
      </c>
      <c r="D3" t="s">
        <v>117</v>
      </c>
      <c r="E3" t="s">
        <v>88</v>
      </c>
      <c r="F3" t="s">
        <v>92</v>
      </c>
      <c r="G3" t="s">
        <v>117</v>
      </c>
      <c r="H3" t="s">
        <v>117</v>
      </c>
      <c r="I3" t="s">
        <v>117</v>
      </c>
      <c r="J3" t="s">
        <v>91</v>
      </c>
      <c r="K3" t="s">
        <v>93</v>
      </c>
      <c r="L3" t="s">
        <v>124</v>
      </c>
      <c r="M3" t="s">
        <v>117</v>
      </c>
    </row>
    <row r="4" spans="1:13" x14ac:dyDescent="0.35">
      <c r="A4" t="s">
        <v>126</v>
      </c>
      <c r="B4" t="s">
        <v>90</v>
      </c>
      <c r="C4" t="s">
        <v>117</v>
      </c>
      <c r="D4" t="s">
        <v>117</v>
      </c>
      <c r="E4" t="s">
        <v>101</v>
      </c>
      <c r="F4" t="s">
        <v>92</v>
      </c>
      <c r="G4" t="s">
        <v>101</v>
      </c>
      <c r="H4" t="s">
        <v>88</v>
      </c>
      <c r="I4" t="s">
        <v>117</v>
      </c>
      <c r="J4" t="s">
        <v>117</v>
      </c>
      <c r="K4" t="s">
        <v>117</v>
      </c>
      <c r="L4" t="s">
        <v>127</v>
      </c>
      <c r="M4" t="s">
        <v>117</v>
      </c>
    </row>
    <row r="5" spans="1:13" x14ac:dyDescent="0.35">
      <c r="A5" t="s">
        <v>128</v>
      </c>
      <c r="B5" t="s">
        <v>90</v>
      </c>
      <c r="C5" t="s">
        <v>117</v>
      </c>
      <c r="D5" t="s">
        <v>117</v>
      </c>
      <c r="E5" t="s">
        <v>129</v>
      </c>
      <c r="F5" t="s">
        <v>85</v>
      </c>
      <c r="G5" t="s">
        <v>129</v>
      </c>
      <c r="H5" t="s">
        <v>88</v>
      </c>
      <c r="I5" t="s">
        <v>117</v>
      </c>
      <c r="J5" t="s">
        <v>117</v>
      </c>
      <c r="K5" t="s">
        <v>117</v>
      </c>
      <c r="L5" t="s">
        <v>127</v>
      </c>
      <c r="M5" t="s">
        <v>117</v>
      </c>
    </row>
    <row r="6" spans="1:13" x14ac:dyDescent="0.35">
      <c r="A6" t="s">
        <v>130</v>
      </c>
      <c r="B6" t="s">
        <v>90</v>
      </c>
      <c r="C6" t="s">
        <v>117</v>
      </c>
      <c r="D6" t="s">
        <v>117</v>
      </c>
      <c r="E6" t="s">
        <v>88</v>
      </c>
      <c r="F6" t="s">
        <v>92</v>
      </c>
      <c r="G6" t="s">
        <v>88</v>
      </c>
      <c r="H6" t="s">
        <v>131</v>
      </c>
      <c r="I6" t="s">
        <v>117</v>
      </c>
      <c r="J6" t="s">
        <v>117</v>
      </c>
      <c r="K6" t="s">
        <v>117</v>
      </c>
      <c r="L6" t="s">
        <v>127</v>
      </c>
      <c r="M6" t="s">
        <v>117</v>
      </c>
    </row>
    <row r="7" spans="1:13" x14ac:dyDescent="0.35">
      <c r="A7" t="s">
        <v>132</v>
      </c>
      <c r="B7" t="s">
        <v>90</v>
      </c>
      <c r="C7" t="s">
        <v>117</v>
      </c>
      <c r="D7" t="s">
        <v>117</v>
      </c>
      <c r="E7" t="s">
        <v>88</v>
      </c>
      <c r="F7" t="s">
        <v>85</v>
      </c>
      <c r="G7" t="s">
        <v>88</v>
      </c>
      <c r="H7" t="s">
        <v>133</v>
      </c>
      <c r="I7" t="s">
        <v>117</v>
      </c>
      <c r="J7" t="s">
        <v>117</v>
      </c>
      <c r="K7" t="s">
        <v>117</v>
      </c>
      <c r="L7" t="s">
        <v>124</v>
      </c>
      <c r="M7" t="s">
        <v>117</v>
      </c>
    </row>
    <row r="8" spans="1:13" x14ac:dyDescent="0.35">
      <c r="A8" t="s">
        <v>134</v>
      </c>
      <c r="B8" t="s">
        <v>83</v>
      </c>
      <c r="C8" t="s">
        <v>117</v>
      </c>
      <c r="D8" t="s">
        <v>94</v>
      </c>
      <c r="E8" t="s">
        <v>88</v>
      </c>
      <c r="F8" t="s">
        <v>92</v>
      </c>
      <c r="G8" t="s">
        <v>117</v>
      </c>
      <c r="H8" t="s">
        <v>117</v>
      </c>
      <c r="I8" t="s">
        <v>117</v>
      </c>
      <c r="J8" t="s">
        <v>86</v>
      </c>
      <c r="K8" t="s">
        <v>87</v>
      </c>
      <c r="L8" t="s">
        <v>124</v>
      </c>
      <c r="M8" t="s">
        <v>117</v>
      </c>
    </row>
    <row r="9" spans="1:13" x14ac:dyDescent="0.35">
      <c r="A9" t="s">
        <v>105</v>
      </c>
      <c r="B9" t="s">
        <v>83</v>
      </c>
      <c r="C9" t="s">
        <v>117</v>
      </c>
      <c r="D9" t="s">
        <v>94</v>
      </c>
      <c r="E9" t="s">
        <v>88</v>
      </c>
      <c r="F9" t="s">
        <v>85</v>
      </c>
      <c r="G9" t="s">
        <v>117</v>
      </c>
      <c r="H9" t="s">
        <v>117</v>
      </c>
      <c r="I9" t="s">
        <v>117</v>
      </c>
      <c r="J9" t="s">
        <v>100</v>
      </c>
      <c r="K9" t="s">
        <v>87</v>
      </c>
      <c r="L9" t="s">
        <v>124</v>
      </c>
      <c r="M9" t="s">
        <v>117</v>
      </c>
    </row>
    <row r="10" spans="1:13" x14ac:dyDescent="0.35">
      <c r="A10" t="s">
        <v>135</v>
      </c>
      <c r="B10" t="s">
        <v>83</v>
      </c>
      <c r="C10" t="s">
        <v>117</v>
      </c>
      <c r="D10" t="s">
        <v>94</v>
      </c>
      <c r="E10" t="s">
        <v>88</v>
      </c>
      <c r="F10" t="s">
        <v>85</v>
      </c>
      <c r="G10" t="s">
        <v>117</v>
      </c>
      <c r="H10" t="s">
        <v>117</v>
      </c>
      <c r="I10" t="s">
        <v>117</v>
      </c>
      <c r="J10" t="s">
        <v>91</v>
      </c>
      <c r="K10" t="s">
        <v>93</v>
      </c>
      <c r="L10" t="s">
        <v>124</v>
      </c>
      <c r="M10" t="s">
        <v>117</v>
      </c>
    </row>
    <row r="11" spans="1:13" x14ac:dyDescent="0.35">
      <c r="A11" t="s">
        <v>136</v>
      </c>
      <c r="B11" t="s">
        <v>83</v>
      </c>
      <c r="C11" t="s">
        <v>117</v>
      </c>
      <c r="D11" t="s">
        <v>84</v>
      </c>
      <c r="E11" t="s">
        <v>88</v>
      </c>
      <c r="F11" t="s">
        <v>92</v>
      </c>
      <c r="G11" t="s">
        <v>117</v>
      </c>
      <c r="H11" t="s">
        <v>117</v>
      </c>
      <c r="I11" t="s">
        <v>117</v>
      </c>
      <c r="J11" t="s">
        <v>86</v>
      </c>
      <c r="K11" t="s">
        <v>87</v>
      </c>
      <c r="L11" t="s">
        <v>124</v>
      </c>
      <c r="M11" t="s">
        <v>117</v>
      </c>
    </row>
    <row r="12" spans="1:13" x14ac:dyDescent="0.35">
      <c r="A12" t="s">
        <v>137</v>
      </c>
      <c r="B12" t="s">
        <v>83</v>
      </c>
      <c r="C12" t="s">
        <v>117</v>
      </c>
      <c r="D12" t="s">
        <v>84</v>
      </c>
      <c r="E12" t="s">
        <v>88</v>
      </c>
      <c r="F12" t="s">
        <v>85</v>
      </c>
      <c r="G12" t="s">
        <v>117</v>
      </c>
      <c r="H12" t="s">
        <v>117</v>
      </c>
      <c r="I12" t="s">
        <v>117</v>
      </c>
      <c r="J12" t="s">
        <v>100</v>
      </c>
      <c r="K12" t="s">
        <v>87</v>
      </c>
      <c r="L12" t="s">
        <v>124</v>
      </c>
      <c r="M12" t="s">
        <v>117</v>
      </c>
    </row>
    <row r="13" spans="1:13" x14ac:dyDescent="0.35">
      <c r="A13" t="s">
        <v>138</v>
      </c>
      <c r="B13" t="s">
        <v>83</v>
      </c>
      <c r="C13" t="s">
        <v>117</v>
      </c>
      <c r="D13" t="s">
        <v>84</v>
      </c>
      <c r="E13" t="s">
        <v>88</v>
      </c>
      <c r="F13" t="s">
        <v>85</v>
      </c>
      <c r="G13" t="s">
        <v>117</v>
      </c>
      <c r="H13" t="s">
        <v>117</v>
      </c>
      <c r="I13" t="s">
        <v>117</v>
      </c>
      <c r="J13" t="s">
        <v>91</v>
      </c>
      <c r="K13" t="s">
        <v>93</v>
      </c>
      <c r="L13" t="s">
        <v>124</v>
      </c>
      <c r="M13" t="s">
        <v>117</v>
      </c>
    </row>
    <row r="14" spans="1:13" x14ac:dyDescent="0.35">
      <c r="A14" t="s">
        <v>139</v>
      </c>
      <c r="B14" t="s">
        <v>89</v>
      </c>
      <c r="C14" t="s">
        <v>117</v>
      </c>
      <c r="D14" t="s">
        <v>117</v>
      </c>
      <c r="E14" t="s">
        <v>88</v>
      </c>
      <c r="F14" t="s">
        <v>92</v>
      </c>
      <c r="G14" t="s">
        <v>117</v>
      </c>
      <c r="H14" t="s">
        <v>117</v>
      </c>
      <c r="I14" t="s">
        <v>117</v>
      </c>
      <c r="J14" t="s">
        <v>86</v>
      </c>
      <c r="K14" t="s">
        <v>87</v>
      </c>
      <c r="L14" t="s">
        <v>124</v>
      </c>
      <c r="M14" t="s">
        <v>117</v>
      </c>
    </row>
    <row r="15" spans="1:13" x14ac:dyDescent="0.35">
      <c r="A15" t="s">
        <v>99</v>
      </c>
      <c r="B15" t="s">
        <v>89</v>
      </c>
      <c r="C15" t="s">
        <v>117</v>
      </c>
      <c r="D15" t="s">
        <v>117</v>
      </c>
      <c r="E15" t="s">
        <v>88</v>
      </c>
      <c r="F15" t="s">
        <v>85</v>
      </c>
      <c r="G15" t="s">
        <v>117</v>
      </c>
      <c r="H15" t="s">
        <v>117</v>
      </c>
      <c r="I15" t="s">
        <v>117</v>
      </c>
      <c r="J15" t="s">
        <v>100</v>
      </c>
      <c r="K15" t="s">
        <v>87</v>
      </c>
      <c r="L15" t="s">
        <v>124</v>
      </c>
      <c r="M15" t="s">
        <v>117</v>
      </c>
    </row>
    <row r="16" spans="1:13" x14ac:dyDescent="0.35">
      <c r="A16" t="s">
        <v>140</v>
      </c>
      <c r="B16" t="s">
        <v>89</v>
      </c>
      <c r="C16" t="s">
        <v>117</v>
      </c>
      <c r="D16" t="s">
        <v>117</v>
      </c>
      <c r="E16" t="s">
        <v>88</v>
      </c>
      <c r="F16" t="s">
        <v>85</v>
      </c>
      <c r="G16" t="s">
        <v>117</v>
      </c>
      <c r="H16" t="s">
        <v>117</v>
      </c>
      <c r="I16" t="s">
        <v>117</v>
      </c>
      <c r="J16" t="s">
        <v>91</v>
      </c>
      <c r="K16" t="s">
        <v>93</v>
      </c>
      <c r="L16" t="s">
        <v>124</v>
      </c>
      <c r="M16" t="s">
        <v>117</v>
      </c>
    </row>
    <row r="17" spans="1:13" x14ac:dyDescent="0.35">
      <c r="A17" t="s">
        <v>141</v>
      </c>
      <c r="B17" t="s">
        <v>89</v>
      </c>
      <c r="C17" t="s">
        <v>117</v>
      </c>
      <c r="D17" t="s">
        <v>117</v>
      </c>
      <c r="E17" t="s">
        <v>142</v>
      </c>
      <c r="F17" t="s">
        <v>85</v>
      </c>
      <c r="G17" t="s">
        <v>117</v>
      </c>
      <c r="H17" t="s">
        <v>117</v>
      </c>
      <c r="I17" t="s">
        <v>117</v>
      </c>
      <c r="J17" t="s">
        <v>100</v>
      </c>
      <c r="K17" t="s">
        <v>93</v>
      </c>
      <c r="L17" t="s">
        <v>124</v>
      </c>
      <c r="M17" t="s">
        <v>117</v>
      </c>
    </row>
    <row r="18" spans="1:13" x14ac:dyDescent="0.35">
      <c r="A18" t="s">
        <v>143</v>
      </c>
      <c r="B18" t="s">
        <v>89</v>
      </c>
      <c r="C18" t="s">
        <v>117</v>
      </c>
      <c r="D18" t="s">
        <v>117</v>
      </c>
      <c r="E18" t="s">
        <v>142</v>
      </c>
      <c r="F18" t="s">
        <v>85</v>
      </c>
      <c r="G18" t="s">
        <v>117</v>
      </c>
      <c r="H18" t="s">
        <v>117</v>
      </c>
      <c r="I18" t="s">
        <v>117</v>
      </c>
      <c r="J18" t="s">
        <v>86</v>
      </c>
      <c r="K18" t="s">
        <v>87</v>
      </c>
      <c r="L18" t="s">
        <v>124</v>
      </c>
      <c r="M18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83F9-E4C4-44A7-8E9A-1B51BF6A399D}">
  <dimension ref="A1:A3"/>
  <sheetViews>
    <sheetView workbookViewId="0"/>
  </sheetViews>
  <sheetFormatPr defaultRowHeight="14.5" x14ac:dyDescent="0.35"/>
  <cols>
    <col min="1" max="1" width="19" bestFit="1" customWidth="1"/>
  </cols>
  <sheetData>
    <row r="1" spans="1:1" x14ac:dyDescent="0.35">
      <c r="A1" t="s">
        <v>108</v>
      </c>
    </row>
    <row r="2" spans="1:1" x14ac:dyDescent="0.35">
      <c r="A2" t="s">
        <v>123</v>
      </c>
    </row>
    <row r="3" spans="1:1" x14ac:dyDescent="0.35">
      <c r="A3" t="s">
        <v>125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84D090-BD18-46B6-B952-DA0C9EB6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46</vt:i4>
      </vt:variant>
    </vt:vector>
  </HeadingPairs>
  <TitlesOfParts>
    <vt:vector size="50" baseType="lpstr">
      <vt:lpstr>Hour1</vt:lpstr>
      <vt:lpstr>time_series_points</vt:lpstr>
      <vt:lpstr>metering_point_periods</vt:lpstr>
      <vt:lpstr>grid_loss_metering_points</vt:lpstr>
      <vt:lpstr>CurrentFilePath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2024-10-21T11:40:52Z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