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04932A25-014C-422F-885F-13343440C8DE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8" i="11" l="1"/>
  <c r="AH2" i="11" a="1"/>
  <c r="J2" i="11"/>
  <c r="J3" i="11"/>
  <c r="V60" i="11" s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V108" i="11" a="1"/>
  <c r="V102" i="11" a="1"/>
  <c r="V105" i="11" a="1"/>
  <c r="V104" i="11" a="1"/>
  <c r="V103" i="11" a="1"/>
  <c r="V109" i="11" a="1"/>
  <c r="V106" i="11" a="1"/>
  <c r="V107" i="11" a="1"/>
  <c r="AH2" i="11" l="1"/>
  <c r="W90" i="11"/>
  <c r="W94" i="11"/>
  <c r="V102" i="1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59" i="11"/>
  <c r="T7" i="11"/>
  <c r="V42" i="11"/>
  <c r="V45" i="11" s="1"/>
  <c r="Z45" i="11" s="1"/>
  <c r="AF27" i="11"/>
  <c r="AF13" i="11" a="1"/>
  <c r="AE27" i="1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G2" i="11"/>
  <c r="AD2" i="11" a="1"/>
  <c r="AD2" i="11" s="1"/>
  <c r="V54" i="11" s="1"/>
  <c r="V101" i="11" a="1"/>
  <c r="V89" i="11" a="1"/>
  <c r="V100" i="11" a="1"/>
  <c r="V98" i="11" a="1"/>
  <c r="V90" i="11" a="1"/>
  <c r="V99" i="11" a="1"/>
  <c r="V94" i="11" a="1"/>
  <c r="V95" i="11" a="1"/>
  <c r="V92" i="11" a="1"/>
  <c r="V87" i="11" a="1"/>
  <c r="V86" i="11" a="1"/>
  <c r="V96" i="11" a="1"/>
  <c r="V93" i="11" a="1"/>
  <c r="V91" i="11" a="1"/>
  <c r="V97" i="11" a="1"/>
  <c r="V88" i="11" a="1"/>
  <c r="AE42" i="11" l="1" a="1"/>
  <c r="AE42" i="11" s="1"/>
  <c r="AF32" i="11" a="1"/>
  <c r="AF32" i="11" s="1"/>
  <c r="AE39" i="11" a="1"/>
  <c r="AE39" i="11" s="1"/>
  <c r="AE40" i="11" a="1"/>
  <c r="AE40" i="11" s="1"/>
  <c r="AE41" i="11" a="1"/>
  <c r="AE41" i="11" s="1"/>
  <c r="AE32" i="11" a="1"/>
  <c r="AE32" i="11" s="1"/>
  <c r="AE33" i="11" a="1"/>
  <c r="AE33" i="11" s="1"/>
  <c r="AE34" i="11" a="1"/>
  <c r="AE34" i="11" s="1"/>
  <c r="AE35" i="11" a="1"/>
  <c r="AE35" i="11" s="1"/>
  <c r="AE38" i="11" a="1"/>
  <c r="AE38" i="11" s="1"/>
  <c r="AE36" i="11" a="1"/>
  <c r="AE36" i="11" s="1"/>
  <c r="AE31" i="11" a="1"/>
  <c r="AE31" i="11" s="1"/>
  <c r="AE37" i="11" a="1"/>
  <c r="AE37" i="11" s="1"/>
  <c r="AE29" i="11" a="1"/>
  <c r="AE29" i="11" s="1"/>
  <c r="AE30" i="11" a="1"/>
  <c r="AE30" i="11" s="1"/>
  <c r="V63" i="11"/>
  <c r="Z63" i="11" s="1"/>
  <c r="V98" i="11"/>
  <c r="V90" i="11"/>
  <c r="V91" i="11"/>
  <c r="V99" i="11"/>
  <c r="V93" i="11"/>
  <c r="V97" i="11"/>
  <c r="V92" i="11"/>
  <c r="V101" i="11"/>
  <c r="V100" i="11"/>
  <c r="V94" i="11"/>
  <c r="V95" i="11"/>
  <c r="V96" i="11"/>
  <c r="W96" i="11"/>
  <c r="W101" i="11"/>
  <c r="V88" i="11"/>
  <c r="V87" i="11"/>
  <c r="V89" i="11"/>
  <c r="V86" i="11"/>
  <c r="W93" i="11"/>
  <c r="AF42" i="11" a="1"/>
  <c r="AF42" i="11" s="1"/>
  <c r="V56" i="1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86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Z61" i="11"/>
  <c r="T32" i="11"/>
  <c r="S32" i="11"/>
  <c r="E106" i="11"/>
  <c r="H106" i="11" s="1"/>
  <c r="J106" i="11" s="1"/>
  <c r="E104" i="11"/>
  <c r="E102" i="11"/>
  <c r="E100" i="11"/>
  <c r="E98" i="11"/>
  <c r="E96" i="11"/>
  <c r="E94" i="11"/>
  <c r="E92" i="11"/>
  <c r="E90" i="11"/>
  <c r="E110" i="11"/>
  <c r="H110" i="11" s="1"/>
  <c r="J110" i="11" s="1"/>
  <c r="E108" i="11"/>
  <c r="H108" i="11" s="1"/>
  <c r="J108" i="11" s="1"/>
  <c r="E113" i="11"/>
  <c r="H113" i="11" s="1"/>
  <c r="J113" i="11" s="1"/>
  <c r="E112" i="11"/>
  <c r="H112" i="11" s="1"/>
  <c r="J112" i="11" s="1"/>
  <c r="E105" i="11"/>
  <c r="E103" i="11"/>
  <c r="E101" i="11"/>
  <c r="E99" i="11"/>
  <c r="E97" i="11"/>
  <c r="E95" i="11"/>
  <c r="E93" i="11"/>
  <c r="E91" i="11"/>
  <c r="E109" i="11"/>
  <c r="H109" i="11" s="1"/>
  <c r="J109" i="11" s="1"/>
  <c r="E107" i="11"/>
  <c r="H107" i="11" s="1"/>
  <c r="J107" i="11" s="1"/>
  <c r="E111" i="11"/>
  <c r="H111" i="11" s="1"/>
  <c r="J111" i="11" s="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2" i="11" a="1"/>
  <c r="I91" i="11" a="1"/>
  <c r="I90" i="11" a="1"/>
  <c r="I93" i="11" a="1"/>
  <c r="H98" i="11" l="1"/>
  <c r="J98" i="11" s="1"/>
  <c r="H102" i="11"/>
  <c r="J102" i="11" s="1"/>
  <c r="H94" i="11"/>
  <c r="J94" i="11" s="1"/>
  <c r="H90" i="11"/>
  <c r="J90" i="11" s="1"/>
  <c r="Z55" i="11"/>
  <c r="Z53" i="11" s="1"/>
  <c r="Y95" i="11"/>
  <c r="X95" i="11" s="1"/>
  <c r="Z95" i="11" s="1"/>
  <c r="Y96" i="11" s="1"/>
  <c r="X96" i="11" s="1"/>
  <c r="Z96" i="11" s="1"/>
  <c r="Y97" i="11" s="1"/>
  <c r="X97" i="11" s="1"/>
  <c r="Z97" i="11" s="1"/>
  <c r="H101" i="11" s="1"/>
  <c r="J101" i="11" s="1"/>
  <c r="Y91" i="11"/>
  <c r="X91" i="11" s="1"/>
  <c r="Z91" i="11" s="1"/>
  <c r="Y92" i="11" s="1"/>
  <c r="X92" i="11" s="1"/>
  <c r="Z92" i="11" s="1"/>
  <c r="Y93" i="11" s="1"/>
  <c r="X93" i="11" s="1"/>
  <c r="Z93" i="11" s="1"/>
  <c r="H97" i="11" s="1"/>
  <c r="J97" i="11" s="1"/>
  <c r="Y99" i="1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AE2" i="11"/>
  <c r="E35" i="11" s="1"/>
  <c r="H35" i="11" s="1"/>
  <c r="U18" i="11"/>
  <c r="W55" i="11"/>
  <c r="Y55" i="11" s="1"/>
  <c r="I113" i="11" a="1"/>
  <c r="I113" i="11" s="1"/>
  <c r="I106" i="11" a="1"/>
  <c r="I106" i="11" s="1"/>
  <c r="I108" i="11" a="1"/>
  <c r="I108" i="11" s="1"/>
  <c r="I111" i="11" a="1"/>
  <c r="I111" i="11" s="1"/>
  <c r="I112" i="11" a="1"/>
  <c r="I112" i="11" s="1"/>
  <c r="I110" i="11" a="1"/>
  <c r="I110" i="11" s="1"/>
  <c r="I109" i="11" a="1"/>
  <c r="I109" i="11" s="1"/>
  <c r="I107" i="11" a="1"/>
  <c r="I107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Y87" i="11"/>
  <c r="X87" i="11" s="1"/>
  <c r="Z87" i="11" s="1"/>
  <c r="H91" i="11" s="1"/>
  <c r="J91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2" i="11" a="1"/>
  <c r="I105" i="11" a="1"/>
  <c r="I104" i="11" a="1"/>
  <c r="I103" i="11" a="1"/>
  <c r="I98" i="11" a="1"/>
  <c r="I101" i="11" a="1"/>
  <c r="I99" i="11" a="1"/>
  <c r="I95" i="11" a="1"/>
  <c r="I94" i="11" a="1"/>
  <c r="I97" i="11" a="1"/>
  <c r="I96" i="11" a="1"/>
  <c r="I100" i="11" a="1"/>
  <c r="H103" i="11" l="1"/>
  <c r="J103" i="11" s="1"/>
  <c r="H104" i="11"/>
  <c r="J104" i="11" s="1"/>
  <c r="H100" i="11"/>
  <c r="J100" i="11" s="1"/>
  <c r="H99" i="11"/>
  <c r="J99" i="11" s="1"/>
  <c r="H95" i="11"/>
  <c r="J95" i="11" s="1"/>
  <c r="H96" i="11"/>
  <c r="J96" i="11" s="1"/>
  <c r="I96" i="11"/>
  <c r="I97" i="11"/>
  <c r="I95" i="11"/>
  <c r="X62" i="11"/>
  <c r="W62" i="11" s="1"/>
  <c r="Y62" i="11" s="1"/>
  <c r="H48" i="1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Y88" i="11"/>
  <c r="X88" i="11" s="1"/>
  <c r="Z88" i="11" s="1"/>
  <c r="H92" i="11" s="1"/>
  <c r="J92" i="11" s="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H66" i="11" l="1"/>
  <c r="I66" i="11" s="1"/>
  <c r="I48" i="1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Y89" i="11"/>
  <c r="X89" i="11" s="1"/>
  <c r="Z89" i="11" s="1"/>
  <c r="H93" i="11" s="1"/>
  <c r="J93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64" i="11" l="1"/>
  <c r="W64" i="11" s="1"/>
  <c r="Y64" i="11" s="1"/>
  <c r="H49" i="1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67" i="11" l="1"/>
  <c r="I49" i="11"/>
  <c r="Y59" i="11"/>
  <c r="H50" i="11"/>
  <c r="X58" i="11"/>
  <c r="W58" i="11" s="1"/>
  <c r="Y58" i="11" s="1"/>
  <c r="Y35" i="11"/>
  <c r="H57" i="11"/>
  <c r="I57" i="11" s="1"/>
  <c r="H74" i="11" l="1"/>
  <c r="I74" i="11" s="1"/>
  <c r="I67" i="11"/>
  <c r="H80" i="11"/>
  <c r="H68" i="11"/>
  <c r="I50" i="11"/>
  <c r="H51" i="11"/>
  <c r="Y53" i="11"/>
  <c r="H79" i="11" l="1"/>
  <c r="I68" i="11"/>
  <c r="I80" i="11"/>
  <c r="H85" i="11"/>
  <c r="I85" i="11" s="1"/>
  <c r="H73" i="11"/>
  <c r="I73" i="11" s="1"/>
  <c r="H69" i="11"/>
  <c r="I51" i="11"/>
  <c r="U10" i="11"/>
  <c r="H72" i="11" l="1"/>
  <c r="I72" i="11" s="1"/>
  <c r="I69" i="11"/>
  <c r="I79" i="11"/>
  <c r="H86" i="11"/>
  <c r="I86" i="11" s="1"/>
  <c r="H78" i="11"/>
  <c r="T10" i="11"/>
  <c r="V10" i="11"/>
  <c r="U11" i="11"/>
  <c r="U13" i="11"/>
  <c r="U12" i="11"/>
  <c r="S10" i="11"/>
  <c r="I78" i="11" l="1"/>
  <c r="H87" i="11"/>
  <c r="I87" i="11" s="1"/>
  <c r="S12" i="1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6" i="11"/>
  <c r="J31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5" i="11"/>
  <c r="J42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37" i="11"/>
  <c r="J29" i="11"/>
  <c r="J23" i="11"/>
  <c r="J25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<sst xmlns="http://schemas.openxmlformats.org/spreadsheetml/2006/main" count="388" uniqueCount="116">
  <si>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</si>
  <si>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</si>
  <si>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</si>
  <si>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</si>
  <si>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</si>
  <si>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</si>
  <si>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</si>
  <si>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</si>
  <si>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</si>
  <si>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</si>
  <si>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</si>
  <si>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</si>
  <si>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</si>
  <si>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</si>
  <si>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</si>
  <si>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</si>
  <si>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</si>
  <si>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</si>
  <si>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</si>
  <si>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</si>
  <si>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</si>
  <si>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</si>
  <si>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</si>
  <si>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</si>
  <si>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</si>
  <si>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</si>
  <si>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</si>
  <si>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</si>
  <si>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</si>
  <si>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</si>
  <si>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</si>
  <si>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</si>
  <si>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</si>
  <si>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</si>
  <si>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</si>
  <si>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</si>
  <si>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</si>
  <si>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</si>
  <si>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</si>
  <si>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</si>
  <si>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</si>
  <si>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</si>
  <si>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</si>
  <si>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</si>
  <si>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</si>
  <si>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</si>
  <si>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</si>
  <si>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</si>
  <si>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</si>
  <si>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</si>
  <si>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</si>
  <si>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</si>
  <si>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</si>
  <si>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</si>
  <si>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</si>
  <si>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</si>
  <si>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</si>
  <si>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</si>
  <si>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</si>
  <si>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</si>
  <si>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</si>
  <si>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</si>
  <si>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</si>
  <si>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</si>
  <si>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</si>
  <si>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</si>
  <si>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</si>
  <si>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</si>
  <si>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</si>
  <si>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</si>
  <si>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</si>
  <si>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</si>
  <si>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</si>
  <si>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</si>
  <si>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</si>
  <si>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</si>
  <si>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</si>
  <si>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</si>
  <si>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</si>
  <si>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</si>
  <si>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</si>
  <si>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</si>
  <si>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</si>
  <si>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</si>
  <si>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</si>
  <si>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</si>
  <si>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</si>
  <si>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</si>
  <si>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</si>
  <si>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</si>
  <si>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</si>
  <si>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</si>
  <si>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</si>
  <si>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</si>
  <si>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</si>
  <si>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</si>
  <si>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</si>
  <si>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</si>
  <si>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skmp</t>
  </si>
  <si>
    <t>PT15M</t>
  </si>
  <si>
    <t>2200000000000</t>
  </si>
  <si>
    <t>All energy suppliers</t>
  </si>
  <si>
    <t>All balance responsibles</t>
  </si>
  <si>
    <t>settlement method/type</t>
  </si>
  <si>
    <t>TotalHour</t>
  </si>
  <si>
    <t>flex_consumption</t>
  </si>
  <si>
    <t>180000000000000002</t>
  </si>
  <si>
    <t>2000000000000</t>
  </si>
  <si>
    <t>200000000000000001</t>
  </si>
  <si>
    <t>801</t>
  </si>
  <si>
    <t>170000000150001000</t>
  </si>
  <si>
    <t>180000000150001000</t>
  </si>
  <si>
    <t>170000000000000201</t>
  </si>
  <si>
    <t>180000000000000001</t>
  </si>
  <si>
    <t>4000000000000</t>
  </si>
  <si>
    <t>4400000000000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</si>
</sst>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I22" sqref="I22:K25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105</v>
      </c>
      <c r="C2" s="10" t="s">
        <v>110</v>
      </c>
      <c r="D2" s="10" t="s">
        <v>89</v>
      </c>
      <c r="E2" s="11" t="s">
        <v>90</v>
      </c>
      <c r="F2" s="12"/>
      <c r="G2" s="12"/>
      <c r="H2" s="41"/>
      <c r="I2" s="41"/>
      <c r="J2" s="43">
        <f t="shared" ref="J2:J19" si="0">IF(C2="","",SUM(F2:I2))</f>
        <v>0</v>
      </c>
      <c r="K2" s="10" t="s">
        <v>99</v>
      </c>
      <c r="L2" s="10" t="s">
        <v>92</v>
      </c>
      <c r="M2" s="10" t="s">
        <v>93</v>
      </c>
      <c r="N2" s="10" t="s">
        <v>95</v>
      </c>
      <c r="O2" s="10" t="s">
        <v>94</v>
      </c>
      <c r="P2" s="29"/>
      <c r="Q2" s="29"/>
      <c r="R2" s="24"/>
      <c r="S2" s="7" t="s">
        <v>35</v>
      </c>
      <c r="T2" s="9">
        <f>SUMIFS(TableDay1[TotalHour],TableDay1[settlement_method],"D01",TableDay1[resolution],"PT15M")</f>
        <v>0</v>
      </c>
      <c r="U2" s="42">
        <f>SUMIFS(TableDay1[Quarter1],TableDay1[settlement_method],"D01",TableDay1[resolution],"PT15M")</f>
        <v>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1000000000000</v>
      </c>
      <c r="AF2" s="27" t="str" cm="1">
        <f t="array" ref="AF2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3">_xlfn._xlws.SORT(_xlfn.UNIQUE(_xlfn.VSTACK(_xlfn._xlws.FILTER(TableDay1[from_ga],TableDay1[from_ga] &lt;&gt; ""),_xlfn._xlws.FILTER(TableDay1[to_ga],TableDay1[to_ga] &lt;&gt; ""))))</f>
        <v>800</v>
      </c>
      <c r="AI2" s="24"/>
      <c r="AJ2" s="27"/>
      <c r="AK2" s="2"/>
      <c r="AL2" s="2"/>
    </row>
    <row r="3" spans="1:92" x14ac:dyDescent="0.35">
      <c r="C3" s="10" t="s">
        <v>111</v>
      </c>
      <c r="D3" s="10" t="s">
        <v>96</v>
      </c>
      <c r="E3" s="11"/>
      <c r="F3" s="12"/>
      <c r="G3" s="12"/>
      <c r="H3" s="41"/>
      <c r="I3" s="41"/>
      <c r="J3" s="43">
        <f t="shared" si="0"/>
        <v>0</v>
      </c>
      <c r="K3" s="10" t="s">
        <v>99</v>
      </c>
      <c r="L3" s="10" t="s">
        <v>107</v>
      </c>
      <c r="M3" s="10" t="s">
        <v>100</v>
      </c>
      <c r="N3" s="10" t="s">
        <v>98</v>
      </c>
      <c r="O3" s="10" t="s">
        <v>94</v>
      </c>
      <c r="P3" s="29"/>
      <c r="Q3" s="29"/>
      <c r="R3" s="24"/>
      <c r="S3" s="7" t="s">
        <v>39</v>
      </c>
      <c r="T3" s="9">
        <f>SUMIFS(TableDay1[TotalHour],TableDay1[settlement_method],"E02",TableDay1[resolution],"PT15M")</f>
        <v>0</v>
      </c>
      <c r="U3" s="42">
        <f>SUMIFS(TableDay1[Quarter1],TableDay1[settlement_method],"E02",TableDay1[resolution],"PT15M")</f>
        <v>0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801</v>
      </c>
      <c r="AE3" s="24"/>
      <c r="AF3" s="24"/>
      <c r="AG3" s="24"/>
      <c r="AH3" s="24" t="str">
        <v>801</v>
      </c>
      <c r="AI3" s="24"/>
      <c r="AJ3" s="24"/>
    </row>
    <row r="4" spans="1:92" x14ac:dyDescent="0.35">
      <c r="C4" s="10" t="s">
        <v>112</v>
      </c>
      <c r="D4" s="10" t="s">
        <v>89</v>
      </c>
      <c r="E4" s="11" t="s">
        <v>90</v>
      </c>
      <c r="F4" s="12">
        <v>10</v>
      </c>
      <c r="G4" s="12"/>
      <c r="H4" s="12"/>
      <c r="I4" s="12"/>
      <c r="J4" s="43">
        <f t="shared" si="0"/>
        <v>10</v>
      </c>
      <c r="K4" s="10" t="s">
        <v>91</v>
      </c>
      <c r="L4" s="10" t="s">
        <v>92</v>
      </c>
      <c r="M4" s="10" t="s">
        <v>93</v>
      </c>
      <c r="N4" s="10"/>
      <c r="O4" s="10" t="s">
        <v>94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2">
        <f>SUMIFS(TableDay1[Quarter1],TableDay1[type],"E18",TableDay1[resolution],"PT15M")</f>
        <v>0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3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SUMIFS(TableDay1[TotalHour],TableDay1[type],"E17",TableDay1[resolution],"PT15M")</f>
        <v>0</v>
      </c>
      <c r="U5" s="42">
        <f>SUMIFS(TableDay1[Quarter1],TableDay1[type],"E17",TableDay1[resolution],"PT15M")</f>
        <v>0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35">
      <c r="C6" s="10"/>
      <c r="D6" s="10"/>
      <c r="E6" s="11"/>
      <c r="F6" s="12"/>
      <c r="G6" s="12"/>
      <c r="H6" s="12"/>
      <c r="I6" s="12"/>
      <c r="J6" s="43" t="str">
        <f t="shared" si="0"/>
        <v/>
      </c>
      <c r="K6" s="10"/>
      <c r="L6" s="10"/>
      <c r="M6" s="10"/>
      <c r="N6" s="10"/>
      <c r="O6" s="10"/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0</v>
      </c>
      <c r="U6" s="42">
        <f>SUMIFS(TableDay1[Quarter1],TableDay1[type],"E20",TableDay1[resolution],"PT15M",TableDay1[to_ga],"800")</f>
        <v>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35">
      <c r="C7" s="10" t="s">
        <v>113</v>
      </c>
      <c r="D7" s="10" t="s">
        <v>96</v>
      </c>
      <c r="E7" s="11"/>
      <c r="F7" s="12">
        <v>19.158999999999999</v>
      </c>
      <c r="G7" s="12"/>
      <c r="H7" s="41"/>
      <c r="I7" s="41"/>
      <c r="J7" s="43">
        <f t="shared" si="0"/>
        <v>19.158999999999999</v>
      </c>
      <c r="K7" s="10" t="s">
        <v>91</v>
      </c>
      <c r="L7" s="10" t="s">
        <v>107</v>
      </c>
      <c r="M7" s="10" t="s">
        <v>100</v>
      </c>
      <c r="N7" s="10"/>
      <c r="O7" s="10" t="s">
        <v>94</v>
      </c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0</v>
      </c>
      <c r="U7" s="42">
        <f>SUMIFS(TableDay1[Quarter1],TableDay1[type],"E20",TableDay1[resolution],"PT15M",TableDay1[from_ga],"800")</f>
        <v>0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/>
      <c r="D8" s="10"/>
      <c r="E8" s="11"/>
      <c r="F8" s="12"/>
      <c r="G8" s="12"/>
      <c r="H8" s="41"/>
      <c r="I8" s="41"/>
      <c r="J8" s="43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106</v>
      </c>
      <c r="D9" s="10" t="s">
        <v>96</v>
      </c>
      <c r="E9" s="11"/>
      <c r="F9" s="12"/>
      <c r="G9" s="12"/>
      <c r="H9" s="41"/>
      <c r="I9" s="41"/>
      <c r="J9" s="43">
        <f t="shared" si="0"/>
        <v>0</v>
      </c>
      <c r="K9" s="10" t="s">
        <v>99</v>
      </c>
      <c r="L9" s="10" t="s">
        <v>114</v>
      </c>
      <c r="M9" s="10" t="s">
        <v>115</v>
      </c>
      <c r="N9" s="10"/>
      <c r="O9" s="10" t="s">
        <v>94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 t="s">
        <v>108</v>
      </c>
      <c r="D10" s="10" t="s">
        <v>97</v>
      </c>
      <c r="E10" s="11"/>
      <c r="F10" s="12">
        <v>3.3570000000000002</v>
      </c>
      <c r="G10" s="12"/>
      <c r="H10" s="41"/>
      <c r="I10" s="41"/>
      <c r="J10" s="43">
        <f t="shared" si="0"/>
        <v>3.3570000000000002</v>
      </c>
      <c r="K10" s="10" t="s">
        <v>91</v>
      </c>
      <c r="L10" s="10"/>
      <c r="M10" s="10"/>
      <c r="N10" s="10"/>
      <c r="O10" s="10" t="s">
        <v>109</v>
      </c>
      <c r="P10" s="29" t="s">
        <v>109</v>
      </c>
      <c r="Q10" s="29" t="s">
        <v>94</v>
      </c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2.5</v>
      </c>
      <c r="W10" s="19">
        <f>V10</f>
        <v>2.5</v>
      </c>
      <c r="X10" s="19"/>
      <c r="Y10" s="23">
        <f t="shared" ref="Y10:Y33" si="1">ROUND(W10, 3)</f>
        <v>2.5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2.5</v>
      </c>
      <c r="W11" s="19">
        <f>X11+W10</f>
        <v>2.5</v>
      </c>
      <c r="X11" s="19">
        <f>V11-Y10</f>
        <v>0</v>
      </c>
      <c r="Y11" s="23">
        <f t="shared" si="1"/>
        <v>2.5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2.5</v>
      </c>
      <c r="W12" s="19">
        <f>X12+W11</f>
        <v>2.5</v>
      </c>
      <c r="X12" s="19">
        <f>V12-Y11</f>
        <v>0</v>
      </c>
      <c r="Y12" s="23">
        <f t="shared" si="1"/>
        <v>2.5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2.5</v>
      </c>
      <c r="W13" s="19">
        <f>X13+W12</f>
        <v>2.5</v>
      </c>
      <c r="X13" s="19">
        <f>V13-Y12</f>
        <v>0</v>
      </c>
      <c r="Y13" s="23">
        <f t="shared" si="1"/>
        <v>2.5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5">_xlfn._xlws.SORT(_xlfn.UNIQUE(_xlfn._xlws.FILTER(TableDay1[brp_id],TableDay1[brp_id] &lt;&gt; "")))</f>
        <v>1100000000000</v>
      </c>
      <c r="AG13" s="36"/>
      <c r="AH13" s="35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75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4000000000000</v>
      </c>
      <c r="AF15" s="36" t="str">
        <v>4400000000000</v>
      </c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76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7" t="str">
        <f>CONCATENATE(B2,"_per_",B1)</f>
        <v>flex_consumption_per_ga_brp_es</v>
      </c>
      <c r="F20" s="47"/>
      <c r="G20" s="47"/>
      <c r="H20" s="47"/>
      <c r="I20" s="48" t="s">
        <v>21</v>
      </c>
      <c r="J20" s="49"/>
      <c r="K20" s="50"/>
      <c r="R20" s="15" t="s">
        <v>76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ca="1">IF(E22="","",SUBSTITUTE(ROUND(I22+J22+K22,3),",","."))</f>
        <v>5.629</v>
      </c>
      <c r="I22" s="9">
        <f>SUMIFS(Y$10:Y$33,IF(OR(B$1="ga_es",B$1="ga_brp_es"),U$10:U$33,IF(B$1="ga_brp",T$10:T$33,S$10:S$33)),IF(OR(B$1="ga_es",B$1="ga_brp_es"),F22,IF(B$1="ga_brp",G22,E22)),R$10:R$33,D22)</f>
        <v>2.5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>
        <f t="shared" ref="K22:K45" si="5">IF(AND(C22="skmp",B$2="production"),VLOOKUP(D22,D$78:H$81,5,FALSE),IF(AND(B22="glmp",B$2="flex_consumption"),VLOOKUP(D22,D$72:H$75,5,FALSE),0))</f>
        <v>3.1289999999999996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ref="H23:H45" ca="1" si="7">IF(E23="","",SUBSTITUTE(ROUND(I23+J23+K23,3),",","."))</f>
        <v>5.63</v>
      </c>
      <c r="I23" s="9">
        <f t="shared" ref="I23:I45" si="8">SUMIFS(Y$10:Y$33,IF(OR(B$1="ga_es",B$1="ga_brp_es"),U$10:U$33,IF(B$1="ga_brp",T$10:T$33,S$10:S$33)),IF(OR(B$1="ga_es",B$1="ga_brp_es"),F23,IF(B$1="ga_brp",G23,E23)),R$10:R$33,D23)</f>
        <v>2.5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si="5"/>
        <v>3.13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7"/>
        <v>5.628</v>
      </c>
      <c r="I24" s="9">
        <f t="shared" si="8"/>
        <v>2.5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5"/>
        <v>3.1280000000000001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7"/>
        <v>5.629</v>
      </c>
      <c r="I25" s="9">
        <f t="shared" si="8"/>
        <v>2.5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si="5"/>
        <v>3.1289999999999996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6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6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6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6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/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/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74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75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76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77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</v>
      </c>
      <c r="W35" s="16" t="s">
        <v>49</v>
      </c>
      <c r="X35" s="16"/>
      <c r="Y35" s="28">
        <f>SUM(Y37:Y40)</f>
        <v>10</v>
      </c>
      <c r="Z35" s="21">
        <f>SUM(Z37:Z40)</f>
        <v>10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2.5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54</v>
      </c>
      <c r="V37" s="19">
        <f>V$36</f>
        <v>2.5</v>
      </c>
      <c r="W37" s="19">
        <f>V37</f>
        <v>2.5</v>
      </c>
      <c r="X37" s="19"/>
      <c r="Y37" s="23">
        <f>ROUND(W37, 3)</f>
        <v>2.5</v>
      </c>
      <c r="Z37" s="23">
        <f>ROUND(V37,3)</f>
        <v>2.5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55</v>
      </c>
      <c r="V38" s="19">
        <f>V$36</f>
        <v>2.5</v>
      </c>
      <c r="W38" s="19">
        <f>X38+W37</f>
        <v>2.5</v>
      </c>
      <c r="X38" s="19">
        <f>V38-Y37</f>
        <v>0</v>
      </c>
      <c r="Y38" s="23">
        <f>ROUND(W38, 3)</f>
        <v>2.5</v>
      </c>
      <c r="Z38" s="23">
        <f>ROUND(V38,3)</f>
        <v>2.5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56</v>
      </c>
      <c r="V39" s="19">
        <f>V$36</f>
        <v>2.5</v>
      </c>
      <c r="W39" s="19">
        <f>X39+W38</f>
        <v>2.5</v>
      </c>
      <c r="X39" s="19">
        <f>V39-Y38</f>
        <v>0</v>
      </c>
      <c r="Y39" s="23">
        <f>ROUND(W39, 3)</f>
        <v>2.5</v>
      </c>
      <c r="Z39" s="23">
        <f>ROUND(V39,3)</f>
        <v>2.5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57</v>
      </c>
      <c r="V40" s="19">
        <f>V$36</f>
        <v>2.5</v>
      </c>
      <c r="W40" s="19">
        <f>X40+W39</f>
        <v>2.5</v>
      </c>
      <c r="X40" s="19">
        <f>V40-Y39</f>
        <v>0</v>
      </c>
      <c r="Y40" s="23">
        <f>ROUND(W40, 3)</f>
        <v>2.5</v>
      </c>
      <c r="Z40" s="23">
        <f>ROUND(V40,3)</f>
        <v>2.5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19.158999999999999</v>
      </c>
      <c r="W41" s="39" t="s">
        <v>49</v>
      </c>
      <c r="X41" s="40"/>
      <c r="Y41" s="28">
        <f>SUM(Y43:Y46)</f>
        <v>19.158999999999999</v>
      </c>
      <c r="Z41" s="21">
        <f>SUM(Z43:Z46)</f>
        <v>19.16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4.7897499999999997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50</v>
      </c>
      <c r="V43" s="19">
        <f>V$42</f>
        <v>4.7897499999999997</v>
      </c>
      <c r="W43" s="19">
        <f>V43</f>
        <v>4.7897499999999997</v>
      </c>
      <c r="X43" s="19"/>
      <c r="Y43" s="23">
        <f>ROUND(W43, 3)</f>
        <v>4.79</v>
      </c>
      <c r="Z43" s="23">
        <f>ROUND(V43,3)</f>
        <v>4.79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51</v>
      </c>
      <c r="V44" s="19">
        <f>V$42</f>
        <v>4.7897499999999997</v>
      </c>
      <c r="W44" s="19">
        <f>X44+W43</f>
        <v>4.7894999999999994</v>
      </c>
      <c r="X44" s="19">
        <f>V44-Y43</f>
        <v>-2.5000000000030553E-4</v>
      </c>
      <c r="Y44" s="23">
        <f>ROUND(W44, 3)</f>
        <v>4.79</v>
      </c>
      <c r="Z44" s="23">
        <f>ROUND(V44,3)</f>
        <v>4.79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52</v>
      </c>
      <c r="V45" s="19">
        <f>V$42</f>
        <v>4.7897499999999997</v>
      </c>
      <c r="W45" s="19">
        <f>X45+W44</f>
        <v>4.7892499999999991</v>
      </c>
      <c r="X45" s="19">
        <f>V45-Y44</f>
        <v>-2.5000000000030553E-4</v>
      </c>
      <c r="Y45" s="23">
        <f>ROUND(W45, 3)</f>
        <v>4.7889999999999997</v>
      </c>
      <c r="Z45" s="23">
        <f>ROUND(V45,3)</f>
        <v>4.79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7" t="s">
        <v>34</v>
      </c>
      <c r="F46" s="47"/>
      <c r="G46" s="47"/>
      <c r="H46" s="47"/>
      <c r="R46" s="24"/>
      <c r="S46" s="24"/>
      <c r="T46" s="24"/>
      <c r="U46" s="15" t="s">
        <v>53</v>
      </c>
      <c r="V46" s="19">
        <f>V$42</f>
        <v>4.7897499999999997</v>
      </c>
      <c r="W46" s="19">
        <f>X46+W45</f>
        <v>4.7899999999999991</v>
      </c>
      <c r="X46" s="19">
        <f>V46-Y45</f>
        <v>7.5000000000002842E-4</v>
      </c>
      <c r="Y46" s="23">
        <f>ROUND(W46, 3)</f>
        <v>4.79</v>
      </c>
      <c r="Z46" s="23">
        <f>ROUND(V46,3)</f>
        <v>4.79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0</v>
      </c>
      <c r="W47" s="39" t="s">
        <v>49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0.83899999999999997</v>
      </c>
      <c r="I48" s="27" t="str">
        <f>SUBSTITUTE(ROUND(H48,3),",",".")</f>
        <v>0.839</v>
      </c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0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0.84</v>
      </c>
      <c r="I49" s="27" t="str">
        <f t="shared" ref="I49:I51" si="13">SUBSTITUTE(ROUND(H49,3),",",".")</f>
        <v>0.84</v>
      </c>
      <c r="R49" s="24"/>
      <c r="S49" s="24"/>
      <c r="T49" s="24"/>
      <c r="U49" s="15" t="s">
        <v>58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0.83899999999999997</v>
      </c>
      <c r="I50" s="27" t="str">
        <f t="shared" si="13"/>
        <v>0.839</v>
      </c>
      <c r="R50" s="24"/>
      <c r="S50" s="24"/>
      <c r="T50" s="24"/>
      <c r="U50" s="15" t="s">
        <v>59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0.83899999999999997</v>
      </c>
      <c r="I51" s="27" t="str">
        <f t="shared" si="13"/>
        <v>0.839</v>
      </c>
      <c r="R51" s="24"/>
      <c r="S51" s="24"/>
      <c r="T51" s="24"/>
      <c r="U51" s="15" t="s">
        <v>60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1" t="s">
        <v>36</v>
      </c>
      <c r="F52" s="52"/>
      <c r="G52" s="52"/>
      <c r="H52" s="53"/>
      <c r="R52" s="24"/>
      <c r="S52" s="24"/>
      <c r="T52" s="24"/>
      <c r="U52" s="15" t="s">
        <v>61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3.3570000000000002</v>
      </c>
      <c r="W53" s="39" t="s">
        <v>49</v>
      </c>
      <c r="X53" s="40"/>
      <c r="Y53" s="28">
        <f>ROUND(SUM(Y55:Y58),3)</f>
        <v>3.3570000000000002</v>
      </c>
      <c r="Z53" s="21">
        <f>SUM(Z55:Z58)</f>
        <v>3.3559999999999999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2.5</v>
      </c>
      <c r="I54" s="27" t="str">
        <f>SUBSTITUTE(ROUND(H54,3),",",".")</f>
        <v>2.5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0.83925000000000005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33</v>
      </c>
      <c r="G55" s="31" t="s">
        <v>33</v>
      </c>
      <c r="H55" s="32">
        <f>totalFlex1H_quarter2+totalFlex15M_quarter2</f>
        <v>2.5</v>
      </c>
      <c r="I55" s="27" t="str">
        <f t="shared" ref="I55:I57" si="15">SUBSTITUTE(ROUND(H55,3),",",".")</f>
        <v>2.5</v>
      </c>
      <c r="R55" s="44"/>
      <c r="S55" s="24"/>
      <c r="T55" s="24"/>
      <c r="U55" s="15" t="s">
        <v>62</v>
      </c>
      <c r="V55" s="19">
        <f>V$54</f>
        <v>0.83925000000000005</v>
      </c>
      <c r="W55" s="19">
        <f>V55</f>
        <v>0.83925000000000005</v>
      </c>
      <c r="X55" s="19"/>
      <c r="Y55" s="23">
        <f>ROUND(W55,3)</f>
        <v>0.83899999999999997</v>
      </c>
      <c r="Z55" s="23">
        <f>ROUND(V55,3)</f>
        <v>0.83899999999999997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4"/>
        <v>800</v>
      </c>
      <c r="F56" s="31" t="s">
        <v>33</v>
      </c>
      <c r="G56" s="31" t="s">
        <v>33</v>
      </c>
      <c r="H56" s="32">
        <f>totalFlex1H_quarter3+totalFlex15M_quarter3</f>
        <v>2.5</v>
      </c>
      <c r="I56" s="27" t="str">
        <f t="shared" si="15"/>
        <v>2.5</v>
      </c>
      <c r="R56" s="24"/>
      <c r="S56" s="24"/>
      <c r="T56" s="24"/>
      <c r="U56" s="15" t="s">
        <v>63</v>
      </c>
      <c r="V56" s="19">
        <f>V$54</f>
        <v>0.83925000000000005</v>
      </c>
      <c r="W56" s="19">
        <f>X56+W55</f>
        <v>0.83950000000000014</v>
      </c>
      <c r="X56" s="19">
        <f>V56-Y55</f>
        <v>2.5000000000008349E-4</v>
      </c>
      <c r="Y56" s="23">
        <f t="shared" ref="Y56:Y58" si="16">ROUND(W56,3)</f>
        <v>0.84</v>
      </c>
      <c r="Z56" s="23">
        <f>ROUND(V56,3)</f>
        <v>0.83899999999999997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4"/>
        <v>800</v>
      </c>
      <c r="F57" s="31" t="s">
        <v>33</v>
      </c>
      <c r="G57" s="31" t="s">
        <v>33</v>
      </c>
      <c r="H57" s="32">
        <f>totalFlex1H_quarter4+totalFlex15M_quarter4</f>
        <v>2.5</v>
      </c>
      <c r="I57" s="27" t="str">
        <f t="shared" si="15"/>
        <v>2.5</v>
      </c>
      <c r="R57" s="24"/>
      <c r="S57" s="24"/>
      <c r="T57" s="24"/>
      <c r="U57" s="15" t="s">
        <v>64</v>
      </c>
      <c r="V57" s="19">
        <f>V$54</f>
        <v>0.83925000000000005</v>
      </c>
      <c r="W57" s="19">
        <f>X57+W56</f>
        <v>0.83875000000000022</v>
      </c>
      <c r="X57" s="19">
        <f>V57-Y56</f>
        <v>-7.499999999999174E-4</v>
      </c>
      <c r="Y57" s="23">
        <f t="shared" si="16"/>
        <v>0.83899999999999997</v>
      </c>
      <c r="Z57" s="23">
        <f>ROUND(V57,3)</f>
        <v>0.83899999999999997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1" t="s">
        <v>37</v>
      </c>
      <c r="F58" s="52"/>
      <c r="G58" s="52"/>
      <c r="H58" s="53"/>
      <c r="R58" s="24"/>
      <c r="S58" s="24"/>
      <c r="T58" s="24"/>
      <c r="U58" s="15" t="s">
        <v>65</v>
      </c>
      <c r="V58" s="19">
        <f>V$54</f>
        <v>0.83925000000000005</v>
      </c>
      <c r="W58" s="19">
        <f>X58+W57</f>
        <v>0.8390000000000003</v>
      </c>
      <c r="X58" s="19">
        <f>V58-Y57</f>
        <v>2.5000000000008349E-4</v>
      </c>
      <c r="Y58" s="23">
        <f t="shared" si="16"/>
        <v>0.83899999999999997</v>
      </c>
      <c r="Z58" s="23">
        <f>ROUND(V58,3)</f>
        <v>0.83899999999999997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49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4.79</v>
      </c>
      <c r="I60" s="27" t="str">
        <f>SUBSTITUTE(ROUND(H60,3),",",".")</f>
        <v>4.79</v>
      </c>
      <c r="R60" s="44"/>
      <c r="S60" s="24"/>
      <c r="T60" s="24"/>
      <c r="U60" s="6" t="s">
        <v>32</v>
      </c>
      <c r="V60" s="9">
        <f>SUMIFS(TableDay1[TotalHour],TableDay1[type],"E20",TableDay1[resolution],"PT1H",TableDay1[from_ga],"800")/4</f>
        <v>0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7">$AD$2</f>
        <v>800</v>
      </c>
      <c r="F61" s="31" t="s">
        <v>33</v>
      </c>
      <c r="G61" s="31" t="s">
        <v>33</v>
      </c>
      <c r="H61" s="32">
        <f>totalProduction1H_quarter2+totalProduction15M_quarter2</f>
        <v>4.79</v>
      </c>
      <c r="I61" s="27" t="str">
        <f t="shared" ref="I61:I63" si="18">SUBSTITUTE(ROUND(H61,3),",",".")</f>
        <v>4.79</v>
      </c>
      <c r="R61" s="24"/>
      <c r="S61" s="24"/>
      <c r="T61" s="24"/>
      <c r="U61" s="15" t="s">
        <v>66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7"/>
        <v>800</v>
      </c>
      <c r="F62" s="31" t="s">
        <v>33</v>
      </c>
      <c r="G62" s="31" t="s">
        <v>33</v>
      </c>
      <c r="H62" s="32">
        <f>totalProduction1H_quarter3+totalProduction15M_quarter3</f>
        <v>4.7889999999999997</v>
      </c>
      <c r="I62" s="27" t="str">
        <f t="shared" si="18"/>
        <v>4.789</v>
      </c>
      <c r="R62" s="24"/>
      <c r="S62" s="24"/>
      <c r="T62" s="24"/>
      <c r="U62" s="15" t="s">
        <v>67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19">ROUND(W62,3)</f>
        <v>0</v>
      </c>
      <c r="Z62" s="23">
        <f>ROUND(V62,3)</f>
        <v>0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7"/>
        <v>800</v>
      </c>
      <c r="F63" s="31" t="s">
        <v>33</v>
      </c>
      <c r="G63" s="31" t="s">
        <v>33</v>
      </c>
      <c r="H63" s="32">
        <f>totalProduction1H_quarter4+totalProduction15M_quarter4</f>
        <v>4.79</v>
      </c>
      <c r="I63" s="27" t="str">
        <f t="shared" si="18"/>
        <v>4.79</v>
      </c>
      <c r="R63" s="24"/>
      <c r="S63" s="24"/>
      <c r="T63" s="24"/>
      <c r="U63" s="15" t="s">
        <v>68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19"/>
        <v>0</v>
      </c>
      <c r="Z63" s="23">
        <f>ROUND(V63,3)</f>
        <v>0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1" t="s">
        <v>38</v>
      </c>
      <c r="F64" s="52"/>
      <c r="G64" s="52"/>
      <c r="H64" s="53"/>
      <c r="R64" s="24"/>
      <c r="S64" s="24"/>
      <c r="T64" s="24"/>
      <c r="U64" s="15" t="s">
        <v>69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19"/>
        <v>0</v>
      </c>
      <c r="Z64" s="23">
        <f>ROUND(V64,3)</f>
        <v>0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10</v>
      </c>
      <c r="W65" s="55" t="s">
        <v>49</v>
      </c>
      <c r="X65" s="56"/>
      <c r="Y65" s="28">
        <f>ROUND(SUM(Y67:Y70),3)</f>
        <v>10</v>
      </c>
      <c r="Z65" s="21">
        <f>SUM(Z67:Z70)</f>
        <v>10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3.1289999999999996</v>
      </c>
      <c r="I66" s="27" t="str">
        <f>SUBSTITUTE(ROUND(H66,3),",",".")</f>
        <v>3.129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2.5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0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3.13</v>
      </c>
      <c r="I67" s="27" t="str">
        <f t="shared" ref="I67:I69" si="21">SUBSTITUTE(ROUND(H67,3),",",".")</f>
        <v>3.13</v>
      </c>
      <c r="R67" s="24"/>
      <c r="S67" s="24"/>
      <c r="T67" s="24"/>
      <c r="U67" s="15" t="s">
        <v>70</v>
      </c>
      <c r="V67" s="19">
        <f>V$66</f>
        <v>2.5</v>
      </c>
      <c r="W67" s="19">
        <f>V67</f>
        <v>2.5</v>
      </c>
      <c r="X67" s="19"/>
      <c r="Y67" s="23">
        <f>ROUND(W67, 3)</f>
        <v>2.5</v>
      </c>
      <c r="Z67" s="23">
        <f>ROUND(V67,3)</f>
        <v>2.5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0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3.1280000000000001</v>
      </c>
      <c r="I68" s="27" t="str">
        <f t="shared" si="21"/>
        <v>3.128</v>
      </c>
      <c r="R68" s="24"/>
      <c r="S68" s="24"/>
      <c r="T68" s="24"/>
      <c r="U68" s="15" t="s">
        <v>71</v>
      </c>
      <c r="V68" s="19">
        <f>V$66</f>
        <v>2.5</v>
      </c>
      <c r="W68" s="19">
        <f>X68+W67</f>
        <v>2.5</v>
      </c>
      <c r="X68" s="19">
        <f>V68-Y67</f>
        <v>0</v>
      </c>
      <c r="Y68" s="23">
        <f>ROUND(W68, 3)</f>
        <v>2.5</v>
      </c>
      <c r="Z68" s="23">
        <f>ROUND(V68,3)</f>
        <v>2.5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0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3.1289999999999996</v>
      </c>
      <c r="I69" s="27" t="str">
        <f t="shared" si="21"/>
        <v>3.129</v>
      </c>
      <c r="J69" s="2"/>
      <c r="R69" s="24"/>
      <c r="S69" s="24"/>
      <c r="T69" s="24"/>
      <c r="U69" s="15" t="s">
        <v>72</v>
      </c>
      <c r="V69" s="19">
        <f>V$66</f>
        <v>2.5</v>
      </c>
      <c r="W69" s="19">
        <f>X69+W68</f>
        <v>2.5</v>
      </c>
      <c r="X69" s="19">
        <f>V69-Y68</f>
        <v>0</v>
      </c>
      <c r="Y69" s="23">
        <f>ROUND(W69, 3)</f>
        <v>2.5</v>
      </c>
      <c r="Z69" s="23">
        <f>ROUND(V69,3)</f>
        <v>2.5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1" t="s">
        <v>40</v>
      </c>
      <c r="F70" s="52"/>
      <c r="G70" s="52"/>
      <c r="H70" s="53"/>
      <c r="R70" s="24"/>
      <c r="S70" s="24"/>
      <c r="T70" s="27"/>
      <c r="U70" s="15" t="s">
        <v>73</v>
      </c>
      <c r="V70" s="19">
        <f>V$66</f>
        <v>2.5</v>
      </c>
      <c r="W70" s="19">
        <f>X70+W69</f>
        <v>2.5</v>
      </c>
      <c r="X70" s="19">
        <f>V70-Y69</f>
        <v>0</v>
      </c>
      <c r="Y70" s="23">
        <f>ROUND(W70, 3)</f>
        <v>2.5</v>
      </c>
      <c r="Z70" s="23">
        <f>ROUND(V70,3)</f>
        <v>2.5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3.1289999999999996</v>
      </c>
      <c r="I72" s="27" t="str">
        <f>SUBSTITUTE(ROUND(H72,3),",",".")</f>
        <v>3.129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22">$AD$2</f>
        <v>800</v>
      </c>
      <c r="F73" s="31" t="s">
        <v>33</v>
      </c>
      <c r="G73" s="31" t="s">
        <v>33</v>
      </c>
      <c r="H73" s="32">
        <f>IF(gridLoss1H_quarter3&gt;0,gridLoss1H_quarter3,0)</f>
        <v>3.1280000000000001</v>
      </c>
      <c r="I73" s="27" t="str">
        <f t="shared" ref="I73:I75" si="23">SUBSTITUTE(ROUND(H73,3),",",".")</f>
        <v>3.128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22"/>
        <v>800</v>
      </c>
      <c r="F74" s="31" t="s">
        <v>33</v>
      </c>
      <c r="G74" s="31" t="s">
        <v>33</v>
      </c>
      <c r="H74" s="32">
        <f>IF(gridLoss1H_quarter2&gt;0,gridLoss1H_quarter2,0)</f>
        <v>3.13</v>
      </c>
      <c r="I74" s="27" t="str">
        <f t="shared" si="23"/>
        <v>3.13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22"/>
        <v>800</v>
      </c>
      <c r="F75" s="31" t="s">
        <v>33</v>
      </c>
      <c r="G75" s="31" t="s">
        <v>33</v>
      </c>
      <c r="H75" s="32">
        <f>IF(gridLoss1H_quarter1&gt;0,gridLoss1H_quarter1,0)</f>
        <v>3.1289999999999996</v>
      </c>
      <c r="I75" s="27" t="str">
        <f t="shared" si="23"/>
        <v>3.129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1" t="s">
        <v>41</v>
      </c>
      <c r="F76" s="52"/>
      <c r="G76" s="52"/>
      <c r="H76" s="5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</v>
      </c>
      <c r="I78" s="27" t="str">
        <f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24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7" t="str">
        <f t="shared" ref="I79:I81" si="25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24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7" t="str">
        <f t="shared" si="25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24"/>
        <v>800</v>
      </c>
      <c r="F81" s="31" t="s">
        <v>33</v>
      </c>
      <c r="G81" s="31" t="s">
        <v>33</v>
      </c>
      <c r="H81" s="32">
        <f>IF(gridLoss1H_quarter1&lt;0,(gridLoss1H_quarter1)*-1,0)</f>
        <v>0</v>
      </c>
      <c r="I81" s="27" t="str">
        <f t="shared" si="25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1" t="s">
        <v>79</v>
      </c>
      <c r="F82" s="52"/>
      <c r="G82" s="52"/>
      <c r="H82" s="5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>
        <f>netEx_quarter1+totalProduction1H_quarter1+totalProduction15M_quarter1+negGridLossQuarter1</f>
        <v>5.6289999999999996</v>
      </c>
      <c r="I84" s="27" t="str">
        <f>SUBSTITUTE(ROUND(H84,3),",",".")</f>
        <v>5.629</v>
      </c>
      <c r="J84" s="2"/>
      <c r="U84" s="2"/>
      <c r="V84" s="54" t="s">
        <v>84</v>
      </c>
      <c r="W84" s="54"/>
      <c r="X84" s="54"/>
      <c r="Y84" s="54"/>
      <c r="Z84" s="54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26">$AD$2</f>
        <v>800</v>
      </c>
      <c r="F85" s="31" t="s">
        <v>33</v>
      </c>
      <c r="G85" s="31" t="s">
        <v>33</v>
      </c>
      <c r="H85" s="32">
        <f>netEx_quarter2+totalProduction1H_quarter2+totalProduction15M_quarter2+negGridLossQuarter2</f>
        <v>5.63</v>
      </c>
      <c r="I85" s="27" t="str">
        <f t="shared" ref="I85:I87" si="27">SUBSTITUTE(ROUND(H85,3),",",".")</f>
        <v>5.63</v>
      </c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26"/>
        <v>800</v>
      </c>
      <c r="F86" s="31" t="s">
        <v>33</v>
      </c>
      <c r="G86" s="31" t="s">
        <v>33</v>
      </c>
      <c r="H86" s="32">
        <f>netEx_quarter3+totalProduction1H_quarter3+totalProduction15M_quarter3+negGridLossQuarter3</f>
        <v>5.6280000000000001</v>
      </c>
      <c r="I86" s="27" t="str">
        <f t="shared" si="27"/>
        <v>5.628</v>
      </c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0</v>
      </c>
      <c r="W86" s="6">
        <f>(SUMIFS(TableDay1[Quarter1],TableDay1[resolution],"PT1H",TableDay1[from_ga],AH$3)-SUMIFS(TableDay1[Quarter1],TableDay1[resolution],"PT1H",TableDay1[to_ga],AH$3))/4</f>
        <v>0.83925000000000005</v>
      </c>
      <c r="X86" s="16">
        <f>W86</f>
        <v>0.83925000000000005</v>
      </c>
      <c r="Y86" s="16"/>
      <c r="Z86" s="16">
        <f t="shared" ref="Z86:Z109" si="28">ROUND(X86, 3)</f>
        <v>0.83899999999999997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26"/>
        <v>800</v>
      </c>
      <c r="F87" s="34" t="s">
        <v>33</v>
      </c>
      <c r="G87" s="34" t="s">
        <v>33</v>
      </c>
      <c r="H87" s="32">
        <f>netEx_quarter4+totalProduction1H_quarter4+totalProduction15M_quarter4+negGridLossQuarter4</f>
        <v>5.6289999999999996</v>
      </c>
      <c r="I87" s="27" t="str">
        <f t="shared" si="27"/>
        <v>5.629</v>
      </c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0.83925000000000005</v>
      </c>
      <c r="X87" s="16">
        <f>Y87+X86</f>
        <v>0.83950000000000014</v>
      </c>
      <c r="Y87" s="16">
        <f>W87-Z86</f>
        <v>2.5000000000008349E-4</v>
      </c>
      <c r="Z87" s="16">
        <f t="shared" si="28"/>
        <v>0.84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1" t="s">
        <v>80</v>
      </c>
      <c r="F88" s="52"/>
      <c r="G88" s="52"/>
      <c r="H88" s="52"/>
      <c r="I88" s="53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0.83925000000000005</v>
      </c>
      <c r="X88" s="16">
        <f>Y88+X87</f>
        <v>0.83875000000000022</v>
      </c>
      <c r="Y88" s="16">
        <f>W88-Z87</f>
        <v>-7.499999999999174E-4</v>
      </c>
      <c r="Z88" s="16">
        <f t="shared" si="28"/>
        <v>0.83899999999999997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0.83925000000000005</v>
      </c>
      <c r="X89" s="16">
        <f>Y89+X88</f>
        <v>0.8390000000000003</v>
      </c>
      <c r="Y89" s="16">
        <f>W89-Z88</f>
        <v>2.5000000000008349E-4</v>
      </c>
      <c r="Z89" s="16">
        <f t="shared" si="28"/>
        <v>0.83899999999999997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9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0.83899999999999997</v>
      </c>
      <c r="I90" s="32" t="str" cm="1">
        <f t="array" aca="1" ref="I90" ca="1">IF(E90="","",INDIRECT("AH"&amp;ROUND((ROW()-80)*0.25,0)))</f>
        <v>801</v>
      </c>
      <c r="J90" s="27" t="str">
        <f ca="1">IFERROR(SUBSTITUTE(ROUND(H90,3),",","."),"")</f>
        <v>0.839</v>
      </c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0</v>
      </c>
      <c r="X90" s="16">
        <f>W90</f>
        <v>0</v>
      </c>
      <c r="Y90" s="16"/>
      <c r="Z90" s="16">
        <f t="shared" si="28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9"/>
        <v>800</v>
      </c>
      <c r="F91" s="31" t="str">
        <f t="shared" ref="F91:F113" si="30">IF(E91&lt;&gt;"","null","")</f>
        <v>null</v>
      </c>
      <c r="G91" s="31" t="str">
        <f t="shared" ref="G91:G113" si="31">IF(E91&lt;&gt;"","null","")</f>
        <v>null</v>
      </c>
      <c r="H91" s="32">
        <f t="shared" ref="H91:H113" ca="1" si="32">IF(E91="","",V87+Z87)</f>
        <v>0.84</v>
      </c>
      <c r="I91" s="32" t="str" cm="1">
        <f t="array" aca="1" ref="I91" ca="1">IF(E91="","",INDIRECT("AH"&amp;ROUND((ROW()-80)*0.25,0)))</f>
        <v>801</v>
      </c>
      <c r="J91" s="27" t="str">
        <f t="shared" ref="J91:J113" ca="1" si="33">IFERROR(SUBSTITUTE(ROUND(H91,3),",","."),"")</f>
        <v>0.84</v>
      </c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8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9"/>
        <v>800</v>
      </c>
      <c r="F92" s="31" t="str">
        <f t="shared" si="30"/>
        <v>null</v>
      </c>
      <c r="G92" s="31" t="str">
        <f t="shared" si="31"/>
        <v>null</v>
      </c>
      <c r="H92" s="32">
        <f t="shared" ca="1" si="32"/>
        <v>0.83899999999999997</v>
      </c>
      <c r="I92" s="32" t="str" cm="1">
        <f t="array" aca="1" ref="I92" ca="1">IF(E92="","",INDIRECT("AH"&amp;ROUND((ROW()-80)*0.25,0)))</f>
        <v>801</v>
      </c>
      <c r="J92" s="27" t="str">
        <f t="shared" ca="1" si="33"/>
        <v>0.839</v>
      </c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8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9"/>
        <v>800</v>
      </c>
      <c r="F93" s="31" t="str">
        <f t="shared" si="30"/>
        <v>null</v>
      </c>
      <c r="G93" s="31" t="str">
        <f t="shared" si="31"/>
        <v>null</v>
      </c>
      <c r="H93" s="32">
        <f t="shared" ca="1" si="32"/>
        <v>0.83899999999999997</v>
      </c>
      <c r="I93" s="32" t="str" cm="1">
        <f t="array" aca="1" ref="I93" ca="1">IF(E93="","",INDIRECT("AH"&amp;ROUND((ROW()-80)*0.25,0)))</f>
        <v>801</v>
      </c>
      <c r="J93" s="27" t="str">
        <f t="shared" ca="1" si="33"/>
        <v>0.839</v>
      </c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8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9"/>
        <v/>
      </c>
      <c r="F94" s="31" t="str">
        <f t="shared" si="30"/>
        <v/>
      </c>
      <c r="G94" s="31" t="str">
        <f t="shared" si="31"/>
        <v/>
      </c>
      <c r="H94" s="32" t="str">
        <f t="shared" si="32"/>
        <v/>
      </c>
      <c r="I94" s="32" t="str" cm="1">
        <f t="array" aca="1" ref="I94" ca="1">IF(E94="","",INDIRECT("AH"&amp;ROUND((ROW()-80)*0.25,0)))</f>
        <v/>
      </c>
      <c r="J94" s="27" t="str">
        <f t="shared" si="33"/>
        <v/>
      </c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(SUMIFS(TableDay1[Quarter1],TableDay1[resolution],"PT1H",TableDay1[from_ga],AH$5)-SUMIFS(TableDay1[Quarter1],TableDay1[resolution],"PT1H",TableDay1[to_ga],AH$5))/4</f>
        <v>0</v>
      </c>
      <c r="X94" s="16">
        <f>W94</f>
        <v>0</v>
      </c>
      <c r="Y94" s="16"/>
      <c r="Z94" s="16">
        <f t="shared" si="28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9"/>
        <v/>
      </c>
      <c r="F95" s="31" t="str">
        <f t="shared" si="30"/>
        <v/>
      </c>
      <c r="G95" s="31" t="str">
        <f t="shared" si="31"/>
        <v/>
      </c>
      <c r="H95" s="32" t="str">
        <f t="shared" si="32"/>
        <v/>
      </c>
      <c r="I95" s="32" t="str" cm="1">
        <f t="array" aca="1" ref="I95" ca="1">IF(E95="","",INDIRECT("AH"&amp;ROUND((ROW()-80)*0.25,0)))</f>
        <v/>
      </c>
      <c r="J95" s="27" t="str">
        <f t="shared" si="33"/>
        <v/>
      </c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8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9"/>
        <v/>
      </c>
      <c r="F96" s="31" t="str">
        <f t="shared" si="30"/>
        <v/>
      </c>
      <c r="G96" s="31" t="str">
        <f t="shared" si="31"/>
        <v/>
      </c>
      <c r="H96" s="32" t="str">
        <f t="shared" si="32"/>
        <v/>
      </c>
      <c r="I96" s="32" t="str" cm="1">
        <f t="array" aca="1" ref="I96" ca="1">IF(E96="","",INDIRECT("AH"&amp;ROUND((ROW()-80)*0.25,0)))</f>
        <v/>
      </c>
      <c r="J96" s="27" t="str">
        <f t="shared" si="33"/>
        <v/>
      </c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8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9"/>
        <v/>
      </c>
      <c r="F97" s="31" t="str">
        <f t="shared" si="30"/>
        <v/>
      </c>
      <c r="G97" s="31" t="str">
        <f t="shared" si="31"/>
        <v/>
      </c>
      <c r="H97" s="32" t="str">
        <f t="shared" si="32"/>
        <v/>
      </c>
      <c r="I97" s="32" t="str" cm="1">
        <f t="array" aca="1" ref="I97" ca="1">IF(E97="","",INDIRECT("AH"&amp;ROUND((ROW()-80)*0.25,0)))</f>
        <v/>
      </c>
      <c r="J97" s="27" t="str">
        <f t="shared" si="33"/>
        <v/>
      </c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8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9"/>
        <v/>
      </c>
      <c r="F98" s="31" t="str">
        <f t="shared" si="30"/>
        <v/>
      </c>
      <c r="G98" s="31" t="str">
        <f t="shared" si="31"/>
        <v/>
      </c>
      <c r="H98" s="32" t="str">
        <f t="shared" si="32"/>
        <v/>
      </c>
      <c r="I98" s="32" t="str" cm="1">
        <f t="array" aca="1" ref="I98" ca="1">IF(E98="","",INDIRECT("AH"&amp;ROUND((ROW()-80)*0.25,0)))</f>
        <v/>
      </c>
      <c r="J98" s="27" t="str">
        <f t="shared" si="33"/>
        <v/>
      </c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28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9"/>
        <v/>
      </c>
      <c r="F99" s="31" t="str">
        <f t="shared" si="30"/>
        <v/>
      </c>
      <c r="G99" s="31" t="str">
        <f t="shared" si="31"/>
        <v/>
      </c>
      <c r="H99" s="32" t="str">
        <f t="shared" si="32"/>
        <v/>
      </c>
      <c r="I99" s="32" t="str" cm="1">
        <f t="array" aca="1" ref="I99" ca="1">IF(E99="","",INDIRECT("AH"&amp;ROUND((ROW()-80)*0.25,0)))</f>
        <v/>
      </c>
      <c r="J99" s="27" t="str">
        <f t="shared" si="33"/>
        <v/>
      </c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8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9"/>
        <v/>
      </c>
      <c r="F100" s="31" t="str">
        <f t="shared" si="30"/>
        <v/>
      </c>
      <c r="G100" s="31" t="str">
        <f t="shared" si="31"/>
        <v/>
      </c>
      <c r="H100" s="32" t="str">
        <f t="shared" si="32"/>
        <v/>
      </c>
      <c r="I100" s="32" t="str" cm="1">
        <f t="array" aca="1" ref="I100" ca="1">IF(E100="","",INDIRECT("AH"&amp;ROUND((ROW()-80)*0.25,0)))</f>
        <v/>
      </c>
      <c r="J100" s="27" t="str">
        <f t="shared" si="33"/>
        <v/>
      </c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8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9"/>
        <v/>
      </c>
      <c r="F101" s="31" t="str">
        <f t="shared" si="30"/>
        <v/>
      </c>
      <c r="G101" s="31" t="str">
        <f t="shared" si="31"/>
        <v/>
      </c>
      <c r="H101" s="32" t="str">
        <f t="shared" si="32"/>
        <v/>
      </c>
      <c r="I101" s="32" t="str" cm="1">
        <f t="array" aca="1" ref="I101" ca="1">IF(E101="","",INDIRECT("AH"&amp;ROUND((ROW()-80)*0.25,0)))</f>
        <v/>
      </c>
      <c r="J101" s="27" t="str">
        <f t="shared" si="33"/>
        <v/>
      </c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8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9"/>
        <v/>
      </c>
      <c r="F102" s="31" t="str">
        <f t="shared" si="30"/>
        <v/>
      </c>
      <c r="G102" s="31" t="str">
        <f t="shared" si="31"/>
        <v/>
      </c>
      <c r="H102" s="32" t="str">
        <f t="shared" si="32"/>
        <v/>
      </c>
      <c r="I102" s="32" t="str" cm="1">
        <f t="array" aca="1" ref="I102" ca="1">IF(E102="","",INDIRECT("AH"&amp;ROUND((ROW()-80)*0.25,0)))</f>
        <v/>
      </c>
      <c r="J102" s="27" t="str">
        <f t="shared" si="33"/>
        <v/>
      </c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28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9"/>
        <v/>
      </c>
      <c r="F103" s="31" t="str">
        <f t="shared" si="30"/>
        <v/>
      </c>
      <c r="G103" s="31" t="str">
        <f t="shared" si="31"/>
        <v/>
      </c>
      <c r="H103" s="32" t="str">
        <f t="shared" si="32"/>
        <v/>
      </c>
      <c r="I103" s="32" t="str" cm="1">
        <f t="array" aca="1" ref="I103" ca="1">IF(E103="","",INDIRECT("AH"&amp;ROUND((ROW()-80)*0.25,0)))</f>
        <v/>
      </c>
      <c r="J103" s="27" t="str">
        <f t="shared" si="33"/>
        <v/>
      </c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8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9"/>
        <v/>
      </c>
      <c r="F104" s="31" t="str">
        <f t="shared" si="30"/>
        <v/>
      </c>
      <c r="G104" s="31" t="str">
        <f t="shared" si="31"/>
        <v/>
      </c>
      <c r="H104" s="32" t="str">
        <f t="shared" si="32"/>
        <v/>
      </c>
      <c r="I104" s="32" t="str" cm="1">
        <f t="array" aca="1" ref="I104" ca="1">IF(E104="","",INDIRECT("AH"&amp;ROUND((ROW()-80)*0.25,0)))</f>
        <v/>
      </c>
      <c r="J104" s="27" t="str">
        <f t="shared" si="33"/>
        <v/>
      </c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8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9"/>
        <v/>
      </c>
      <c r="F105" s="31" t="str">
        <f t="shared" si="30"/>
        <v/>
      </c>
      <c r="G105" s="31" t="str">
        <f t="shared" si="31"/>
        <v/>
      </c>
      <c r="H105" s="32" t="str">
        <f t="shared" si="32"/>
        <v/>
      </c>
      <c r="I105" s="32" t="str" cm="1">
        <f t="array" aca="1" ref="I105" ca="1">IF(E105="","",INDIRECT("AH"&amp;ROUND((ROW()-80)*0.25,0)))</f>
        <v/>
      </c>
      <c r="J105" s="27" t="str">
        <f t="shared" si="33"/>
        <v/>
      </c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8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9"/>
        <v/>
      </c>
      <c r="F106" s="31" t="str">
        <f t="shared" si="30"/>
        <v/>
      </c>
      <c r="G106" s="31" t="str">
        <f t="shared" si="31"/>
        <v/>
      </c>
      <c r="H106" s="32" t="str">
        <f t="shared" si="32"/>
        <v/>
      </c>
      <c r="I106" s="32" t="str" cm="1">
        <f t="array" aca="1" ref="I106" ca="1">IF(E106="","",INDIRECT("AH"&amp;ROUND((ROW()-80)*0.25,0)))</f>
        <v/>
      </c>
      <c r="J106" s="27" t="str">
        <f t="shared" si="33"/>
        <v/>
      </c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28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9"/>
        <v/>
      </c>
      <c r="F107" s="31" t="str">
        <f t="shared" si="30"/>
        <v/>
      </c>
      <c r="G107" s="31" t="str">
        <f t="shared" si="31"/>
        <v/>
      </c>
      <c r="H107" s="32" t="str">
        <f t="shared" si="32"/>
        <v/>
      </c>
      <c r="I107" s="32" t="str" cm="1">
        <f t="array" aca="1" ref="I107" ca="1">IF(E107="","",INDIRECT("AH"&amp;ROUND((ROW()-80)*0.25,0)))</f>
        <v/>
      </c>
      <c r="J107" s="27" t="str">
        <f t="shared" si="33"/>
        <v/>
      </c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8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9"/>
        <v/>
      </c>
      <c r="F108" s="31" t="str">
        <f t="shared" si="30"/>
        <v/>
      </c>
      <c r="G108" s="31" t="str">
        <f t="shared" si="31"/>
        <v/>
      </c>
      <c r="H108" s="32" t="str">
        <f t="shared" si="32"/>
        <v/>
      </c>
      <c r="I108" s="32" t="str" cm="1">
        <f t="array" aca="1" ref="I108" ca="1">IF(E108="","",INDIRECT("AH"&amp;ROUND((ROW()-80)*0.25,0)))</f>
        <v/>
      </c>
      <c r="J108" s="27" t="str">
        <f t="shared" si="33"/>
        <v/>
      </c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8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9"/>
        <v/>
      </c>
      <c r="F109" s="31" t="str">
        <f t="shared" si="30"/>
        <v/>
      </c>
      <c r="G109" s="31" t="str">
        <f t="shared" si="31"/>
        <v/>
      </c>
      <c r="H109" s="32" t="str">
        <f t="shared" si="32"/>
        <v/>
      </c>
      <c r="I109" s="32" t="str" cm="1">
        <f t="array" aca="1" ref="I109" ca="1">IF(E109="","",INDIRECT("AH"&amp;ROUND((ROW()-80)*0.25,0)))</f>
        <v/>
      </c>
      <c r="J109" s="27" t="str">
        <f t="shared" si="33"/>
        <v/>
      </c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8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9"/>
        <v/>
      </c>
      <c r="F110" s="31" t="str">
        <f t="shared" si="30"/>
        <v/>
      </c>
      <c r="G110" s="31" t="str">
        <f t="shared" si="31"/>
        <v/>
      </c>
      <c r="H110" s="32" t="str">
        <f t="shared" si="32"/>
        <v/>
      </c>
      <c r="I110" s="32" t="str" cm="1">
        <f t="array" aca="1" ref="I110" ca="1">IF(E110="","",INDIRECT("AH"&amp;ROUND((ROW()-80)*0.25,0)))</f>
        <v/>
      </c>
      <c r="J110" s="27" t="str">
        <f t="shared" si="33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9"/>
        <v/>
      </c>
      <c r="F111" s="31" t="str">
        <f t="shared" si="30"/>
        <v/>
      </c>
      <c r="G111" s="31" t="str">
        <f t="shared" si="31"/>
        <v/>
      </c>
      <c r="H111" s="32" t="str">
        <f t="shared" si="32"/>
        <v/>
      </c>
      <c r="I111" s="32" t="str" cm="1">
        <f t="array" aca="1" ref="I111" ca="1">IF(E111="","",INDIRECT("AH"&amp;ROUND((ROW()-80)*0.25,0)))</f>
        <v/>
      </c>
      <c r="J111" s="27" t="str">
        <f t="shared" si="33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9"/>
        <v/>
      </c>
      <c r="F112" s="31" t="str">
        <f t="shared" si="30"/>
        <v/>
      </c>
      <c r="G112" s="31" t="str">
        <f t="shared" si="31"/>
        <v/>
      </c>
      <c r="H112" s="32" t="str">
        <f t="shared" si="32"/>
        <v/>
      </c>
      <c r="I112" s="32" t="str" cm="1">
        <f t="array" aca="1" ref="I112" ca="1">IF(E112="","",INDIRECT("AH"&amp;ROUND((ROW()-80)*0.25,0)))</f>
        <v/>
      </c>
      <c r="J112" s="27" t="str">
        <f t="shared" si="33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9"/>
        <v/>
      </c>
      <c r="F113" s="31" t="str">
        <f t="shared" si="30"/>
        <v/>
      </c>
      <c r="G113" s="31" t="str">
        <f t="shared" si="31"/>
        <v/>
      </c>
      <c r="H113" s="32" t="str">
        <f t="shared" si="32"/>
        <v/>
      </c>
      <c r="I113" s="32" t="str" cm="1">
        <f t="array" aca="1" ref="I113" ca="1">IF(E113="","",INDIRECT("AH"&amp;ROUND((ROW()-80)*0.25,0)))</f>
        <v/>
      </c>
      <c r="J113" s="27" t="str">
        <f t="shared" si="33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2024-06-11T12:39:00Z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