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dkdk-my.sharepoint.com/personal/xclpe_endk_dk/Documents/Desktop/temp/"/>
    </mc:Choice>
  </mc:AlternateContent>
  <xr:revisionPtr revIDLastSave="820" documentId="13_ncr:1_{07F103CD-2001-4A5F-A1FD-7E36334DE633}" xr6:coauthVersionLast="47" xr6:coauthVersionMax="47" xr10:uidLastSave="{DE45F2DC-2334-4BC8-A8AC-0A6C47D8F4CA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" localSheetId="0">Hour1!$H$66</definedName>
    <definedName name="negGridLoss" localSheetId="0">Hour1!$H$78</definedName>
    <definedName name="netEx" localSheetId="0">Hour1!$H$48</definedName>
    <definedName name="posGridLoss" localSheetId="0">Hour1!$H$72</definedName>
    <definedName name="powerIn15M" localSheetId="0">Hour1!$T$7</definedName>
    <definedName name="powerIn1H" localSheetId="0">Hour1!$T$8</definedName>
    <definedName name="powerOut15M" localSheetId="0">Hour1!$T$9</definedName>
    <definedName name="powerOut1H" localSheetId="0">Hour1!$T$10</definedName>
    <definedName name="totalConsumption_quarter1" localSheetId="0">Hour1!$AC$66</definedName>
    <definedName name="totalConsumption_quarter2" localSheetId="0">Hour1!$AC$67</definedName>
    <definedName name="totalConsumption_quarter3" localSheetId="0">Hour1!$AC$68</definedName>
    <definedName name="totalConsumption_quarter4" localSheetId="0">Hour1!$AC$69</definedName>
    <definedName name="totalConsumption15M" localSheetId="0">Hour1!$T$10</definedName>
    <definedName name="totalFlex15M" localSheetId="0">Hour1!$T$1</definedName>
    <definedName name="totalFlex1H" localSheetId="0">Hour1!$T$2</definedName>
    <definedName name="totalNonprofiled15M" localSheetId="0">Hour1!$T$3</definedName>
    <definedName name="totalNonprofiled1H" localSheetId="0">Hour1!$T$4</definedName>
    <definedName name="totalProduction15M" localSheetId="0">Hour1!$T$5</definedName>
    <definedName name="totalProduction1H" localSheetId="0">Hour1!$T$6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53" i="11" l="1" a="1"/>
  <c r="AJ53" i="11" s="1"/>
  <c r="AJ54" i="11" a="1"/>
  <c r="AJ54" i="11" s="1"/>
  <c r="AJ55" i="11" a="1"/>
  <c r="AJ55" i="11" s="1"/>
  <c r="AJ56" i="11" a="1"/>
  <c r="AJ56" i="11" s="1"/>
  <c r="AJ57" i="11" a="1"/>
  <c r="AJ57" i="11" s="1"/>
  <c r="AJ58" i="11" a="1"/>
  <c r="AJ58" i="11" s="1"/>
  <c r="AJ59" i="11" a="1"/>
  <c r="AJ59" i="11" s="1"/>
  <c r="AJ60" i="11" a="1"/>
  <c r="AJ60" i="11" s="1"/>
  <c r="AJ61" i="11" a="1"/>
  <c r="AJ61" i="11" s="1"/>
  <c r="AJ52" i="11" a="1"/>
  <c r="AJ52" i="11" s="1"/>
  <c r="AI56" i="11" a="1"/>
  <c r="AI56" i="11" s="1"/>
  <c r="AI57" i="11" a="1"/>
  <c r="AI57" i="11" s="1"/>
  <c r="AI58" i="11" a="1"/>
  <c r="AI58" i="11" s="1"/>
  <c r="AI59" i="11" a="1"/>
  <c r="AI59" i="11" s="1"/>
  <c r="AI60" i="11" a="1"/>
  <c r="AI60" i="11" s="1"/>
  <c r="AI61" i="11" a="1"/>
  <c r="AI61" i="11" s="1"/>
  <c r="AI52" i="11" a="1"/>
  <c r="AI52" i="11" s="1"/>
  <c r="AI53" i="11" a="1"/>
  <c r="AI53" i="11" s="1"/>
  <c r="AI54" i="11" a="1"/>
  <c r="AI54" i="11" s="1"/>
  <c r="AI55" i="11" a="1"/>
  <c r="AI55" i="11" s="1"/>
  <c r="AI51" i="11" a="1"/>
  <c r="AI51" i="11" s="1"/>
  <c r="H84" i="11"/>
  <c r="H92" i="11"/>
  <c r="H93" i="11"/>
  <c r="H94" i="11"/>
  <c r="H95" i="11"/>
  <c r="H96" i="11"/>
  <c r="H97" i="11"/>
  <c r="E93" i="11"/>
  <c r="E94" i="11"/>
  <c r="I94" i="11" s="1" a="1"/>
  <c r="I94" i="11" s="1"/>
  <c r="E95" i="11"/>
  <c r="I95" i="11" s="1" a="1"/>
  <c r="I95" i="11" s="1"/>
  <c r="E96" i="11"/>
  <c r="E97" i="11"/>
  <c r="E90" i="11"/>
  <c r="E91" i="11"/>
  <c r="E92" i="11"/>
  <c r="I93" i="11" a="1"/>
  <c r="I93" i="11" s="1"/>
  <c r="I96" i="11" a="1"/>
  <c r="I96" i="11" s="1"/>
  <c r="I97" i="11" a="1"/>
  <c r="I97" i="11" s="1"/>
  <c r="K11" i="11"/>
  <c r="K10" i="11"/>
  <c r="K9" i="11"/>
  <c r="K8" i="11"/>
  <c r="K7" i="11"/>
  <c r="K6" i="11"/>
  <c r="I91" i="11" a="1"/>
  <c r="I92" i="11" a="1"/>
  <c r="I90" i="11" a="1"/>
  <c r="I92" i="11" l="1"/>
  <c r="I91" i="11"/>
  <c r="H91" i="11" s="1"/>
  <c r="I90" i="11"/>
  <c r="H90" i="11" s="1"/>
  <c r="AL2" i="11" a="1"/>
  <c r="AL2" i="11" s="1"/>
  <c r="T2" i="11"/>
  <c r="T4" i="11"/>
  <c r="T3" i="11"/>
  <c r="T6" i="11"/>
  <c r="T5" i="11"/>
  <c r="K3" i="11"/>
  <c r="T1" i="11" s="1"/>
  <c r="K4" i="11"/>
  <c r="K5" i="11"/>
  <c r="K13" i="11"/>
  <c r="K14" i="11"/>
  <c r="K15" i="11"/>
  <c r="K16" i="11"/>
  <c r="K17" i="11"/>
  <c r="K18" i="11"/>
  <c r="K19" i="11"/>
  <c r="K2" i="11"/>
  <c r="AJ36" i="11" a="1"/>
  <c r="AJ36" i="11" s="1"/>
  <c r="AI36" i="11" a="1"/>
  <c r="AI36" i="11" s="1"/>
  <c r="AH2" i="11" a="1"/>
  <c r="AH2" i="11" s="1"/>
  <c r="AJ50" i="11"/>
  <c r="AI50" i="11"/>
  <c r="AD23" i="11" a="1"/>
  <c r="AD23" i="11" s="1"/>
  <c r="AD24" i="11" a="1"/>
  <c r="AD24" i="11" s="1"/>
  <c r="AA106" i="11"/>
  <c r="AA109" i="11" s="1"/>
  <c r="E20" i="11"/>
  <c r="AK2" i="11"/>
  <c r="E66" i="11" l="1"/>
  <c r="T10" i="11"/>
  <c r="T7" i="11"/>
  <c r="T8" i="11"/>
  <c r="T9" i="11"/>
  <c r="AJ51" i="11" a="1"/>
  <c r="AJ51" i="11" s="1"/>
  <c r="AA102" i="11"/>
  <c r="AA105" i="11" s="1"/>
  <c r="Z102" i="11"/>
  <c r="H54" i="11"/>
  <c r="E72" i="11"/>
  <c r="E78" i="11"/>
  <c r="E84" i="11"/>
  <c r="E48" i="11"/>
  <c r="E54" i="11"/>
  <c r="E60" i="11"/>
  <c r="AA90" i="11"/>
  <c r="AA93" i="11" s="1"/>
  <c r="AA94" i="11"/>
  <c r="AA96" i="11" s="1"/>
  <c r="Z94" i="11"/>
  <c r="AA98" i="11"/>
  <c r="AB98" i="11" s="1"/>
  <c r="AD98" i="11" s="1"/>
  <c r="Z98" i="11"/>
  <c r="AA86" i="11"/>
  <c r="AA108" i="11"/>
  <c r="AB106" i="11"/>
  <c r="AD106" i="11" s="1"/>
  <c r="AA107" i="11"/>
  <c r="AB102" i="11" l="1"/>
  <c r="AD102" i="11" s="1"/>
  <c r="AA103" i="11"/>
  <c r="AA104" i="11"/>
  <c r="H48" i="11"/>
  <c r="H66" i="11" s="1"/>
  <c r="H72" i="11" s="1"/>
  <c r="AA92" i="11"/>
  <c r="AB94" i="11"/>
  <c r="AD94" i="11" s="1"/>
  <c r="AA95" i="11"/>
  <c r="AA91" i="11"/>
  <c r="AB90" i="11"/>
  <c r="AD90" i="11" s="1"/>
  <c r="AA97" i="11"/>
  <c r="AA101" i="11"/>
  <c r="AA99" i="11"/>
  <c r="AC99" i="11" s="1"/>
  <c r="AB99" i="11" s="1"/>
  <c r="AD99" i="11" s="1"/>
  <c r="AA100" i="11"/>
  <c r="AC107" i="11"/>
  <c r="AB107" i="11" s="1"/>
  <c r="AD107" i="11" s="1"/>
  <c r="AC108" i="11" s="1"/>
  <c r="AB108" i="11" s="1"/>
  <c r="AD108" i="11" s="1"/>
  <c r="AC109" i="11" s="1"/>
  <c r="AB109" i="11" s="1"/>
  <c r="AD109" i="11" s="1"/>
  <c r="AA89" i="11"/>
  <c r="AA88" i="11"/>
  <c r="AA87" i="11"/>
  <c r="AB86" i="11"/>
  <c r="AD86" i="11" s="1"/>
  <c r="AC103" i="11" l="1"/>
  <c r="AB103" i="11" s="1"/>
  <c r="AD103" i="11" s="1"/>
  <c r="AC104" i="11" s="1"/>
  <c r="AB104" i="11" s="1"/>
  <c r="AD104" i="11" s="1"/>
  <c r="AC105" i="11" s="1"/>
  <c r="AB105" i="11" s="1"/>
  <c r="AD105" i="11" s="1"/>
  <c r="H78" i="11"/>
  <c r="AC95" i="11"/>
  <c r="AB95" i="11" s="1"/>
  <c r="AD95" i="11" s="1"/>
  <c r="AC96" i="11" s="1"/>
  <c r="AB96" i="11" s="1"/>
  <c r="AD96" i="11" s="1"/>
  <c r="AC97" i="11" s="1"/>
  <c r="AB97" i="11" s="1"/>
  <c r="AD97" i="11" s="1"/>
  <c r="AC100" i="11"/>
  <c r="AB100" i="11" s="1"/>
  <c r="AD100" i="11" s="1"/>
  <c r="AC101" i="11" s="1"/>
  <c r="AB101" i="11" s="1"/>
  <c r="AD101" i="11" s="1"/>
  <c r="AC91" i="11"/>
  <c r="AB91" i="11" s="1"/>
  <c r="AD91" i="11" s="1"/>
  <c r="AC92" i="11" s="1"/>
  <c r="AB92" i="11" s="1"/>
  <c r="AD92" i="11" s="1"/>
  <c r="AC93" i="11" s="1"/>
  <c r="AB93" i="11" s="1"/>
  <c r="AD93" i="11" s="1"/>
  <c r="G93" i="11"/>
  <c r="F93" i="11"/>
  <c r="G95" i="11"/>
  <c r="F95" i="11"/>
  <c r="G97" i="11"/>
  <c r="F97" i="11"/>
  <c r="AC87" i="11"/>
  <c r="AB87" i="11" s="1"/>
  <c r="AD87" i="11" s="1"/>
  <c r="AC88" i="11" s="1"/>
  <c r="AB88" i="11" s="1"/>
  <c r="AD88" i="11" s="1"/>
  <c r="G92" i="11"/>
  <c r="F92" i="11"/>
  <c r="G94" i="11"/>
  <c r="F94" i="11"/>
  <c r="G90" i="11"/>
  <c r="F90" i="11"/>
  <c r="G96" i="11"/>
  <c r="F96" i="11"/>
  <c r="G91" i="11"/>
  <c r="F91" i="11"/>
  <c r="AC89" i="11" l="1"/>
  <c r="AB89" i="11" s="1"/>
  <c r="AD89" i="11" s="1"/>
  <c r="W27" i="11" l="1" a="1"/>
  <c r="W27" i="11" s="1"/>
  <c r="X27" i="11" a="1"/>
  <c r="X27" i="11" s="1"/>
  <c r="Z86" i="11"/>
  <c r="Z90" i="11"/>
  <c r="W33" i="11" a="1"/>
  <c r="W33" i="11" s="1"/>
  <c r="X33" i="11" a="1"/>
  <c r="X33" i="11" s="1"/>
  <c r="W39" i="11" a="1"/>
  <c r="W39" i="11" s="1"/>
  <c r="X39" i="11" a="1"/>
  <c r="X39" i="11" s="1"/>
  <c r="Y15" i="11" l="1" a="1"/>
  <c r="Y15" i="11" s="1"/>
  <c r="X15" i="11" a="1"/>
  <c r="X15" i="11" s="1"/>
  <c r="W15" i="11" a="1"/>
  <c r="W15" i="11" s="1"/>
  <c r="AI2" i="11" l="1" a="1"/>
  <c r="AJ2" i="11" a="1"/>
  <c r="AJ2" i="11" s="1"/>
  <c r="H60" i="11"/>
  <c r="AI2" i="11" l="1"/>
  <c r="E35" i="11" l="1"/>
  <c r="E36" i="11"/>
  <c r="H36" i="11" s="1"/>
  <c r="E37" i="11"/>
  <c r="H37" i="11" s="1"/>
  <c r="E33" i="11"/>
  <c r="E34" i="11"/>
  <c r="E38" i="11"/>
  <c r="H38" i="11" s="1"/>
  <c r="E39" i="11"/>
  <c r="H39" i="11" s="1"/>
  <c r="E41" i="11"/>
  <c r="E40" i="11"/>
  <c r="H40" i="11" s="1"/>
  <c r="E42" i="11"/>
  <c r="E23" i="11"/>
  <c r="E43" i="11"/>
  <c r="E25" i="11"/>
  <c r="E24" i="11"/>
  <c r="E44" i="11"/>
  <c r="H44" i="11" s="1"/>
  <c r="E45" i="11"/>
  <c r="H45" i="11" s="1"/>
  <c r="E28" i="11"/>
  <c r="H28" i="11" s="1"/>
  <c r="E26" i="11"/>
  <c r="E22" i="11"/>
  <c r="F22" i="11" s="1"/>
  <c r="E32" i="11"/>
  <c r="H32" i="11" s="1"/>
  <c r="E27" i="11"/>
  <c r="H27" i="11" s="1"/>
  <c r="E29" i="11"/>
  <c r="H29" i="11" s="1"/>
  <c r="E30" i="11"/>
  <c r="H30" i="11" s="1"/>
  <c r="E31" i="11"/>
  <c r="H31" i="11" s="1"/>
  <c r="F24" i="11" l="1"/>
  <c r="H24" i="11"/>
  <c r="F25" i="11"/>
  <c r="G25" i="11" s="1"/>
  <c r="D25" i="11" s="1"/>
  <c r="H25" i="11"/>
  <c r="F43" i="11"/>
  <c r="G43" i="11" s="1"/>
  <c r="C43" i="11" s="1"/>
  <c r="H43" i="11"/>
  <c r="F26" i="11"/>
  <c r="G26" i="11" s="1"/>
  <c r="C26" i="11" s="1"/>
  <c r="H26" i="11"/>
  <c r="F42" i="11"/>
  <c r="G42" i="11" s="1"/>
  <c r="C42" i="11" s="1"/>
  <c r="H42" i="11"/>
  <c r="F34" i="11"/>
  <c r="H34" i="11"/>
  <c r="F33" i="11"/>
  <c r="H33" i="11"/>
  <c r="F35" i="11"/>
  <c r="H35" i="11"/>
  <c r="F23" i="11"/>
  <c r="F41" i="11"/>
  <c r="H41" i="11"/>
  <c r="F40" i="11"/>
  <c r="F28" i="11"/>
  <c r="F39" i="11"/>
  <c r="F32" i="11"/>
  <c r="F45" i="11"/>
  <c r="F37" i="11"/>
  <c r="F38" i="11"/>
  <c r="F31" i="11"/>
  <c r="F30" i="11"/>
  <c r="F29" i="11"/>
  <c r="F36" i="11"/>
  <c r="F44" i="11"/>
  <c r="F27" i="11"/>
  <c r="G22" i="11"/>
  <c r="C22" i="11" s="1"/>
  <c r="I22" i="11" l="1"/>
  <c r="I42" i="11"/>
  <c r="I26" i="11"/>
  <c r="I43" i="11"/>
  <c r="I25" i="11"/>
  <c r="G23" i="11"/>
  <c r="D23" i="11" s="1"/>
  <c r="G44" i="11"/>
  <c r="D44" i="11" s="1"/>
  <c r="G29" i="11"/>
  <c r="C29" i="11" s="1"/>
  <c r="G41" i="11"/>
  <c r="C41" i="11" s="1"/>
  <c r="G31" i="11"/>
  <c r="C31" i="11" s="1"/>
  <c r="G24" i="11"/>
  <c r="C24" i="11" s="1"/>
  <c r="G27" i="11"/>
  <c r="C27" i="11" s="1"/>
  <c r="G30" i="11"/>
  <c r="D30" i="11" s="1"/>
  <c r="G38" i="11"/>
  <c r="C38" i="11" s="1"/>
  <c r="G37" i="11"/>
  <c r="D37" i="11" s="1"/>
  <c r="G45" i="11"/>
  <c r="D45" i="11" s="1"/>
  <c r="G35" i="11"/>
  <c r="C35" i="11" s="1"/>
  <c r="G32" i="11"/>
  <c r="D32" i="11" s="1"/>
  <c r="G33" i="11"/>
  <c r="D33" i="11" s="1"/>
  <c r="G39" i="11"/>
  <c r="C39" i="11" s="1"/>
  <c r="G34" i="11"/>
  <c r="C34" i="11" s="1"/>
  <c r="G28" i="11"/>
  <c r="D28" i="11" s="1"/>
  <c r="G40" i="11"/>
  <c r="D40" i="11" s="1"/>
  <c r="D22" i="11"/>
  <c r="J22" i="11" s="1"/>
  <c r="G36" i="11"/>
  <c r="C36" i="11" s="1"/>
  <c r="C23" i="11"/>
  <c r="D26" i="11"/>
  <c r="J26" i="11" s="1"/>
  <c r="C25" i="11"/>
  <c r="J25" i="11" s="1"/>
  <c r="D42" i="11"/>
  <c r="J42" i="11" s="1"/>
  <c r="D43" i="11"/>
  <c r="J43" i="11" s="1"/>
  <c r="C44" i="11" l="1"/>
  <c r="J44" i="11" s="1"/>
  <c r="I38" i="11"/>
  <c r="I44" i="11"/>
  <c r="I28" i="11"/>
  <c r="I45" i="11"/>
  <c r="I29" i="11"/>
  <c r="D41" i="11"/>
  <c r="J41" i="11" s="1"/>
  <c r="I31" i="11"/>
  <c r="D24" i="11"/>
  <c r="J24" i="11" s="1"/>
  <c r="I32" i="11"/>
  <c r="I37" i="11"/>
  <c r="I35" i="11"/>
  <c r="I33" i="11"/>
  <c r="I30" i="11"/>
  <c r="I23" i="11"/>
  <c r="D34" i="11"/>
  <c r="J34" i="11" s="1"/>
  <c r="I27" i="11"/>
  <c r="I36" i="11"/>
  <c r="H22" i="11"/>
  <c r="D29" i="11"/>
  <c r="J29" i="11" s="1"/>
  <c r="I40" i="11"/>
  <c r="I41" i="11"/>
  <c r="I24" i="11"/>
  <c r="I39" i="11"/>
  <c r="I34" i="11"/>
  <c r="C32" i="11"/>
  <c r="J32" i="11" s="1"/>
  <c r="C30" i="11"/>
  <c r="J30" i="11" s="1"/>
  <c r="D39" i="11"/>
  <c r="J39" i="11" s="1"/>
  <c r="C28" i="11"/>
  <c r="J28" i="11" s="1"/>
  <c r="C33" i="11"/>
  <c r="J33" i="11" s="1"/>
  <c r="D27" i="11"/>
  <c r="J27" i="11" s="1"/>
  <c r="D35" i="11"/>
  <c r="J35" i="11" s="1"/>
  <c r="D31" i="11"/>
  <c r="J31" i="11" s="1"/>
  <c r="C37" i="11"/>
  <c r="J37" i="11" s="1"/>
  <c r="D38" i="11"/>
  <c r="J38" i="11" s="1"/>
  <c r="C45" i="11"/>
  <c r="J45" i="11" s="1"/>
  <c r="J23" i="11"/>
  <c r="C40" i="11"/>
  <c r="J40" i="11" s="1"/>
  <c r="D36" i="11"/>
  <c r="J36" i="11" s="1"/>
  <c r="H23" i="1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<sst xmlns="http://schemas.openxmlformats.org/spreadsheetml/2006/main" count="197" uniqueCount="92">
  <si>
    <t>energy_supplier_id</t>
  </si>
  <si>
    <t>balance_responsible_id</t>
  </si>
  <si>
    <t>quantity</t>
  </si>
  <si>
    <t>mp id</t>
  </si>
  <si>
    <t>resolution</t>
  </si>
  <si>
    <t>es_id</t>
  </si>
  <si>
    <t>brp_id</t>
  </si>
  <si>
    <t>type</t>
  </si>
  <si>
    <t>settlement_method</t>
  </si>
  <si>
    <t>Kvarterssummer</t>
  </si>
  <si>
    <t>Energy Suppliers</t>
  </si>
  <si>
    <t>Balance responsibles</t>
  </si>
  <si>
    <t>ga_id</t>
  </si>
  <si>
    <t>Grid Areas</t>
  </si>
  <si>
    <t>Mellemregninger</t>
  </si>
  <si>
    <t>Aggregering</t>
  </si>
  <si>
    <t>Har SKMP</t>
  </si>
  <si>
    <t>Har GLMP</t>
  </si>
  <si>
    <t>Type</t>
  </si>
  <si>
    <t>Total production 15M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</si>
  <si>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</si>
  <si>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</si>
  <si>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</si>
  <si>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</si>
  <si>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</si>
  <si>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</si>
  <si>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</si>
  <si>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</si>
  <si>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</si>
  <si>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Before Round</t>
  </si>
  <si>
    <t>Diff</t>
  </si>
  <si>
    <t>After Round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</si>
  <si>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</si>
  <si>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</si>
  <si>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</si>
  <si>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</si>
  <si>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</si>
  <si>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</si>
  <si>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</si>
  <si>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</si>
  <si>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</si>
  <si>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</si>
  <si>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</si>
  <si>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</si>
  <si>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from_grid_area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</si>
  <si>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</si>
  <si>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</si>
  <si>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</si>
  <si>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</si>
  <si>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</si>
  <si>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</si>
  <si>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</si>
  <si>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</si>
  <si>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E18</t>
  </si>
  <si>
    <t>E20</t>
  </si>
  <si>
    <t>skmp</t>
  </si>
  <si>
    <t>PT15M</t>
  </si>
  <si>
    <t>2000000000000</t>
  </si>
  <si>
    <t>2200000000000</t>
  </si>
  <si>
    <t>All energy suppliers</t>
  </si>
  <si>
    <t>All balance responsibles</t>
  </si>
  <si>
    <t>settlement method/type</t>
  </si>
  <si>
    <t>E02</t>
  </si>
  <si>
    <t>3000000000000</t>
  </si>
  <si>
    <t>170000000000000202</t>
  </si>
  <si>
    <t>3300000000000</t>
  </si>
  <si>
    <t>Total flex consumtion 1H</t>
  </si>
  <si>
    <t>Flex MPs</t>
  </si>
  <si>
    <t>Production MPs</t>
  </si>
  <si>
    <t>Exchange MPs (energy in)</t>
  </si>
  <si>
    <t>Exchange MPs (energy out)</t>
  </si>
  <si>
    <t>170000000150000201</t>
  </si>
  <si>
    <t>Total nonprofiled consumtion 1H</t>
  </si>
  <si>
    <t>GLMP/SKMP?</t>
  </si>
  <si>
    <t>Total production 1H</t>
  </si>
  <si>
    <t>Total E20 15M (energy in)</t>
  </si>
  <si>
    <t>Total E20 1H (energy in)</t>
  </si>
  <si>
    <t>Total E20 15M (energy out)</t>
  </si>
  <si>
    <t>Total E20 1H (energy out)</t>
  </si>
  <si>
    <t>Total/hour</t>
  </si>
  <si>
    <t>170000000150000101</t>
  </si>
  <si>
    <t>Total without GLMP/SKMP</t>
  </si>
  <si>
    <t>ga_brp_es</t>
  </si>
  <si>
    <t>170000000000000102</t>
  </si>
  <si>
    <t>200000000000000002</t>
  </si>
  <si>
    <t>802</t>
  </si>
  <si>
    <t>180000000000000002</t>
  </si>
  <si>
    <t>180000000150000001</t>
  </si>
  <si>
    <t>200000000150000001</t>
  </si>
  <si>
    <t>180000000150001000</t>
  </si>
  <si>
    <t>170000000150001000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</si>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</sst>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49" fontId="0" fillId="5" borderId="0" xfId="0" applyNumberFormat="1" applyFill="1"/>
    <xf numFmtId="49" fontId="6" fillId="2" borderId="0" xfId="0" applyNumberFormat="1" applyFont="1" applyFill="1"/>
    <xf numFmtId="0" fontId="0" fillId="6" borderId="1" xfId="0" applyFill="1" applyBorder="1"/>
    <xf numFmtId="164" fontId="1" fillId="6" borderId="1" xfId="0" applyNumberFormat="1" applyFont="1" applyFill="1" applyBorder="1"/>
    <xf numFmtId="164" fontId="1" fillId="6" borderId="1" xfId="0" applyNumberFormat="1" applyFont="1" applyFill="1" applyBorder="1" applyAlignment="1">
      <alignment horizontal="right" vertical="center"/>
    </xf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164" fontId="0" fillId="3" borderId="1" xfId="0" applyNumberFormat="1" applyFill="1" applyBorder="1"/>
    <xf numFmtId="164" fontId="5" fillId="3" borderId="1" xfId="0" applyNumberFormat="1" applyFont="1" applyFill="1" applyBorder="1"/>
    <xf numFmtId="0" fontId="0" fillId="5" borderId="0" xfId="0" applyFill="1"/>
    <xf numFmtId="0" fontId="6" fillId="2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0" fillId="2" borderId="0" xfId="0" applyNumberFormat="1" applyFill="1"/>
  </cellXfs>
  <cellStyles count="1">
    <cellStyle name="Normal" xfId="0" builtinId="0"/>
  </cellStyles>
  <dxfs count="18">
    <dxf>
      <fill>
        <patternFill>
          <bgColor theme="2" tint="-9.9948118533890809E-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Q19" totalsRowShown="0" headerRowDxfId="17" dataDxfId="16">
  <autoFilter ref="C1:Q19" xr:uid="{3814BBFA-A2E3-4A77-AAB1-6B1FF8D878B1}"/>
  <tableColumns count="15">
    <tableColumn id="1" xr3:uid="{2B69152A-55A7-4D2B-873F-7F3FB6F402A7}" name="mp id" dataDxfId="15"/>
    <tableColumn id="2" xr3:uid="{DA52C48F-158B-4538-B6A3-FC8044FE7DD3}" name="type" dataDxfId="14"/>
    <tableColumn id="13" xr3:uid="{41EF754D-E325-40F1-B68A-4399F2000678}" name="GLMP/SKMP?" dataDxfId="13"/>
    <tableColumn id="4" xr3:uid="{B562A6FB-BEDA-4307-A449-0F2082B19BCA}" name="settlement_method" dataDxfId="12"/>
    <tableColumn id="5" xr3:uid="{6DA11D4D-F616-4050-A443-FB1A76B379F3}" name="Quarter1" dataDxfId="11"/>
    <tableColumn id="6" xr3:uid="{CD5BB13E-3854-4BA0-A8C2-7EB0351AE2FA}" name="Quarter2" dataDxfId="10"/>
    <tableColumn id="7" xr3:uid="{900BB657-25A0-4ECA-8FE6-633F1CAE8BD7}" name="Quarter3" dataDxfId="9"/>
    <tableColumn id="9" xr3:uid="{4035FFB8-60AE-4E2D-9CA8-C736A1B70CC6}" name="Quarter4" dataDxfId="8"/>
    <tableColumn id="17" xr3:uid="{A7E569B9-FD31-4F1F-B854-F029E2C0FF35}" name="Total/hour" dataDxfId="7">
      <calculatedColumnFormula>IF(SUM(Tabel1342323[[#This Row],[Quarter1]:[Quarter4]])=0,"",SUM(Tabel1342323[[#This Row],[Quarter1]:[Quarter4]]))</calculatedColumnFormula>
    </tableColumn>
    <tableColumn id="10" xr3:uid="{F90F79EC-44B2-4BC6-8C23-82D64320CBD5}" name="resolution" dataDxfId="6"/>
    <tableColumn id="11" xr3:uid="{CD53BB86-08E7-49A0-BC6E-CFD857B5FCB7}" name="es_id" dataDxfId="5"/>
    <tableColumn id="12" xr3:uid="{75786D4A-9554-4C5E-B036-485331D1BE7F}" name="brp_id" dataDxfId="4"/>
    <tableColumn id="14" xr3:uid="{54F26905-4DEB-4534-9F0D-01ABD263F669}" name="ga_id" dataDxfId="3"/>
    <tableColumn id="15" xr3:uid="{5F8C65A2-DFDD-4135-BE29-7811CAA8ACBB}" name="from_ga" dataDxfId="2"/>
    <tableColumn id="16" xr3:uid="{81991ACE-32DD-4EED-AD6E-CA13DD7E8F07}" name="to_g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R400"/>
  <sheetViews>
    <sheetView tabSelected="1" topLeftCell="A12" zoomScaleNormal="100" workbookViewId="0">
      <selection activeCell="I22" sqref="I22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4" width="13.90625" style="1" bestFit="1" customWidth="1"/>
    <col min="15" max="18" width="11.7265625" style="1" customWidth="1"/>
    <col min="19" max="19" width="30.36328125" style="1" bestFit="1" customWidth="1"/>
    <col min="20" max="21" width="11.7265625" style="1" customWidth="1"/>
    <col min="22" max="22" width="8.81640625" style="1" bestFit="1" customWidth="1"/>
    <col min="23" max="23" width="32.26953125" style="1" bestFit="1" customWidth="1"/>
    <col min="24" max="24" width="19" style="1" bestFit="1" customWidth="1"/>
    <col min="25" max="25" width="33.453125" style="1" bestFit="1" customWidth="1"/>
    <col min="26" max="26" width="15.7265625" style="1" bestFit="1" customWidth="1"/>
    <col min="27" max="28" width="13.26953125" style="1" bestFit="1" customWidth="1"/>
    <col min="29" max="29" width="11.7265625" style="1" bestFit="1" customWidth="1"/>
    <col min="30" max="30" width="12.453125" style="1" bestFit="1" customWidth="1"/>
    <col min="31" max="31" width="4.1796875" style="1" bestFit="1" customWidth="1"/>
    <col min="32" max="32" width="2.81640625" style="1" bestFit="1" customWidth="1"/>
    <col min="33" max="33" width="1.81640625" style="1" bestFit="1" customWidth="1"/>
    <col min="34" max="34" width="9.54296875" style="1" bestFit="1" customWidth="1"/>
    <col min="35" max="35" width="27.453125" style="1" bestFit="1" customWidth="1"/>
    <col min="36" max="36" width="19.81640625" style="1" bestFit="1" customWidth="1"/>
    <col min="37" max="37" width="21.81640625" style="1" bestFit="1" customWidth="1"/>
    <col min="38" max="38" width="11.7265625" style="1" bestFit="1" customWidth="1"/>
    <col min="39" max="44" width="8.7265625" style="1" customWidth="1"/>
    <col min="45" max="16384" width="8.7265625" style="1"/>
  </cols>
  <sheetData>
    <row r="1" spans="1:96" ht="21" x14ac:dyDescent="0.5">
      <c r="A1" s="17" t="s">
        <v>15</v>
      </c>
      <c r="B1" s="30" t="s">
        <v>82</v>
      </c>
      <c r="C1" s="13" t="s">
        <v>3</v>
      </c>
      <c r="D1" s="13" t="s">
        <v>7</v>
      </c>
      <c r="E1" s="13" t="s">
        <v>73</v>
      </c>
      <c r="F1" s="13" t="s">
        <v>8</v>
      </c>
      <c r="G1" s="13" t="s">
        <v>32</v>
      </c>
      <c r="H1" s="13" t="s">
        <v>33</v>
      </c>
      <c r="I1" s="13" t="s">
        <v>34</v>
      </c>
      <c r="J1" s="13" t="s">
        <v>35</v>
      </c>
      <c r="K1" s="13" t="s">
        <v>79</v>
      </c>
      <c r="L1" s="13" t="s">
        <v>4</v>
      </c>
      <c r="M1" s="13" t="s">
        <v>5</v>
      </c>
      <c r="N1" s="13" t="s">
        <v>6</v>
      </c>
      <c r="O1" s="13" t="s">
        <v>12</v>
      </c>
      <c r="P1" s="13" t="s">
        <v>39</v>
      </c>
      <c r="Q1" s="13" t="s">
        <v>40</v>
      </c>
      <c r="S1" s="7" t="s">
        <v>22</v>
      </c>
      <c r="T1" s="2">
        <f>IFERROR(SUMIFS(Tabel1342323[Total/hour],Tabel1342323[settlement_method],"D01",Tabel1342323[resolution],"PT15M"),0)</f>
        <v>20</v>
      </c>
      <c r="U1" s="2"/>
      <c r="V1" s="18"/>
      <c r="Y1" s="18"/>
      <c r="Z1" s="18"/>
      <c r="AA1" s="18"/>
      <c r="AB1" s="18"/>
      <c r="AC1" s="18"/>
      <c r="AD1" s="18"/>
      <c r="AE1" s="18"/>
      <c r="AG1" s="18"/>
      <c r="AH1" s="23" t="s">
        <v>13</v>
      </c>
      <c r="AI1" s="23" t="s">
        <v>10</v>
      </c>
      <c r="AJ1" s="23" t="s">
        <v>11</v>
      </c>
      <c r="AK1" s="23" t="s">
        <v>61</v>
      </c>
      <c r="AL1" s="23" t="s">
        <v>41</v>
      </c>
      <c r="AM1" s="23"/>
      <c r="AN1" s="18"/>
    </row>
    <row r="2" spans="1:96" ht="21" x14ac:dyDescent="0.5">
      <c r="A2" s="17" t="s">
        <v>18</v>
      </c>
      <c r="B2" s="16" t="s">
        <v>91</v>
      </c>
      <c r="C2" s="9" t="s">
        <v>89</v>
      </c>
      <c r="D2" s="9" t="s">
        <v>53</v>
      </c>
      <c r="E2" s="9" t="s">
        <v>55</v>
      </c>
      <c r="F2" s="10"/>
      <c r="G2" s="11"/>
      <c r="H2" s="11"/>
      <c r="I2" s="11"/>
      <c r="J2" s="11"/>
      <c r="K2" s="33" t="str">
        <f>IF(SUM(Tabel1342323[[#This Row],[Quarter1]:[Quarter4]])=0,"",SUM(Tabel1342323[[#This Row],[Quarter1]:[Quarter4]]))</f>
        <v/>
      </c>
      <c r="L2" s="9" t="s">
        <v>56</v>
      </c>
      <c r="M2" s="9" t="s">
        <v>57</v>
      </c>
      <c r="N2" s="9" t="s">
        <v>58</v>
      </c>
      <c r="O2" s="22" t="s">
        <v>50</v>
      </c>
      <c r="P2" s="22"/>
      <c r="Q2" s="22"/>
      <c r="S2" s="7" t="s">
        <v>66</v>
      </c>
      <c r="T2" s="2">
        <f>IFERROR(SUMIFS(Tabel1342323[Total/hour],Tabel1342323[settlement_method],"D01",Tabel1342323[resolution],"PT1H"),0)</f>
        <v>30</v>
      </c>
      <c r="V2" s="18"/>
      <c r="Y2" s="18"/>
      <c r="Z2" s="14" t="s">
        <v>32</v>
      </c>
      <c r="AA2" s="18"/>
      <c r="AB2" s="18"/>
      <c r="AC2" s="18"/>
      <c r="AD2" s="18"/>
      <c r="AE2" s="18"/>
      <c r="AG2" s="18"/>
      <c r="AH2" s="21" t="str" cm="1">
        <f t="array" ref="AH2:AH3">_xlfn._xlws.SORT(_xlfn.UNIQUE(_xlfn._xlws.FILTER(Tabel1342323[ga_id],Tabel1342323[ga_id] &lt;&gt; "")))</f>
        <v>800</v>
      </c>
      <c r="AI2" s="21" t="str" cm="1">
        <f t="array" ref="AI2:AI3">_xlfn._xlws.SORT(_xlfn.UNIQUE(_xlfn._xlws.FILTER(AI51:AI63,AI51:AI63 &lt;&gt; "")))</f>
        <v>2000000000000</v>
      </c>
      <c r="AJ2" s="21" t="str" cm="1">
        <f t="array" ref="AJ2:AJ3">_xlfn._xlws.SORT(_xlfn.UNIQUE(_xlfn._xlws.FILTER(AJ51:AJ63,AJ51:AJ63 &lt;&gt; "")))</f>
        <v>2200000000000</v>
      </c>
      <c r="AK2" s="21" t="str">
        <f>IF(B$2="production","E18",IF($B$2="flex_consumption","D01","E02"))</f>
        <v>E18</v>
      </c>
      <c r="AL2" s="21" t="str" cm="1">
        <f t="array" ref="AL2:AL4">_xlfn._xlws.SORT(_xlfn.UNIQUE(_xlfn.VSTACK(_xlfn._xlws.FILTER(Tabel1342323[from_ga],Tabel1342323[from_ga] &lt;&gt; ""),_xlfn._xlws.FILTER(Tabel1342323[to_ga],Tabel1342323[to_ga] &lt;&gt; ""))))</f>
        <v>800</v>
      </c>
      <c r="AM2" s="18"/>
      <c r="AN2" s="18"/>
    </row>
    <row r="3" spans="1:96" x14ac:dyDescent="0.35">
      <c r="C3" s="9" t="s">
        <v>90</v>
      </c>
      <c r="D3" s="9" t="s">
        <v>45</v>
      </c>
      <c r="E3" s="9" t="s">
        <v>52</v>
      </c>
      <c r="F3" s="10" t="s">
        <v>46</v>
      </c>
      <c r="G3" s="11"/>
      <c r="H3" s="11"/>
      <c r="I3" s="11"/>
      <c r="J3" s="11"/>
      <c r="K3" s="33" t="str">
        <f>IF(SUM(Tabel1342323[[#This Row],[Quarter1]:[Quarter4]])=0,"",SUM(Tabel1342323[[#This Row],[Quarter1]:[Quarter4]]))</f>
        <v/>
      </c>
      <c r="L3" s="9" t="s">
        <v>56</v>
      </c>
      <c r="M3" s="9" t="s">
        <v>48</v>
      </c>
      <c r="N3" s="9" t="s">
        <v>49</v>
      </c>
      <c r="O3" s="22" t="s">
        <v>50</v>
      </c>
      <c r="P3" s="22"/>
      <c r="Q3" s="22"/>
      <c r="S3" s="7" t="s">
        <v>26</v>
      </c>
      <c r="T3" s="2">
        <f>IFERROR(SUMIFS(Tabel1342323[Total/hour],Tabel1342323[settlement_method],"E02",Tabel1342323[resolution],"PT15M"),0)</f>
        <v>12</v>
      </c>
      <c r="V3" s="18"/>
      <c r="Y3" s="18"/>
      <c r="Z3" s="14" t="s">
        <v>33</v>
      </c>
      <c r="AA3" s="18"/>
      <c r="AB3" s="18"/>
      <c r="AC3" s="18"/>
      <c r="AD3" s="18"/>
      <c r="AE3" s="18"/>
      <c r="AG3" s="18"/>
      <c r="AH3" s="18" t="str">
        <v>802</v>
      </c>
      <c r="AI3" s="18" t="str">
        <v>3000000000000</v>
      </c>
      <c r="AJ3" s="18" t="str">
        <v>3300000000000</v>
      </c>
      <c r="AK3" s="18"/>
      <c r="AL3" s="18" t="str">
        <v>801</v>
      </c>
      <c r="AM3" s="18"/>
      <c r="AN3" s="18"/>
    </row>
    <row r="4" spans="1:96" x14ac:dyDescent="0.35">
      <c r="C4" s="9" t="s">
        <v>80</v>
      </c>
      <c r="D4" s="9" t="s">
        <v>45</v>
      </c>
      <c r="E4" s="9"/>
      <c r="F4" s="10" t="s">
        <v>62</v>
      </c>
      <c r="G4" s="11">
        <v>3</v>
      </c>
      <c r="H4" s="11">
        <v>3</v>
      </c>
      <c r="I4" s="11">
        <v>3</v>
      </c>
      <c r="J4" s="11">
        <v>3</v>
      </c>
      <c r="K4" s="33">
        <f>IF(SUM(Tabel1342323[[#This Row],[Quarter1]:[Quarter4]])=0,"",SUM(Tabel1342323[[#This Row],[Quarter1]:[Quarter4]]))</f>
        <v>12</v>
      </c>
      <c r="L4" s="9" t="s">
        <v>56</v>
      </c>
      <c r="M4" s="9" t="s">
        <v>48</v>
      </c>
      <c r="N4" s="9" t="s">
        <v>49</v>
      </c>
      <c r="O4" s="22" t="s">
        <v>50</v>
      </c>
      <c r="P4" s="22"/>
      <c r="Q4" s="22"/>
      <c r="S4" s="7" t="s">
        <v>72</v>
      </c>
      <c r="T4" s="2">
        <f>IFERROR(SUMIFS(Tabel1342323[Total/hour],Tabel1342323[settlement_method],"E02",Tabel1342323[resolution],"PT1H"),0)</f>
        <v>10</v>
      </c>
      <c r="V4" s="18"/>
      <c r="Y4" s="18"/>
      <c r="Z4" s="14" t="s">
        <v>34</v>
      </c>
      <c r="AA4" s="18"/>
      <c r="AB4" s="18"/>
      <c r="AC4" s="18"/>
      <c r="AD4" s="18"/>
      <c r="AE4" s="18"/>
      <c r="AG4" s="18"/>
      <c r="AH4" s="18"/>
      <c r="AI4" s="18"/>
      <c r="AJ4" s="18"/>
      <c r="AK4" s="18"/>
      <c r="AL4" s="18" t="str">
        <v>802</v>
      </c>
      <c r="AM4" s="18"/>
      <c r="AN4" s="18"/>
    </row>
    <row r="5" spans="1:96" x14ac:dyDescent="0.35">
      <c r="C5" s="9" t="s">
        <v>83</v>
      </c>
      <c r="D5" s="9" t="s">
        <v>45</v>
      </c>
      <c r="E5" s="9"/>
      <c r="F5" s="10" t="s">
        <v>62</v>
      </c>
      <c r="G5" s="11">
        <v>10</v>
      </c>
      <c r="H5" s="11"/>
      <c r="I5" s="11"/>
      <c r="J5" s="11"/>
      <c r="K5" s="33">
        <f>IF(SUM(Tabel1342323[[#This Row],[Quarter1]:[Quarter4]])=0,"",SUM(Tabel1342323[[#This Row],[Quarter1]:[Quarter4]]))</f>
        <v>10</v>
      </c>
      <c r="L5" s="9" t="s">
        <v>47</v>
      </c>
      <c r="M5" s="9" t="s">
        <v>63</v>
      </c>
      <c r="N5" s="9" t="s">
        <v>65</v>
      </c>
      <c r="O5" s="22" t="s">
        <v>50</v>
      </c>
      <c r="P5" s="22"/>
      <c r="Q5" s="22"/>
      <c r="S5" s="7" t="s">
        <v>19</v>
      </c>
      <c r="T5" s="2">
        <f>IFERROR(SUMIFS(Tabel1342323[Total/hour],Tabel1342323[type],"E18",Tabel1342323[resolution],"PT15M"),0)</f>
        <v>60</v>
      </c>
      <c r="V5" s="18"/>
      <c r="Y5" s="18"/>
      <c r="Z5" s="14" t="s">
        <v>35</v>
      </c>
      <c r="AA5" s="18"/>
      <c r="AB5" s="18"/>
      <c r="AC5" s="18"/>
      <c r="AD5" s="18"/>
      <c r="AE5" s="18"/>
      <c r="AG5" s="18"/>
      <c r="AH5" s="18"/>
      <c r="AI5" s="18"/>
      <c r="AJ5" s="18"/>
      <c r="AK5" s="18"/>
      <c r="AL5" s="18"/>
      <c r="AM5" s="18"/>
      <c r="AN5" s="18"/>
    </row>
    <row r="6" spans="1:96" x14ac:dyDescent="0.35">
      <c r="C6" s="9" t="s">
        <v>71</v>
      </c>
      <c r="D6" s="9" t="s">
        <v>45</v>
      </c>
      <c r="E6" s="9"/>
      <c r="F6" s="10" t="s">
        <v>46</v>
      </c>
      <c r="G6" s="11">
        <v>5</v>
      </c>
      <c r="H6" s="11">
        <v>5</v>
      </c>
      <c r="I6" s="11">
        <v>5</v>
      </c>
      <c r="J6" s="11">
        <v>5</v>
      </c>
      <c r="K6" s="33">
        <f>IF(SUM(Tabel1342323[[#This Row],[Quarter1]:[Quarter4]])=0,"",SUM(Tabel1342323[[#This Row],[Quarter1]:[Quarter4]]))</f>
        <v>20</v>
      </c>
      <c r="L6" s="9" t="s">
        <v>56</v>
      </c>
      <c r="M6" s="9" t="s">
        <v>48</v>
      </c>
      <c r="N6" s="9" t="s">
        <v>49</v>
      </c>
      <c r="O6" s="22" t="s">
        <v>50</v>
      </c>
      <c r="P6" s="22"/>
      <c r="Q6" s="22"/>
      <c r="S6" s="7" t="s">
        <v>74</v>
      </c>
      <c r="T6" s="2">
        <f>IFERROR(SUMIFS(Tabel1342323[Total/hour],Tabel1342323[type],"E18",Tabel1342323[resolution],"PT1H"),0)</f>
        <v>33</v>
      </c>
      <c r="V6" s="18"/>
      <c r="Y6" s="18"/>
      <c r="Z6" s="18"/>
      <c r="AA6" s="18"/>
      <c r="AB6" s="18"/>
      <c r="AC6" s="18"/>
      <c r="AD6" s="18"/>
      <c r="AE6" s="18"/>
      <c r="AG6" s="18"/>
      <c r="AH6" s="18"/>
      <c r="AI6" s="18"/>
      <c r="AJ6" s="18"/>
      <c r="AK6" s="18"/>
      <c r="AL6" s="18"/>
      <c r="AM6" s="18"/>
      <c r="AN6" s="18"/>
    </row>
    <row r="7" spans="1:96" x14ac:dyDescent="0.35">
      <c r="C7" s="9" t="s">
        <v>64</v>
      </c>
      <c r="D7" s="9" t="s">
        <v>45</v>
      </c>
      <c r="E7" s="9"/>
      <c r="F7" s="10" t="s">
        <v>46</v>
      </c>
      <c r="G7" s="11">
        <v>30</v>
      </c>
      <c r="H7" s="11"/>
      <c r="I7" s="11"/>
      <c r="J7" s="11"/>
      <c r="K7" s="33">
        <f>IF(SUM(Tabel1342323[[#This Row],[Quarter1]:[Quarter4]])=0,"",SUM(Tabel1342323[[#This Row],[Quarter1]:[Quarter4]]))</f>
        <v>30</v>
      </c>
      <c r="L7" s="9" t="s">
        <v>47</v>
      </c>
      <c r="M7" s="9" t="s">
        <v>63</v>
      </c>
      <c r="N7" s="9" t="s">
        <v>65</v>
      </c>
      <c r="O7" s="22" t="s">
        <v>50</v>
      </c>
      <c r="P7" s="22"/>
      <c r="Q7" s="22"/>
      <c r="S7" s="18" t="s">
        <v>75</v>
      </c>
      <c r="T7" s="2">
        <f>IFERROR(SUMIFS(Tabel1342323[Total/hour],Tabel1342323[type],"E20",Tabel1342323[resolution],"PT15M",Tabel1342323[to_ga],$AH$2),0)</f>
        <v>0</v>
      </c>
      <c r="V7" s="18"/>
      <c r="Y7" s="18"/>
      <c r="Z7" s="18"/>
      <c r="AA7" s="18"/>
      <c r="AB7" s="18"/>
      <c r="AC7" s="18"/>
      <c r="AD7" s="18"/>
      <c r="AE7" s="18"/>
      <c r="AG7" s="18"/>
      <c r="AH7" s="18"/>
      <c r="AI7" s="18"/>
      <c r="AJ7" s="18"/>
      <c r="AK7" s="18"/>
      <c r="AL7" s="18"/>
      <c r="AM7" s="18"/>
      <c r="AN7" s="18"/>
    </row>
    <row r="8" spans="1:96" x14ac:dyDescent="0.35">
      <c r="C8" s="9" t="s">
        <v>87</v>
      </c>
      <c r="D8" s="9" t="s">
        <v>53</v>
      </c>
      <c r="E8" s="9"/>
      <c r="F8" s="10"/>
      <c r="G8" s="11">
        <v>15</v>
      </c>
      <c r="H8" s="11">
        <v>15</v>
      </c>
      <c r="I8" s="11">
        <v>15</v>
      </c>
      <c r="J8" s="11">
        <v>15</v>
      </c>
      <c r="K8" s="33">
        <f>IF(SUM(Tabel1342323[[#This Row],[Quarter1]:[Quarter4]])=0,"",SUM(Tabel1342323[[#This Row],[Quarter1]:[Quarter4]]))</f>
        <v>60</v>
      </c>
      <c r="L8" s="9" t="s">
        <v>56</v>
      </c>
      <c r="M8" s="9" t="s">
        <v>57</v>
      </c>
      <c r="N8" s="9" t="s">
        <v>58</v>
      </c>
      <c r="O8" s="22" t="s">
        <v>50</v>
      </c>
      <c r="P8" s="22"/>
      <c r="Q8" s="22"/>
      <c r="S8" s="18" t="s">
        <v>76</v>
      </c>
      <c r="T8" s="2">
        <f>IFERROR(SUMIFS(Tabel1342323[Total/hour],Tabel1342323[type],"E20",Tabel1342323[resolution],"PT1H",Tabel1342323[to_ga],$AH$2),0)</f>
        <v>80</v>
      </c>
      <c r="V8" s="18"/>
      <c r="Y8" s="18"/>
      <c r="Z8" s="18"/>
      <c r="AA8" s="18"/>
      <c r="AB8" s="18"/>
      <c r="AC8" s="18"/>
      <c r="AD8" s="21"/>
      <c r="AE8" s="18"/>
      <c r="AG8" s="18"/>
      <c r="AH8" s="18"/>
      <c r="AI8" s="18"/>
      <c r="AJ8" s="18"/>
      <c r="AK8" s="18"/>
      <c r="AL8" s="18"/>
      <c r="AM8" s="18"/>
      <c r="AN8" s="18"/>
    </row>
    <row r="9" spans="1:96" x14ac:dyDescent="0.35">
      <c r="C9" s="9" t="s">
        <v>86</v>
      </c>
      <c r="D9" s="9" t="s">
        <v>53</v>
      </c>
      <c r="E9" s="9"/>
      <c r="F9" s="10"/>
      <c r="G9" s="11">
        <v>33</v>
      </c>
      <c r="H9" s="11"/>
      <c r="I9" s="11"/>
      <c r="J9" s="11"/>
      <c r="K9" s="33">
        <f>IF(SUM(Tabel1342323[[#This Row],[Quarter1]:[Quarter4]])=0,"",SUM(Tabel1342323[[#This Row],[Quarter1]:[Quarter4]]))</f>
        <v>33</v>
      </c>
      <c r="L9" s="9" t="s">
        <v>47</v>
      </c>
      <c r="M9" s="9" t="s">
        <v>63</v>
      </c>
      <c r="N9" s="9" t="s">
        <v>65</v>
      </c>
      <c r="O9" s="22" t="s">
        <v>50</v>
      </c>
      <c r="P9" s="22"/>
      <c r="Q9" s="22"/>
      <c r="S9" s="18" t="s">
        <v>77</v>
      </c>
      <c r="T9" s="2">
        <f>IFERROR(SUMIFS(Tabel1342323[Total/hour],Tabel1342323[type],"E20",Tabel1342323[resolution],"PT15M",Tabel1342323[from_ga],$AH$2),0)</f>
        <v>100</v>
      </c>
      <c r="V9" s="18"/>
      <c r="Y9" s="18"/>
      <c r="Z9" s="18"/>
      <c r="AA9" s="18"/>
      <c r="AB9" s="18"/>
      <c r="AC9" s="18"/>
      <c r="AD9" s="21"/>
      <c r="AE9" s="18"/>
      <c r="AG9" s="18"/>
      <c r="AH9" s="27"/>
      <c r="AI9" s="27"/>
      <c r="AJ9" s="27"/>
      <c r="AK9" s="27"/>
      <c r="AL9" s="27"/>
      <c r="AM9" s="18"/>
      <c r="AN9" s="18"/>
    </row>
    <row r="10" spans="1:96" x14ac:dyDescent="0.35">
      <c r="C10" s="9" t="s">
        <v>88</v>
      </c>
      <c r="D10" s="9" t="s">
        <v>54</v>
      </c>
      <c r="E10" s="9"/>
      <c r="F10" s="10"/>
      <c r="G10" s="11">
        <v>25</v>
      </c>
      <c r="H10" s="11">
        <v>25</v>
      </c>
      <c r="I10" s="11">
        <v>25</v>
      </c>
      <c r="J10" s="11">
        <v>25</v>
      </c>
      <c r="K10" s="33">
        <f>IF(SUM(Tabel1342323[[#This Row],[Quarter1]:[Quarter4]])=0,"",SUM(Tabel1342323[[#This Row],[Quarter1]:[Quarter4]]))</f>
        <v>100</v>
      </c>
      <c r="L10" s="9" t="s">
        <v>56</v>
      </c>
      <c r="M10" s="9"/>
      <c r="N10" s="9"/>
      <c r="O10" s="22" t="s">
        <v>50</v>
      </c>
      <c r="P10" s="22" t="s">
        <v>50</v>
      </c>
      <c r="Q10" s="22" t="s">
        <v>51</v>
      </c>
      <c r="S10" s="18" t="s">
        <v>78</v>
      </c>
      <c r="T10" s="2">
        <f>IFERROR(SUMIFS(Tabel1342323[Total/hour],Tabel1342323[type],"E20",Tabel1342323[resolution],"PT1H",Tabel1342323[from_ga],$AH$2),0)</f>
        <v>0</v>
      </c>
      <c r="V10" s="18"/>
      <c r="Y10" s="18"/>
      <c r="Z10" s="18"/>
      <c r="AA10" s="18"/>
      <c r="AB10" s="18"/>
      <c r="AC10" s="18"/>
      <c r="AD10" s="21"/>
      <c r="AE10" s="18"/>
      <c r="AG10" s="21"/>
      <c r="AH10" s="28"/>
      <c r="AI10" s="28"/>
      <c r="AJ10" s="28"/>
      <c r="AK10" s="28"/>
      <c r="AL10" s="27"/>
      <c r="AM10" s="18"/>
      <c r="AN10" s="18"/>
    </row>
    <row r="11" spans="1:96" x14ac:dyDescent="0.35">
      <c r="C11" s="9" t="s">
        <v>84</v>
      </c>
      <c r="D11" s="9" t="s">
        <v>54</v>
      </c>
      <c r="E11" s="9"/>
      <c r="F11" s="10"/>
      <c r="G11" s="11">
        <v>80</v>
      </c>
      <c r="H11" s="11"/>
      <c r="I11" s="11"/>
      <c r="J11" s="11"/>
      <c r="K11" s="33">
        <f>IF(SUM(Tabel1342323[[#This Row],[Quarter1]:[Quarter4]])=0,"",SUM(Tabel1342323[[#This Row],[Quarter1]:[Quarter4]]))</f>
        <v>80</v>
      </c>
      <c r="L11" s="9" t="s">
        <v>47</v>
      </c>
      <c r="M11" s="9"/>
      <c r="N11" s="9"/>
      <c r="O11" s="22" t="s">
        <v>85</v>
      </c>
      <c r="P11" s="22" t="s">
        <v>85</v>
      </c>
      <c r="Q11" s="22" t="s">
        <v>50</v>
      </c>
      <c r="V11" s="18"/>
      <c r="Y11" s="18"/>
      <c r="Z11" s="18"/>
      <c r="AA11" s="18"/>
      <c r="AB11" s="18"/>
      <c r="AC11" s="18"/>
      <c r="AD11" s="21"/>
      <c r="AE11" s="18"/>
      <c r="AG11" s="21"/>
      <c r="AH11" s="28"/>
      <c r="AI11" s="28"/>
      <c r="AJ11" s="28"/>
      <c r="AK11" s="28"/>
      <c r="AL11" s="27"/>
      <c r="AM11" s="18"/>
      <c r="AN11" s="18"/>
    </row>
    <row r="12" spans="1:96" x14ac:dyDescent="0.35">
      <c r="C12" s="9"/>
      <c r="D12" s="9"/>
      <c r="E12" s="9"/>
      <c r="F12" s="10"/>
      <c r="G12" s="11"/>
      <c r="H12" s="11"/>
      <c r="I12" s="11"/>
      <c r="J12" s="11"/>
      <c r="K12" s="33"/>
      <c r="L12" s="9"/>
      <c r="M12" s="9"/>
      <c r="N12" s="9"/>
      <c r="O12" s="22"/>
      <c r="P12" s="22"/>
      <c r="Q12" s="22"/>
      <c r="V12" s="18"/>
      <c r="Y12" s="18"/>
      <c r="Z12" s="18"/>
      <c r="AA12" s="18"/>
      <c r="AB12" s="18"/>
      <c r="AC12" s="18"/>
      <c r="AD12" s="21"/>
      <c r="AE12" s="18"/>
      <c r="AG12" s="21"/>
      <c r="AH12" s="28"/>
      <c r="AN12" s="18"/>
    </row>
    <row r="13" spans="1:96" x14ac:dyDescent="0.35">
      <c r="C13" s="9"/>
      <c r="D13" s="9"/>
      <c r="E13" s="9"/>
      <c r="F13" s="10"/>
      <c r="G13" s="11"/>
      <c r="H13" s="11"/>
      <c r="I13" s="11"/>
      <c r="J13" s="11"/>
      <c r="K13" s="33" t="str">
        <f>IF(SUM(Tabel1342323[[#This Row],[Quarter1]:[Quarter4]])=0,"",SUM(Tabel1342323[[#This Row],[Quarter1]:[Quarter4]]))</f>
        <v/>
      </c>
      <c r="L13" s="9"/>
      <c r="M13" s="9"/>
      <c r="N13" s="9"/>
      <c r="O13" s="22"/>
      <c r="P13" s="22"/>
      <c r="Q13" s="22"/>
      <c r="V13" s="18"/>
      <c r="Y13" s="18"/>
      <c r="Z13" s="18"/>
      <c r="AA13" s="18"/>
      <c r="AB13" s="18"/>
      <c r="AC13" s="18"/>
      <c r="AD13" s="21"/>
      <c r="AE13" s="18"/>
      <c r="AG13" s="2"/>
      <c r="AH13" s="28"/>
    </row>
    <row r="14" spans="1:96" x14ac:dyDescent="0.35">
      <c r="C14" s="9"/>
      <c r="D14" s="9"/>
      <c r="E14" s="9"/>
      <c r="F14" s="10"/>
      <c r="G14" s="11"/>
      <c r="H14" s="11"/>
      <c r="I14" s="11"/>
      <c r="J14" s="11"/>
      <c r="K14" s="33" t="str">
        <f>IF(SUM(Tabel1342323[[#This Row],[Quarter1]:[Quarter4]])=0,"",SUM(Tabel1342323[[#This Row],[Quarter1]:[Quarter4]]))</f>
        <v/>
      </c>
      <c r="L14" s="9"/>
      <c r="M14" s="9"/>
      <c r="N14" s="9"/>
      <c r="O14" s="22"/>
      <c r="P14" s="22"/>
      <c r="Q14" s="22"/>
      <c r="R14" s="2"/>
      <c r="S14" s="2"/>
      <c r="T14" s="2"/>
      <c r="U14" s="2"/>
      <c r="V14" s="18"/>
      <c r="Y14" s="19" t="s">
        <v>67</v>
      </c>
      <c r="Z14" s="14" t="s">
        <v>32</v>
      </c>
      <c r="AA14" s="14" t="s">
        <v>33</v>
      </c>
      <c r="AB14" s="14" t="s">
        <v>34</v>
      </c>
      <c r="AC14" s="14" t="s">
        <v>35</v>
      </c>
      <c r="AD14" s="21"/>
      <c r="AE14" s="21"/>
      <c r="AF14" s="2"/>
      <c r="AG14" s="2"/>
      <c r="AH14" s="28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1:96" x14ac:dyDescent="0.35">
      <c r="C15" s="12"/>
      <c r="D15" s="9"/>
      <c r="E15" s="9"/>
      <c r="F15" s="10"/>
      <c r="G15" s="11"/>
      <c r="H15" s="11"/>
      <c r="I15" s="11"/>
      <c r="J15" s="11"/>
      <c r="K15" s="33" t="str">
        <f>IF(SUM(Tabel1342323[[#This Row],[Quarter1]:[Quarter4]])=0,"",SUM(Tabel1342323[[#This Row],[Quarter1]:[Quarter4]]))</f>
        <v/>
      </c>
      <c r="L15" s="9"/>
      <c r="M15" s="9"/>
      <c r="N15" s="9"/>
      <c r="O15" s="22"/>
      <c r="P15" s="22"/>
      <c r="Q15" s="22"/>
      <c r="R15" s="2"/>
      <c r="S15" s="2"/>
      <c r="T15" s="2"/>
      <c r="U15" s="2"/>
      <c r="W15" s="20" t="str" cm="1">
        <f t="array" ref="W15:W19">INDEX(_xlfn._xlws.FILTER(Tabel1342323[[mp id]:[Quarter4]],(Tabel1342323[type]="E17")*(Tabel1342323[Quarter4]&lt;&gt;"glmp"),""),,1)</f>
        <v>170000000150001000</v>
      </c>
      <c r="X15" s="21" cm="1">
        <f t="array" ref="X15:X19">INDEX(_xlfn._xlws.FILTER(Tabel1342323[[mp id]:[Quarter4]],(Tabel1342323[type]="E17")*(Tabel1342323[Quarter4]&lt;&gt;"glmp"),""),,6)</f>
        <v>0</v>
      </c>
      <c r="Y15" s="21" t="str" cm="1">
        <f t="array" ref="Y15:Y19">INDEX(_xlfn._xlws.FILTER(Tabel1342323[[mp id]:[Quarter4]],(Tabel1342323[type]="E17")*(Tabel1342323[Quarter4]&lt;&gt;"glmp"),""),,3)</f>
        <v>glmp</v>
      </c>
      <c r="Z15" s="31">
        <v>4</v>
      </c>
      <c r="AA15" s="31"/>
      <c r="AB15" s="31"/>
      <c r="AC15" s="31"/>
      <c r="AD15" s="21"/>
      <c r="AE15" s="21"/>
      <c r="AF15" s="2"/>
      <c r="AG15" s="2"/>
      <c r="AH15" s="28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</row>
    <row r="16" spans="1:96" x14ac:dyDescent="0.35">
      <c r="C16" s="12"/>
      <c r="D16" s="9"/>
      <c r="E16" s="9"/>
      <c r="F16" s="10"/>
      <c r="G16" s="11"/>
      <c r="H16" s="11"/>
      <c r="I16" s="11"/>
      <c r="J16" s="11"/>
      <c r="K16" s="33" t="str">
        <f>IF(SUM(Tabel1342323[[#This Row],[Quarter1]:[Quarter4]])=0,"",SUM(Tabel1342323[[#This Row],[Quarter1]:[Quarter4]]))</f>
        <v/>
      </c>
      <c r="L16" s="9"/>
      <c r="M16" s="9"/>
      <c r="N16" s="9"/>
      <c r="O16" s="22"/>
      <c r="P16" s="22"/>
      <c r="Q16" s="22"/>
      <c r="R16" s="2"/>
      <c r="S16" s="2"/>
      <c r="T16" s="2"/>
      <c r="U16" s="2"/>
      <c r="W16" s="19" t="str">
        <v>170000000150000101</v>
      </c>
      <c r="X16" s="18">
        <v>3</v>
      </c>
      <c r="Y16" s="18">
        <v>0</v>
      </c>
      <c r="Z16" s="31">
        <v>3</v>
      </c>
      <c r="AA16" s="31"/>
      <c r="AB16" s="31">
        <v>4</v>
      </c>
      <c r="AC16" s="31"/>
      <c r="AD16" s="21"/>
      <c r="AE16" s="21"/>
      <c r="AF16" s="2"/>
      <c r="AG16" s="2"/>
      <c r="AH16" s="28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</row>
    <row r="17" spans="1:96" x14ac:dyDescent="0.35">
      <c r="C17" s="9"/>
      <c r="D17" s="9"/>
      <c r="E17" s="9"/>
      <c r="F17" s="10"/>
      <c r="G17" s="11"/>
      <c r="H17" s="11"/>
      <c r="I17" s="11"/>
      <c r="J17" s="11"/>
      <c r="K17" s="33" t="str">
        <f>IF(SUM(Tabel1342323[[#This Row],[Quarter1]:[Quarter4]])=0,"",SUM(Tabel1342323[[#This Row],[Quarter1]:[Quarter4]]))</f>
        <v/>
      </c>
      <c r="L17" s="9"/>
      <c r="M17" s="9"/>
      <c r="N17" s="9"/>
      <c r="O17" s="22"/>
      <c r="P17" s="22"/>
      <c r="Q17" s="22"/>
      <c r="R17" s="2"/>
      <c r="S17" s="2"/>
      <c r="T17" s="2"/>
      <c r="U17" s="2"/>
      <c r="W17" s="19" t="str">
        <v>170000000000000102</v>
      </c>
      <c r="X17" s="18">
        <v>0</v>
      </c>
      <c r="Y17" s="18">
        <v>0</v>
      </c>
      <c r="Z17" s="32">
        <v>3</v>
      </c>
      <c r="AA17" s="31">
        <v>5</v>
      </c>
      <c r="AB17" s="31"/>
      <c r="AC17" s="31"/>
      <c r="AD17" s="21"/>
      <c r="AE17" s="21"/>
      <c r="AF17" s="2"/>
      <c r="AG17" s="2"/>
      <c r="AH17" s="28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</row>
    <row r="18" spans="1:96" x14ac:dyDescent="0.35">
      <c r="C18" s="9"/>
      <c r="D18" s="9"/>
      <c r="E18" s="9"/>
      <c r="F18" s="10"/>
      <c r="G18" s="11"/>
      <c r="H18" s="11"/>
      <c r="I18" s="11"/>
      <c r="J18" s="11"/>
      <c r="K18" s="33" t="str">
        <f>IF(SUM(Tabel1342323[[#This Row],[Quarter1]:[Quarter4]])=0,"",SUM(Tabel1342323[[#This Row],[Quarter1]:[Quarter4]]))</f>
        <v/>
      </c>
      <c r="L18" s="9"/>
      <c r="M18" s="9"/>
      <c r="N18" s="9"/>
      <c r="O18" s="22"/>
      <c r="P18" s="22"/>
      <c r="Q18" s="22"/>
      <c r="R18" s="2"/>
      <c r="S18" s="2"/>
      <c r="T18" s="2"/>
      <c r="U18" s="2"/>
      <c r="W18" s="19" t="str">
        <v>170000000150000201</v>
      </c>
      <c r="X18" s="18">
        <v>5</v>
      </c>
      <c r="Y18" s="18">
        <v>0</v>
      </c>
      <c r="Z18" s="32"/>
      <c r="AA18" s="31"/>
      <c r="AB18" s="31"/>
      <c r="AC18" s="31"/>
      <c r="AD18" s="21"/>
      <c r="AE18" s="21"/>
      <c r="AF18" s="2"/>
      <c r="AG18" s="2"/>
      <c r="AH18" s="28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</row>
    <row r="19" spans="1:96" x14ac:dyDescent="0.35">
      <c r="C19" s="9"/>
      <c r="D19" s="9"/>
      <c r="E19" s="9"/>
      <c r="F19" s="10"/>
      <c r="G19" s="11"/>
      <c r="H19" s="11"/>
      <c r="I19" s="11"/>
      <c r="J19" s="11"/>
      <c r="K19" s="33" t="str">
        <f>IF(SUM(Tabel1342323[[#This Row],[Quarter1]:[Quarter4]])=0,"",SUM(Tabel1342323[[#This Row],[Quarter1]:[Quarter4]]))</f>
        <v/>
      </c>
      <c r="L19" s="9"/>
      <c r="M19" s="9"/>
      <c r="N19" s="9"/>
      <c r="O19" s="22"/>
      <c r="P19" s="22"/>
      <c r="Q19" s="22"/>
      <c r="R19" s="2"/>
      <c r="S19" s="2"/>
      <c r="T19" s="2"/>
      <c r="U19" s="2"/>
      <c r="W19" s="19" t="str">
        <v>170000000000000202</v>
      </c>
      <c r="X19" s="18">
        <v>0</v>
      </c>
      <c r="Y19" s="18">
        <v>0</v>
      </c>
      <c r="Z19" s="32"/>
      <c r="AA19" s="31"/>
      <c r="AB19" s="31"/>
      <c r="AC19" s="31"/>
      <c r="AD19" s="21"/>
      <c r="AE19" s="21"/>
      <c r="AF19" s="2"/>
      <c r="AG19" s="2"/>
      <c r="AH19" s="28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</row>
    <row r="20" spans="1:96" ht="23.5" x14ac:dyDescent="0.55000000000000004">
      <c r="E20" s="35" t="str">
        <f>CONCATENATE(B2,"_per_",B1)</f>
        <v>production_per_ga_brp_es</v>
      </c>
      <c r="F20" s="35"/>
      <c r="G20" s="35"/>
      <c r="H20" s="35"/>
      <c r="I20" s="34" t="s">
        <v>14</v>
      </c>
      <c r="J20" s="34"/>
      <c r="W20" s="19"/>
      <c r="X20" s="18"/>
      <c r="Y20" s="18"/>
      <c r="Z20" s="32"/>
      <c r="AA20" s="31"/>
      <c r="AB20" s="31"/>
      <c r="AC20" s="31"/>
      <c r="AD20" s="21"/>
      <c r="AE20" s="21"/>
      <c r="AF20" s="2"/>
      <c r="AG20" s="2"/>
      <c r="AH20" s="28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</row>
    <row r="21" spans="1:96" ht="18.5" x14ac:dyDescent="0.45">
      <c r="C21" s="3" t="s">
        <v>17</v>
      </c>
      <c r="D21" s="3" t="s">
        <v>16</v>
      </c>
      <c r="E21" s="4" t="s">
        <v>12</v>
      </c>
      <c r="F21" s="5" t="s">
        <v>0</v>
      </c>
      <c r="G21" s="5" t="s">
        <v>1</v>
      </c>
      <c r="H21" s="5" t="s">
        <v>2</v>
      </c>
      <c r="I21" s="6" t="s">
        <v>81</v>
      </c>
      <c r="J21" s="7" t="s">
        <v>36</v>
      </c>
      <c r="L21" s="2"/>
      <c r="M21" s="2"/>
      <c r="N21" s="2"/>
      <c r="O21" s="2"/>
      <c r="P21" s="2"/>
      <c r="Q21" s="2"/>
      <c r="R21" s="2"/>
      <c r="S21" s="2"/>
      <c r="T21" s="2"/>
      <c r="U21" s="2"/>
      <c r="W21" s="19"/>
      <c r="X21" s="18"/>
      <c r="Y21" s="18"/>
      <c r="Z21" s="32"/>
      <c r="AA21" s="31"/>
      <c r="AB21" s="31"/>
      <c r="AC21" s="31"/>
      <c r="AD21" s="21"/>
      <c r="AE21" s="21"/>
      <c r="AF21" s="2"/>
      <c r="AG21" s="2"/>
      <c r="AH21" s="28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spans="1:96" x14ac:dyDescent="0.35">
      <c r="A22" s="2"/>
      <c r="C22" s="15" t="str">
        <f>IF(AND(F22&lt;&gt;"null",F22&lt;&gt;""),IF(F22=INDEX(Tabel1342323[es_id],MATCH("glmp",Tabel1342323[GLMP/SKMP?],0),1),"glmp",""),IF(AND(G22&lt;&gt;"null",G22&lt;&gt;""),IF(G22=INDEX(Tabel1342323[brp_id],MATCH("glmp",Tabel1342323[GLMP/SKMP?],0),1),"glmp",""),IF(E22=INDEX(Tabel1342323[ga_id],MATCH("glmp",Tabel1342323[GLMP/SKMP?],0),1),"glmp","")))</f>
        <v/>
      </c>
      <c r="D22" s="15" t="str">
        <f>IF(AND(F22&lt;&gt;"null",F22&lt;&gt;""),IF(F22=INDEX(Tabel1342323[es_id],MATCH("skmp",Tabel1342323[GLMP/SKMP?],0),1),"skmp",""),IF(AND(G22&lt;&gt;"null",G22&lt;&gt;""),IF(G22=INDEX(Tabel1342323[brp_id],MATCH("skmp",Tabel1342323[GLMP/SKMP?],0),1),"skmp",""),IF(E22=INDEX(Tabel1342323[ga_id],MATCH("skmp",Tabel1342323[GLMP/SKMP?],0),1),"skmp","")))</f>
        <v>skmp</v>
      </c>
      <c r="E22" s="24" t="str">
        <f t="shared" ref="E22:E45" si="0">IF(B$1="ga",IF(ROW()=22,$AH$2,""),IF(OR(B$1="ga_es",B$1="ga_brp_es"),IF(AND(ROW()&lt;22+(COUNTA(AI$2:AI$11)),ROW()&gt;21),$AH$2,""),IF(B$1="ga_brp",IF(AND(ROW()&lt;22+(COUNTA(AJ$2:AJ$11)),ROW()&gt;21),$AH$2,""))))</f>
        <v>800</v>
      </c>
      <c r="F22" s="24" t="str">
        <f t="shared" ref="F22:F39" si="1">IF(B$1="ga",IF(E22="","","null"),IF(OR(B$1="ga_es",B$1="ga_brp_es"),IF(AI2=0,"",AI2),IF(B$1="ga_brp",IF(E22="","","null"))))</f>
        <v>2000000000000</v>
      </c>
      <c r="G22" s="24" t="str">
        <f>IF(B$1="ga",IF(E22="","","null"),IF(B$1="ga_es",IF(F22="","","null"),IF(B$1="ga_brp",IF(AJ2=0,"",AJ2),IF(F22="","",INDEX(Tabel1342323[brp_id],MATCH(F22,Tabel1342323[es_id],0),1)))))</f>
        <v>2200000000000</v>
      </c>
      <c r="H22" s="26" t="e">
        <f t="shared" ref="H22:H45" si="2">SUBSTITUTE(IF(E22="","",I22+J22),",",".")</f>
        <v>#VALUE!</v>
      </c>
      <c r="I22" s="8" t="str">
        <f>IF(B$2&lt;&gt;"production",IF(OR(B$1="ga_es",B$1="ga_brp_es"),SUMIFS(Tabel1342323[Total/hour],Tabel1342323[es_id],F22,Tabel1342323[settlement_method],AK$2),IF(B$1="ga_brp",SUMIFS(Tabel1342323[Total/hour],Tabel1342323[brp_id],G22,Tabel1342323[settlement_method],AK$2),SUMIFS(Tabel1342323[Total/hour],Tabel1342323[ga_id],E22,Tabel1342323[settlement_method],AK$2))),"noget andet")</f>
        <v>noget andet</v>
      </c>
      <c r="J22" s="8">
        <f t="shared" ref="J22:J45" si="3">IF(AND(D22="skmp",B$2="production"),negGridLoss,IF(AND(C22="glmp",B$2="flex_consumption"),posGridLoss,0))</f>
        <v>0</v>
      </c>
      <c r="K22" s="2"/>
      <c r="L22" s="2"/>
      <c r="M22" s="21"/>
      <c r="N22" s="2"/>
      <c r="O22" s="2"/>
      <c r="P22" s="2"/>
      <c r="Q22" s="2"/>
      <c r="R22" s="2"/>
      <c r="S22" s="2"/>
      <c r="T22" s="2"/>
      <c r="U22" s="2"/>
      <c r="W22" s="19"/>
      <c r="X22" s="18"/>
      <c r="Y22" s="18"/>
      <c r="Z22" s="32"/>
      <c r="AA22" s="31"/>
      <c r="AB22" s="31"/>
      <c r="AC22" s="31"/>
      <c r="AD22" s="21"/>
      <c r="AE22" s="21"/>
      <c r="AF22" s="2"/>
      <c r="AG22" s="2"/>
      <c r="AH22" s="28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</row>
    <row r="23" spans="1:96" x14ac:dyDescent="0.35">
      <c r="C23" s="15" t="str">
        <f>IF(AND(F23&lt;&gt;"null",F23&lt;&gt;""),IF(F23=INDEX(Tabel1342323[es_id],MATCH("glmp",Tabel1342323[GLMP/SKMP?],0),1),"glmp",""),IF(AND(G23&lt;&gt;"null",G23&lt;&gt;""),IF(G23=INDEX(Tabel1342323[brp_id],MATCH("glmp",Tabel1342323[GLMP/SKMP?],0),1),"glmp",""),IF(E23=INDEX(Tabel1342323[ga_id],MATCH("glmp",Tabel1342323[GLMP/SKMP?],0),1),"glmp","")))</f>
        <v/>
      </c>
      <c r="D23" s="15" t="str">
        <f>IF(AND(F23&lt;&gt;"null",F23&lt;&gt;""),IF(F23=INDEX(Tabel1342323[es_id],MATCH("skmp",Tabel1342323[GLMP/SKMP?],0),1),"skmp",""),IF(AND(G23&lt;&gt;"null",G23&lt;&gt;""),IF(G23=INDEX(Tabel1342323[brp_id],MATCH("skmp",Tabel1342323[GLMP/SKMP?],0),1),"skmp",""),IF(E23=INDEX(Tabel1342323[ga_id],MATCH("skmp",Tabel1342323[GLMP/SKMP?],0),1),"skmp","")))</f>
        <v/>
      </c>
      <c r="E23" s="24" t="str">
        <f t="shared" si="0"/>
        <v>800</v>
      </c>
      <c r="F23" s="24" t="str">
        <f t="shared" si="1"/>
        <v>3000000000000</v>
      </c>
      <c r="G23" s="24" t="str">
        <f>IF(B$1="ga",IF(E23="","","null"),IF(B$1="ga_es",IF(F23="","","null"),IF(B$1="ga_brp",IF(AJ3=0,"",AJ3),IF(F23="","",INDEX(Tabel1342323[brp_id],MATCH(F23,Tabel1342323[es_id],0),1)))))</f>
        <v>3300000000000</v>
      </c>
      <c r="H23" s="26" t="e">
        <f t="shared" si="2"/>
        <v>#VALUE!</v>
      </c>
      <c r="I23" s="8" t="str">
        <f>IF(B$2&lt;&gt;"production",IF(OR(B$1="ga_es",B$1="ga_brp_es"),SUMIFS(Tabel1342323[Total/hour],Tabel1342323[es_id],F23,Tabel1342323[settlement_method],AK$2),IF(B$1="ga_brp",SUMIFS(Tabel1342323[Total/hour],Tabel1342323[brp_id],G23,Tabel1342323[settlement_method],AK$2),"noget andet")),"noget andet")</f>
        <v>noget andet</v>
      </c>
      <c r="J23" s="8">
        <f t="shared" si="3"/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W23" s="19"/>
      <c r="X23" s="18"/>
      <c r="Y23" s="18"/>
      <c r="Z23" s="32"/>
      <c r="AA23" s="31"/>
      <c r="AB23" s="31"/>
      <c r="AC23" s="31"/>
      <c r="AD23" s="21" t="str" cm="1">
        <f t="array" ref="AD23">_xlfn._xlws.SORT(_xlfn.UNIQUE(IFERROR(INDEX(_xlfn._xlws.FILTER(#REF!,(Tabel1342323[Quarter3]=AI6)*(#REF!="D01"),""),,6),"")))</f>
        <v/>
      </c>
      <c r="AE23" s="21"/>
      <c r="AF23" s="2"/>
      <c r="AG23" s="2"/>
      <c r="AH23" s="28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</row>
    <row r="24" spans="1:96" x14ac:dyDescent="0.35">
      <c r="C24" s="15" t="str">
        <f>IF(AND(F24&lt;&gt;"null",F24&lt;&gt;""),IF(F24=INDEX(Tabel1342323[es_id],MATCH("glmp",Tabel1342323[GLMP/SKMP?],0),1),"glmp",""),IF(AND(G24&lt;&gt;"null",G24&lt;&gt;""),IF(G24=INDEX(Tabel1342323[brp_id],MATCH("glmp",Tabel1342323[GLMP/SKMP?],0),1),"glmp",""),IF(E24=INDEX(Tabel1342323[ga_id],MATCH("glmp",Tabel1342323[GLMP/SKMP?],0),1),"glmp","")))</f>
        <v/>
      </c>
      <c r="D24" s="15" t="str">
        <f>IF(AND(F24&lt;&gt;"null",F24&lt;&gt;""),IF(F24=INDEX(Tabel1342323[es_id],MATCH("skmp",Tabel1342323[GLMP/SKMP?],0),1),"skmp",""),IF(AND(G24&lt;&gt;"null",G24&lt;&gt;""),IF(G24=INDEX(Tabel1342323[brp_id],MATCH("skmp",Tabel1342323[GLMP/SKMP?],0),1),"skmp",""),IF(E24=INDEX(Tabel1342323[ga_id],MATCH("skmp",Tabel1342323[GLMP/SKMP?],0),1),"skmp","")))</f>
        <v/>
      </c>
      <c r="E24" s="24" t="str">
        <f t="shared" si="0"/>
        <v/>
      </c>
      <c r="F24" s="24" t="str">
        <f t="shared" si="1"/>
        <v/>
      </c>
      <c r="G24" s="24" t="str">
        <f>IF(B$1="ga",IF(E24="","","null"),IF(B$1="ga_es",IF(F24="","","null"),IF(B$1="ga_brp",IF(AJ4=0,"",AJ4),IF(F24="","",INDEX(Tabel1342323[brp_id],MATCH(F24,Tabel1342323[es_id],0),1)))))</f>
        <v/>
      </c>
      <c r="H24" s="26" t="str">
        <f t="shared" si="2"/>
        <v/>
      </c>
      <c r="I24" s="8" t="str">
        <f>IF(B$2&lt;&gt;"production",IF(OR(B$1="ga_es",B$1="ga_brp_es"),SUMIFS(Tabel1342323[Total/hour],Tabel1342323[es_id],F24,Tabel1342323[settlement_method],AK$2),IF(B$1="ga_brp",SUMIFS(Tabel1342323[Total/hour],Tabel1342323[brp_id],G24,Tabel1342323[settlement_method],AK$2),"noget andet")),"noget andet")</f>
        <v>noget andet</v>
      </c>
      <c r="J24" s="8">
        <f t="shared" si="3"/>
        <v>0</v>
      </c>
      <c r="L24" s="2"/>
      <c r="M24" s="2"/>
      <c r="P24" s="2"/>
      <c r="Q24" s="2"/>
      <c r="R24" s="2"/>
      <c r="S24" s="2"/>
      <c r="T24" s="2"/>
      <c r="U24" s="2"/>
      <c r="W24" s="19"/>
      <c r="X24" s="18"/>
      <c r="Y24" s="18"/>
      <c r="Z24" s="32"/>
      <c r="AA24" s="31"/>
      <c r="AB24" s="31"/>
      <c r="AC24" s="31"/>
      <c r="AD24" s="21" t="str" cm="1">
        <f t="array" ref="AD24">_xlfn._xlws.SORT(_xlfn.UNIQUE(IFERROR(INDEX(_xlfn._xlws.FILTER(#REF!,(Tabel1342323[Quarter3]=AI7)*(#REF!="D01"),""),,6),"")))</f>
        <v/>
      </c>
      <c r="AE24" s="21"/>
      <c r="AF24" s="2"/>
      <c r="AG24" s="2"/>
      <c r="AH24" s="28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</row>
    <row r="25" spans="1:96" x14ac:dyDescent="0.35">
      <c r="C25" s="15" t="str">
        <f>IF(AND(F25&lt;&gt;"null",F25&lt;&gt;""),IF(F25=INDEX(Tabel1342323[es_id],MATCH("glmp",Tabel1342323[GLMP/SKMP?],0),1),"glmp",""),IF(AND(G25&lt;&gt;"null",G25&lt;&gt;""),IF(G25=INDEX(Tabel1342323[brp_id],MATCH("glmp",Tabel1342323[GLMP/SKMP?],0),1),"glmp",""),IF(E25=INDEX(Tabel1342323[ga_id],MATCH("glmp",Tabel1342323[GLMP/SKMP?],0),1),"glmp","")))</f>
        <v/>
      </c>
      <c r="D25" s="15" t="str">
        <f>IF(AND(F25&lt;&gt;"null",F25&lt;&gt;""),IF(F25=INDEX(Tabel1342323[es_id],MATCH("skmp",Tabel1342323[GLMP/SKMP?],0),1),"skmp",""),IF(AND(G25&lt;&gt;"null",G25&lt;&gt;""),IF(G25=INDEX(Tabel1342323[brp_id],MATCH("skmp",Tabel1342323[GLMP/SKMP?],0),1),"skmp",""),IF(E25=INDEX(Tabel1342323[ga_id],MATCH("skmp",Tabel1342323[GLMP/SKMP?],0),1),"skmp","")))</f>
        <v/>
      </c>
      <c r="E25" s="24" t="str">
        <f t="shared" si="0"/>
        <v/>
      </c>
      <c r="F25" s="24" t="str">
        <f t="shared" si="1"/>
        <v/>
      </c>
      <c r="G25" s="24" t="str">
        <f>IF(B$1="ga",IF(E25="","","null"),IF(B$1="ga_es",IF(F25="","","null"),IF(B$1="ga_brp",IF(AJ5=0,"",AJ5),IF(F25="","",INDEX(Tabel1342323[brp_id],MATCH(F25,Tabel1342323[es_id],0),1)))))</f>
        <v/>
      </c>
      <c r="H25" s="26" t="str">
        <f t="shared" si="2"/>
        <v/>
      </c>
      <c r="I25" s="8" t="str">
        <f>IF(B$2&lt;&gt;"production",IF(OR(B$1="ga_es",B$1="ga_brp_es"),SUMIFS(Tabel1342323[Total/hour],Tabel1342323[es_id],F25,Tabel1342323[settlement_method],AK$2),IF(B$1="ga_brp",SUMIFS(Tabel1342323[Total/hour],Tabel1342323[brp_id],G25,Tabel1342323[settlement_method],AK$2),"noget andet")),"noget andet")</f>
        <v>noget andet</v>
      </c>
      <c r="J25" s="8">
        <f t="shared" si="3"/>
        <v>0</v>
      </c>
      <c r="L25" s="2"/>
      <c r="M25" s="2"/>
      <c r="P25" s="2"/>
      <c r="Q25" s="2"/>
      <c r="R25" s="2"/>
      <c r="S25" s="2"/>
      <c r="T25" s="2"/>
      <c r="U25" s="2"/>
      <c r="W25" s="19"/>
      <c r="X25" s="18"/>
      <c r="Y25" s="18"/>
      <c r="Z25" s="32"/>
      <c r="AA25" s="31"/>
      <c r="AB25" s="31"/>
      <c r="AC25" s="31"/>
      <c r="AD25" s="18"/>
      <c r="AE25" s="21"/>
      <c r="AF25" s="2"/>
      <c r="AG25" s="2"/>
      <c r="AH25" s="28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</row>
    <row r="26" spans="1:96" x14ac:dyDescent="0.35">
      <c r="C26" s="15" t="str">
        <f>IF(AND(F26&lt;&gt;"null",F26&lt;&gt;""),IF(F26=INDEX(Tabel1342323[es_id],MATCH("glmp",Tabel1342323[GLMP/SKMP?],0),1),"glmp",""),IF(AND(G26&lt;&gt;"null",G26&lt;&gt;""),IF(G26=INDEX(Tabel1342323[brp_id],MATCH("glmp",Tabel1342323[GLMP/SKMP?],0),1),"glmp",""),IF(E26=INDEX(Tabel1342323[ga_id],MATCH("glmp",Tabel1342323[GLMP/SKMP?],0),1),"glmp","")))</f>
        <v/>
      </c>
      <c r="D26" s="15" t="str">
        <f>IF(AND(F26&lt;&gt;"null",F26&lt;&gt;""),IF(F26=INDEX(Tabel1342323[es_id],MATCH("skmp",Tabel1342323[GLMP/SKMP?],0),1),"skmp",""),IF(AND(G26&lt;&gt;"null",G26&lt;&gt;""),IF(G26=INDEX(Tabel1342323[brp_id],MATCH("skmp",Tabel1342323[GLMP/SKMP?],0),1),"skmp",""),IF(E26=INDEX(Tabel1342323[ga_id],MATCH("skmp",Tabel1342323[GLMP/SKMP?],0),1),"skmp","")))</f>
        <v/>
      </c>
      <c r="E26" s="24" t="str">
        <f t="shared" si="0"/>
        <v/>
      </c>
      <c r="F26" s="24" t="str">
        <f t="shared" si="1"/>
        <v/>
      </c>
      <c r="G26" s="24" t="str">
        <f>IF(B$1="ga",IF(E26="","","null"),IF(B$1="ga_es",IF(F26="","","null"),IF(B$1="ga_brp",IF(AJ6=0,"",AJ6),IF(F26="","",INDEX(Tabel1342323[brp_id],MATCH(F26,Tabel1342323[es_id],0),1)))))</f>
        <v/>
      </c>
      <c r="H26" s="26" t="str">
        <f t="shared" si="2"/>
        <v/>
      </c>
      <c r="I26" s="8" t="str">
        <f>IF(B$2&lt;&gt;"production",IF(OR(B$1="ga_es",B$1="ga_brp_es"),SUMIFS(Tabel1342323[Total/hour],Tabel1342323[es_id],F26,Tabel1342323[settlement_method],AK$2),IF(B$1="ga_brp",SUMIFS(Tabel1342323[Total/hour],Tabel1342323[brp_id],G26,Tabel1342323[settlement_method],AK$2),"noget andet")),"noget andet")</f>
        <v>noget andet</v>
      </c>
      <c r="J26" s="8">
        <f t="shared" si="3"/>
        <v>0</v>
      </c>
      <c r="L26" s="2"/>
      <c r="M26" s="2"/>
      <c r="N26" s="2"/>
      <c r="P26" s="2"/>
      <c r="Q26" s="2"/>
      <c r="R26" s="2"/>
      <c r="S26" s="2"/>
      <c r="T26" s="2"/>
      <c r="U26" s="2"/>
      <c r="W26" s="19" t="s">
        <v>68</v>
      </c>
      <c r="X26" s="18"/>
      <c r="Y26" s="18"/>
      <c r="Z26" s="14" t="s">
        <v>32</v>
      </c>
      <c r="AA26" s="14" t="s">
        <v>33</v>
      </c>
      <c r="AB26" s="14" t="s">
        <v>34</v>
      </c>
      <c r="AC26" s="14" t="s">
        <v>35</v>
      </c>
      <c r="AD26" s="18"/>
      <c r="AE26" s="21"/>
      <c r="AF26" s="2"/>
      <c r="AG26" s="2"/>
      <c r="AH26" s="28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</row>
    <row r="27" spans="1:96" x14ac:dyDescent="0.35">
      <c r="C27" s="15" t="str">
        <f>IF(AND(F27&lt;&gt;"null",F27&lt;&gt;""),IF(F27=INDEX(Tabel1342323[es_id],MATCH("glmp",Tabel1342323[GLMP/SKMP?],0),1),"glmp",""),IF(AND(G27&lt;&gt;"null",G27&lt;&gt;""),IF(G27=INDEX(Tabel1342323[brp_id],MATCH("glmp",Tabel1342323[GLMP/SKMP?],0),1),"glmp",""),IF(E27=INDEX(Tabel1342323[ga_id],MATCH("glmp",Tabel1342323[GLMP/SKMP?],0),1),"glmp","")))</f>
        <v/>
      </c>
      <c r="D27" s="15" t="str">
        <f>IF(AND(F27&lt;&gt;"null",F27&lt;&gt;""),IF(F27=INDEX(Tabel1342323[es_id],MATCH("skmp",Tabel1342323[GLMP/SKMP?],0),1),"skmp",""),IF(AND(G27&lt;&gt;"null",G27&lt;&gt;""),IF(G27=INDEX(Tabel1342323[brp_id],MATCH("skmp",Tabel1342323[GLMP/SKMP?],0),1),"skmp",""),IF(E27=INDEX(Tabel1342323[ga_id],MATCH("skmp",Tabel1342323[GLMP/SKMP?],0),1),"skmp","")))</f>
        <v/>
      </c>
      <c r="E27" s="24" t="str">
        <f t="shared" si="0"/>
        <v/>
      </c>
      <c r="F27" s="24" t="str">
        <f t="shared" si="1"/>
        <v/>
      </c>
      <c r="G27" s="24" t="str">
        <f>IF(B$1="ga",IF(E27="","","null"),IF(B$1="ga_es",IF(F27="","","null"),IF(B$1="ga_brp",IF(AJ7=0,"",AJ7),IF(F27="","",INDEX(Tabel1342323[brp_id],MATCH(F27,Tabel1342323[es_id],0),1)))))</f>
        <v/>
      </c>
      <c r="H27" s="26" t="str">
        <f t="shared" si="2"/>
        <v/>
      </c>
      <c r="I27" s="8" t="str">
        <f>IF(B$2&lt;&gt;"production",IF(OR(B$1="ga_es",B$1="ga_brp_es"),SUMIFS(Tabel1342323[Total/hour],Tabel1342323[es_id],F27,Tabel1342323[settlement_method],AK$2),IF(B$1="ga_brp",SUMIFS(Tabel1342323[Total/hour],Tabel1342323[brp_id],G27,Tabel1342323[settlement_method],AK$2),"noget andet")),"noget andet")</f>
        <v>noget andet</v>
      </c>
      <c r="J27" s="8">
        <f t="shared" si="3"/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W27" s="20" t="str" cm="1">
        <f t="array" ref="W27:W29">INDEX(_xlfn._xlws.FILTER(Tabel1342323[[mp id]:[Quarter4]],(Tabel1342323[type]="E18")*(Tabel1342323[Quarter4]&lt;&gt;"skmp"),""),,1)</f>
        <v>180000000150001000</v>
      </c>
      <c r="X27" s="21" cm="1">
        <f t="array" ref="X27:X29">INDEX(_xlfn._xlws.FILTER(Tabel1342323[[mp id]:[Quarter4]],(Tabel1342323[type]="E18")*(Tabel1342323[Quarter4]&lt;&gt;"skmp"),""),,6)</f>
        <v>0</v>
      </c>
      <c r="Y27" s="21"/>
      <c r="Z27" s="31">
        <v>10</v>
      </c>
      <c r="AA27" s="31"/>
      <c r="AB27" s="31"/>
      <c r="AC27" s="31"/>
      <c r="AD27" s="18"/>
      <c r="AE27" s="21"/>
      <c r="AF27" s="2"/>
      <c r="AG27" s="2"/>
      <c r="AH27" s="28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</row>
    <row r="28" spans="1:96" x14ac:dyDescent="0.35">
      <c r="C28" s="15" t="str">
        <f>IF(AND(F28&lt;&gt;"null",F28&lt;&gt;""),IF(F28=INDEX(Tabel1342323[es_id],MATCH("glmp",Tabel1342323[GLMP/SKMP?],0),1),"glmp",""),IF(AND(G28&lt;&gt;"null",G28&lt;&gt;""),IF(G28=INDEX(Tabel1342323[brp_id],MATCH("glmp",Tabel1342323[GLMP/SKMP?],0),1),"glmp",""),IF(E28=INDEX(Tabel1342323[ga_id],MATCH("glmp",Tabel1342323[GLMP/SKMP?],0),1),"glmp","")))</f>
        <v/>
      </c>
      <c r="D28" s="15" t="str">
        <f>IF(AND(F28&lt;&gt;"null",F28&lt;&gt;""),IF(F28=INDEX(Tabel1342323[es_id],MATCH("skmp",Tabel1342323[GLMP/SKMP?],0),1),"skmp",""),IF(AND(G28&lt;&gt;"null",G28&lt;&gt;""),IF(G28=INDEX(Tabel1342323[brp_id],MATCH("skmp",Tabel1342323[GLMP/SKMP?],0),1),"skmp",""),IF(E28=INDEX(Tabel1342323[ga_id],MATCH("skmp",Tabel1342323[GLMP/SKMP?],0),1),"skmp","")))</f>
        <v/>
      </c>
      <c r="E28" s="24" t="str">
        <f t="shared" si="0"/>
        <v/>
      </c>
      <c r="F28" s="24" t="str">
        <f t="shared" si="1"/>
        <v/>
      </c>
      <c r="G28" s="24" t="str">
        <f>IF(B$1="ga",IF(E28="","","null"),IF(B$1="ga_es",IF(F28="","","null"),IF(B$1="ga_brp",IF(AJ8=0,"",AJ8),IF(F28="","",INDEX(Tabel1342323[brp_id],MATCH(F28,Tabel1342323[es_id],0),1)))))</f>
        <v/>
      </c>
      <c r="H28" s="26" t="str">
        <f t="shared" si="2"/>
        <v/>
      </c>
      <c r="I28" s="8" t="str">
        <f>IF(B$2&lt;&gt;"production",IF(OR(B$1="ga_es",B$1="ga_brp_es"),SUMIFS(Tabel1342323[Total/hour],Tabel1342323[es_id],F28,Tabel1342323[settlement_method],AK$2),IF(B$1="ga_brp",SUMIFS(Tabel1342323[Total/hour],Tabel1342323[brp_id],G28,Tabel1342323[settlement_method],AK$2),"noget andet")),"noget andet")</f>
        <v>noget andet</v>
      </c>
      <c r="J28" s="8">
        <f t="shared" si="3"/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W28" s="19" t="str">
        <v>180000000150000001</v>
      </c>
      <c r="X28" s="18">
        <v>15</v>
      </c>
      <c r="Y28" s="18"/>
      <c r="Z28" s="31"/>
      <c r="AA28" s="31"/>
      <c r="AB28" s="31"/>
      <c r="AC28" s="31"/>
      <c r="AD28" s="18"/>
      <c r="AE28" s="21"/>
      <c r="AF28" s="2"/>
      <c r="AG28" s="2"/>
      <c r="AH28" s="28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</row>
    <row r="29" spans="1:96" x14ac:dyDescent="0.35">
      <c r="C29" s="15" t="str">
        <f>IF(AND(F29&lt;&gt;"null",F29&lt;&gt;""),IF(F29=INDEX(Tabel1342323[es_id],MATCH("glmp",Tabel1342323[GLMP/SKMP?],0),1),"glmp",""),IF(AND(G29&lt;&gt;"null",G29&lt;&gt;""),IF(G29=INDEX(Tabel1342323[brp_id],MATCH("glmp",Tabel1342323[GLMP/SKMP?],0),1),"glmp",""),IF(E29=INDEX(Tabel1342323[ga_id],MATCH("glmp",Tabel1342323[GLMP/SKMP?],0),1),"glmp","")))</f>
        <v/>
      </c>
      <c r="D29" s="15" t="str">
        <f>IF(AND(F29&lt;&gt;"null",F29&lt;&gt;""),IF(F29=INDEX(Tabel1342323[es_id],MATCH("skmp",Tabel1342323[GLMP/SKMP?],0),1),"skmp",""),IF(AND(G29&lt;&gt;"null",G29&lt;&gt;""),IF(G29=INDEX(Tabel1342323[brp_id],MATCH("skmp",Tabel1342323[GLMP/SKMP?],0),1),"skmp",""),IF(E29=INDEX(Tabel1342323[ga_id],MATCH("skmp",Tabel1342323[GLMP/SKMP?],0),1),"skmp","")))</f>
        <v/>
      </c>
      <c r="E29" s="24" t="str">
        <f t="shared" si="0"/>
        <v/>
      </c>
      <c r="F29" s="24" t="str">
        <f t="shared" si="1"/>
        <v/>
      </c>
      <c r="G29" s="24" t="str">
        <f>IF(B$1="ga",IF(E29="","","null"),IF(B$1="ga_es",IF(F29="","","null"),IF(B$1="ga_brp",IF(AJ9=0,"",AJ9),IF(F29="","",INDEX(Tabel1342323[brp_id],MATCH(F29,Tabel1342323[es_id],0),1)))))</f>
        <v/>
      </c>
      <c r="H29" s="26" t="str">
        <f t="shared" si="2"/>
        <v/>
      </c>
      <c r="I29" s="8" t="str">
        <f>IF(B$2&lt;&gt;"production",IF(OR(B$1="ga_es",B$1="ga_brp_es"),SUMIFS(Tabel1342323[Total/hour],Tabel1342323[es_id],F29,Tabel1342323[settlement_method],AK$2),IF(B$1="ga_brp",SUMIFS(Tabel1342323[Total/hour],Tabel1342323[brp_id],G29,Tabel1342323[settlement_method],AK$2),"noget andet")),"noget andet")</f>
        <v>noget andet</v>
      </c>
      <c r="J29" s="8">
        <f t="shared" si="3"/>
        <v>0</v>
      </c>
      <c r="L29" s="2"/>
      <c r="R29" s="2"/>
      <c r="W29" s="19" t="str">
        <v>180000000000000002</v>
      </c>
      <c r="X29" s="18">
        <v>0</v>
      </c>
      <c r="Y29" s="18"/>
      <c r="Z29" s="32"/>
      <c r="AA29" s="31"/>
      <c r="AB29" s="31"/>
      <c r="AC29" s="31"/>
      <c r="AD29" s="18"/>
      <c r="AE29" s="21"/>
      <c r="AF29" s="2"/>
      <c r="AG29" s="2"/>
      <c r="AH29" s="28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</row>
    <row r="30" spans="1:96" x14ac:dyDescent="0.35">
      <c r="C30" s="15" t="str">
        <f>IF(AND(F30&lt;&gt;"null",F30&lt;&gt;""),IF(F30=INDEX(Tabel1342323[es_id],MATCH("glmp",Tabel1342323[GLMP/SKMP?],0),1),"glmp",""),IF(AND(G30&lt;&gt;"null",G30&lt;&gt;""),IF(G30=INDEX(Tabel1342323[brp_id],MATCH("glmp",Tabel1342323[GLMP/SKMP?],0),1),"glmp",""),IF(E30=INDEX(Tabel1342323[ga_id],MATCH("glmp",Tabel1342323[GLMP/SKMP?],0),1),"glmp","")))</f>
        <v/>
      </c>
      <c r="D30" s="15" t="str">
        <f>IF(AND(F30&lt;&gt;"null",F30&lt;&gt;""),IF(F30=INDEX(Tabel1342323[es_id],MATCH("skmp",Tabel1342323[GLMP/SKMP?],0),1),"skmp",""),IF(AND(G30&lt;&gt;"null",G30&lt;&gt;""),IF(G30=INDEX(Tabel1342323[brp_id],MATCH("skmp",Tabel1342323[GLMP/SKMP?],0),1),"skmp",""),IF(E30=INDEX(Tabel1342323[ga_id],MATCH("skmp",Tabel1342323[GLMP/SKMP?],0),1),"skmp","")))</f>
        <v/>
      </c>
      <c r="E30" s="24" t="str">
        <f t="shared" si="0"/>
        <v/>
      </c>
      <c r="F30" s="24" t="str">
        <f t="shared" si="1"/>
        <v/>
      </c>
      <c r="G30" s="24" t="str">
        <f>IF(B$1="ga",IF(E30="","","null"),IF(B$1="ga_es",IF(F30="","","null"),IF(B$1="ga_brp",IF(AJ10=0,"",AJ10),IF(F30="","",INDEX(Tabel1342323[brp_id],MATCH(F30,Tabel1342323[es_id],0),1)))))</f>
        <v/>
      </c>
      <c r="H30" s="26" t="str">
        <f t="shared" si="2"/>
        <v/>
      </c>
      <c r="I30" s="8" t="str">
        <f>IF(B$2&lt;&gt;"production",IF(OR(B$1="ga_es",B$1="ga_brp_es"),SUMIFS(Tabel1342323[Total/hour],Tabel1342323[es_id],F30,Tabel1342323[settlement_method],AK$2),IF(B$1="ga_brp",SUMIFS(Tabel1342323[Total/hour],Tabel1342323[brp_id],G30,Tabel1342323[settlement_method],AK$2),"noget andet")),"noget andet")</f>
        <v>noget andet</v>
      </c>
      <c r="J30" s="8">
        <f t="shared" si="3"/>
        <v>0</v>
      </c>
      <c r="L30" s="2"/>
      <c r="R30" s="2"/>
      <c r="W30" s="19"/>
      <c r="X30" s="18"/>
      <c r="Y30" s="18"/>
      <c r="Z30" s="32"/>
      <c r="AA30" s="31"/>
      <c r="AB30" s="31"/>
      <c r="AC30" s="31"/>
      <c r="AD30" s="18"/>
      <c r="AE30" s="21"/>
      <c r="AF30" s="2"/>
      <c r="AG30" s="2"/>
      <c r="AH30" s="28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</row>
    <row r="31" spans="1:96" x14ac:dyDescent="0.35">
      <c r="C31" s="15" t="str">
        <f>IF(AND(F31&lt;&gt;"null",F31&lt;&gt;""),IF(F31=INDEX(Tabel1342323[es_id],MATCH("glmp",Tabel1342323[GLMP/SKMP?],0),1),"glmp",""),IF(AND(G31&lt;&gt;"null",G31&lt;&gt;""),IF(G31=INDEX(Tabel1342323[brp_id],MATCH("glmp",Tabel1342323[GLMP/SKMP?],0),1),"glmp",""),IF(E31=INDEX(Tabel1342323[ga_id],MATCH("glmp",Tabel1342323[GLMP/SKMP?],0),1),"glmp","")))</f>
        <v/>
      </c>
      <c r="D31" s="15" t="str">
        <f>IF(AND(F31&lt;&gt;"null",F31&lt;&gt;""),IF(F31=INDEX(Tabel1342323[es_id],MATCH("skmp",Tabel1342323[GLMP/SKMP?],0),1),"skmp",""),IF(AND(G31&lt;&gt;"null",G31&lt;&gt;""),IF(G31=INDEX(Tabel1342323[brp_id],MATCH("skmp",Tabel1342323[GLMP/SKMP?],0),1),"skmp",""),IF(E31=INDEX(Tabel1342323[ga_id],MATCH("skmp",Tabel1342323[GLMP/SKMP?],0),1),"skmp","")))</f>
        <v/>
      </c>
      <c r="E31" s="24" t="str">
        <f t="shared" si="0"/>
        <v/>
      </c>
      <c r="F31" s="24" t="str">
        <f t="shared" si="1"/>
        <v/>
      </c>
      <c r="G31" s="24" t="str">
        <f>IF(B$1="ga",IF(E31="","","null"),IF(B$1="ga_es",IF(F31="","","null"),IF(B$1="ga_brp",IF(AJ11=0,"",AJ11),IF(F31="","",INDEX(Tabel1342323[brp_id],MATCH(F31,Tabel1342323[es_id],0),1)))))</f>
        <v/>
      </c>
      <c r="H31" s="26" t="str">
        <f t="shared" si="2"/>
        <v/>
      </c>
      <c r="I31" s="8" t="str">
        <f>IF(B$2&lt;&gt;"production",IF(OR(B$1="ga_es",B$1="ga_brp_es"),SUMIFS(Tabel1342323[Total/hour],Tabel1342323[es_id],F31,Tabel1342323[settlement_method],AK$2),IF(B$1="ga_brp",SUMIFS(Tabel1342323[Total/hour],Tabel1342323[brp_id],G31,Tabel1342323[settlement_method],AK$2),"noget andet")),"noget andet")</f>
        <v>noget andet</v>
      </c>
      <c r="J31" s="8">
        <f t="shared" si="3"/>
        <v>0</v>
      </c>
      <c r="L31" s="2"/>
      <c r="R31" s="2"/>
      <c r="W31" s="19"/>
      <c r="X31" s="18"/>
      <c r="Y31" s="18"/>
      <c r="Z31" s="32"/>
      <c r="AA31" s="31"/>
      <c r="AB31" s="31"/>
      <c r="AC31" s="31"/>
      <c r="AD31" s="18"/>
      <c r="AE31" s="21"/>
      <c r="AF31" s="2"/>
      <c r="AG31" s="2"/>
      <c r="AH31" s="28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</row>
    <row r="32" spans="1:96" x14ac:dyDescent="0.35">
      <c r="C32" s="15" t="str">
        <f>IF(AND(F32&lt;&gt;"null",F32&lt;&gt;""),IF(F32=INDEX(Tabel1342323[es_id],MATCH("glmp",Tabel1342323[GLMP/SKMP?],0),1),"glmp",""),IF(AND(G32&lt;&gt;"null",G32&lt;&gt;""),IF(G32=INDEX(Tabel1342323[brp_id],MATCH("glmp",Tabel1342323[GLMP/SKMP?],0),1),"glmp",""),IF(E32=INDEX(Tabel1342323[ga_id],MATCH("glmp",Tabel1342323[GLMP/SKMP?],0),1),"glmp","")))</f>
        <v/>
      </c>
      <c r="D32" s="15" t="str">
        <f>IF(AND(F32&lt;&gt;"null",F32&lt;&gt;""),IF(F32=INDEX(Tabel1342323[es_id],MATCH("skmp",Tabel1342323[GLMP/SKMP?],0),1),"skmp",""),IF(AND(G32&lt;&gt;"null",G32&lt;&gt;""),IF(G32=INDEX(Tabel1342323[brp_id],MATCH("skmp",Tabel1342323[GLMP/SKMP?],0),1),"skmp",""),IF(E32=INDEX(Tabel1342323[ga_id],MATCH("skmp",Tabel1342323[GLMP/SKMP?],0),1),"skmp","")))</f>
        <v/>
      </c>
      <c r="E32" s="24" t="str">
        <f t="shared" si="0"/>
        <v/>
      </c>
      <c r="F32" s="24" t="str">
        <f t="shared" si="1"/>
        <v/>
      </c>
      <c r="G32" s="24" t="str">
        <f>IF(B$1="ga",IF(E32="","","null"),IF(B$1="ga_es",IF(F32="","","null"),IF(B$1="ga_brp",IF(AJ12=0,"",AJ12),IF(F32="","",INDEX(Tabel1342323[brp_id],MATCH(F32,Tabel1342323[es_id],0),1)))))</f>
        <v/>
      </c>
      <c r="H32" s="26" t="str">
        <f t="shared" si="2"/>
        <v/>
      </c>
      <c r="I32" s="8" t="str">
        <f>IF(B$2&lt;&gt;"production",IF(OR(B$1="ga_es",B$1="ga_brp_es"),SUMIFS(Tabel1342323[Total/hour],Tabel1342323[es_id],F32,Tabel1342323[settlement_method],AK$2),IF(B$1="ga_brp",SUMIFS(Tabel1342323[Total/hour],Tabel1342323[brp_id],G32,Tabel1342323[settlement_method],AK$2),"noget andet")),"noget andet")</f>
        <v>noget andet</v>
      </c>
      <c r="J32" s="8">
        <f t="shared" si="3"/>
        <v>0</v>
      </c>
      <c r="L32" s="2"/>
      <c r="W32" s="19" t="s">
        <v>69</v>
      </c>
      <c r="X32" s="18"/>
      <c r="Y32" s="18"/>
      <c r="Z32" s="14" t="s">
        <v>32</v>
      </c>
      <c r="AA32" s="14" t="s">
        <v>33</v>
      </c>
      <c r="AB32" s="14" t="s">
        <v>34</v>
      </c>
      <c r="AC32" s="14" t="s">
        <v>35</v>
      </c>
      <c r="AD32" s="18"/>
      <c r="AE32" s="21"/>
      <c r="AF32" s="2"/>
      <c r="AG32" s="2"/>
      <c r="AH32" s="28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</row>
    <row r="33" spans="1:96" x14ac:dyDescent="0.35">
      <c r="C33" s="15" t="str">
        <f>IF(AND(F33&lt;&gt;"null",F33&lt;&gt;""),IF(F33=INDEX(Tabel1342323[es_id],MATCH("glmp",Tabel1342323[GLMP/SKMP?],0),1),"glmp",""),IF(AND(G33&lt;&gt;"null",G33&lt;&gt;""),IF(G33=INDEX(Tabel1342323[brp_id],MATCH("glmp",Tabel1342323[GLMP/SKMP?],0),1),"glmp",""),IF(E33=INDEX(Tabel1342323[ga_id],MATCH("glmp",Tabel1342323[GLMP/SKMP?],0),1),"glmp","")))</f>
        <v/>
      </c>
      <c r="D33" s="15" t="str">
        <f>IF(AND(F33&lt;&gt;"null",F33&lt;&gt;""),IF(F33=INDEX(Tabel1342323[es_id],MATCH("skmp",Tabel1342323[GLMP/SKMP?],0),1),"skmp",""),IF(AND(G33&lt;&gt;"null",G33&lt;&gt;""),IF(G33=INDEX(Tabel1342323[brp_id],MATCH("skmp",Tabel1342323[GLMP/SKMP?],0),1),"skmp",""),IF(E33=INDEX(Tabel1342323[ga_id],MATCH("skmp",Tabel1342323[GLMP/SKMP?],0),1),"skmp","")))</f>
        <v/>
      </c>
      <c r="E33" s="24" t="str">
        <f t="shared" si="0"/>
        <v/>
      </c>
      <c r="F33" s="24" t="str">
        <f t="shared" si="1"/>
        <v/>
      </c>
      <c r="G33" s="24" t="str">
        <f>IF(B$1="ga",IF(E33="","","null"),IF(B$1="ga_es",IF(F33="","","null"),IF(B$1="ga_brp",IF(AJ13=0,"",AJ13),IF(F33="","",INDEX(Tabel1342323[brp_id],MATCH(F33,Tabel1342323[es_id],0),1)))))</f>
        <v/>
      </c>
      <c r="H33" s="26" t="str">
        <f t="shared" si="2"/>
        <v/>
      </c>
      <c r="I33" s="8" t="str">
        <f>IF(B$2&lt;&gt;"production",IF(OR(B$1="ga_es",B$1="ga_brp_es"),SUMIFS(Tabel1342323[Total/hour],Tabel1342323[es_id],F33,Tabel1342323[settlement_method],AK$2),IF(B$1="ga_brp",SUMIFS(Tabel1342323[Total/hour],Tabel1342323[brp_id],G33,Tabel1342323[settlement_method],AK$2),"noget andet")),"noget andet")</f>
        <v>noget andet</v>
      </c>
      <c r="J33" s="8">
        <f t="shared" si="3"/>
        <v>0</v>
      </c>
      <c r="L33" s="2"/>
      <c r="W33" s="20" t="str" cm="1">
        <f t="array" ref="W33">INDEX(_xlfn._xlws.FILTER(Tabel1342323[[mp id]:[brp_id]],(Tabel1342323[type]="E20")*(Tabel1342323[brp_id]=$AH$2),""),,1)</f>
        <v/>
      </c>
      <c r="X33" s="21" t="e" cm="1">
        <f t="array" ref="X33">INDEX(_xlfn._xlws.FILTER(Tabel1342323[[mp id]:[brp_id]],(Tabel1342323[type]="E20")*(Tabel1342323[brp_id]=$AH$2),""),,6)</f>
        <v>#REF!</v>
      </c>
      <c r="Y33" s="21"/>
      <c r="Z33" s="31"/>
      <c r="AA33" s="31">
        <v>100</v>
      </c>
      <c r="AB33" s="31"/>
      <c r="AC33" s="31"/>
      <c r="AD33" s="18"/>
      <c r="AE33" s="21"/>
      <c r="AF33" s="2"/>
      <c r="AG33" s="2"/>
      <c r="AH33" s="28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</row>
    <row r="34" spans="1:96" x14ac:dyDescent="0.35">
      <c r="C34" s="15" t="str">
        <f>IF(AND(F34&lt;&gt;"null",F34&lt;&gt;""),IF(F34=INDEX(Tabel1342323[es_id],MATCH("glmp",Tabel1342323[GLMP/SKMP?],0),1),"glmp",""),IF(AND(G34&lt;&gt;"null",G34&lt;&gt;""),IF(G34=INDEX(Tabel1342323[brp_id],MATCH("glmp",Tabel1342323[GLMP/SKMP?],0),1),"glmp",""),IF(E34=INDEX(Tabel1342323[ga_id],MATCH("glmp",Tabel1342323[GLMP/SKMP?],0),1),"glmp","")))</f>
        <v/>
      </c>
      <c r="D34" s="15" t="str">
        <f>IF(AND(F34&lt;&gt;"null",F34&lt;&gt;""),IF(F34=INDEX(Tabel1342323[es_id],MATCH("skmp",Tabel1342323[GLMP/SKMP?],0),1),"skmp",""),IF(AND(G34&lt;&gt;"null",G34&lt;&gt;""),IF(G34=INDEX(Tabel1342323[brp_id],MATCH("skmp",Tabel1342323[GLMP/SKMP?],0),1),"skmp",""),IF(E34=INDEX(Tabel1342323[ga_id],MATCH("skmp",Tabel1342323[GLMP/SKMP?],0),1),"skmp","")))</f>
        <v/>
      </c>
      <c r="E34" s="24" t="str">
        <f t="shared" si="0"/>
        <v/>
      </c>
      <c r="F34" s="24" t="str">
        <f t="shared" si="1"/>
        <v/>
      </c>
      <c r="G34" s="24" t="str">
        <f>IF(B$1="ga",IF(E34="","","null"),IF(B$1="ga_es",IF(F34="","","null"),IF(B$1="ga_brp",IF(AJ14=0,"",AJ14),IF(F34="","",INDEX(Tabel1342323[brp_id],MATCH(F34,Tabel1342323[es_id],0),1)))))</f>
        <v/>
      </c>
      <c r="H34" s="26" t="str">
        <f t="shared" si="2"/>
        <v/>
      </c>
      <c r="I34" s="8" t="str">
        <f>IF(B$2&lt;&gt;"production",IF(OR(B$1="ga_es",B$1="ga_brp_es"),SUMIFS(Tabel1342323[Total/hour],Tabel1342323[es_id],F34,Tabel1342323[settlement_method],AK$2),IF(B$1="ga_brp",SUMIFS(Tabel1342323[Total/hour],Tabel1342323[brp_id],G34,Tabel1342323[settlement_method],AK$2),"noget andet")),"noget andet")</f>
        <v>noget andet</v>
      </c>
      <c r="J34" s="8">
        <f t="shared" si="3"/>
        <v>0</v>
      </c>
      <c r="L34" s="2"/>
      <c r="W34" s="19"/>
      <c r="X34" s="18"/>
      <c r="Y34" s="18"/>
      <c r="Z34" s="31"/>
      <c r="AA34" s="31"/>
      <c r="AB34" s="31"/>
      <c r="AC34" s="31"/>
      <c r="AD34" s="18"/>
      <c r="AE34" s="21"/>
      <c r="AF34" s="2"/>
      <c r="AG34" s="2"/>
      <c r="AH34" s="28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</row>
    <row r="35" spans="1:96" x14ac:dyDescent="0.35">
      <c r="C35" s="15" t="str">
        <f>IF(AND(F35&lt;&gt;"null",F35&lt;&gt;""),IF(F35=INDEX(Tabel1342323[es_id],MATCH("glmp",Tabel1342323[GLMP/SKMP?],0),1),"glmp",""),IF(AND(G35&lt;&gt;"null",G35&lt;&gt;""),IF(G35=INDEX(Tabel1342323[brp_id],MATCH("glmp",Tabel1342323[GLMP/SKMP?],0),1),"glmp",""),IF(E35=INDEX(Tabel1342323[ga_id],MATCH("glmp",Tabel1342323[GLMP/SKMP?],0),1),"glmp","")))</f>
        <v/>
      </c>
      <c r="D35" s="15" t="str">
        <f>IF(AND(F35&lt;&gt;"null",F35&lt;&gt;""),IF(F35=INDEX(Tabel1342323[es_id],MATCH("skmp",Tabel1342323[GLMP/SKMP?],0),1),"skmp",""),IF(AND(G35&lt;&gt;"null",G35&lt;&gt;""),IF(G35=INDEX(Tabel1342323[brp_id],MATCH("skmp",Tabel1342323[GLMP/SKMP?],0),1),"skmp",""),IF(E35=INDEX(Tabel1342323[ga_id],MATCH("skmp",Tabel1342323[GLMP/SKMP?],0),1),"skmp","")))</f>
        <v/>
      </c>
      <c r="E35" s="24" t="str">
        <f t="shared" si="0"/>
        <v/>
      </c>
      <c r="F35" s="24" t="str">
        <f t="shared" si="1"/>
        <v/>
      </c>
      <c r="G35" s="24" t="str">
        <f>IF(B$1="ga",IF(E35="","","null"),IF(B$1="ga_es",IF(F35="","","null"),IF(B$1="ga_brp",IF(AJ15=0,"",AJ15),IF(F35="","",INDEX(Tabel1342323[brp_id],MATCH(F35,Tabel1342323[es_id],0),1)))))</f>
        <v/>
      </c>
      <c r="H35" s="26" t="str">
        <f t="shared" si="2"/>
        <v/>
      </c>
      <c r="I35" s="8" t="str">
        <f>IF(B$2&lt;&gt;"production",IF(OR(B$1="ga_es",B$1="ga_brp_es"),SUMIFS(Tabel1342323[Total/hour],Tabel1342323[es_id],F35,Tabel1342323[settlement_method],AK$2),IF(B$1="ga_brp",SUMIFS(Tabel1342323[Total/hour],Tabel1342323[brp_id],G35,Tabel1342323[settlement_method],AK$2),"noget andet")),"noget andet")</f>
        <v>noget andet</v>
      </c>
      <c r="J35" s="8">
        <f t="shared" si="3"/>
        <v>0</v>
      </c>
      <c r="L35" s="2"/>
      <c r="W35" s="19"/>
      <c r="X35" s="18"/>
      <c r="Y35" s="18"/>
      <c r="Z35" s="32"/>
      <c r="AA35" s="31"/>
      <c r="AB35" s="31"/>
      <c r="AC35" s="31"/>
      <c r="AD35" s="21"/>
      <c r="AE35" s="21"/>
      <c r="AF35" s="2"/>
      <c r="AG35" s="2"/>
      <c r="AH35" s="28"/>
      <c r="AI35" s="28" t="s">
        <v>59</v>
      </c>
      <c r="AJ35" s="28" t="s">
        <v>60</v>
      </c>
      <c r="AK35" s="28"/>
      <c r="AL35" s="27"/>
      <c r="AM35" s="18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</row>
    <row r="36" spans="1:96" x14ac:dyDescent="0.35">
      <c r="C36" s="15" t="str">
        <f>IF(AND(F36&lt;&gt;"null",F36&lt;&gt;""),IF(F36=INDEX(Tabel1342323[es_id],MATCH("glmp",Tabel1342323[GLMP/SKMP?],0),1),"glmp",""),IF(AND(G36&lt;&gt;"null",G36&lt;&gt;""),IF(G36=INDEX(Tabel1342323[brp_id],MATCH("glmp",Tabel1342323[GLMP/SKMP?],0),1),"glmp",""),IF(E36=INDEX(Tabel1342323[ga_id],MATCH("glmp",Tabel1342323[GLMP/SKMP?],0),1),"glmp","")))</f>
        <v/>
      </c>
      <c r="D36" s="15" t="str">
        <f>IF(AND(F36&lt;&gt;"null",F36&lt;&gt;""),IF(F36=INDEX(Tabel1342323[es_id],MATCH("skmp",Tabel1342323[GLMP/SKMP?],0),1),"skmp",""),IF(AND(G36&lt;&gt;"null",G36&lt;&gt;""),IF(G36=INDEX(Tabel1342323[brp_id],MATCH("skmp",Tabel1342323[GLMP/SKMP?],0),1),"skmp",""),IF(E36=INDEX(Tabel1342323[ga_id],MATCH("skmp",Tabel1342323[GLMP/SKMP?],0),1),"skmp","")))</f>
        <v/>
      </c>
      <c r="E36" s="24" t="str">
        <f t="shared" si="0"/>
        <v/>
      </c>
      <c r="F36" s="24" t="str">
        <f t="shared" si="1"/>
        <v/>
      </c>
      <c r="G36" s="24" t="str">
        <f>IF(B$1="ga",IF(E36="","","null"),IF(B$1="ga_es",IF(F36="","","null"),IF(B$1="ga_brp",IF(AJ16=0,"",AJ16),IF(F36="","",INDEX(Tabel1342323[brp_id],MATCH(F36,Tabel1342323[es_id],0),1)))))</f>
        <v/>
      </c>
      <c r="H36" s="26" t="str">
        <f t="shared" si="2"/>
        <v/>
      </c>
      <c r="I36" s="8" t="str">
        <f>IF(B$2&lt;&gt;"production",IF(OR(B$1="ga_es",B$1="ga_brp_es"),SUMIFS(Tabel1342323[Total/hour],Tabel1342323[es_id],F36,Tabel1342323[settlement_method],AK$2),IF(B$1="ga_brp",SUMIFS(Tabel1342323[Total/hour],Tabel1342323[brp_id],G36,Tabel1342323[settlement_method],AK$2),"noget andet")),"noget andet")</f>
        <v>noget andet</v>
      </c>
      <c r="J36" s="8">
        <f t="shared" si="3"/>
        <v>0</v>
      </c>
      <c r="L36" s="2"/>
      <c r="W36" s="19"/>
      <c r="X36" s="21"/>
      <c r="Y36" s="21"/>
      <c r="Z36" s="32"/>
      <c r="AA36" s="31"/>
      <c r="AB36" s="31"/>
      <c r="AC36" s="31"/>
      <c r="AD36" s="21"/>
      <c r="AE36" s="21"/>
      <c r="AF36" s="2"/>
      <c r="AG36" s="2"/>
      <c r="AH36" s="28"/>
      <c r="AI36" s="28" t="str" cm="1">
        <f t="array" ref="AI36:AI38">_xlfn._xlws.SORT(_xlfn.UNIQUE(_xlfn._xlws.FILTER(Tabel1342323[es_id],Tabel1342323[es_id] &lt;&gt; "")))</f>
        <v>1000000000000</v>
      </c>
      <c r="AJ36" s="28" t="str" cm="1">
        <f t="array" ref="AJ36:AJ38">_xlfn._xlws.SORT(_xlfn.UNIQUE(_xlfn._xlws.FILTER(Tabel1342323[brp_id],Tabel1342323[brp_id] &lt;&gt; "")))</f>
        <v>1100000000000</v>
      </c>
      <c r="AK36" s="28"/>
      <c r="AL36" s="27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</row>
    <row r="37" spans="1:96" x14ac:dyDescent="0.35">
      <c r="C37" s="15" t="str">
        <f>IF(AND(F37&lt;&gt;"null",F37&lt;&gt;""),IF(F37=INDEX(Tabel1342323[es_id],MATCH("glmp",Tabel1342323[GLMP/SKMP?],0),1),"glmp",""),IF(AND(G37&lt;&gt;"null",G37&lt;&gt;""),IF(G37=INDEX(Tabel1342323[brp_id],MATCH("glmp",Tabel1342323[GLMP/SKMP?],0),1),"glmp",""),IF(E37=INDEX(Tabel1342323[ga_id],MATCH("glmp",Tabel1342323[GLMP/SKMP?],0),1),"glmp","")))</f>
        <v/>
      </c>
      <c r="D37" s="15" t="str">
        <f>IF(AND(F37&lt;&gt;"null",F37&lt;&gt;""),IF(F37=INDEX(Tabel1342323[es_id],MATCH("skmp",Tabel1342323[GLMP/SKMP?],0),1),"skmp",""),IF(AND(G37&lt;&gt;"null",G37&lt;&gt;""),IF(G37=INDEX(Tabel1342323[brp_id],MATCH("skmp",Tabel1342323[GLMP/SKMP?],0),1),"skmp",""),IF(E37=INDEX(Tabel1342323[ga_id],MATCH("skmp",Tabel1342323[GLMP/SKMP?],0),1),"skmp","")))</f>
        <v/>
      </c>
      <c r="E37" s="24" t="str">
        <f t="shared" si="0"/>
        <v/>
      </c>
      <c r="F37" s="24" t="str">
        <f t="shared" si="1"/>
        <v/>
      </c>
      <c r="G37" s="24" t="str">
        <f>IF(B$1="ga",IF(E37="","","null"),IF(B$1="ga_es",IF(F37="","","null"),IF(B$1="ga_brp",IF(AJ17=0,"",AJ17),IF(F37="","",INDEX(Tabel1342323[brp_id],MATCH(F37,Tabel1342323[es_id],0),1)))))</f>
        <v/>
      </c>
      <c r="H37" s="26" t="str">
        <f t="shared" si="2"/>
        <v/>
      </c>
      <c r="I37" s="8" t="str">
        <f>IF(B$2&lt;&gt;"production",IF(OR(B$1="ga_es",B$1="ga_brp_es"),SUMIFS(Tabel1342323[Total/hour],Tabel1342323[es_id],F37,Tabel1342323[settlement_method],AK$2),IF(B$1="ga_brp",SUMIFS(Tabel1342323[Total/hour],Tabel1342323[brp_id],G37,Tabel1342323[settlement_method],AK$2),"noget andet")),"noget andet")</f>
        <v>noget andet</v>
      </c>
      <c r="J37" s="8">
        <f t="shared" si="3"/>
        <v>0</v>
      </c>
      <c r="L37" s="2"/>
      <c r="W37" s="19"/>
      <c r="X37" s="21"/>
      <c r="Y37" s="21"/>
      <c r="Z37" s="32"/>
      <c r="AA37" s="31"/>
      <c r="AB37" s="31"/>
      <c r="AC37" s="31"/>
      <c r="AD37" s="21"/>
      <c r="AE37" s="21"/>
      <c r="AF37" s="2"/>
      <c r="AG37" s="2"/>
      <c r="AH37" s="28"/>
      <c r="AI37" s="28" t="str">
        <v>2000000000000</v>
      </c>
      <c r="AJ37" s="28" t="str">
        <v>2200000000000</v>
      </c>
      <c r="AK37" s="28"/>
      <c r="AL37" s="28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</row>
    <row r="38" spans="1:96" x14ac:dyDescent="0.35">
      <c r="C38" s="15" t="str">
        <f>IF(AND(F38&lt;&gt;"null",F38&lt;&gt;""),IF(F38=INDEX(Tabel1342323[es_id],MATCH("glmp",Tabel1342323[GLMP/SKMP?],0),1),"glmp",""),IF(AND(G38&lt;&gt;"null",G38&lt;&gt;""),IF(G38=INDEX(Tabel1342323[brp_id],MATCH("glmp",Tabel1342323[GLMP/SKMP?],0),1),"glmp",""),IF(E38=INDEX(Tabel1342323[ga_id],MATCH("glmp",Tabel1342323[GLMP/SKMP?],0),1),"glmp","")))</f>
        <v/>
      </c>
      <c r="D38" s="15" t="str">
        <f>IF(AND(F38&lt;&gt;"null",F38&lt;&gt;""),IF(F38=INDEX(Tabel1342323[es_id],MATCH("skmp",Tabel1342323[GLMP/SKMP?],0),1),"skmp",""),IF(AND(G38&lt;&gt;"null",G38&lt;&gt;""),IF(G38=INDEX(Tabel1342323[brp_id],MATCH("skmp",Tabel1342323[GLMP/SKMP?],0),1),"skmp",""),IF(E38=INDEX(Tabel1342323[ga_id],MATCH("skmp",Tabel1342323[GLMP/SKMP?],0),1),"skmp","")))</f>
        <v/>
      </c>
      <c r="E38" s="24" t="str">
        <f t="shared" si="0"/>
        <v/>
      </c>
      <c r="F38" s="24" t="str">
        <f t="shared" si="1"/>
        <v/>
      </c>
      <c r="G38" s="24" t="str">
        <f>IF(B$1="ga",IF(E38="","","null"),IF(B$1="ga_es",IF(F38="","","null"),IF(B$1="ga_brp",IF(AJ18=0,"",AJ18),IF(F38="","",INDEX(Tabel1342323[brp_id],MATCH(F38,Tabel1342323[es_id],0),1)))))</f>
        <v/>
      </c>
      <c r="H38" s="26" t="str">
        <f t="shared" si="2"/>
        <v/>
      </c>
      <c r="I38" s="8" t="str">
        <f>IF(B$2&lt;&gt;"production",IF(OR(B$1="ga_es",B$1="ga_brp_es"),SUMIFS(Tabel1342323[Total/hour],Tabel1342323[es_id],F38,Tabel1342323[settlement_method],AK$2),IF(B$1="ga_brp",SUMIFS(Tabel1342323[Total/hour],Tabel1342323[brp_id],G38,Tabel1342323[settlement_method],AK$2),"noget andet")),"noget andet")</f>
        <v>noget andet</v>
      </c>
      <c r="J38" s="8">
        <f t="shared" si="3"/>
        <v>0</v>
      </c>
      <c r="L38" s="2"/>
      <c r="W38" s="19" t="s">
        <v>70</v>
      </c>
      <c r="X38" s="21"/>
      <c r="Y38" s="21"/>
      <c r="Z38" s="14" t="s">
        <v>32</v>
      </c>
      <c r="AA38" s="14" t="s">
        <v>33</v>
      </c>
      <c r="AB38" s="14" t="s">
        <v>34</v>
      </c>
      <c r="AC38" s="14" t="s">
        <v>35</v>
      </c>
      <c r="AD38" s="21"/>
      <c r="AE38" s="21"/>
      <c r="AF38" s="2"/>
      <c r="AG38" s="2"/>
      <c r="AH38" s="28"/>
      <c r="AI38" s="28" t="str">
        <v>3000000000000</v>
      </c>
      <c r="AJ38" s="28" t="str">
        <v>3300000000000</v>
      </c>
      <c r="AK38" s="28"/>
      <c r="AL38" s="28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spans="1:96" x14ac:dyDescent="0.35">
      <c r="C39" s="15" t="str">
        <f>IF(AND(F39&lt;&gt;"null",F39&lt;&gt;""),IF(F39=INDEX(Tabel1342323[es_id],MATCH("glmp",Tabel1342323[GLMP/SKMP?],0),1),"glmp",""),IF(AND(G39&lt;&gt;"null",G39&lt;&gt;""),IF(G39=INDEX(Tabel1342323[brp_id],MATCH("glmp",Tabel1342323[GLMP/SKMP?],0),1),"glmp",""),IF(E39=INDEX(Tabel1342323[ga_id],MATCH("glmp",Tabel1342323[GLMP/SKMP?],0),1),"glmp","")))</f>
        <v/>
      </c>
      <c r="D39" s="15" t="str">
        <f>IF(AND(F39&lt;&gt;"null",F39&lt;&gt;""),IF(F39=INDEX(Tabel1342323[es_id],MATCH("skmp",Tabel1342323[GLMP/SKMP?],0),1),"skmp",""),IF(AND(G39&lt;&gt;"null",G39&lt;&gt;""),IF(G39=INDEX(Tabel1342323[brp_id],MATCH("skmp",Tabel1342323[GLMP/SKMP?],0),1),"skmp",""),IF(E39=INDEX(Tabel1342323[ga_id],MATCH("skmp",Tabel1342323[GLMP/SKMP?],0),1),"skmp","")))</f>
        <v/>
      </c>
      <c r="E39" s="24" t="str">
        <f t="shared" si="0"/>
        <v/>
      </c>
      <c r="F39" s="24" t="str">
        <f t="shared" si="1"/>
        <v/>
      </c>
      <c r="G39" s="24" t="str">
        <f>IF(B$1="ga",IF(E39="","","null"),IF(B$1="ga_es",IF(F39="","","null"),IF(B$1="ga_brp",IF(AJ19=0,"",AJ19),IF(F39="","",INDEX(Tabel1342323[brp_id],MATCH(F39,Tabel1342323[es_id],0),1)))))</f>
        <v/>
      </c>
      <c r="H39" s="26" t="str">
        <f t="shared" si="2"/>
        <v/>
      </c>
      <c r="I39" s="8" t="str">
        <f>IF(B$2&lt;&gt;"production",IF(OR(B$1="ga_es",B$1="ga_brp_es"),SUMIFS(Tabel1342323[Total/hour],Tabel1342323[es_id],F39,Tabel1342323[settlement_method],AK$2),IF(B$1="ga_brp",SUMIFS(Tabel1342323[Total/hour],Tabel1342323[brp_id],G39,Tabel1342323[settlement_method],AK$2),"noget andet")),"noget andet")</f>
        <v>noget andet</v>
      </c>
      <c r="J39" s="8">
        <f t="shared" si="3"/>
        <v>0</v>
      </c>
      <c r="L39" s="2"/>
      <c r="W39" s="20" t="str" cm="1">
        <f t="array" ref="W39">INDEX(_xlfn._xlws.FILTER(Tabel1342323[[mp id]:[es_id]],(Tabel1342323[type]="E20")*(Tabel1342323[es_id]=$AH$2),""),,1)</f>
        <v/>
      </c>
      <c r="X39" s="21" t="e" cm="1">
        <f t="array" ref="X39">INDEX(_xlfn._xlws.FILTER(Tabel1342323[[mp id]:[es_id]],(Tabel1342323[type]="E20")*(Tabel1342323[es_id]=$AH$2),""),,6)</f>
        <v>#REF!</v>
      </c>
      <c r="Y39" s="21"/>
      <c r="Z39" s="31"/>
      <c r="AA39" s="31"/>
      <c r="AB39" s="31"/>
      <c r="AC39" s="31">
        <v>8</v>
      </c>
      <c r="AD39" s="21"/>
      <c r="AE39" s="21"/>
      <c r="AF39" s="2"/>
      <c r="AG39" s="2"/>
      <c r="AH39" s="28"/>
      <c r="AI39" s="28"/>
      <c r="AJ39" s="28"/>
      <c r="AK39" s="28"/>
      <c r="AL39" s="28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1:96" x14ac:dyDescent="0.35">
      <c r="C40" s="15" t="str">
        <f>IF(AND(F40&lt;&gt;"null",F40&lt;&gt;""),IF(F40=INDEX(Tabel1342323[es_id],MATCH("glmp",Tabel1342323[GLMP/SKMP?],0),1),"glmp",""),IF(AND(G40&lt;&gt;"null",G40&lt;&gt;""),IF(G40=INDEX(Tabel1342323[brp_id],MATCH("glmp",Tabel1342323[GLMP/SKMP?],0),1),"glmp",""),IF(E40=INDEX(Tabel1342323[ga_id],MATCH("glmp",Tabel1342323[GLMP/SKMP?],0),1),"glmp","")))</f>
        <v/>
      </c>
      <c r="D40" s="15" t="str">
        <f>IF(AND(F40&lt;&gt;"null",F40&lt;&gt;""),IF(F40=INDEX(Tabel1342323[es_id],MATCH("skmp",Tabel1342323[GLMP/SKMP?],0),1),"skmp",""),IF(AND(G40&lt;&gt;"null",G40&lt;&gt;""),IF(G40=INDEX(Tabel1342323[brp_id],MATCH("skmp",Tabel1342323[GLMP/SKMP?],0),1),"skmp",""),IF(E40=INDEX(Tabel1342323[ga_id],MATCH("skmp",Tabel1342323[GLMP/SKMP?],0),1),"skmp","")))</f>
        <v/>
      </c>
      <c r="E40" s="24" t="str">
        <f t="shared" si="0"/>
        <v/>
      </c>
      <c r="F40" s="24" t="str">
        <f t="shared" ref="F40:F45" si="4">IF(B$1="ga",IF(E40="","","null"),IF(OR(B$1="ga_es",B$1="ga_brp_es"),IF(AI20=0,"",AI20),IF(B$1="ga_brp",IF(E40="","","null"))))</f>
        <v/>
      </c>
      <c r="G40" s="24" t="str">
        <f>IF(B$1="ga",IF(E40="","","null"),IF(B$1="ga_es",IF(F40="","","null"),IF(B$1="ga_brp",IF(AJ20=0,"",AJ20),IF(F40="","",INDEX(Tabel1342323[brp_id],MATCH(F40,Tabel1342323[es_id],0),1)))))</f>
        <v/>
      </c>
      <c r="H40" s="26" t="str">
        <f t="shared" si="2"/>
        <v/>
      </c>
      <c r="I40" s="8" t="str">
        <f>IF(B$2&lt;&gt;"production",IF(OR(B$1="ga_es",B$1="ga_brp_es"),SUMIFS(Tabel1342323[Total/hour],Tabel1342323[es_id],F40,Tabel1342323[settlement_method],AK$2),IF(B$1="ga_brp",SUMIFS(Tabel1342323[Total/hour],Tabel1342323[brp_id],G40,Tabel1342323[settlement_method],AK$2),"noget andet")),"noget andet")</f>
        <v>noget andet</v>
      </c>
      <c r="J40" s="8">
        <f t="shared" si="3"/>
        <v>0</v>
      </c>
      <c r="L40" s="2"/>
      <c r="W40" s="19"/>
      <c r="X40" s="18"/>
      <c r="Y40" s="18"/>
      <c r="Z40" s="31"/>
      <c r="AA40" s="31"/>
      <c r="AB40" s="31"/>
      <c r="AC40" s="31"/>
      <c r="AD40" s="21"/>
      <c r="AE40" s="21"/>
      <c r="AF40" s="2"/>
      <c r="AG40" s="2"/>
      <c r="AH40" s="28"/>
      <c r="AI40" s="28"/>
      <c r="AJ40" s="28"/>
      <c r="AK40" s="28"/>
      <c r="AL40" s="28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</row>
    <row r="41" spans="1:96" x14ac:dyDescent="0.35">
      <c r="C41" s="15" t="str">
        <f>IF(AND(F41&lt;&gt;"null",F41&lt;&gt;""),IF(F41=INDEX(Tabel1342323[es_id],MATCH("glmp",Tabel1342323[GLMP/SKMP?],0),1),"glmp",""),IF(AND(G41&lt;&gt;"null",G41&lt;&gt;""),IF(G41=INDEX(Tabel1342323[brp_id],MATCH("glmp",Tabel1342323[GLMP/SKMP?],0),1),"glmp",""),IF(E41=INDEX(Tabel1342323[ga_id],MATCH("glmp",Tabel1342323[GLMP/SKMP?],0),1),"glmp","")))</f>
        <v/>
      </c>
      <c r="D41" s="15" t="str">
        <f>IF(AND(F41&lt;&gt;"null",F41&lt;&gt;""),IF(F41=INDEX(Tabel1342323[es_id],MATCH("skmp",Tabel1342323[GLMP/SKMP?],0),1),"skmp",""),IF(AND(G41&lt;&gt;"null",G41&lt;&gt;""),IF(G41=INDEX(Tabel1342323[brp_id],MATCH("skmp",Tabel1342323[GLMP/SKMP?],0),1),"skmp",""),IF(E41=INDEX(Tabel1342323[ga_id],MATCH("skmp",Tabel1342323[GLMP/SKMP?],0),1),"skmp","")))</f>
        <v/>
      </c>
      <c r="E41" s="24" t="str">
        <f t="shared" si="0"/>
        <v/>
      </c>
      <c r="F41" s="24" t="str">
        <f t="shared" si="4"/>
        <v/>
      </c>
      <c r="G41" s="24" t="str">
        <f>IF(B$1="ga",IF(E41="","","null"),IF(B$1="ga_es",IF(F41="","","null"),IF(B$1="ga_brp",IF(AJ21=0,"",AJ21),IF(F41="","",INDEX(Tabel1342323[brp_id],MATCH(F41,Tabel1342323[es_id],0),1)))))</f>
        <v/>
      </c>
      <c r="H41" s="26" t="str">
        <f t="shared" si="2"/>
        <v/>
      </c>
      <c r="I41" s="8" t="str">
        <f>IF(B$2&lt;&gt;"production",IF(OR(B$1="ga_es",B$1="ga_brp_es"),SUMIFS(Tabel1342323[Total/hour],Tabel1342323[es_id],F41,Tabel1342323[settlement_method],AK$2),IF(B$1="ga_brp",SUMIFS(Tabel1342323[Total/hour],Tabel1342323[brp_id],G41,Tabel1342323[settlement_method],AK$2),"noget andet")),"noget andet")</f>
        <v>noget andet</v>
      </c>
      <c r="J41" s="8">
        <f t="shared" si="3"/>
        <v>0</v>
      </c>
      <c r="L41" s="2"/>
      <c r="W41" s="19"/>
      <c r="X41" s="18"/>
      <c r="Y41" s="18"/>
      <c r="Z41" s="32"/>
      <c r="AA41" s="31"/>
      <c r="AB41" s="31"/>
      <c r="AC41" s="31"/>
      <c r="AD41" s="21"/>
      <c r="AE41" s="21"/>
      <c r="AF41" s="2"/>
      <c r="AG41" s="2"/>
      <c r="AH41" s="28"/>
      <c r="AI41" s="27"/>
      <c r="AJ41" s="28"/>
      <c r="AK41" s="28"/>
      <c r="AL41" s="28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</row>
    <row r="42" spans="1:96" x14ac:dyDescent="0.35">
      <c r="C42" s="15" t="str">
        <f>IF(AND(F42&lt;&gt;"null",F42&lt;&gt;""),IF(F42=INDEX(Tabel1342323[es_id],MATCH("glmp",Tabel1342323[GLMP/SKMP?],0),1),"glmp",""),IF(AND(G42&lt;&gt;"null",G42&lt;&gt;""),IF(G42=INDEX(Tabel1342323[brp_id],MATCH("glmp",Tabel1342323[GLMP/SKMP?],0),1),"glmp",""),IF(E42=INDEX(Tabel1342323[ga_id],MATCH("glmp",Tabel1342323[GLMP/SKMP?],0),1),"glmp","")))</f>
        <v/>
      </c>
      <c r="D42" s="15" t="str">
        <f>IF(AND(F42&lt;&gt;"null",F42&lt;&gt;""),IF(F42=INDEX(Tabel1342323[es_id],MATCH("skmp",Tabel1342323[GLMP/SKMP?],0),1),"skmp",""),IF(AND(G42&lt;&gt;"null",G42&lt;&gt;""),IF(G42=INDEX(Tabel1342323[brp_id],MATCH("skmp",Tabel1342323[GLMP/SKMP?],0),1),"skmp",""),IF(E42=INDEX(Tabel1342323[ga_id],MATCH("skmp",Tabel1342323[GLMP/SKMP?],0),1),"skmp","")))</f>
        <v/>
      </c>
      <c r="E42" s="24" t="str">
        <f t="shared" si="0"/>
        <v/>
      </c>
      <c r="F42" s="24" t="str">
        <f t="shared" si="4"/>
        <v/>
      </c>
      <c r="G42" s="24" t="str">
        <f>IF(B$1="ga",IF(E42="","","null"),IF(B$1="ga_es",IF(F42="","","null"),IF(B$1="ga_brp",IF(AJ22=0,"",AJ22),IF(F42="","",INDEX(Tabel1342323[brp_id],MATCH(F42,Tabel1342323[es_id],0),1)))))</f>
        <v/>
      </c>
      <c r="H42" s="26" t="str">
        <f t="shared" si="2"/>
        <v/>
      </c>
      <c r="I42" s="8" t="str">
        <f>IF(B$2&lt;&gt;"production",IF(OR(B$1="ga_es",B$1="ga_brp_es"),SUMIFS(Tabel1342323[Total/hour],Tabel1342323[es_id],F42,Tabel1342323[settlement_method],AK$2),IF(B$1="ga_brp",SUMIFS(Tabel1342323[Total/hour],Tabel1342323[brp_id],G42,Tabel1342323[settlement_method],AK$2),"noget andet")),"noget andet")</f>
        <v>noget andet</v>
      </c>
      <c r="J42" s="8">
        <f t="shared" si="3"/>
        <v>0</v>
      </c>
      <c r="L42" s="2"/>
      <c r="W42" s="19"/>
      <c r="X42" s="18"/>
      <c r="Y42" s="18"/>
      <c r="Z42" s="32"/>
      <c r="AA42" s="31"/>
      <c r="AB42" s="31"/>
      <c r="AC42" s="31"/>
      <c r="AD42" s="21"/>
      <c r="AE42" s="21"/>
      <c r="AF42" s="2"/>
      <c r="AG42" s="2"/>
      <c r="AH42" s="28"/>
      <c r="AI42" s="28"/>
      <c r="AJ42" s="28"/>
      <c r="AK42" s="28"/>
      <c r="AL42" s="28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</row>
    <row r="43" spans="1:96" x14ac:dyDescent="0.35">
      <c r="C43" s="15" t="str">
        <f>IF(AND(F43&lt;&gt;"null",F43&lt;&gt;""),IF(F43=INDEX(Tabel1342323[es_id],MATCH("glmp",Tabel1342323[GLMP/SKMP?],0),1),"glmp",""),IF(AND(G43&lt;&gt;"null",G43&lt;&gt;""),IF(G43=INDEX(Tabel1342323[brp_id],MATCH("glmp",Tabel1342323[GLMP/SKMP?],0),1),"glmp",""),IF(E43=INDEX(Tabel1342323[ga_id],MATCH("glmp",Tabel1342323[GLMP/SKMP?],0),1),"glmp","")))</f>
        <v/>
      </c>
      <c r="D43" s="15" t="str">
        <f>IF(AND(F43&lt;&gt;"null",F43&lt;&gt;""),IF(F43=INDEX(Tabel1342323[es_id],MATCH("skmp",Tabel1342323[GLMP/SKMP?],0),1),"skmp",""),IF(AND(G43&lt;&gt;"null",G43&lt;&gt;""),IF(G43=INDEX(Tabel1342323[brp_id],MATCH("skmp",Tabel1342323[GLMP/SKMP?],0),1),"skmp",""),IF(E43=INDEX(Tabel1342323[ga_id],MATCH("skmp",Tabel1342323[GLMP/SKMP?],0),1),"skmp","")))</f>
        <v/>
      </c>
      <c r="E43" s="24" t="str">
        <f t="shared" si="0"/>
        <v/>
      </c>
      <c r="F43" s="24" t="str">
        <f t="shared" si="4"/>
        <v/>
      </c>
      <c r="G43" s="24" t="str">
        <f>IF(B$1="ga",IF(E43="","","null"),IF(B$1="ga_es",IF(F43="","","null"),IF(B$1="ga_brp",IF(AJ23=0,"",AJ23),IF(F43="","",INDEX(Tabel1342323[brp_id],MATCH(F43,Tabel1342323[es_id],0),1)))))</f>
        <v/>
      </c>
      <c r="H43" s="26" t="str">
        <f t="shared" si="2"/>
        <v/>
      </c>
      <c r="I43" s="8" t="str">
        <f>IF(B$2&lt;&gt;"production",IF(OR(B$1="ga_es",B$1="ga_brp_es"),SUMIFS(Tabel1342323[Total/hour],Tabel1342323[es_id],F43,Tabel1342323[settlement_method],AK$2),IF(B$1="ga_brp",SUMIFS(Tabel1342323[Total/hour],Tabel1342323[brp_id],G43,Tabel1342323[settlement_method],AK$2),"noget andet")),"noget andet")</f>
        <v>noget andet</v>
      </c>
      <c r="J43" s="8">
        <f t="shared" si="3"/>
        <v>0</v>
      </c>
      <c r="L43" s="2"/>
      <c r="W43" s="19"/>
      <c r="X43" s="18"/>
      <c r="Y43" s="18"/>
      <c r="Z43" s="32"/>
      <c r="AA43" s="31"/>
      <c r="AB43" s="31"/>
      <c r="AC43" s="31"/>
      <c r="AD43" s="21"/>
      <c r="AE43" s="21"/>
      <c r="AF43" s="2"/>
      <c r="AG43" s="2"/>
      <c r="AH43" s="28"/>
      <c r="AI43" s="28"/>
      <c r="AJ43" s="28"/>
      <c r="AK43" s="28"/>
      <c r="AL43" s="28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</row>
    <row r="44" spans="1:96" x14ac:dyDescent="0.35">
      <c r="C44" s="15" t="str">
        <f>IF(AND(F44&lt;&gt;"null",F44&lt;&gt;""),IF(F44=INDEX(Tabel1342323[es_id],MATCH("glmp",Tabel1342323[GLMP/SKMP?],0),1),"glmp",""),IF(AND(G44&lt;&gt;"null",G44&lt;&gt;""),IF(G44=INDEX(Tabel1342323[brp_id],MATCH("glmp",Tabel1342323[GLMP/SKMP?],0),1),"glmp",""),IF(E44=INDEX(Tabel1342323[ga_id],MATCH("glmp",Tabel1342323[GLMP/SKMP?],0),1),"glmp","")))</f>
        <v/>
      </c>
      <c r="D44" s="15" t="str">
        <f>IF(AND(F44&lt;&gt;"null",F44&lt;&gt;""),IF(F44=INDEX(Tabel1342323[es_id],MATCH("skmp",Tabel1342323[GLMP/SKMP?],0),1),"skmp",""),IF(AND(G44&lt;&gt;"null",G44&lt;&gt;""),IF(G44=INDEX(Tabel1342323[brp_id],MATCH("skmp",Tabel1342323[GLMP/SKMP?],0),1),"skmp",""),IF(E44=INDEX(Tabel1342323[ga_id],MATCH("skmp",Tabel1342323[GLMP/SKMP?],0),1),"skmp","")))</f>
        <v/>
      </c>
      <c r="E44" s="24" t="str">
        <f t="shared" si="0"/>
        <v/>
      </c>
      <c r="F44" s="24" t="str">
        <f t="shared" si="4"/>
        <v/>
      </c>
      <c r="G44" s="24" t="str">
        <f>IF(B$1="ga",IF(E44="","","null"),IF(B$1="ga_es",IF(F44="","","null"),IF(B$1="ga_brp",IF(AJ24=0,"",AJ24),IF(F44="","",INDEX(Tabel1342323[brp_id],MATCH(F44,Tabel1342323[es_id],0),1)))))</f>
        <v/>
      </c>
      <c r="H44" s="26" t="str">
        <f t="shared" si="2"/>
        <v/>
      </c>
      <c r="I44" s="8" t="str">
        <f>IF(B$2&lt;&gt;"production",IF(OR(B$1="ga_es",B$1="ga_brp_es"),SUMIFS(Tabel1342323[Total/hour],Tabel1342323[es_id],F44,Tabel1342323[settlement_method],AK$2),IF(B$1="ga_brp",SUMIFS(Tabel1342323[Total/hour],Tabel1342323[brp_id],G44,Tabel1342323[settlement_method],AK$2),"noget andet")),"noget andet")</f>
        <v>noget andet</v>
      </c>
      <c r="J44" s="8">
        <f t="shared" si="3"/>
        <v>0</v>
      </c>
      <c r="L44" s="2"/>
      <c r="V44" s="18"/>
      <c r="W44" s="18"/>
      <c r="X44" s="18"/>
      <c r="Y44" s="21"/>
      <c r="Z44" s="21"/>
      <c r="AA44" s="21"/>
      <c r="AB44" s="21"/>
      <c r="AC44" s="21"/>
      <c r="AD44" s="21"/>
      <c r="AE44" s="21"/>
      <c r="AF44" s="2"/>
      <c r="AG44" s="2"/>
      <c r="AH44" s="28"/>
      <c r="AI44" s="27"/>
      <c r="AJ44" s="27"/>
      <c r="AK44" s="28"/>
      <c r="AL44" s="28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</row>
    <row r="45" spans="1:96" x14ac:dyDescent="0.35">
      <c r="C45" s="15" t="str">
        <f>IF(AND(F45&lt;&gt;"null",F45&lt;&gt;""),IF(F45=INDEX(Tabel1342323[es_id],MATCH("glmp",Tabel1342323[GLMP/SKMP?],0),1),"glmp",""),IF(AND(G45&lt;&gt;"null",G45&lt;&gt;""),IF(G45=INDEX(Tabel1342323[brp_id],MATCH("glmp",Tabel1342323[GLMP/SKMP?],0),1),"glmp",""),IF(E45=INDEX(Tabel1342323[ga_id],MATCH("glmp",Tabel1342323[GLMP/SKMP?],0),1),"glmp","")))</f>
        <v/>
      </c>
      <c r="D45" s="15" t="str">
        <f>IF(AND(F45&lt;&gt;"null",F45&lt;&gt;""),IF(F45=INDEX(Tabel1342323[es_id],MATCH("skmp",Tabel1342323[GLMP/SKMP?],0),1),"skmp",""),IF(AND(G45&lt;&gt;"null",G45&lt;&gt;""),IF(G45=INDEX(Tabel1342323[brp_id],MATCH("skmp",Tabel1342323[GLMP/SKMP?],0),1),"skmp",""),IF(E45=INDEX(Tabel1342323[ga_id],MATCH("skmp",Tabel1342323[GLMP/SKMP?],0),1),"skmp","")))</f>
        <v/>
      </c>
      <c r="E45" s="24" t="str">
        <f t="shared" si="0"/>
        <v/>
      </c>
      <c r="F45" s="24" t="str">
        <f t="shared" si="4"/>
        <v/>
      </c>
      <c r="G45" s="24" t="str">
        <f>IF(B$1="ga",IF(E45="","","null"),IF(B$1="ga_es",IF(F45="","","null"),IF(B$1="ga_brp",IF(AJ25=0,"",AJ25),IF(F45="","",INDEX(Tabel1342323[brp_id],MATCH(F45,Tabel1342323[es_id],0),1)))))</f>
        <v/>
      </c>
      <c r="H45" s="26" t="str">
        <f t="shared" si="2"/>
        <v/>
      </c>
      <c r="I45" s="8" t="str">
        <f>IF(B$2&lt;&gt;"production",IF(OR(B$1="ga_es",B$1="ga_brp_es"),SUMIFS(Tabel1342323[Total/hour],Tabel1342323[es_id],F45,Tabel1342323[settlement_method],AK$2),IF(B$1="ga_brp",SUMIFS(Tabel1342323[Total/hour],Tabel1342323[brp_id],G45,Tabel1342323[settlement_method],AK$2),"noget andet")),"noget andet")</f>
        <v>noget andet</v>
      </c>
      <c r="J45" s="8">
        <f t="shared" si="3"/>
        <v>0</v>
      </c>
      <c r="L45" s="2"/>
      <c r="M45" s="2"/>
      <c r="V45" s="18"/>
      <c r="W45" s="18"/>
      <c r="X45" s="18"/>
      <c r="Y45" s="21"/>
      <c r="Z45" s="21"/>
      <c r="AA45" s="21"/>
      <c r="AB45" s="21"/>
      <c r="AC45" s="21"/>
      <c r="AD45" s="21"/>
      <c r="AE45" s="21"/>
      <c r="AF45" s="2"/>
      <c r="AG45" s="2"/>
      <c r="AH45" s="28"/>
      <c r="AI45" s="27"/>
      <c r="AJ45" s="27"/>
      <c r="AK45" s="28"/>
      <c r="AL45" s="28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</row>
    <row r="46" spans="1:96" ht="23.5" x14ac:dyDescent="0.55000000000000004">
      <c r="C46" s="2"/>
      <c r="E46" s="35" t="s">
        <v>21</v>
      </c>
      <c r="F46" s="35"/>
      <c r="G46" s="35"/>
      <c r="H46" s="35"/>
      <c r="M46" s="2"/>
      <c r="N46" s="2"/>
      <c r="V46" s="18"/>
      <c r="W46" s="18"/>
      <c r="X46" s="18"/>
      <c r="Y46" s="21"/>
      <c r="Z46" s="21"/>
      <c r="AA46" s="21"/>
      <c r="AB46" s="21"/>
      <c r="AC46" s="21"/>
      <c r="AD46" s="21"/>
      <c r="AE46" s="21"/>
      <c r="AF46" s="2"/>
      <c r="AG46" s="2"/>
      <c r="AH46" s="28"/>
      <c r="AI46" s="27"/>
      <c r="AJ46" s="27"/>
      <c r="AK46" s="28"/>
      <c r="AL46" s="28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</row>
    <row r="47" spans="1:96" ht="18.5" x14ac:dyDescent="0.45">
      <c r="C47" s="2"/>
      <c r="D47" s="2"/>
      <c r="E47" s="4" t="s">
        <v>12</v>
      </c>
      <c r="F47" s="5" t="s">
        <v>0</v>
      </c>
      <c r="G47" s="5" t="s">
        <v>1</v>
      </c>
      <c r="H47" s="5" t="s">
        <v>2</v>
      </c>
      <c r="M47" s="2"/>
      <c r="V47" s="18"/>
      <c r="W47" s="18"/>
      <c r="X47" s="18"/>
      <c r="Y47" s="21"/>
      <c r="Z47" s="21"/>
      <c r="AA47" s="21"/>
      <c r="AB47" s="21"/>
      <c r="AC47" s="21"/>
      <c r="AD47" s="21"/>
      <c r="AE47" s="21"/>
      <c r="AF47" s="2"/>
      <c r="AG47" s="2"/>
      <c r="AH47" s="28"/>
      <c r="AI47" s="27"/>
      <c r="AJ47" s="27"/>
      <c r="AK47" s="28"/>
      <c r="AL47" s="28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</row>
    <row r="48" spans="1:96" x14ac:dyDescent="0.35">
      <c r="A48" s="2"/>
      <c r="B48" s="2"/>
      <c r="C48" s="2"/>
      <c r="D48" s="2"/>
      <c r="E48" s="24" t="str">
        <f>$AH$2</f>
        <v>800</v>
      </c>
      <c r="F48" s="24" t="s">
        <v>20</v>
      </c>
      <c r="G48" s="24" t="s">
        <v>20</v>
      </c>
      <c r="H48" s="25">
        <f>powerIn1H+powerIn15M-powerOut1H-powerOut15M</f>
        <v>-20</v>
      </c>
      <c r="V48" s="18"/>
      <c r="W48" s="18"/>
      <c r="X48" s="18"/>
      <c r="Y48" s="21"/>
      <c r="Z48" s="21"/>
      <c r="AA48" s="21"/>
      <c r="AB48" s="21"/>
      <c r="AC48" s="21"/>
      <c r="AD48" s="21"/>
      <c r="AE48" s="21"/>
      <c r="AF48" s="2"/>
      <c r="AG48" s="2"/>
      <c r="AH48" s="28"/>
      <c r="AI48" s="27"/>
      <c r="AJ48" s="27"/>
      <c r="AK48" s="28"/>
      <c r="AL48" s="28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</row>
    <row r="49" spans="1:96" x14ac:dyDescent="0.35">
      <c r="A49" s="2"/>
      <c r="B49" s="2"/>
      <c r="C49" s="2"/>
      <c r="V49" s="18"/>
      <c r="W49" s="18"/>
      <c r="X49" s="18"/>
      <c r="Y49" s="21"/>
      <c r="Z49" s="21"/>
      <c r="AA49" s="21"/>
      <c r="AB49" s="21"/>
      <c r="AC49" s="21"/>
      <c r="AD49" s="21"/>
      <c r="AE49" s="21"/>
      <c r="AF49" s="2"/>
      <c r="AG49" s="2"/>
      <c r="AH49" s="2"/>
      <c r="AI49" s="27"/>
      <c r="AJ49" s="27"/>
      <c r="AK49" s="28"/>
      <c r="AL49" s="28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</row>
    <row r="50" spans="1:96" x14ac:dyDescent="0.35">
      <c r="A50" s="2"/>
      <c r="B50" s="2"/>
      <c r="C50" s="2"/>
      <c r="V50" s="18"/>
      <c r="W50" s="18"/>
      <c r="X50" s="18"/>
      <c r="Y50" s="21"/>
      <c r="Z50" s="21"/>
      <c r="AA50" s="21"/>
      <c r="AB50" s="21"/>
      <c r="AC50" s="21"/>
      <c r="AD50" s="21"/>
      <c r="AE50" s="18"/>
      <c r="AF50" s="2"/>
      <c r="AG50" s="2"/>
      <c r="AH50" s="2"/>
      <c r="AI50" s="28" t="str">
        <f>_xlfn.CONCAT("Energy suppliers for "&amp;B2)</f>
        <v>Energy suppliers for production</v>
      </c>
      <c r="AJ50" s="28" t="str">
        <f>_xlfn.CONCAT("Balance responsibles for "&amp;B2)</f>
        <v>Balance responsibles for production</v>
      </c>
      <c r="AK50" s="28"/>
      <c r="AL50" s="28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</row>
    <row r="51" spans="1:96" x14ac:dyDescent="0.35">
      <c r="A51" s="2"/>
      <c r="B51" s="2"/>
      <c r="C51" s="2"/>
      <c r="V51" s="18"/>
      <c r="W51" s="18"/>
      <c r="X51" s="18"/>
      <c r="Y51" s="21"/>
      <c r="Z51" s="21"/>
      <c r="AA51" s="21"/>
      <c r="AB51" s="21"/>
      <c r="AC51" s="21"/>
      <c r="AD51" s="21"/>
      <c r="AE51" s="18"/>
      <c r="AF51" s="2"/>
      <c r="AG51" s="2"/>
      <c r="AH51" s="2"/>
      <c r="AI51" s="28" t="str" cm="1">
        <f t="array" ref="AI51">IFERROR(IF($B$2="production",_xlfn.UNIQUE(INDEX(_xlfn._xlws.FILTER(Tabel1342323[[mp id]:[es_id]],(Tabel1342323[es_id]=AI36)*(Tabel1342323[type]="E18"),""),,11)),_xlfn.UNIQUE(INDEX(_xlfn._xlws.FILTER(Tabel1342323[[mp id]:[es_id]],(Tabel1342323[es_id]=AI36)*(Tabel1342323[settlement_method]=AK$2),""),,11))),"")</f>
        <v/>
      </c>
      <c r="AJ51" s="28" t="str" cm="1">
        <f t="array" ref="AJ51">IFERROR(IF($B$2="production",_xlfn.UNIQUE(INDEX(_xlfn._xlws.FILTER(Tabel1342323[[mp id]:[brp_id]],(Tabel1342323[brp_id]=AJ36)*(Tabel1342323[type]="E18"),""),,10)),_xlfn.UNIQUE(INDEX(_xlfn._xlws.FILTER(Tabel1342323[[mp id]:[brp_id]],(Tabel1342323[brp_id]=AJ36)*(Tabel1342323[settlement_method]=AK$2),""),,12))),"")</f>
        <v/>
      </c>
      <c r="AK51" s="28"/>
      <c r="AL51" s="28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</row>
    <row r="52" spans="1:96" ht="23.5" x14ac:dyDescent="0.55000000000000004">
      <c r="A52" s="2"/>
      <c r="B52" s="2"/>
      <c r="C52" s="2"/>
      <c r="D52" s="2"/>
      <c r="E52" s="36" t="s">
        <v>23</v>
      </c>
      <c r="F52" s="37"/>
      <c r="G52" s="37"/>
      <c r="H52" s="38"/>
      <c r="V52" s="18"/>
      <c r="W52" s="18"/>
      <c r="X52" s="18"/>
      <c r="Y52" s="21"/>
      <c r="Z52" s="21"/>
      <c r="AA52" s="21"/>
      <c r="AB52" s="21"/>
      <c r="AC52" s="21"/>
      <c r="AD52" s="21"/>
      <c r="AE52" s="18"/>
      <c r="AF52" s="2"/>
      <c r="AG52" s="2"/>
      <c r="AH52" s="2"/>
      <c r="AI52" s="28" t="str" cm="1">
        <f t="array" ref="AI52">IFERROR(IF($B$2="production",_xlfn.UNIQUE(INDEX(_xlfn._xlws.FILTER(Tabel1342323[[mp id]:[es_id]],(Tabel1342323[es_id]=AI37)*(Tabel1342323[type]="E18"),""),,11)),_xlfn.UNIQUE(INDEX(_xlfn._xlws.FILTER(Tabel1342323[[mp id]:[es_id]],(Tabel1342323[es_id]=AI37)*(Tabel1342323[settlement_method]=AK$2),""),,11))),"")</f>
        <v>2000000000000</v>
      </c>
      <c r="AJ52" s="28" t="str" cm="1">
        <f t="array" ref="AJ52">IFERROR(IF($B$2="production",_xlfn.UNIQUE(INDEX(_xlfn._xlws.FILTER(Tabel1342323[[mp id]:[brp_id]],(Tabel1342323[brp_id]=AJ37)*(Tabel1342323[type]="E18"),""),,12)),_xlfn.UNIQUE(INDEX(_xlfn._xlws.FILTER(Tabel1342323[[mp id]:[brp_id]],(Tabel1342323[brp_id]=AJ37)*(Tabel1342323[settlement_method]=AK$2),""),,12))),"")</f>
        <v>2200000000000</v>
      </c>
      <c r="AK52" s="28"/>
      <c r="AL52" s="28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</row>
    <row r="53" spans="1:96" ht="18.5" x14ac:dyDescent="0.45">
      <c r="A53" s="2"/>
      <c r="B53" s="2"/>
      <c r="C53" s="2"/>
      <c r="D53" s="2"/>
      <c r="E53" s="4" t="s">
        <v>12</v>
      </c>
      <c r="F53" s="5" t="s">
        <v>0</v>
      </c>
      <c r="G53" s="5" t="s">
        <v>1</v>
      </c>
      <c r="H53" s="5" t="s">
        <v>2</v>
      </c>
      <c r="V53" s="18"/>
      <c r="W53" s="18"/>
      <c r="X53" s="18"/>
      <c r="Y53" s="21"/>
      <c r="Z53" s="21"/>
      <c r="AA53" s="21"/>
      <c r="AB53" s="21"/>
      <c r="AC53" s="21"/>
      <c r="AD53" s="21"/>
      <c r="AE53" s="18"/>
      <c r="AF53" s="2"/>
      <c r="AG53" s="2"/>
      <c r="AH53" s="2"/>
      <c r="AI53" s="28" t="str" cm="1">
        <f t="array" ref="AI53">IFERROR(IF($B$2="production",_xlfn.UNIQUE(INDEX(_xlfn._xlws.FILTER(Tabel1342323[[mp id]:[es_id]],(Tabel1342323[es_id]=AI38)*(Tabel1342323[type]="E18"),""),,11)),_xlfn.UNIQUE(INDEX(_xlfn._xlws.FILTER(Tabel1342323[[mp id]:[es_id]],(Tabel1342323[es_id]=AI38)*(Tabel1342323[settlement_method]=AK$2),""),,11))),"")</f>
        <v>3000000000000</v>
      </c>
      <c r="AJ53" s="28" t="str" cm="1">
        <f t="array" ref="AJ53">IFERROR(IF($B$2="production",_xlfn.UNIQUE(INDEX(_xlfn._xlws.FILTER(Tabel1342323[[mp id]:[brp_id]],(Tabel1342323[brp_id]=AJ38)*(Tabel1342323[type]="E18"),""),,12)),_xlfn.UNIQUE(INDEX(_xlfn._xlws.FILTER(Tabel1342323[[mp id]:[brp_id]],(Tabel1342323[brp_id]=AJ38)*(Tabel1342323[settlement_method]=AK$2),""),,12))),"")</f>
        <v>3300000000000</v>
      </c>
      <c r="AK53" s="28"/>
      <c r="AL53" s="28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</row>
    <row r="54" spans="1:96" x14ac:dyDescent="0.35">
      <c r="A54" s="2"/>
      <c r="B54" s="2"/>
      <c r="C54" s="2"/>
      <c r="D54" s="2"/>
      <c r="E54" s="24" t="str">
        <f>$AH$2</f>
        <v>800</v>
      </c>
      <c r="F54" s="24" t="s">
        <v>20</v>
      </c>
      <c r="G54" s="24" t="s">
        <v>20</v>
      </c>
      <c r="H54" s="25">
        <f>totalFlex1H+totalFlex15M</f>
        <v>50</v>
      </c>
      <c r="V54" s="18"/>
      <c r="W54" s="18"/>
      <c r="X54" s="18"/>
      <c r="Y54" s="21"/>
      <c r="Z54" s="21"/>
      <c r="AA54" s="21"/>
      <c r="AB54" s="21"/>
      <c r="AC54" s="21"/>
      <c r="AD54" s="21"/>
      <c r="AE54" s="18"/>
      <c r="AF54" s="2"/>
      <c r="AG54" s="2"/>
      <c r="AH54" s="2"/>
      <c r="AI54" s="28" t="str" cm="1">
        <f t="array" ref="AI54">IFERROR(IF($B$2="production",_xlfn.UNIQUE(INDEX(_xlfn._xlws.FILTER(Tabel1342323[[mp id]:[es_id]],(Tabel1342323[es_id]=AI39)*(Tabel1342323[type]="E18"),""),,11)),_xlfn.UNIQUE(INDEX(_xlfn._xlws.FILTER(Tabel1342323[[mp id]:[es_id]],(Tabel1342323[es_id]=AI39)*(Tabel1342323[settlement_method]=AK$2),""),,11))),"")</f>
        <v/>
      </c>
      <c r="AJ54" s="28" t="str" cm="1">
        <f t="array" ref="AJ54">IFERROR(IF($B$2="production",_xlfn.UNIQUE(INDEX(_xlfn._xlws.FILTER(Tabel1342323[[mp id]:[brp_id]],(Tabel1342323[brp_id]=AJ39)*(Tabel1342323[type]="E18"),""),,12)),_xlfn.UNIQUE(INDEX(_xlfn._xlws.FILTER(Tabel1342323[[mp id]:[brp_id]],(Tabel1342323[brp_id]=AJ39)*(Tabel1342323[settlement_method]=AK$2),""),,12))),"")</f>
        <v/>
      </c>
      <c r="AK54" s="28"/>
      <c r="AL54" s="28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</row>
    <row r="55" spans="1:96" x14ac:dyDescent="0.35">
      <c r="A55" s="2"/>
      <c r="B55" s="2"/>
      <c r="V55" s="18"/>
      <c r="W55" s="18"/>
      <c r="X55" s="18"/>
      <c r="Y55" s="21"/>
      <c r="Z55" s="21"/>
      <c r="AA55" s="21"/>
      <c r="AB55" s="21"/>
      <c r="AC55" s="21"/>
      <c r="AD55" s="21"/>
      <c r="AE55" s="18"/>
      <c r="AF55" s="2"/>
      <c r="AG55" s="2"/>
      <c r="AH55" s="2"/>
      <c r="AI55" s="28" t="str" cm="1">
        <f t="array" ref="AI55">IFERROR(IF($B$2="production",_xlfn.UNIQUE(INDEX(_xlfn._xlws.FILTER(Tabel1342323[[mp id]:[es_id]],(Tabel1342323[es_id]=AI40)*(Tabel1342323[type]="E18"),""),,11)),_xlfn.UNIQUE(INDEX(_xlfn._xlws.FILTER(Tabel1342323[[mp id]:[es_id]],(Tabel1342323[es_id]=AI40)*(Tabel1342323[settlement_method]=AK$2),""),,11))),"")</f>
        <v/>
      </c>
      <c r="AJ55" s="28" t="str" cm="1">
        <f t="array" ref="AJ55">IFERROR(IF($B$2="production",_xlfn.UNIQUE(INDEX(_xlfn._xlws.FILTER(Tabel1342323[[mp id]:[brp_id]],(Tabel1342323[brp_id]=AJ40)*(Tabel1342323[type]="E18"),""),,12)),_xlfn.UNIQUE(INDEX(_xlfn._xlws.FILTER(Tabel1342323[[mp id]:[brp_id]],(Tabel1342323[brp_id]=AJ40)*(Tabel1342323[settlement_method]=AK$2),""),,12))),"")</f>
        <v/>
      </c>
      <c r="AK55" s="28"/>
      <c r="AL55" s="28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</row>
    <row r="56" spans="1:96" x14ac:dyDescent="0.35">
      <c r="A56" s="2"/>
      <c r="B56" s="2"/>
      <c r="V56" s="18"/>
      <c r="W56" s="18"/>
      <c r="X56" s="18"/>
      <c r="Y56" s="21"/>
      <c r="Z56" s="21"/>
      <c r="AA56" s="21"/>
      <c r="AB56" s="21"/>
      <c r="AC56" s="21"/>
      <c r="AD56" s="21"/>
      <c r="AE56" s="18"/>
      <c r="AF56" s="2"/>
      <c r="AG56" s="2"/>
      <c r="AH56" s="2"/>
      <c r="AI56" s="28" t="str" cm="1">
        <f t="array" ref="AI56">IFERROR(IF($B$2="production",_xlfn.UNIQUE(INDEX(_xlfn._xlws.FILTER(Tabel1342323[[mp id]:[es_id]],(Tabel1342323[es_id]=AI41)*(Tabel1342323[type]="E18"),""),,11)),_xlfn.UNIQUE(INDEX(_xlfn._xlws.FILTER(Tabel1342323[[mp id]:[es_id]],(Tabel1342323[es_id]=AI41)*(Tabel1342323[settlement_method]=AK$2),""),,11))),"")</f>
        <v/>
      </c>
      <c r="AJ56" s="28" t="str" cm="1">
        <f t="array" ref="AJ56">IFERROR(IF($B$2="production",_xlfn.UNIQUE(INDEX(_xlfn._xlws.FILTER(Tabel1342323[[mp id]:[brp_id]],(Tabel1342323[brp_id]=AJ41)*(Tabel1342323[type]="E18"),""),,12)),_xlfn.UNIQUE(INDEX(_xlfn._xlws.FILTER(Tabel1342323[[mp id]:[brp_id]],(Tabel1342323[brp_id]=AJ41)*(Tabel1342323[settlement_method]=AK$2),""),,12))),"")</f>
        <v/>
      </c>
      <c r="AK56" s="28"/>
      <c r="AL56" s="28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</row>
    <row r="57" spans="1:96" x14ac:dyDescent="0.35">
      <c r="A57" s="2"/>
      <c r="B57" s="2"/>
      <c r="V57" s="18"/>
      <c r="W57" s="18"/>
      <c r="X57" s="18"/>
      <c r="Y57" s="21"/>
      <c r="Z57" s="21"/>
      <c r="AA57" s="21"/>
      <c r="AB57" s="21"/>
      <c r="AC57" s="21"/>
      <c r="AD57" s="21"/>
      <c r="AE57" s="21"/>
      <c r="AF57" s="2"/>
      <c r="AG57" s="2"/>
      <c r="AH57" s="2"/>
      <c r="AI57" s="28" t="str" cm="1">
        <f t="array" ref="AI57">IFERROR(IF($B$2="production",_xlfn.UNIQUE(INDEX(_xlfn._xlws.FILTER(Tabel1342323[[mp id]:[es_id]],(Tabel1342323[es_id]=AI42)*(Tabel1342323[type]="E18"),""),,11)),_xlfn.UNIQUE(INDEX(_xlfn._xlws.FILTER(Tabel1342323[[mp id]:[es_id]],(Tabel1342323[es_id]=AI42)*(Tabel1342323[settlement_method]=AK$2),""),,11))),"")</f>
        <v/>
      </c>
      <c r="AJ57" s="28" t="str" cm="1">
        <f t="array" ref="AJ57">IFERROR(IF($B$2="production",_xlfn.UNIQUE(INDEX(_xlfn._xlws.FILTER(Tabel1342323[[mp id]:[brp_id]],(Tabel1342323[brp_id]=AJ42)*(Tabel1342323[type]="E18"),""),,12)),_xlfn.UNIQUE(INDEX(_xlfn._xlws.FILTER(Tabel1342323[[mp id]:[brp_id]],(Tabel1342323[brp_id]=AJ42)*(Tabel1342323[settlement_method]=AK$2),""),,12))),"")</f>
        <v/>
      </c>
      <c r="AK57" s="28"/>
      <c r="AL57" s="28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</row>
    <row r="58" spans="1:96" ht="23.5" x14ac:dyDescent="0.55000000000000004">
      <c r="A58" s="2"/>
      <c r="B58" s="2"/>
      <c r="C58" s="2"/>
      <c r="D58" s="2"/>
      <c r="E58" s="36" t="s">
        <v>24</v>
      </c>
      <c r="F58" s="37"/>
      <c r="G58" s="37"/>
      <c r="H58" s="38"/>
      <c r="V58" s="18"/>
      <c r="W58" s="18"/>
      <c r="X58" s="18"/>
      <c r="Y58" s="21"/>
      <c r="Z58" s="21"/>
      <c r="AA58" s="21"/>
      <c r="AB58" s="21"/>
      <c r="AC58" s="21"/>
      <c r="AD58" s="21"/>
      <c r="AE58" s="21"/>
      <c r="AF58" s="2"/>
      <c r="AG58" s="2"/>
      <c r="AH58" s="2"/>
      <c r="AI58" s="28" t="str" cm="1">
        <f t="array" ref="AI58">IFERROR(IF($B$2="production",_xlfn.UNIQUE(INDEX(_xlfn._xlws.FILTER(Tabel1342323[[mp id]:[es_id]],(Tabel1342323[es_id]=AI43)*(Tabel1342323[type]="E18"),""),,11)),_xlfn.UNIQUE(INDEX(_xlfn._xlws.FILTER(Tabel1342323[[mp id]:[es_id]],(Tabel1342323[es_id]=AI43)*(Tabel1342323[settlement_method]=AK$2),""),,11))),"")</f>
        <v/>
      </c>
      <c r="AJ58" s="28" t="str" cm="1">
        <f t="array" ref="AJ58">IFERROR(IF($B$2="production",_xlfn.UNIQUE(INDEX(_xlfn._xlws.FILTER(Tabel1342323[[mp id]:[brp_id]],(Tabel1342323[brp_id]=AJ43)*(Tabel1342323[type]="E18"),""),,12)),_xlfn.UNIQUE(INDEX(_xlfn._xlws.FILTER(Tabel1342323[[mp id]:[brp_id]],(Tabel1342323[brp_id]=AJ43)*(Tabel1342323[settlement_method]=AK$2),""),,12))),"")</f>
        <v/>
      </c>
      <c r="AK58" s="28"/>
      <c r="AL58" s="28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</row>
    <row r="59" spans="1:96" ht="18.5" x14ac:dyDescent="0.45">
      <c r="A59" s="2"/>
      <c r="B59" s="2"/>
      <c r="C59" s="2"/>
      <c r="D59" s="2"/>
      <c r="E59" s="4" t="s">
        <v>12</v>
      </c>
      <c r="F59" s="5" t="s">
        <v>0</v>
      </c>
      <c r="G59" s="5" t="s">
        <v>1</v>
      </c>
      <c r="H59" s="5" t="s">
        <v>2</v>
      </c>
      <c r="K59" s="40"/>
      <c r="V59" s="18"/>
      <c r="W59" s="18"/>
      <c r="X59" s="18"/>
      <c r="Y59" s="21"/>
      <c r="Z59" s="21"/>
      <c r="AA59" s="21"/>
      <c r="AB59" s="21"/>
      <c r="AC59" s="21"/>
      <c r="AD59" s="21"/>
      <c r="AE59" s="21"/>
      <c r="AF59" s="2"/>
      <c r="AG59" s="2"/>
      <c r="AH59" s="2"/>
      <c r="AI59" s="28" t="str" cm="1">
        <f t="array" ref="AI59">IFERROR(IF($B$2="production",_xlfn.UNIQUE(INDEX(_xlfn._xlws.FILTER(Tabel1342323[[mp id]:[es_id]],(Tabel1342323[es_id]=AI44)*(Tabel1342323[type]="E18"),""),,11)),_xlfn.UNIQUE(INDEX(_xlfn._xlws.FILTER(Tabel1342323[[mp id]:[es_id]],(Tabel1342323[es_id]=AI44)*(Tabel1342323[settlement_method]=AK$2),""),,11))),"")</f>
        <v/>
      </c>
      <c r="AJ59" s="28" t="str" cm="1">
        <f t="array" ref="AJ59">IFERROR(IF($B$2="production",_xlfn.UNIQUE(INDEX(_xlfn._xlws.FILTER(Tabel1342323[[mp id]:[brp_id]],(Tabel1342323[brp_id]=AJ44)*(Tabel1342323[type]="E18"),""),,12)),_xlfn.UNIQUE(INDEX(_xlfn._xlws.FILTER(Tabel1342323[[mp id]:[brp_id]],(Tabel1342323[brp_id]=AJ44)*(Tabel1342323[settlement_method]=AK$2),""),,12))),"")</f>
        <v/>
      </c>
      <c r="AK59" s="28"/>
      <c r="AL59" s="28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</row>
    <row r="60" spans="1:96" x14ac:dyDescent="0.35">
      <c r="C60" s="2"/>
      <c r="D60" s="2"/>
      <c r="E60" s="24" t="str">
        <f>$AH$2</f>
        <v>800</v>
      </c>
      <c r="F60" s="24" t="s">
        <v>20</v>
      </c>
      <c r="G60" s="24" t="s">
        <v>20</v>
      </c>
      <c r="H60" s="25">
        <f>totalProduction1H+totalProduction15M</f>
        <v>93</v>
      </c>
      <c r="K60" s="40"/>
      <c r="V60" s="18"/>
      <c r="W60" s="18"/>
      <c r="X60" s="18"/>
      <c r="Y60" s="21"/>
      <c r="Z60" s="21"/>
      <c r="AA60" s="21"/>
      <c r="AB60" s="21"/>
      <c r="AC60" s="21"/>
      <c r="AD60" s="21"/>
      <c r="AE60" s="21"/>
      <c r="AF60" s="2"/>
      <c r="AG60" s="2"/>
      <c r="AH60" s="2"/>
      <c r="AI60" s="28" t="str" cm="1">
        <f t="array" ref="AI60">IFERROR(IF($B$2="production",_xlfn.UNIQUE(INDEX(_xlfn._xlws.FILTER(Tabel1342323[[mp id]:[es_id]],(Tabel1342323[es_id]=AI45)*(Tabel1342323[type]="E18"),""),,11)),_xlfn.UNIQUE(INDEX(_xlfn._xlws.FILTER(Tabel1342323[[mp id]:[es_id]],(Tabel1342323[es_id]=AI45)*(Tabel1342323[settlement_method]=AK$2),""),,11))),"")</f>
        <v/>
      </c>
      <c r="AJ60" s="28" t="str" cm="1">
        <f t="array" ref="AJ60">IFERROR(IF($B$2="production",_xlfn.UNIQUE(INDEX(_xlfn._xlws.FILTER(Tabel1342323[[mp id]:[brp_id]],(Tabel1342323[brp_id]=AJ45)*(Tabel1342323[type]="E18"),""),,12)),_xlfn.UNIQUE(INDEX(_xlfn._xlws.FILTER(Tabel1342323[[mp id]:[brp_id]],(Tabel1342323[brp_id]=AJ45)*(Tabel1342323[settlement_method]=AK$2),""),,12))),"")</f>
        <v/>
      </c>
      <c r="AK60" s="28"/>
      <c r="AL60" s="28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</row>
    <row r="61" spans="1:96" x14ac:dyDescent="0.35">
      <c r="K61" s="40"/>
      <c r="V61" s="18"/>
      <c r="W61" s="18"/>
      <c r="X61" s="18"/>
      <c r="Y61" s="21"/>
      <c r="Z61" s="21"/>
      <c r="AA61" s="21"/>
      <c r="AB61" s="21"/>
      <c r="AC61" s="21"/>
      <c r="AD61" s="21"/>
      <c r="AE61" s="21"/>
      <c r="AF61" s="2"/>
      <c r="AG61" s="2"/>
      <c r="AH61" s="2"/>
      <c r="AI61" s="28" t="str" cm="1">
        <f t="array" ref="AI61">IFERROR(IF($B$2="production",_xlfn.UNIQUE(INDEX(_xlfn._xlws.FILTER(Tabel1342323[[mp id]:[es_id]],(Tabel1342323[es_id]=AI46)*(Tabel1342323[type]="E18"),""),,11)),_xlfn.UNIQUE(INDEX(_xlfn._xlws.FILTER(Tabel1342323[[mp id]:[es_id]],(Tabel1342323[es_id]=AI46)*(Tabel1342323[settlement_method]=AK$2),""),,11))),"")</f>
        <v/>
      </c>
      <c r="AJ61" s="28" t="str" cm="1">
        <f t="array" ref="AJ61">IFERROR(IF($B$2="production",_xlfn.UNIQUE(INDEX(_xlfn._xlws.FILTER(Tabel1342323[[mp id]:[brp_id]],(Tabel1342323[brp_id]=AJ46)*(Tabel1342323[type]="E18"),""),,12)),_xlfn.UNIQUE(INDEX(_xlfn._xlws.FILTER(Tabel1342323[[mp id]:[brp_id]],(Tabel1342323[brp_id]=AJ46)*(Tabel1342323[settlement_method]=AK$2),""),,12))),"")</f>
        <v/>
      </c>
      <c r="AK61" s="28"/>
      <c r="AL61" s="28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</row>
    <row r="62" spans="1:96" x14ac:dyDescent="0.35">
      <c r="K62" s="40"/>
      <c r="V62" s="18"/>
      <c r="W62" s="18"/>
      <c r="X62" s="18"/>
      <c r="Y62" s="21"/>
      <c r="Z62" s="21"/>
      <c r="AA62" s="21"/>
      <c r="AB62" s="21"/>
      <c r="AC62" s="21"/>
      <c r="AD62" s="21"/>
      <c r="AE62" s="21"/>
      <c r="AF62" s="2"/>
      <c r="AG62" s="2"/>
      <c r="AH62" s="2"/>
      <c r="AI62" s="28"/>
      <c r="AJ62" s="28"/>
      <c r="AK62" s="28"/>
      <c r="AL62" s="28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</row>
    <row r="63" spans="1:96" x14ac:dyDescent="0.35">
      <c r="K63" s="40"/>
      <c r="V63" s="18"/>
      <c r="W63" s="18"/>
      <c r="X63" s="18"/>
      <c r="Y63" s="21"/>
      <c r="Z63" s="21"/>
      <c r="AA63" s="21"/>
      <c r="AB63" s="21"/>
      <c r="AC63" s="21"/>
      <c r="AD63" s="21"/>
      <c r="AE63" s="21"/>
      <c r="AF63" s="2"/>
      <c r="AG63" s="2"/>
      <c r="AH63" s="2"/>
      <c r="AI63" s="28"/>
      <c r="AJ63" s="28"/>
      <c r="AK63" s="28"/>
      <c r="AL63" s="28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</row>
    <row r="64" spans="1:96" ht="23.5" x14ac:dyDescent="0.55000000000000004">
      <c r="C64" s="2"/>
      <c r="D64" s="2"/>
      <c r="E64" s="36" t="s">
        <v>25</v>
      </c>
      <c r="F64" s="37"/>
      <c r="G64" s="37"/>
      <c r="H64" s="38"/>
      <c r="K64" s="40"/>
      <c r="V64" s="18"/>
      <c r="W64" s="18"/>
      <c r="X64" s="18"/>
      <c r="Y64" s="21"/>
      <c r="Z64" s="21"/>
      <c r="AA64" s="21"/>
      <c r="AB64" s="21"/>
      <c r="AC64" s="21"/>
      <c r="AD64" s="21"/>
      <c r="AE64" s="21"/>
      <c r="AF64" s="2"/>
      <c r="AG64" s="2"/>
      <c r="AH64" s="2"/>
      <c r="AI64" s="28"/>
      <c r="AJ64" s="28"/>
      <c r="AK64" s="28"/>
      <c r="AL64" s="28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</row>
    <row r="65" spans="3:96" ht="18.5" x14ac:dyDescent="0.45">
      <c r="C65" s="2"/>
      <c r="D65" s="2"/>
      <c r="E65" s="4" t="s">
        <v>12</v>
      </c>
      <c r="F65" s="5" t="s">
        <v>0</v>
      </c>
      <c r="G65" s="5" t="s">
        <v>1</v>
      </c>
      <c r="H65" s="5" t="s">
        <v>2</v>
      </c>
      <c r="K65" s="40"/>
      <c r="V65" s="18"/>
      <c r="W65" s="18"/>
      <c r="X65" s="18"/>
      <c r="Y65" s="21"/>
      <c r="Z65" s="21"/>
      <c r="AA65" s="21"/>
      <c r="AB65" s="21"/>
      <c r="AC65" s="21"/>
      <c r="AD65" s="21"/>
      <c r="AE65" s="21"/>
      <c r="AF65" s="2"/>
      <c r="AG65" s="2"/>
      <c r="AH65" s="2"/>
      <c r="AI65" s="28"/>
      <c r="AJ65" s="28"/>
      <c r="AK65" s="28"/>
      <c r="AL65" s="28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</row>
    <row r="66" spans="3:96" x14ac:dyDescent="0.35">
      <c r="C66" s="2"/>
      <c r="D66" s="2"/>
      <c r="E66" s="24" t="str">
        <f>$AH$2</f>
        <v>800</v>
      </c>
      <c r="F66" s="24" t="s">
        <v>20</v>
      </c>
      <c r="G66" s="24" t="s">
        <v>20</v>
      </c>
      <c r="H66" s="25">
        <f>totalProduction1H+totalProduction15M+netEx-totalFlex1H-totalFlex15M-totalNonprofiled1H-totalNonprofiled15M</f>
        <v>1</v>
      </c>
      <c r="K66" s="40"/>
      <c r="V66" s="18"/>
      <c r="W66" s="18"/>
      <c r="X66" s="18"/>
      <c r="Y66" s="21"/>
      <c r="Z66" s="21"/>
      <c r="AA66" s="21"/>
      <c r="AB66" s="21"/>
      <c r="AC66" s="21"/>
      <c r="AD66" s="21"/>
      <c r="AE66" s="21"/>
      <c r="AF66" s="2"/>
      <c r="AG66" s="2"/>
      <c r="AH66" s="2"/>
      <c r="AI66" s="28"/>
      <c r="AJ66" s="28"/>
      <c r="AK66" s="28"/>
      <c r="AL66" s="28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</row>
    <row r="67" spans="3:96" x14ac:dyDescent="0.35">
      <c r="K67" s="40"/>
      <c r="V67" s="18"/>
      <c r="W67" s="18"/>
      <c r="X67" s="18"/>
      <c r="Y67" s="21"/>
      <c r="Z67" s="21"/>
      <c r="AA67" s="21"/>
      <c r="AB67" s="21"/>
      <c r="AC67" s="21"/>
      <c r="AD67" s="21"/>
      <c r="AE67" s="21"/>
      <c r="AF67" s="2"/>
      <c r="AG67" s="2"/>
      <c r="AH67" s="2"/>
      <c r="AI67" s="28"/>
      <c r="AJ67" s="28"/>
      <c r="AK67" s="28"/>
      <c r="AL67" s="28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</row>
    <row r="68" spans="3:96" x14ac:dyDescent="0.35">
      <c r="K68" s="40"/>
      <c r="V68" s="18"/>
      <c r="W68" s="18"/>
      <c r="X68" s="18"/>
      <c r="Y68" s="21"/>
      <c r="Z68" s="21"/>
      <c r="AA68" s="21"/>
      <c r="AB68" s="21"/>
      <c r="AC68" s="21"/>
      <c r="AD68" s="21"/>
      <c r="AE68" s="21"/>
      <c r="AF68" s="2"/>
      <c r="AG68" s="2"/>
      <c r="AH68" s="2"/>
      <c r="AI68" s="28"/>
      <c r="AJ68" s="28"/>
      <c r="AK68" s="28"/>
      <c r="AL68" s="28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</row>
    <row r="69" spans="3:96" x14ac:dyDescent="0.35">
      <c r="J69" s="2"/>
      <c r="K69" s="40"/>
      <c r="V69" s="18"/>
      <c r="W69" s="18"/>
      <c r="X69" s="21"/>
      <c r="Y69" s="21"/>
      <c r="Z69" s="21"/>
      <c r="AA69" s="21"/>
      <c r="AB69" s="21"/>
      <c r="AC69" s="21"/>
      <c r="AD69" s="21"/>
      <c r="AE69" s="21"/>
      <c r="AF69" s="2"/>
      <c r="AG69" s="2"/>
      <c r="AH69" s="2"/>
      <c r="AI69" s="28"/>
      <c r="AJ69" s="28"/>
      <c r="AK69" s="28"/>
      <c r="AL69" s="28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</row>
    <row r="70" spans="3:96" ht="23.5" x14ac:dyDescent="0.55000000000000004">
      <c r="C70" s="2"/>
      <c r="D70" s="2"/>
      <c r="E70" s="36" t="s">
        <v>27</v>
      </c>
      <c r="F70" s="37"/>
      <c r="G70" s="37"/>
      <c r="H70" s="38"/>
      <c r="K70" s="40"/>
      <c r="V70" s="18"/>
      <c r="W70" s="21"/>
      <c r="X70" s="21"/>
      <c r="Y70" s="18"/>
      <c r="Z70" s="18"/>
      <c r="AA70" s="18"/>
      <c r="AB70" s="18"/>
      <c r="AC70" s="18"/>
      <c r="AD70" s="18"/>
      <c r="AE70" s="21"/>
      <c r="AF70" s="2"/>
      <c r="AG70" s="2"/>
      <c r="AH70" s="2"/>
      <c r="AI70" s="28"/>
      <c r="AJ70" s="28"/>
      <c r="AK70" s="28"/>
      <c r="AL70" s="28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</row>
    <row r="71" spans="3:96" ht="18.5" x14ac:dyDescent="0.45">
      <c r="C71" s="2"/>
      <c r="D71" s="2"/>
      <c r="E71" s="4" t="s">
        <v>12</v>
      </c>
      <c r="F71" s="5" t="s">
        <v>0</v>
      </c>
      <c r="G71" s="5" t="s">
        <v>1</v>
      </c>
      <c r="H71" s="5" t="s">
        <v>2</v>
      </c>
      <c r="K71" s="40"/>
      <c r="V71" s="18"/>
      <c r="W71" s="21"/>
      <c r="X71" s="21"/>
      <c r="Y71" s="18"/>
      <c r="Z71" s="18"/>
      <c r="AA71" s="18"/>
      <c r="AB71" s="18"/>
      <c r="AC71" s="18"/>
      <c r="AD71" s="18"/>
      <c r="AE71" s="21"/>
      <c r="AF71" s="2"/>
      <c r="AG71" s="2"/>
      <c r="AH71" s="2"/>
      <c r="AI71" s="28"/>
      <c r="AJ71" s="28"/>
      <c r="AK71" s="28"/>
      <c r="AL71" s="28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</row>
    <row r="72" spans="3:96" x14ac:dyDescent="0.35">
      <c r="C72" s="2"/>
      <c r="D72" s="2"/>
      <c r="E72" s="24" t="str">
        <f>$AH$2</f>
        <v>800</v>
      </c>
      <c r="F72" s="24" t="s">
        <v>20</v>
      </c>
      <c r="G72" s="24" t="s">
        <v>20</v>
      </c>
      <c r="H72" s="25">
        <f>IF(gridLoss&gt;0,gridLoss,0)</f>
        <v>1</v>
      </c>
      <c r="K72" s="40"/>
      <c r="V72" s="18"/>
      <c r="W72" s="21"/>
      <c r="X72" s="21"/>
      <c r="Y72" s="18"/>
      <c r="Z72" s="18"/>
      <c r="AA72" s="18"/>
      <c r="AB72" s="18"/>
      <c r="AC72" s="18"/>
      <c r="AD72" s="18"/>
      <c r="AE72" s="21"/>
      <c r="AF72" s="2"/>
      <c r="AG72" s="2"/>
      <c r="AH72" s="2"/>
      <c r="AI72" s="2"/>
      <c r="AJ72" s="2"/>
      <c r="AK72" s="21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</row>
    <row r="73" spans="3:96" x14ac:dyDescent="0.35">
      <c r="K73" s="40"/>
      <c r="W73" s="2"/>
      <c r="X73" s="2"/>
      <c r="AE73" s="2"/>
      <c r="AF73" s="2"/>
      <c r="AG73" s="2"/>
      <c r="AH73" s="2"/>
      <c r="AI73" s="2"/>
      <c r="AJ73" s="2"/>
      <c r="AK73" s="21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</row>
    <row r="74" spans="3:96" x14ac:dyDescent="0.35">
      <c r="C74" s="2"/>
      <c r="D74" s="2"/>
      <c r="E74" s="2"/>
      <c r="F74" s="2"/>
      <c r="G74" s="2"/>
      <c r="H74" s="2"/>
      <c r="I74" s="2"/>
      <c r="K74" s="40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1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</row>
    <row r="75" spans="3:96" x14ac:dyDescent="0.35">
      <c r="C75" s="2"/>
      <c r="D75" s="2"/>
      <c r="E75" s="2"/>
      <c r="F75" s="2"/>
      <c r="G75" s="2"/>
      <c r="H75" s="2"/>
      <c r="I75" s="2"/>
      <c r="K75" s="40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1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</row>
    <row r="76" spans="3:96" ht="23.5" x14ac:dyDescent="0.55000000000000004">
      <c r="C76" s="2"/>
      <c r="D76" s="2"/>
      <c r="E76" s="36" t="s">
        <v>28</v>
      </c>
      <c r="F76" s="37"/>
      <c r="G76" s="37"/>
      <c r="H76" s="38"/>
      <c r="I76" s="2"/>
      <c r="J76" s="2"/>
      <c r="K76" s="40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1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</row>
    <row r="77" spans="3:96" ht="18.5" x14ac:dyDescent="0.45">
      <c r="C77" s="2"/>
      <c r="D77" s="2"/>
      <c r="E77" s="4" t="s">
        <v>12</v>
      </c>
      <c r="F77" s="5" t="s">
        <v>0</v>
      </c>
      <c r="G77" s="5" t="s">
        <v>1</v>
      </c>
      <c r="H77" s="5" t="s">
        <v>2</v>
      </c>
      <c r="I77" s="2"/>
      <c r="J77" s="2"/>
      <c r="K77" s="40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1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</row>
    <row r="78" spans="3:96" x14ac:dyDescent="0.35">
      <c r="C78" s="2"/>
      <c r="D78" s="2"/>
      <c r="E78" s="24" t="str">
        <f>$AH$2</f>
        <v>800</v>
      </c>
      <c r="F78" s="24" t="s">
        <v>20</v>
      </c>
      <c r="G78" s="24" t="s">
        <v>20</v>
      </c>
      <c r="H78" s="25">
        <f>IF(gridLoss&lt;0,gridLoss*-1,0)</f>
        <v>0</v>
      </c>
      <c r="J78" s="2"/>
      <c r="K78" s="40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1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</row>
    <row r="79" spans="3:96" x14ac:dyDescent="0.35">
      <c r="C79" s="2"/>
      <c r="D79" s="2"/>
      <c r="E79" s="2"/>
      <c r="F79" s="2"/>
      <c r="G79" s="2"/>
      <c r="H79" s="2"/>
      <c r="I79" s="2"/>
      <c r="J79" s="2"/>
      <c r="K79" s="40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1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</row>
    <row r="80" spans="3:96" x14ac:dyDescent="0.35">
      <c r="C80" s="2"/>
      <c r="D80" s="2"/>
      <c r="E80" s="2"/>
      <c r="F80" s="2"/>
      <c r="G80" s="2"/>
      <c r="H80" s="2"/>
      <c r="I80" s="2"/>
      <c r="J80" s="2"/>
      <c r="K80" s="40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1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</row>
    <row r="81" spans="3:96" x14ac:dyDescent="0.35">
      <c r="C81" s="2"/>
      <c r="D81" s="2"/>
      <c r="E81" s="2"/>
      <c r="F81" s="2"/>
      <c r="G81" s="2"/>
      <c r="H81" s="2"/>
      <c r="I81" s="2"/>
      <c r="J81" s="2"/>
      <c r="K81" s="40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1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</row>
    <row r="82" spans="3:96" ht="23.5" x14ac:dyDescent="0.55000000000000004">
      <c r="C82" s="2"/>
      <c r="D82" s="2"/>
      <c r="E82" s="36" t="s">
        <v>37</v>
      </c>
      <c r="F82" s="37"/>
      <c r="G82" s="37"/>
      <c r="H82" s="38"/>
      <c r="I82" s="2"/>
      <c r="J82" s="2"/>
      <c r="K82" s="40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1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</row>
    <row r="83" spans="3:96" ht="18.5" x14ac:dyDescent="0.45">
      <c r="C83" s="2"/>
      <c r="D83" s="2"/>
      <c r="E83" s="4" t="s">
        <v>12</v>
      </c>
      <c r="F83" s="5" t="s">
        <v>0</v>
      </c>
      <c r="G83" s="5" t="s">
        <v>1</v>
      </c>
      <c r="H83" s="5" t="s">
        <v>2</v>
      </c>
      <c r="I83" s="2"/>
      <c r="J83" s="2"/>
      <c r="K83" s="40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1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</row>
    <row r="84" spans="3:96" x14ac:dyDescent="0.35">
      <c r="C84" s="2"/>
      <c r="D84" s="2"/>
      <c r="E84" s="24" t="str">
        <f>$AH$2</f>
        <v>800</v>
      </c>
      <c r="F84" s="24" t="s">
        <v>20</v>
      </c>
      <c r="G84" s="24" t="s">
        <v>20</v>
      </c>
      <c r="H84" s="25">
        <f>netEx+totalProduction1H+totalProduction15M+negGridLoss</f>
        <v>73</v>
      </c>
      <c r="I84" s="29"/>
      <c r="J84" s="2"/>
      <c r="K84" s="40"/>
      <c r="Y84" s="2"/>
      <c r="Z84" s="39" t="s">
        <v>42</v>
      </c>
      <c r="AA84" s="39"/>
      <c r="AB84" s="39"/>
      <c r="AC84" s="39"/>
      <c r="AD84" s="39"/>
      <c r="AE84" s="2"/>
      <c r="AF84" s="2"/>
      <c r="AG84" s="2"/>
      <c r="AH84" s="2"/>
      <c r="AI84" s="2"/>
      <c r="AJ84" s="2"/>
      <c r="AK84" s="21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</row>
    <row r="85" spans="3:96" x14ac:dyDescent="0.35">
      <c r="C85" s="2"/>
      <c r="D85" s="2"/>
      <c r="E85" s="2"/>
      <c r="F85" s="2"/>
      <c r="G85" s="2"/>
      <c r="H85" s="2"/>
      <c r="I85" s="2"/>
      <c r="J85" s="2"/>
      <c r="K85" s="40"/>
      <c r="Y85" s="2"/>
      <c r="Z85" s="6" t="s">
        <v>9</v>
      </c>
      <c r="AA85" s="6" t="s">
        <v>43</v>
      </c>
      <c r="AB85" s="6" t="s">
        <v>29</v>
      </c>
      <c r="AC85" s="6" t="s">
        <v>30</v>
      </c>
      <c r="AD85" s="6" t="s">
        <v>31</v>
      </c>
      <c r="AE85" s="2"/>
      <c r="AF85" s="2"/>
      <c r="AG85" s="2"/>
      <c r="AH85" s="2"/>
      <c r="AI85" s="2"/>
      <c r="AJ85" s="2"/>
      <c r="AK85" s="21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</row>
    <row r="86" spans="3:96" x14ac:dyDescent="0.35">
      <c r="C86" s="2"/>
      <c r="D86" s="2"/>
      <c r="E86" s="2"/>
      <c r="F86" s="2"/>
      <c r="G86" s="2"/>
      <c r="H86" s="2"/>
      <c r="I86" s="2"/>
      <c r="J86" s="2"/>
      <c r="K86" s="40"/>
      <c r="Y86" s="2"/>
      <c r="Z86" s="20">
        <f>SUMIFS(Tabel1342323[settlement_method],Tabel1342323[Quarter2],"PT15M",Tabel1342323[es_id],AL$3)-SUMIFS(Tabel1342323[settlement_method],Tabel1342323[Quarter2],"PT15M",Tabel1342323[brp_id],AL$3)</f>
        <v>0</v>
      </c>
      <c r="AA86" s="6">
        <f>(SUMIFS(Tabel1342323[settlement_method],Tabel1342323[Quarter2],"PT1H",Tabel1342323[es_id],AL$3)-SUMIFS(Tabel1342323[settlement_method],Tabel1342323[Quarter2],"PT1H",Tabel1342323[brp_id],AL$3))/4</f>
        <v>0</v>
      </c>
      <c r="AB86" s="15">
        <f>AA86</f>
        <v>0</v>
      </c>
      <c r="AC86" s="15"/>
      <c r="AD86" s="15">
        <f t="shared" ref="AD86:AD109" si="5">ROUND(AB86, 3)</f>
        <v>0</v>
      </c>
      <c r="AE86" s="2"/>
      <c r="AF86" s="2"/>
      <c r="AG86" s="2"/>
      <c r="AH86" s="2"/>
      <c r="AI86" s="2"/>
      <c r="AJ86" s="2"/>
      <c r="AK86" s="21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</row>
    <row r="87" spans="3:96" x14ac:dyDescent="0.35">
      <c r="C87" s="2"/>
      <c r="D87" s="2"/>
      <c r="E87" s="2"/>
      <c r="F87" s="2"/>
      <c r="G87" s="2"/>
      <c r="H87" s="2"/>
      <c r="I87" s="2"/>
      <c r="J87" s="2"/>
      <c r="K87" s="40"/>
      <c r="Y87" s="2"/>
      <c r="Z87" s="20"/>
      <c r="AA87" s="15">
        <f>AA$86</f>
        <v>0</v>
      </c>
      <c r="AB87" s="15">
        <f>AC87+AB86</f>
        <v>0</v>
      </c>
      <c r="AC87" s="15">
        <f>AA87-AD86</f>
        <v>0</v>
      </c>
      <c r="AD87" s="15">
        <f t="shared" si="5"/>
        <v>0</v>
      </c>
      <c r="AE87" s="2"/>
      <c r="AF87" s="2"/>
      <c r="AG87" s="2"/>
      <c r="AH87" s="2"/>
      <c r="AI87" s="2"/>
      <c r="AJ87" s="2"/>
      <c r="AK87" s="21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</row>
    <row r="88" spans="3:96" ht="23.5" x14ac:dyDescent="0.55000000000000004">
      <c r="C88" s="2"/>
      <c r="D88" s="2"/>
      <c r="E88" s="36" t="s">
        <v>38</v>
      </c>
      <c r="F88" s="37"/>
      <c r="G88" s="37"/>
      <c r="H88" s="37"/>
      <c r="I88" s="38"/>
      <c r="J88" s="2"/>
      <c r="K88" s="40"/>
      <c r="Y88" s="2"/>
      <c r="Z88" s="20"/>
      <c r="AA88" s="15">
        <f>AA$86</f>
        <v>0</v>
      </c>
      <c r="AB88" s="15">
        <f>AC88+AB87</f>
        <v>0</v>
      </c>
      <c r="AC88" s="15">
        <f>AA88-AD87</f>
        <v>0</v>
      </c>
      <c r="AD88" s="15">
        <f t="shared" si="5"/>
        <v>0</v>
      </c>
      <c r="AE88" s="2"/>
      <c r="AF88" s="2"/>
      <c r="AG88" s="2"/>
      <c r="AH88" s="2"/>
      <c r="AI88" s="2"/>
      <c r="AJ88" s="2"/>
      <c r="AK88" s="21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</row>
    <row r="89" spans="3:96" ht="18.5" x14ac:dyDescent="0.45">
      <c r="C89" s="2"/>
      <c r="D89" s="2"/>
      <c r="E89" s="4" t="s">
        <v>12</v>
      </c>
      <c r="F89" s="5" t="s">
        <v>0</v>
      </c>
      <c r="G89" s="5" t="s">
        <v>1</v>
      </c>
      <c r="H89" s="5" t="s">
        <v>2</v>
      </c>
      <c r="I89" s="5" t="s">
        <v>44</v>
      </c>
      <c r="J89" s="2"/>
      <c r="K89" s="40"/>
      <c r="Y89" s="2"/>
      <c r="Z89" s="20"/>
      <c r="AA89" s="15">
        <f>AA$86</f>
        <v>0</v>
      </c>
      <c r="AB89" s="15">
        <f>AC89+AB88</f>
        <v>0</v>
      </c>
      <c r="AC89" s="15">
        <f>AA89-AD88</f>
        <v>0</v>
      </c>
      <c r="AD89" s="15">
        <f t="shared" si="5"/>
        <v>0</v>
      </c>
      <c r="AE89" s="2"/>
      <c r="AF89" s="2"/>
      <c r="AG89" s="2"/>
      <c r="AH89" s="2"/>
      <c r="AI89" s="2"/>
      <c r="AJ89" s="2"/>
      <c r="AK89" s="21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</row>
    <row r="90" spans="3:96" x14ac:dyDescent="0.35">
      <c r="C90" s="2"/>
      <c r="D90" s="2"/>
      <c r="E90" s="24" t="str">
        <f t="shared" ref="E90:E97" si="6">IF(ROW()&lt;89+(COUNTA(AL$2:AL$44)),$AH$2,"")</f>
        <v>800</v>
      </c>
      <c r="F90" s="24" t="str">
        <f>IF(E90&lt;&gt;"","null","")</f>
        <v>null</v>
      </c>
      <c r="G90" s="24" t="str">
        <f>IF(E90&lt;&gt;"","null","")</f>
        <v>null</v>
      </c>
      <c r="H90" s="25">
        <f ca="1">IF(E90="","",SUMIF(Tabel1342323[from_ga],I90,Tabel1342323[Total/hour])-SUMIF(Tabel1342323[to_ga],I90,Tabel1342323[Total/hour]))</f>
        <v>-100</v>
      </c>
      <c r="I90" s="25" t="str" cm="1">
        <f t="array" aca="1" ref="I90" ca="1">IF(E90="","",INDIRECT("AL"&amp;(ROW()-87)))</f>
        <v>801</v>
      </c>
      <c r="J90" s="2"/>
      <c r="K90" s="40"/>
      <c r="Y90" s="2"/>
      <c r="Z90" s="20">
        <f>SUMIFS(Tabel1342323[settlement_method],Tabel1342323[Quarter2],"PT15M",Tabel1342323[es_id],AL$4)-SUMIFS(Tabel1342323[settlement_method],Tabel1342323[Quarter2],"PT15M",Tabel1342323[brp_id],AL$4)</f>
        <v>0</v>
      </c>
      <c r="AA90" s="6">
        <f>(SUMIFS(Tabel1342323[settlement_method],Tabel1342323[Quarter2],"PT1H",Tabel1342323[es_id],AL$4)-SUMIFS(Tabel1342323[settlement_method],Tabel1342323[Quarter2],"PT1H",Tabel1342323[brp_id],AL$4))/4</f>
        <v>0</v>
      </c>
      <c r="AB90" s="15">
        <f>AA90</f>
        <v>0</v>
      </c>
      <c r="AC90" s="15"/>
      <c r="AD90" s="15">
        <f t="shared" si="5"/>
        <v>0</v>
      </c>
      <c r="AE90" s="2"/>
      <c r="AF90" s="2"/>
      <c r="AG90" s="2"/>
      <c r="AH90" s="2"/>
      <c r="AI90" s="2"/>
      <c r="AJ90" s="2"/>
      <c r="AK90" s="21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</row>
    <row r="91" spans="3:96" x14ac:dyDescent="0.35">
      <c r="C91" s="2"/>
      <c r="D91" s="2"/>
      <c r="E91" s="24" t="str">
        <f t="shared" si="6"/>
        <v>800</v>
      </c>
      <c r="F91" s="24" t="str">
        <f t="shared" ref="F91:F113" si="7">IF(E91&lt;&gt;"","null","")</f>
        <v>null</v>
      </c>
      <c r="G91" s="24" t="str">
        <f t="shared" ref="G91:G113" si="8">IF(E91&lt;&gt;"","null","")</f>
        <v>null</v>
      </c>
      <c r="H91" s="25">
        <f ca="1">IF(E91="","",SUMIF(Tabel1342323[from_ga],I91,Tabel1342323[Total/hour])-SUMIF(Tabel1342323[to_ga],I91,Tabel1342323[Total/hour]))</f>
        <v>80</v>
      </c>
      <c r="I91" s="25" t="str" cm="1">
        <f t="array" aca="1" ref="I91" ca="1">IF(E91="","",INDIRECT("AL"&amp;(ROW()-87)))</f>
        <v>802</v>
      </c>
      <c r="J91" s="2"/>
      <c r="K91" s="40"/>
      <c r="Y91" s="2"/>
      <c r="Z91" s="20"/>
      <c r="AA91" s="15">
        <f>AA$90</f>
        <v>0</v>
      </c>
      <c r="AB91" s="15">
        <f>AC91+AB90</f>
        <v>0</v>
      </c>
      <c r="AC91" s="15">
        <f>AA91-AD90</f>
        <v>0</v>
      </c>
      <c r="AD91" s="15">
        <f t="shared" si="5"/>
        <v>0</v>
      </c>
      <c r="AE91" s="2"/>
      <c r="AF91" s="2"/>
      <c r="AG91" s="2"/>
      <c r="AH91" s="2"/>
      <c r="AI91" s="2"/>
      <c r="AJ91" s="2"/>
      <c r="AK91" s="21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</row>
    <row r="92" spans="3:96" x14ac:dyDescent="0.35">
      <c r="C92" s="2"/>
      <c r="D92" s="2"/>
      <c r="E92" s="24" t="str">
        <f>IF(ROW()&lt;89+(COUNTA(AL$2:AL$44)),$AH$2,"")</f>
        <v/>
      </c>
      <c r="F92" s="24" t="str">
        <f t="shared" si="7"/>
        <v/>
      </c>
      <c r="G92" s="24" t="str">
        <f t="shared" si="8"/>
        <v/>
      </c>
      <c r="H92" s="25" t="str">
        <f>IF(E92="","",SUMIF(Tabel1342323[from_ga],I92,Tabel1342323[Total/hour])-SUMIF(Tabel1342323[to_ga],I92,Tabel1342323[Total/hour]))</f>
        <v/>
      </c>
      <c r="I92" s="25" t="str" cm="1">
        <f t="array" aca="1" ref="I92" ca="1">IF(E92="","",INDIRECT("AL"&amp;(ROW()-87)))</f>
        <v/>
      </c>
      <c r="J92" s="2"/>
      <c r="K92" s="40"/>
      <c r="Y92" s="2"/>
      <c r="Z92" s="20"/>
      <c r="AA92" s="15">
        <f>AA$90</f>
        <v>0</v>
      </c>
      <c r="AB92" s="15">
        <f>AC92+AB91</f>
        <v>0</v>
      </c>
      <c r="AC92" s="15">
        <f>AA92-AD91</f>
        <v>0</v>
      </c>
      <c r="AD92" s="15">
        <f t="shared" si="5"/>
        <v>0</v>
      </c>
      <c r="AE92" s="2"/>
      <c r="AF92" s="2"/>
      <c r="AG92" s="2"/>
      <c r="AH92" s="2"/>
      <c r="AI92" s="2"/>
      <c r="AJ92" s="2"/>
      <c r="AK92" s="21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</row>
    <row r="93" spans="3:96" x14ac:dyDescent="0.35">
      <c r="C93" s="2"/>
      <c r="D93" s="2"/>
      <c r="E93" s="24" t="str">
        <f t="shared" si="6"/>
        <v/>
      </c>
      <c r="F93" s="24" t="str">
        <f t="shared" si="7"/>
        <v/>
      </c>
      <c r="G93" s="24" t="str">
        <f t="shared" si="8"/>
        <v/>
      </c>
      <c r="H93" s="25" t="str">
        <f>IF(E93="","",SUMIF(Tabel1342323[from_ga],I93,Tabel1342323[Total/hour])-SUMIF(Tabel1342323[to_ga],I93,Tabel1342323[Total/hour]))</f>
        <v/>
      </c>
      <c r="I93" s="25" t="str" cm="1">
        <f t="array" aca="1" ref="I93" ca="1">IF(E93="","",INDIRECT("AL"&amp;(ROW()-87)))</f>
        <v/>
      </c>
      <c r="J93" s="2"/>
      <c r="K93" s="40"/>
      <c r="Y93" s="2"/>
      <c r="Z93" s="20"/>
      <c r="AA93" s="15">
        <f>AA$90</f>
        <v>0</v>
      </c>
      <c r="AB93" s="15">
        <f>AC93+AB92</f>
        <v>0</v>
      </c>
      <c r="AC93" s="15">
        <f>AA93-AD92</f>
        <v>0</v>
      </c>
      <c r="AD93" s="15">
        <f t="shared" si="5"/>
        <v>0</v>
      </c>
      <c r="AE93" s="2"/>
      <c r="AF93" s="2"/>
      <c r="AG93" s="2"/>
      <c r="AH93" s="2"/>
      <c r="AI93" s="2"/>
      <c r="AJ93" s="2"/>
      <c r="AK93" s="21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</row>
    <row r="94" spans="3:96" x14ac:dyDescent="0.35">
      <c r="C94" s="2"/>
      <c r="D94" s="2"/>
      <c r="E94" s="24" t="str">
        <f t="shared" si="6"/>
        <v/>
      </c>
      <c r="F94" s="24" t="str">
        <f t="shared" si="7"/>
        <v/>
      </c>
      <c r="G94" s="24" t="str">
        <f t="shared" si="8"/>
        <v/>
      </c>
      <c r="H94" s="25" t="str">
        <f>IF(E94="","",SUMIF(Tabel1342323[from_ga],I94,Tabel1342323[Total/hour])-SUMIF(Tabel1342323[to_ga],I94,Tabel1342323[Total/hour]))</f>
        <v/>
      </c>
      <c r="I94" s="25" t="str" cm="1">
        <f t="array" aca="1" ref="I94" ca="1">IF(E94="","",INDIRECT("AL"&amp;(ROW()-87)))</f>
        <v/>
      </c>
      <c r="J94" s="2"/>
      <c r="K94" s="40"/>
      <c r="Y94" s="2"/>
      <c r="Z94" s="20">
        <f>SUMIFS(Tabel1342323[settlement_method],Tabel1342323[Quarter2],"PT15M",Tabel1342323[es_id],AL$5)-SUMIFS(Tabel1342323[settlement_method],Tabel1342323[Quarter2],"PT15M",Tabel1342323[brp_id],AL$5)</f>
        <v>0</v>
      </c>
      <c r="AA94" s="6">
        <f>SUMIFS(Tabel1342323[settlement_method],Tabel1342323[Quarter2],"PT1H",Tabel1342323[es_id],AL$5)-SUMIFS(Tabel1342323[settlement_method],Tabel1342323[Quarter2],"PT1H",Tabel1342323[brp_id],AL$5)/4</f>
        <v>0</v>
      </c>
      <c r="AB94" s="15">
        <f>AA94</f>
        <v>0</v>
      </c>
      <c r="AC94" s="15"/>
      <c r="AD94" s="15">
        <f t="shared" si="5"/>
        <v>0</v>
      </c>
      <c r="AE94" s="2"/>
      <c r="AF94" s="2"/>
      <c r="AG94" s="2"/>
      <c r="AH94" s="2"/>
      <c r="AI94" s="2"/>
      <c r="AJ94" s="2"/>
      <c r="AK94" s="21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</row>
    <row r="95" spans="3:96" x14ac:dyDescent="0.35">
      <c r="C95" s="2"/>
      <c r="D95" s="2"/>
      <c r="E95" s="24" t="str">
        <f t="shared" si="6"/>
        <v/>
      </c>
      <c r="F95" s="24" t="str">
        <f t="shared" si="7"/>
        <v/>
      </c>
      <c r="G95" s="24" t="str">
        <f t="shared" si="8"/>
        <v/>
      </c>
      <c r="H95" s="25" t="str">
        <f>IF(E95="","",SUMIF(Tabel1342323[from_ga],I95,Tabel1342323[Total/hour])-SUMIF(Tabel1342323[to_ga],I95,Tabel1342323[Total/hour]))</f>
        <v/>
      </c>
      <c r="I95" s="25" t="str" cm="1">
        <f t="array" aca="1" ref="I95" ca="1">IF(E95="","",INDIRECT("AL"&amp;(ROW()-87)))</f>
        <v/>
      </c>
      <c r="J95" s="2"/>
      <c r="K95" s="40"/>
      <c r="Y95" s="2"/>
      <c r="Z95" s="20"/>
      <c r="AA95" s="15">
        <f>AA$94</f>
        <v>0</v>
      </c>
      <c r="AB95" s="15">
        <f>AC95+AB94</f>
        <v>0</v>
      </c>
      <c r="AC95" s="15">
        <f>AA95-AD94</f>
        <v>0</v>
      </c>
      <c r="AD95" s="15">
        <f t="shared" si="5"/>
        <v>0</v>
      </c>
      <c r="AE95" s="2"/>
      <c r="AF95" s="2"/>
      <c r="AG95" s="2"/>
      <c r="AH95" s="2"/>
      <c r="AI95" s="2"/>
      <c r="AJ95" s="2"/>
      <c r="AK95" s="21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</row>
    <row r="96" spans="3:96" x14ac:dyDescent="0.35">
      <c r="C96" s="2"/>
      <c r="D96" s="2"/>
      <c r="E96" s="24" t="str">
        <f t="shared" si="6"/>
        <v/>
      </c>
      <c r="F96" s="24" t="str">
        <f t="shared" si="7"/>
        <v/>
      </c>
      <c r="G96" s="24" t="str">
        <f t="shared" si="8"/>
        <v/>
      </c>
      <c r="H96" s="25" t="str">
        <f>IF(E96="","",SUMIF(Tabel1342323[from_ga],I96,Tabel1342323[Total/hour])-SUMIF(Tabel1342323[to_ga],I96,Tabel1342323[Total/hour]))</f>
        <v/>
      </c>
      <c r="I96" s="25" t="str" cm="1">
        <f t="array" aca="1" ref="I96" ca="1">IF(E96="","",INDIRECT("AL"&amp;(ROW()-87)))</f>
        <v/>
      </c>
      <c r="J96" s="2"/>
      <c r="K96" s="40"/>
      <c r="Y96" s="2"/>
      <c r="Z96" s="20"/>
      <c r="AA96" s="15">
        <f>AA$94</f>
        <v>0</v>
      </c>
      <c r="AB96" s="15">
        <f>AC96+AB95</f>
        <v>0</v>
      </c>
      <c r="AC96" s="15">
        <f>AA96-AD95</f>
        <v>0</v>
      </c>
      <c r="AD96" s="15">
        <f t="shared" si="5"/>
        <v>0</v>
      </c>
      <c r="AE96" s="2"/>
      <c r="AF96" s="2"/>
      <c r="AG96" s="2"/>
      <c r="AH96" s="2"/>
      <c r="AI96" s="2"/>
      <c r="AJ96" s="2"/>
      <c r="AK96" s="21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</row>
    <row r="97" spans="3:96" x14ac:dyDescent="0.35">
      <c r="C97" s="2"/>
      <c r="D97" s="2"/>
      <c r="E97" s="24" t="str">
        <f t="shared" si="6"/>
        <v/>
      </c>
      <c r="F97" s="24" t="str">
        <f t="shared" si="7"/>
        <v/>
      </c>
      <c r="G97" s="24" t="str">
        <f t="shared" si="8"/>
        <v/>
      </c>
      <c r="H97" s="25" t="str">
        <f>IF(E97="","",SUMIF(Tabel1342323[from_ga],I97,Tabel1342323[Total/hour])-SUMIF(Tabel1342323[to_ga],I97,Tabel1342323[Total/hour]))</f>
        <v/>
      </c>
      <c r="I97" s="25" t="str" cm="1">
        <f t="array" aca="1" ref="I97" ca="1">IF(E97="","",INDIRECT("AL"&amp;(ROW()-87)))</f>
        <v/>
      </c>
      <c r="J97" s="2"/>
      <c r="K97" s="40"/>
      <c r="Y97" s="2"/>
      <c r="Z97" s="20"/>
      <c r="AA97" s="15">
        <f>AA$94</f>
        <v>0</v>
      </c>
      <c r="AB97" s="15">
        <f>AC97+AB96</f>
        <v>0</v>
      </c>
      <c r="AC97" s="15">
        <f>AA97-AD96</f>
        <v>0</v>
      </c>
      <c r="AD97" s="15">
        <f t="shared" si="5"/>
        <v>0</v>
      </c>
      <c r="AE97" s="2"/>
      <c r="AF97" s="2"/>
      <c r="AG97" s="2"/>
      <c r="AH97" s="2"/>
      <c r="AI97" s="2"/>
      <c r="AJ97" s="2"/>
      <c r="AK97" s="21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</row>
    <row r="98" spans="3:96" x14ac:dyDescent="0.35">
      <c r="C98" s="2"/>
      <c r="D98" s="2"/>
      <c r="F98" s="2"/>
      <c r="G98" s="2"/>
      <c r="H98" s="2"/>
      <c r="I98" s="2"/>
      <c r="J98" s="2"/>
      <c r="K98" s="40"/>
      <c r="Y98" s="2"/>
      <c r="Z98" s="20">
        <f>SUMIFS(Tabel1342323[settlement_method],Tabel1342323[Quarter2],"PT15M",Tabel1342323[es_id],AL$6)-SUMIFS(Tabel1342323[settlement_method],Tabel1342323[Quarter2],"PT15M",Tabel1342323[brp_id],AL$6)</f>
        <v>0</v>
      </c>
      <c r="AA98" s="6">
        <f>(SUMIFS(Tabel1342323[settlement_method],Tabel1342323[Quarter2],"PT1H",Tabel1342323[es_id],AL$6)-SUMIFS(Tabel1342323[settlement_method],Tabel1342323[Quarter2],"PT1H",Tabel1342323[brp_id],AL$6))/4</f>
        <v>0</v>
      </c>
      <c r="AB98" s="15">
        <f>AA98</f>
        <v>0</v>
      </c>
      <c r="AC98" s="15"/>
      <c r="AD98" s="15">
        <f t="shared" si="5"/>
        <v>0</v>
      </c>
      <c r="AE98" s="2"/>
      <c r="AF98" s="2"/>
      <c r="AG98" s="2"/>
      <c r="AH98" s="2"/>
      <c r="AI98" s="2"/>
      <c r="AJ98" s="2"/>
      <c r="AK98" s="21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</row>
    <row r="99" spans="3:96" x14ac:dyDescent="0.35">
      <c r="C99" s="2"/>
      <c r="D99" s="2"/>
      <c r="F99" s="2"/>
      <c r="G99" s="2"/>
      <c r="H99" s="2"/>
      <c r="I99" s="2"/>
      <c r="J99" s="2"/>
      <c r="K99" s="40"/>
      <c r="Y99" s="2"/>
      <c r="Z99" s="20"/>
      <c r="AA99" s="15">
        <f>AA$98</f>
        <v>0</v>
      </c>
      <c r="AB99" s="15">
        <f>AC99+AB98</f>
        <v>0</v>
      </c>
      <c r="AC99" s="15">
        <f>AA99-AD98</f>
        <v>0</v>
      </c>
      <c r="AD99" s="15">
        <f t="shared" si="5"/>
        <v>0</v>
      </c>
      <c r="AE99" s="2"/>
      <c r="AF99" s="2"/>
      <c r="AG99" s="2"/>
      <c r="AH99" s="2"/>
      <c r="AI99" s="2"/>
      <c r="AJ99" s="2"/>
      <c r="AK99" s="21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</row>
    <row r="100" spans="3:96" x14ac:dyDescent="0.35">
      <c r="C100" s="2"/>
      <c r="D100" s="2"/>
      <c r="F100" s="2"/>
      <c r="G100" s="2"/>
      <c r="H100" s="2"/>
      <c r="I100" s="2"/>
      <c r="J100" s="2"/>
      <c r="K100" s="40"/>
      <c r="Y100" s="2"/>
      <c r="Z100" s="20"/>
      <c r="AA100" s="15">
        <f>AA$98</f>
        <v>0</v>
      </c>
      <c r="AB100" s="15">
        <f>AC100+AB99</f>
        <v>0</v>
      </c>
      <c r="AC100" s="15">
        <f>AA100-AD99</f>
        <v>0</v>
      </c>
      <c r="AD100" s="15">
        <f t="shared" si="5"/>
        <v>0</v>
      </c>
      <c r="AE100" s="2"/>
      <c r="AF100" s="2"/>
      <c r="AG100" s="2"/>
      <c r="AH100" s="2"/>
      <c r="AI100" s="2"/>
      <c r="AJ100" s="2"/>
      <c r="AK100" s="21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</row>
    <row r="101" spans="3:96" x14ac:dyDescent="0.35">
      <c r="C101" s="2"/>
      <c r="D101" s="2"/>
      <c r="F101" s="2"/>
      <c r="G101" s="2"/>
      <c r="H101" s="2"/>
      <c r="I101" s="2"/>
      <c r="J101" s="2"/>
      <c r="K101" s="40"/>
      <c r="Y101" s="2"/>
      <c r="Z101" s="20"/>
      <c r="AA101" s="15">
        <f>AA$98</f>
        <v>0</v>
      </c>
      <c r="AB101" s="15">
        <f>AC101+AB100</f>
        <v>0</v>
      </c>
      <c r="AC101" s="15">
        <f>AA101-AD100</f>
        <v>0</v>
      </c>
      <c r="AD101" s="15">
        <f t="shared" si="5"/>
        <v>0</v>
      </c>
      <c r="AE101" s="2"/>
      <c r="AF101" s="2"/>
      <c r="AG101" s="2"/>
      <c r="AH101" s="2"/>
      <c r="AI101" s="2"/>
      <c r="AJ101" s="2"/>
      <c r="AK101" s="21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</row>
    <row r="102" spans="3:96" x14ac:dyDescent="0.35">
      <c r="C102" s="2"/>
      <c r="D102" s="2"/>
      <c r="F102" s="2"/>
      <c r="G102" s="2"/>
      <c r="H102" s="2"/>
      <c r="I102" s="2"/>
      <c r="J102" s="2"/>
      <c r="K102" s="40"/>
      <c r="Y102" s="2"/>
      <c r="Z102" s="20">
        <f>SUMIFS(Tabel1342323[settlement_method],Tabel1342323[Quarter2],"PT15M",Tabel1342323[es_id],AL$7)-SUMIFS(Tabel1342323[settlement_method],Tabel1342323[Quarter2],"PT15M",Tabel1342323[brp_id],AL$7)</f>
        <v>0</v>
      </c>
      <c r="AA102" s="6">
        <f>(SUMIFS(Tabel1342323[settlement_method],Tabel1342323[Quarter2],"PT1H",Tabel1342323[es_id],AL$7)-SUMIFS(Tabel1342323[settlement_method],Tabel1342323[Quarter2],"PT1H",Tabel1342323[brp_id],AL$7))/4</f>
        <v>0</v>
      </c>
      <c r="AB102" s="15">
        <f>AA102</f>
        <v>0</v>
      </c>
      <c r="AC102" s="15"/>
      <c r="AD102" s="15">
        <f t="shared" si="5"/>
        <v>0</v>
      </c>
      <c r="AE102" s="2"/>
      <c r="AF102" s="2"/>
      <c r="AG102" s="2"/>
      <c r="AH102" s="2"/>
      <c r="AI102" s="2"/>
      <c r="AJ102" s="2"/>
      <c r="AK102" s="21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</row>
    <row r="103" spans="3:96" x14ac:dyDescent="0.35">
      <c r="C103" s="2"/>
      <c r="D103" s="2"/>
      <c r="F103" s="2"/>
      <c r="G103" s="2"/>
      <c r="H103" s="2"/>
      <c r="I103" s="2"/>
      <c r="J103" s="2"/>
      <c r="K103" s="40"/>
      <c r="Y103" s="2"/>
      <c r="Z103" s="20"/>
      <c r="AA103" s="15">
        <f>AA$102</f>
        <v>0</v>
      </c>
      <c r="AB103" s="15">
        <f>AC103+AB102</f>
        <v>0</v>
      </c>
      <c r="AC103" s="15">
        <f>AA103-AD102</f>
        <v>0</v>
      </c>
      <c r="AD103" s="15">
        <f t="shared" si="5"/>
        <v>0</v>
      </c>
      <c r="AE103" s="2"/>
      <c r="AF103" s="2"/>
      <c r="AG103" s="2"/>
      <c r="AH103" s="2"/>
      <c r="AI103" s="2"/>
      <c r="AJ103" s="2"/>
      <c r="AK103" s="21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</row>
    <row r="104" spans="3:96" x14ac:dyDescent="0.35">
      <c r="C104" s="2"/>
      <c r="D104" s="2"/>
      <c r="F104" s="2"/>
      <c r="G104" s="2"/>
      <c r="H104" s="2"/>
      <c r="I104" s="2"/>
      <c r="J104" s="2"/>
      <c r="K104" s="40"/>
      <c r="Y104" s="2"/>
      <c r="Z104" s="20"/>
      <c r="AA104" s="15">
        <f>AA$102</f>
        <v>0</v>
      </c>
      <c r="AB104" s="15">
        <f>AC104+AB103</f>
        <v>0</v>
      </c>
      <c r="AC104" s="15">
        <f>AA104-AD103</f>
        <v>0</v>
      </c>
      <c r="AD104" s="15">
        <f t="shared" si="5"/>
        <v>0</v>
      </c>
      <c r="AE104" s="2"/>
      <c r="AF104" s="2"/>
      <c r="AG104" s="2"/>
      <c r="AH104" s="2"/>
      <c r="AI104" s="2"/>
      <c r="AJ104" s="2"/>
      <c r="AK104" s="21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</row>
    <row r="105" spans="3:96" x14ac:dyDescent="0.35">
      <c r="C105" s="2"/>
      <c r="D105" s="2"/>
      <c r="F105" s="2"/>
      <c r="G105" s="2"/>
      <c r="H105" s="2"/>
      <c r="I105" s="2"/>
      <c r="J105" s="2"/>
      <c r="K105" s="40"/>
      <c r="Y105" s="2"/>
      <c r="Z105" s="20"/>
      <c r="AA105" s="15">
        <f>AA$102</f>
        <v>0</v>
      </c>
      <c r="AB105" s="15">
        <f>AC105+AB104</f>
        <v>0</v>
      </c>
      <c r="AC105" s="15">
        <f>AA105-AD104</f>
        <v>0</v>
      </c>
      <c r="AD105" s="15">
        <f t="shared" si="5"/>
        <v>0</v>
      </c>
      <c r="AE105" s="2"/>
      <c r="AF105" s="2"/>
      <c r="AG105" s="2"/>
      <c r="AH105" s="2"/>
      <c r="AI105" s="2"/>
      <c r="AJ105" s="2"/>
      <c r="AK105" s="21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</row>
    <row r="106" spans="3:96" x14ac:dyDescent="0.35">
      <c r="C106" s="2"/>
      <c r="D106" s="2"/>
      <c r="F106" s="2"/>
      <c r="G106" s="2"/>
      <c r="H106" s="2"/>
      <c r="I106" s="2"/>
      <c r="J106" s="2"/>
      <c r="Y106" s="2"/>
      <c r="Z106" s="20"/>
      <c r="AA106" s="6">
        <f>(SUMIFS(Tabel1342323[settlement_method],Tabel1342323[Quarter2],"PT1H",Tabel1342323[es_id],AL$8)-SUMIFS(Tabel1342323[settlement_method],Tabel1342323[Quarter2],"PT1H",Tabel1342323[brp_id],AL$8))/4</f>
        <v>0</v>
      </c>
      <c r="AB106" s="15">
        <f>AA106</f>
        <v>0</v>
      </c>
      <c r="AC106" s="15"/>
      <c r="AD106" s="15">
        <f t="shared" si="5"/>
        <v>0</v>
      </c>
      <c r="AE106" s="2"/>
      <c r="AF106" s="2"/>
      <c r="AG106" s="2"/>
      <c r="AH106" s="2"/>
      <c r="AI106" s="2"/>
      <c r="AJ106" s="2"/>
      <c r="AK106" s="21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</row>
    <row r="107" spans="3:96" x14ac:dyDescent="0.35">
      <c r="C107" s="2"/>
      <c r="F107" s="2"/>
      <c r="G107" s="2"/>
      <c r="H107" s="2"/>
      <c r="I107" s="2"/>
      <c r="J107" s="2"/>
      <c r="Y107" s="2"/>
      <c r="Z107" s="20"/>
      <c r="AA107" s="15">
        <f>AA$106</f>
        <v>0</v>
      </c>
      <c r="AB107" s="15">
        <f>AC107+AB106</f>
        <v>0</v>
      </c>
      <c r="AC107" s="15">
        <f>AA107-AD106</f>
        <v>0</v>
      </c>
      <c r="AD107" s="15">
        <f t="shared" si="5"/>
        <v>0</v>
      </c>
      <c r="AE107" s="2"/>
      <c r="AF107" s="2"/>
      <c r="AG107" s="2"/>
      <c r="AH107" s="2"/>
      <c r="AI107" s="2"/>
      <c r="AJ107" s="2"/>
      <c r="AK107" s="21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</row>
    <row r="108" spans="3:96" x14ac:dyDescent="0.35">
      <c r="C108" s="2"/>
      <c r="F108" s="2"/>
      <c r="G108" s="2"/>
      <c r="H108" s="2"/>
      <c r="I108" s="2"/>
      <c r="J108" s="2"/>
      <c r="Y108" s="2"/>
      <c r="Z108" s="20"/>
      <c r="AA108" s="15">
        <f>AA$106</f>
        <v>0</v>
      </c>
      <c r="AB108" s="15">
        <f>AC108+AB107</f>
        <v>0</v>
      </c>
      <c r="AC108" s="15">
        <f>AA108-AD107</f>
        <v>0</v>
      </c>
      <c r="AD108" s="15">
        <f t="shared" si="5"/>
        <v>0</v>
      </c>
      <c r="AE108" s="2"/>
      <c r="AF108" s="2"/>
      <c r="AG108" s="2"/>
      <c r="AH108" s="2"/>
      <c r="AI108" s="2"/>
      <c r="AJ108" s="2"/>
      <c r="AK108" s="21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</row>
    <row r="109" spans="3:96" x14ac:dyDescent="0.35">
      <c r="C109" s="2"/>
      <c r="F109" s="2"/>
      <c r="G109" s="2"/>
      <c r="H109" s="2"/>
      <c r="I109" s="2"/>
      <c r="J109" s="2"/>
      <c r="Y109" s="2"/>
      <c r="Z109" s="20"/>
      <c r="AA109" s="15">
        <f>AA$106</f>
        <v>0</v>
      </c>
      <c r="AB109" s="15">
        <f>AC109+AB108</f>
        <v>0</v>
      </c>
      <c r="AC109" s="15">
        <f>AA109-AD108</f>
        <v>0</v>
      </c>
      <c r="AD109" s="15">
        <f t="shared" si="5"/>
        <v>0</v>
      </c>
      <c r="AE109" s="2"/>
      <c r="AF109" s="2"/>
      <c r="AG109" s="2"/>
      <c r="AH109" s="2"/>
      <c r="AI109" s="2"/>
      <c r="AJ109" s="2"/>
      <c r="AK109" s="21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</row>
    <row r="110" spans="3:96" x14ac:dyDescent="0.35">
      <c r="C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1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</row>
    <row r="111" spans="3:96" x14ac:dyDescent="0.35">
      <c r="C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1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</row>
    <row r="112" spans="3:96" x14ac:dyDescent="0.35">
      <c r="C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1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</row>
    <row r="113" spans="3:96" x14ac:dyDescent="0.35">
      <c r="C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1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</row>
    <row r="114" spans="3:96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1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</row>
    <row r="115" spans="3:96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1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</row>
    <row r="116" spans="3:96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1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</row>
    <row r="117" spans="3:96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1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</row>
    <row r="118" spans="3:96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1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</row>
    <row r="119" spans="3:96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1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</row>
    <row r="120" spans="3:96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1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</row>
    <row r="121" spans="3:96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1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</row>
    <row r="122" spans="3:96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1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</row>
    <row r="123" spans="3:96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1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</row>
    <row r="124" spans="3:96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1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</row>
    <row r="125" spans="3:96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1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</row>
    <row r="126" spans="3:96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1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</row>
    <row r="127" spans="3:96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1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</row>
    <row r="128" spans="3:96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1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</row>
    <row r="129" spans="3:96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1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</row>
    <row r="130" spans="3:96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1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</row>
    <row r="131" spans="3:96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1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</row>
    <row r="132" spans="3:96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1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</row>
    <row r="133" spans="3:96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1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</row>
    <row r="134" spans="3:96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1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</row>
    <row r="135" spans="3:96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1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</row>
    <row r="136" spans="3:96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1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</row>
    <row r="137" spans="3:96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1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</row>
    <row r="138" spans="3:96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1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</row>
    <row r="139" spans="3:96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1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</row>
    <row r="140" spans="3:96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1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</row>
    <row r="141" spans="3:96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1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</row>
    <row r="142" spans="3:96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1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</row>
    <row r="143" spans="3:96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1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</row>
    <row r="144" spans="3:96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1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</row>
    <row r="145" spans="3:96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1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</row>
    <row r="146" spans="3:96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1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</row>
    <row r="147" spans="3:96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1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</row>
    <row r="148" spans="3:96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1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</row>
    <row r="149" spans="3:96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1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</row>
    <row r="150" spans="3:96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1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</row>
    <row r="151" spans="3:96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1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</row>
    <row r="152" spans="3:96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1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</row>
    <row r="153" spans="3:96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1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</row>
    <row r="154" spans="3:96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1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</row>
    <row r="155" spans="3:96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1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</row>
    <row r="156" spans="3:96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1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</row>
    <row r="157" spans="3:96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1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</row>
    <row r="158" spans="3:96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1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</row>
    <row r="159" spans="3:96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1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</row>
    <row r="160" spans="3:96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1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</row>
    <row r="161" spans="3:96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1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</row>
    <row r="162" spans="3:96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1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</row>
    <row r="163" spans="3:96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1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</row>
    <row r="164" spans="3:96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1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</row>
    <row r="165" spans="3:96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1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</row>
    <row r="166" spans="3:96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1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</row>
    <row r="167" spans="3:96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1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</row>
    <row r="168" spans="3:96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1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</row>
    <row r="169" spans="3:96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1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</row>
    <row r="170" spans="3:96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1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</row>
    <row r="171" spans="3:96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1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</row>
    <row r="172" spans="3:96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1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</row>
    <row r="173" spans="3:96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1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</row>
    <row r="174" spans="3:96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1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</row>
    <row r="175" spans="3:96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1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</row>
    <row r="176" spans="3:96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1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</row>
    <row r="177" spans="3:96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1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</row>
    <row r="178" spans="3:96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1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</row>
    <row r="179" spans="3:96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1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</row>
    <row r="180" spans="3:96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1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</row>
    <row r="181" spans="3:96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1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</row>
    <row r="182" spans="3:96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1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</row>
    <row r="183" spans="3:96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1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</row>
    <row r="184" spans="3:96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1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</row>
    <row r="185" spans="3:96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1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</row>
    <row r="186" spans="3:96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1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</row>
    <row r="187" spans="3:96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1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</row>
    <row r="188" spans="3:96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1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</row>
    <row r="189" spans="3:96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1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</row>
    <row r="190" spans="3:96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1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</row>
    <row r="191" spans="3:96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1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</row>
    <row r="192" spans="3:96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1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</row>
    <row r="193" spans="3:96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1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</row>
    <row r="194" spans="3:96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1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</row>
    <row r="195" spans="3:96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1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</row>
    <row r="196" spans="3:96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1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</row>
    <row r="197" spans="3:96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1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</row>
    <row r="198" spans="3:96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1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</row>
    <row r="199" spans="3:96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1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</row>
    <row r="200" spans="3:96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1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</row>
    <row r="201" spans="3:96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1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</row>
    <row r="202" spans="3:96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1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</row>
    <row r="203" spans="3:96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1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</row>
    <row r="204" spans="3:96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1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</row>
    <row r="205" spans="3:96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1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</row>
    <row r="206" spans="3:96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1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</row>
    <row r="207" spans="3:96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1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</row>
    <row r="208" spans="3:96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1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</row>
    <row r="209" spans="3:96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1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</row>
    <row r="210" spans="3:96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1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</row>
    <row r="211" spans="3:96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1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</row>
    <row r="212" spans="3:96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1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</row>
    <row r="213" spans="3:96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1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</row>
    <row r="214" spans="3:96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1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</row>
    <row r="215" spans="3:96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1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</row>
    <row r="216" spans="3:96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1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</row>
    <row r="217" spans="3:96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1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</row>
    <row r="218" spans="3:96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1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</row>
    <row r="219" spans="3:96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1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</row>
    <row r="220" spans="3:96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1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</row>
    <row r="221" spans="3:96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1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</row>
    <row r="222" spans="3:96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1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</row>
    <row r="223" spans="3:96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1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</row>
    <row r="224" spans="3:96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1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</row>
    <row r="225" spans="3:96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1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</row>
    <row r="226" spans="3:96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1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</row>
    <row r="227" spans="3:96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1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</row>
    <row r="228" spans="3:96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1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</row>
    <row r="229" spans="3:96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1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</row>
    <row r="230" spans="3:96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1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</row>
    <row r="231" spans="3:96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1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</row>
    <row r="232" spans="3:96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1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</row>
    <row r="233" spans="3:96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1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</row>
    <row r="234" spans="3:96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1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</row>
    <row r="235" spans="3:96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1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</row>
    <row r="236" spans="3:96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1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</row>
    <row r="237" spans="3:96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1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</row>
    <row r="238" spans="3:96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1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</row>
    <row r="239" spans="3:96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1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</row>
    <row r="240" spans="3:96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1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</row>
    <row r="241" spans="3:96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1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</row>
    <row r="242" spans="3:96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1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</row>
    <row r="243" spans="3:96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1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</row>
    <row r="244" spans="3:96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1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</row>
    <row r="245" spans="3:96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1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</row>
    <row r="246" spans="3:96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1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</row>
    <row r="247" spans="3:96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1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</row>
    <row r="248" spans="3:96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1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</row>
    <row r="249" spans="3:96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</row>
    <row r="250" spans="3:96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</row>
    <row r="251" spans="3:96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</row>
    <row r="252" spans="3:96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</row>
    <row r="253" spans="3:96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</row>
    <row r="254" spans="3:96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</row>
    <row r="255" spans="3:96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</row>
    <row r="256" spans="3:96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</row>
    <row r="257" spans="3:96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</row>
    <row r="258" spans="3:96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</row>
    <row r="259" spans="3:96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</row>
    <row r="260" spans="3:96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</row>
    <row r="261" spans="3:96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</row>
    <row r="262" spans="3:96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</row>
    <row r="263" spans="3:96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</row>
    <row r="264" spans="3:96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</row>
    <row r="265" spans="3:96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</row>
    <row r="266" spans="3:96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</row>
    <row r="267" spans="3:96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</row>
    <row r="268" spans="3:96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</row>
    <row r="269" spans="3:96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</row>
    <row r="270" spans="3:96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</row>
    <row r="271" spans="3:96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</row>
    <row r="272" spans="3:96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</row>
    <row r="273" spans="3:96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</row>
    <row r="274" spans="3:96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</row>
    <row r="275" spans="3:96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</row>
    <row r="276" spans="3:96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</row>
    <row r="277" spans="3:96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</row>
    <row r="278" spans="3:96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</row>
    <row r="279" spans="3:96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</row>
    <row r="280" spans="3:96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</row>
    <row r="281" spans="3:96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</row>
    <row r="282" spans="3:96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</row>
    <row r="283" spans="3:96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</row>
    <row r="284" spans="3:96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</row>
    <row r="285" spans="3:96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</row>
    <row r="286" spans="3:96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</row>
    <row r="287" spans="3:96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</row>
    <row r="288" spans="3:96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</row>
    <row r="289" spans="3:96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</row>
    <row r="290" spans="3:96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</row>
    <row r="291" spans="3:96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</row>
    <row r="292" spans="3:96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</row>
    <row r="293" spans="3:96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</row>
    <row r="294" spans="3:96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</row>
    <row r="295" spans="3:96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</row>
    <row r="296" spans="3:96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</row>
    <row r="297" spans="3:96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</row>
    <row r="298" spans="3:96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</row>
    <row r="299" spans="3:96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</row>
    <row r="300" spans="3:96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</row>
    <row r="301" spans="3:96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</row>
    <row r="302" spans="3:96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</row>
    <row r="303" spans="3:96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</row>
    <row r="304" spans="3:96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</row>
    <row r="305" spans="3:96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</row>
    <row r="306" spans="3:96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</row>
    <row r="307" spans="3:96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</row>
    <row r="308" spans="3:96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</row>
    <row r="309" spans="3:96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</row>
    <row r="310" spans="3:96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</row>
    <row r="311" spans="3:96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</row>
    <row r="312" spans="3:96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</row>
    <row r="313" spans="3:96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</row>
    <row r="314" spans="3:96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</row>
    <row r="315" spans="3:96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</row>
    <row r="316" spans="3:96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</row>
    <row r="317" spans="3:96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</row>
    <row r="318" spans="3:96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</row>
    <row r="319" spans="3:96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</row>
    <row r="320" spans="3:96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</row>
    <row r="321" spans="3:96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</row>
    <row r="322" spans="3:96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</row>
    <row r="323" spans="3:96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</row>
    <row r="324" spans="3:96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</row>
    <row r="325" spans="3:96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</row>
    <row r="326" spans="3:96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</row>
    <row r="327" spans="3:96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</row>
    <row r="328" spans="3:96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</row>
    <row r="329" spans="3:96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</row>
    <row r="330" spans="3:96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</row>
    <row r="331" spans="3:96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</row>
    <row r="332" spans="3:96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</row>
    <row r="333" spans="3:96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</row>
    <row r="334" spans="3:96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</row>
    <row r="335" spans="3:96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</row>
    <row r="336" spans="3:96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</row>
    <row r="337" spans="3:96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</row>
    <row r="338" spans="3:96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</row>
    <row r="339" spans="3:96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</row>
    <row r="340" spans="3:96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</row>
    <row r="341" spans="3:96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</row>
    <row r="342" spans="3:96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</row>
    <row r="343" spans="3:96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</row>
    <row r="344" spans="3:96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</row>
    <row r="345" spans="3:96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</row>
    <row r="346" spans="3:96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</row>
    <row r="347" spans="3:96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</row>
    <row r="348" spans="3:96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</row>
    <row r="349" spans="3:96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</row>
    <row r="350" spans="3:96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</row>
    <row r="351" spans="3:96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</row>
    <row r="352" spans="3:96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</row>
    <row r="353" spans="3:96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</row>
    <row r="354" spans="3:96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</row>
    <row r="355" spans="3:96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</row>
    <row r="356" spans="3:96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</row>
    <row r="357" spans="3:96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</row>
    <row r="358" spans="3:96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</row>
    <row r="359" spans="3:96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</row>
    <row r="360" spans="3:96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</row>
    <row r="361" spans="3:96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</row>
    <row r="362" spans="3:96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</row>
    <row r="363" spans="3:96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</row>
    <row r="364" spans="3:96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</row>
    <row r="365" spans="3:96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</row>
    <row r="366" spans="3:96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</row>
    <row r="367" spans="3:96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</row>
    <row r="368" spans="3:96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</row>
    <row r="369" spans="3:96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</row>
    <row r="370" spans="3:96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</row>
    <row r="371" spans="3:96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</row>
    <row r="372" spans="3:96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</row>
    <row r="373" spans="3:96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</row>
    <row r="374" spans="3:96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</row>
    <row r="375" spans="3:96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</row>
    <row r="376" spans="3:96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</row>
    <row r="377" spans="3:96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</row>
    <row r="378" spans="3:96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</row>
    <row r="379" spans="3:96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</row>
    <row r="380" spans="3:96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</row>
    <row r="381" spans="3:96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</row>
    <row r="382" spans="3:96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</row>
    <row r="383" spans="3:96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</row>
    <row r="384" spans="3:96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</row>
    <row r="385" spans="3:96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</row>
    <row r="386" spans="3:96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</row>
    <row r="387" spans="3:96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</row>
    <row r="388" spans="3:96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</row>
    <row r="389" spans="3:96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</row>
    <row r="390" spans="3:96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</row>
    <row r="391" spans="3:96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</row>
    <row r="392" spans="3:96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</row>
    <row r="393" spans="3:96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</row>
    <row r="394" spans="3:96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</row>
    <row r="395" spans="3:96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</row>
    <row r="396" spans="3:96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</row>
    <row r="397" spans="3:96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</row>
    <row r="398" spans="3:96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</row>
    <row r="399" spans="3:96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</row>
    <row r="400" spans="3:96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</row>
  </sheetData>
  <mergeCells count="11">
    <mergeCell ref="I20:J20"/>
    <mergeCell ref="E20:H20"/>
    <mergeCell ref="E46:H46"/>
    <mergeCell ref="E88:I88"/>
    <mergeCell ref="Z84:AD84"/>
    <mergeCell ref="E52:H52"/>
    <mergeCell ref="E58:H58"/>
    <mergeCell ref="E64:H64"/>
    <mergeCell ref="E70:H70"/>
    <mergeCell ref="E76:H76"/>
    <mergeCell ref="E82:H82"/>
  </mergeCells>
  <phoneticPr fontId="11" type="noConversion"/>
  <conditionalFormatting sqref="AA15:AC25 AA27:AC31 AA33:AC37 AA39:AC43">
    <cfRule type="expression" dxfId="0" priority="7">
      <formula>$X15="PT1H"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F2:F19" xr:uid="{38B2C6CE-2095-4F07-9DB0-8F3ECA75289E}">
      <formula1>"D01,E02"</formula1>
    </dataValidation>
    <dataValidation type="list" allowBlank="1" showInputMessage="1" showErrorMessage="1" sqref="L2:L19" xr:uid="{57A4D470-46D1-44C9-B065-59B3567B39C7}">
      <formula1>"PT15M,PT1H"</formula1>
    </dataValidation>
    <dataValidation type="list" allowBlank="1" showInputMessage="1" showErrorMessage="1" sqref="E2:F19 L2:L19" xr:uid="{A8A7884E-12CD-45C2-A372-F6EC1B801A34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Hour1</vt:lpstr>
      <vt:lpstr>Hour1!gridLoss</vt:lpstr>
      <vt:lpstr>Hour1!negGridLoss</vt:lpstr>
      <vt:lpstr>Hour1!netEx</vt:lpstr>
      <vt:lpstr>Hour1!posGridLoss</vt:lpstr>
      <vt:lpstr>Hour1!powerIn15M</vt:lpstr>
      <vt:lpstr>Hour1!powerIn1H</vt:lpstr>
      <vt:lpstr>Hour1!powerOut15M</vt:lpstr>
      <vt:lpstr>Hour1!powerOut1H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Hour1!totalFlex1H</vt:lpstr>
      <vt:lpstr>Hour1!totalNonprofiled15M</vt:lpstr>
      <vt:lpstr>Hour1!totalNonprofiled1H</vt:lpstr>
      <vt:lpstr>Hour1!totalProduction15M</vt:lpstr>
      <vt:lpstr>Hour1!totalProduction1H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2024-05-13T11:51:09Z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