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energy_calculation\given_with_only_nonprofiled_in_ga\"/>
    </mc:Choice>
  </mc:AlternateContent>
  <xr:revisionPtr revIDLastSave="0" documentId="13_ncr:1_{8960DDB0-24E0-42BF-B0CE-70FF8FB35671}" xr6:coauthVersionLast="47" xr6:coauthVersionMax="47" xr10:uidLastSave="{00000000-0000-0000-0000-000000000000}"/>
  <bookViews>
    <workbookView xWindow="-120" yWindow="-120" windowWidth="38640" windowHeight="2112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1" i="11" l="1"/>
  <c r="I80" i="11"/>
  <c r="I79" i="11"/>
  <c r="I78" i="11"/>
  <c r="I75" i="11"/>
  <c r="I74" i="11"/>
  <c r="I73" i="11"/>
  <c r="I72" i="11"/>
  <c r="I69" i="11"/>
  <c r="I68" i="11"/>
  <c r="I67" i="11"/>
  <c r="I66" i="11"/>
  <c r="I63" i="11"/>
  <c r="I62" i="11"/>
  <c r="I61" i="11"/>
  <c r="I60" i="11"/>
  <c r="I57" i="11"/>
  <c r="I56" i="11"/>
  <c r="I55" i="11"/>
  <c r="I54" i="11"/>
  <c r="I49" i="11"/>
  <c r="I50" i="11"/>
  <c r="I51" i="11"/>
  <c r="I48" i="11"/>
  <c r="J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43" i="11" s="1" a="1"/>
  <c r="AE43" i="11" s="1"/>
  <c r="AE13" i="11" a="1"/>
  <c r="Z24" i="11" a="1"/>
  <c r="Z24" i="11" s="1"/>
  <c r="Z25" i="11" a="1"/>
  <c r="Z25" i="11" s="1"/>
  <c r="W106" i="11"/>
  <c r="W109" i="11" s="1"/>
  <c r="W102" i="11"/>
  <c r="W105" i="11" s="1"/>
  <c r="W98" i="11"/>
  <c r="W94" i="11"/>
  <c r="W96" i="11" s="1"/>
  <c r="U30" i="11"/>
  <c r="S30" i="11" s="1"/>
  <c r="U26" i="11"/>
  <c r="U29" i="11" s="1"/>
  <c r="E20" i="11"/>
  <c r="AH2" i="11" a="1"/>
  <c r="W90" i="11" s="1"/>
  <c r="AG2" i="11"/>
  <c r="AF32" i="11" s="1" a="1"/>
  <c r="AF32" i="11" s="1"/>
  <c r="AD2" i="11" a="1"/>
  <c r="AD2" i="11" s="1"/>
  <c r="V88" i="11" a="1"/>
  <c r="V100" i="11" a="1"/>
  <c r="V94" i="11" a="1"/>
  <c r="V105" i="11" a="1"/>
  <c r="V86" i="11" a="1"/>
  <c r="V92" i="11" a="1"/>
  <c r="V90" i="11" a="1"/>
  <c r="V87" i="11" a="1"/>
  <c r="V97" i="11" a="1"/>
  <c r="V91" i="11" a="1"/>
  <c r="V93" i="11" a="1"/>
  <c r="V107" i="11" a="1"/>
  <c r="V109" i="11" a="1"/>
  <c r="V104" i="11" a="1"/>
  <c r="V103" i="11" a="1"/>
  <c r="V96" i="11" a="1"/>
  <c r="V102" i="11" a="1"/>
  <c r="V99" i="11" a="1"/>
  <c r="V106" i="11" a="1"/>
  <c r="V95" i="11" a="1"/>
  <c r="V89" i="11" a="1"/>
  <c r="V98" i="11" a="1"/>
  <c r="V101" i="11" a="1"/>
  <c r="V108" i="11" a="1"/>
  <c r="AF42" i="11" l="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E32" i="11" a="1"/>
  <c r="AE32" i="11" s="1"/>
  <c r="AF29" i="11" a="1"/>
  <c r="AF29" i="11" s="1"/>
  <c r="AE31" i="11" a="1"/>
  <c r="AE31" i="11" s="1"/>
  <c r="AE42" i="11" a="1"/>
  <c r="AE42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E40" i="11" a="1"/>
  <c r="AE40" i="11" s="1"/>
  <c r="AF39" i="11" a="1"/>
  <c r="AF39" i="11" s="1"/>
  <c r="AE39" i="11" a="1"/>
  <c r="AE39" i="11" s="1"/>
  <c r="AF38" i="11" a="1"/>
  <c r="AF38" i="11" s="1"/>
  <c r="AE38" i="11" a="1"/>
  <c r="AE38" i="11" s="1"/>
  <c r="AF37" i="11" a="1"/>
  <c r="AF37" i="11" s="1"/>
  <c r="AE37" i="11" a="1"/>
  <c r="AE37" i="11" s="1"/>
  <c r="AF36" i="11" a="1"/>
  <c r="AF36" i="11" s="1"/>
  <c r="AE36" i="11" a="1"/>
  <c r="AE36" i="11" s="1"/>
  <c r="AF35" i="11" a="1"/>
  <c r="AF35" i="11" s="1"/>
  <c r="AE35" i="11" a="1"/>
  <c r="AE35" i="11" s="1"/>
  <c r="AF34" i="11" a="1"/>
  <c r="AF34" i="11" s="1"/>
  <c r="AE34" i="11" a="1"/>
  <c r="AE34" i="11" s="1"/>
  <c r="AF33" i="11" a="1"/>
  <c r="AF33" i="11" s="1"/>
  <c r="V22" i="11"/>
  <c r="V26" i="11"/>
  <c r="AE41" i="11" a="1"/>
  <c r="AE41" i="11" s="1"/>
  <c r="AE33" i="11" a="1"/>
  <c r="AE33" i="11" s="1"/>
  <c r="V95" i="11"/>
  <c r="V99" i="11"/>
  <c r="V91" i="11"/>
  <c r="V87" i="11"/>
  <c r="V90" i="11"/>
  <c r="V108" i="11"/>
  <c r="V94" i="11"/>
  <c r="V93" i="11"/>
  <c r="V100" i="11"/>
  <c r="V105" i="11"/>
  <c r="V97" i="11"/>
  <c r="V89" i="11"/>
  <c r="V103" i="11"/>
  <c r="V102" i="11"/>
  <c r="V101" i="11"/>
  <c r="V92" i="11"/>
  <c r="V107" i="11"/>
  <c r="V98" i="11"/>
  <c r="V104" i="11"/>
  <c r="V96" i="11"/>
  <c r="V88" i="11"/>
  <c r="V109" i="11"/>
  <c r="V106" i="11"/>
  <c r="V86" i="11"/>
  <c r="AE30" i="11" a="1"/>
  <c r="AE30" i="11" s="1"/>
  <c r="AE13" i="11"/>
  <c r="AE28" i="11" s="1" a="1"/>
  <c r="AE28" i="11" s="1"/>
  <c r="AF13" i="11"/>
  <c r="AF28" i="11" s="1" a="1"/>
  <c r="AF28" i="11" s="1"/>
  <c r="AF43" i="11" s="1" a="1"/>
  <c r="AF43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93" i="11"/>
  <c r="W91" i="11"/>
  <c r="X90" i="11"/>
  <c r="Z90" i="11" s="1"/>
  <c r="W97" i="11"/>
  <c r="W95" i="11"/>
  <c r="X94" i="11"/>
  <c r="Z94" i="11" s="1"/>
  <c r="Z63" i="11"/>
  <c r="W86" i="11"/>
  <c r="W101" i="11"/>
  <c r="W99" i="11"/>
  <c r="X98" i="11"/>
  <c r="Z98" i="11" s="1"/>
  <c r="AH2" i="11"/>
  <c r="W100" i="11"/>
  <c r="W9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V57" i="11" l="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Y91" i="11"/>
  <c r="X91" i="11" s="1"/>
  <c r="Z91" i="11" s="1"/>
  <c r="Y92" i="11" s="1"/>
  <c r="X92" i="11" s="1"/>
  <c r="Z92" i="11" s="1"/>
  <c r="Y93" i="11" s="1"/>
  <c r="X93" i="11" s="1"/>
  <c r="Z93" i="11" s="1"/>
  <c r="T32" i="11"/>
  <c r="S32" i="11"/>
  <c r="E106" i="11"/>
  <c r="E104" i="11"/>
  <c r="E102" i="11"/>
  <c r="E100" i="11"/>
  <c r="E98" i="11"/>
  <c r="E96" i="11"/>
  <c r="E94" i="11"/>
  <c r="H94" i="11" s="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Y99" i="11"/>
  <c r="X99" i="11" s="1"/>
  <c r="Z99" i="11" s="1"/>
  <c r="Y100" i="11" s="1"/>
  <c r="X100" i="11" s="1"/>
  <c r="Z100" i="11" s="1"/>
  <c r="Y101" i="11" s="1"/>
  <c r="X101" i="11" s="1"/>
  <c r="Z101" i="11" s="1"/>
  <c r="Y95" i="11"/>
  <c r="X95" i="11" s="1"/>
  <c r="Z95" i="11" s="1"/>
  <c r="Y96" i="11" s="1"/>
  <c r="X96" i="11" s="1"/>
  <c r="Z96" i="11" s="1"/>
  <c r="Y97" i="11" s="1"/>
  <c r="X97" i="11" s="1"/>
  <c r="Z97" i="11" s="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3" i="11" a="1"/>
  <c r="I90" i="11" a="1"/>
  <c r="I95" i="11" a="1"/>
  <c r="I92" i="11" a="1"/>
  <c r="I91" i="11" a="1"/>
  <c r="I96" i="11" a="1"/>
  <c r="I97" i="11" a="1"/>
  <c r="H90" i="11" l="1"/>
  <c r="AE2" i="11"/>
  <c r="E44" i="11" s="1"/>
  <c r="U18" i="11"/>
  <c r="W55" i="11"/>
  <c r="Y55" i="11" s="1"/>
  <c r="H48" i="11" s="1"/>
  <c r="I113" i="11" a="1"/>
  <c r="I113" i="11" s="1"/>
  <c r="H113" i="11"/>
  <c r="H104" i="11"/>
  <c r="H99" i="11"/>
  <c r="H106" i="11"/>
  <c r="H105" i="11"/>
  <c r="H101" i="11"/>
  <c r="H103" i="11"/>
  <c r="H108" i="11"/>
  <c r="I111" i="11" a="1"/>
  <c r="I111" i="11" s="1"/>
  <c r="H111" i="11"/>
  <c r="I112" i="11" a="1"/>
  <c r="I112" i="11" s="1"/>
  <c r="H112" i="11"/>
  <c r="H97" i="11"/>
  <c r="I110" i="11" a="1"/>
  <c r="I110" i="11" s="1"/>
  <c r="H110" i="11"/>
  <c r="H109" i="11"/>
  <c r="H107" i="11"/>
  <c r="H98" i="11"/>
  <c r="H100" i="11"/>
  <c r="H102" i="11"/>
  <c r="H95" i="11"/>
  <c r="H96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9" i="11" a="1"/>
  <c r="I107" i="11" a="1"/>
  <c r="I106" i="11" a="1"/>
  <c r="I108" i="11" a="1"/>
  <c r="I105" i="11" a="1"/>
  <c r="I100" i="11" a="1"/>
  <c r="I104" i="11" a="1"/>
  <c r="I99" i="11" a="1"/>
  <c r="I94" i="11" a="1"/>
  <c r="I98" i="11" a="1"/>
  <c r="I103" i="11" a="1"/>
  <c r="I101" i="11" a="1"/>
  <c r="I102" i="11" a="1"/>
  <c r="I108" i="11" l="1"/>
  <c r="I106" i="11"/>
  <c r="I107" i="11"/>
  <c r="I109" i="11"/>
  <c r="E32" i="11"/>
  <c r="E40" i="11"/>
  <c r="E41" i="11"/>
  <c r="E39" i="11"/>
  <c r="E37" i="11"/>
  <c r="E24" i="11"/>
  <c r="E38" i="11"/>
  <c r="E28" i="11"/>
  <c r="E43" i="11"/>
  <c r="E27" i="11"/>
  <c r="I98" i="11"/>
  <c r="I101" i="11"/>
  <c r="I102" i="11"/>
  <c r="I100" i="11"/>
  <c r="I99" i="11"/>
  <c r="I104" i="11"/>
  <c r="I94" i="11"/>
  <c r="I103" i="11"/>
  <c r="I105" i="11"/>
  <c r="V18" i="11"/>
  <c r="U20" i="11"/>
  <c r="S18" i="11"/>
  <c r="U19" i="11"/>
  <c r="T18" i="11"/>
  <c r="U21" i="11"/>
  <c r="E26" i="11"/>
  <c r="E23" i="11"/>
  <c r="E34" i="11"/>
  <c r="E36" i="11"/>
  <c r="E33" i="11"/>
  <c r="E22" i="11"/>
  <c r="E45" i="11"/>
  <c r="E30" i="11"/>
  <c r="E29" i="11"/>
  <c r="E35" i="11"/>
  <c r="E25" i="11"/>
  <c r="E31" i="11"/>
  <c r="E42" i="11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T21" i="11" l="1"/>
  <c r="S21" i="11"/>
  <c r="T19" i="11"/>
  <c r="S19" i="11"/>
  <c r="W18" i="11"/>
  <c r="Y18" i="11" s="1"/>
  <c r="V21" i="11"/>
  <c r="V19" i="11"/>
  <c r="V20" i="11"/>
  <c r="T20" i="11"/>
  <c r="S20" i="1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19" i="11" l="1"/>
  <c r="W19" i="11" s="1"/>
  <c r="Y19" i="11" s="1"/>
  <c r="X20" i="11" s="1"/>
  <c r="W20" i="11" s="1"/>
  <c r="Y20" i="11" s="1"/>
  <c r="X21" i="11" s="1"/>
  <c r="W21" i="11" s="1"/>
  <c r="Y21" i="11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Y53" i="11" l="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8" i="11"/>
  <c r="J32" i="11"/>
  <c r="J39" i="11"/>
  <c r="I32" i="11" l="1"/>
  <c r="I39" i="11"/>
  <c r="I38" i="11"/>
  <c r="I30" i="11"/>
  <c r="G32" i="11"/>
  <c r="C32" i="11" s="1"/>
  <c r="G38" i="11"/>
  <c r="C38" i="11" s="1"/>
  <c r="G30" i="11"/>
  <c r="B30" i="11" s="1"/>
  <c r="G39" i="11"/>
  <c r="C39" i="11" s="1"/>
  <c r="C30" i="11" l="1"/>
  <c r="B38" i="11"/>
  <c r="K38" i="11" s="1"/>
  <c r="B39" i="11"/>
  <c r="K39" i="11" s="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6" i="11"/>
  <c r="J31" i="11"/>
  <c r="I31" i="11" l="1"/>
  <c r="G31" i="11"/>
  <c r="C31" i="11" s="1"/>
  <c r="G36" i="11"/>
  <c r="C36" i="11" s="1"/>
  <c r="I36" i="11"/>
  <c r="B33" i="11"/>
  <c r="K33" i="11" s="1"/>
  <c r="H33" i="11" s="1"/>
  <c r="B36" i="11" l="1"/>
  <c r="K36" i="11" s="1"/>
  <c r="B31" i="11"/>
  <c r="F26" i="11"/>
  <c r="J26" i="11"/>
  <c r="K31" i="11" l="1"/>
  <c r="H31" i="11" s="1"/>
  <c r="G26" i="11"/>
  <c r="I26" i="11" s="1"/>
  <c r="F34" i="11"/>
  <c r="F41" i="11"/>
  <c r="J41" i="11"/>
  <c r="J34" i="11"/>
  <c r="C26" i="11" l="1"/>
  <c r="I41" i="11"/>
  <c r="G41" i="11"/>
  <c r="B41" i="11" s="1"/>
  <c r="G34" i="11"/>
  <c r="I34" i="11" s="1"/>
  <c r="B26" i="11"/>
  <c r="C34" i="11" l="1"/>
  <c r="C41" i="11"/>
  <c r="K41" i="11" s="1"/>
  <c r="K26" i="11"/>
  <c r="H26" i="11" s="1"/>
  <c r="B34" i="11"/>
  <c r="F40" i="11"/>
  <c r="J40" i="11"/>
  <c r="K34" i="11" l="1"/>
  <c r="G40" i="11"/>
  <c r="B40" i="11" s="1"/>
  <c r="I40" i="11"/>
  <c r="F44" i="11"/>
  <c r="J44" i="11"/>
  <c r="C40" i="11" l="1"/>
  <c r="I44" i="11"/>
  <c r="G44" i="11"/>
  <c r="C44" i="11" s="1"/>
  <c r="K40" i="11"/>
  <c r="B44" i="11" l="1"/>
  <c r="K44" i="11" s="1"/>
  <c r="F22" i="11"/>
  <c r="C22" i="11" s="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I45" i="11" l="1"/>
  <c r="I42" i="11"/>
  <c r="G45" i="11"/>
  <c r="C45" i="11" s="1"/>
  <c r="G42" i="11"/>
  <c r="C42" i="11" s="1"/>
  <c r="B28" i="11"/>
  <c r="K28" i="11" s="1"/>
  <c r="H28" i="11" s="1"/>
  <c r="F24" i="11"/>
  <c r="C24" i="11" s="1"/>
  <c r="F27" i="11"/>
  <c r="J27" i="11"/>
  <c r="J24" i="11"/>
  <c r="I24" i="11" l="1"/>
  <c r="G27" i="11"/>
  <c r="B27" i="11" s="1"/>
  <c r="B42" i="11"/>
  <c r="K42" i="11" s="1"/>
  <c r="I27" i="11"/>
  <c r="G24" i="11"/>
  <c r="B24" i="11" s="1"/>
  <c r="B45" i="11"/>
  <c r="K45" i="11" s="1"/>
  <c r="C27" i="11" l="1"/>
  <c r="K27" i="11" s="1"/>
  <c r="H27" i="11" s="1"/>
  <c r="K24" i="11"/>
  <c r="H24" i="11" s="1"/>
  <c r="F23" i="11"/>
  <c r="C23" i="11" s="1"/>
  <c r="F25" i="11"/>
  <c r="C25" i="11" s="1"/>
  <c r="F37" i="11"/>
  <c r="F29" i="11"/>
  <c r="H81" i="11"/>
  <c r="J23" i="11"/>
  <c r="J37" i="11"/>
  <c r="J25" i="11"/>
  <c r="J29" i="11"/>
  <c r="H84" i="11" l="1"/>
  <c r="K30" i="11"/>
  <c r="H30" i="11" s="1"/>
  <c r="I29" i="11"/>
  <c r="I23" i="11"/>
  <c r="I37" i="11"/>
  <c r="G37" i="11"/>
  <c r="C37" i="11" s="1"/>
  <c r="G25" i="11"/>
  <c r="B25" i="11" s="1"/>
  <c r="G29" i="11"/>
  <c r="B29" i="11" s="1"/>
  <c r="I25" i="11"/>
  <c r="G23" i="11"/>
  <c r="H75" i="11"/>
  <c r="K22" i="11" s="1"/>
  <c r="H22" i="11" s="1"/>
  <c r="C29" i="11" l="1"/>
  <c r="K29" i="11" s="1"/>
  <c r="H29" i="11" s="1"/>
  <c r="B23" i="11"/>
  <c r="K23" i="11" s="1"/>
  <c r="H23" i="11" s="1"/>
  <c r="K25" i="11"/>
  <c r="H25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<sst xmlns="http://schemas.openxmlformats.org/spreadsheetml/2006/main" count="408" uniqueCount="122">
  <si>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</si>
  <si>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</si>
  <si>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</si>
  <si>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</si>
  <si>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</si>
  <si>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</si>
  <si>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</si>
  <si>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</si>
  <si>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</si>
  <si>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</si>
  <si>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</si>
  <si>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</si>
  <si>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</si>
  <si>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</si>
  <si>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</si>
  <si>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</si>
  <si>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</si>
  <si>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</si>
  <si>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</si>
  <si>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</si>
  <si>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</si>
  <si>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</si>
  <si>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</si>
  <si>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</si>
  <si>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</si>
  <si>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</si>
  <si>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</si>
  <si>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</si>
  <si>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</si>
  <si>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</si>
  <si>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</si>
  <si>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</si>
  <si>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</si>
  <si>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</si>
  <si>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</si>
  <si>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</si>
  <si>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</si>
  <si>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</si>
  <si>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</si>
  <si>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</si>
  <si>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</si>
  <si>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</si>
  <si>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</si>
  <si>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</si>
  <si>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</si>
  <si>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</si>
  <si>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</si>
  <si>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</si>
  <si>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</si>
  <si>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</si>
  <si>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</si>
  <si>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</si>
  <si>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</si>
  <si>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</si>
  <si>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</si>
  <si>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</si>
  <si>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</si>
  <si>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</si>
  <si>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</si>
  <si>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</si>
  <si>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</si>
  <si>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</si>
  <si>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</si>
  <si>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</si>
  <si>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</si>
  <si>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</si>
  <si>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</si>
  <si>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</si>
  <si>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</si>
  <si>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</si>
  <si>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</si>
  <si>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</si>
  <si>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</si>
  <si>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</si>
  <si>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</si>
  <si>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</si>
  <si>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</si>
  <si>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</si>
  <si>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</si>
  <si>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</si>
  <si>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</si>
  <si>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</si>
  <si>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</si>
  <si>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</si>
  <si>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</si>
  <si>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</si>
  <si>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</si>
  <si>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</si>
  <si>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</si>
  <si>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</si>
  <si>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</si>
  <si>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</si>
  <si>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</si>
  <si>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</si>
  <si>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</si>
  <si>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</si>
  <si>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</si>
  <si>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</si>
  <si>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</si>
  <si>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E18</t>
  </si>
  <si>
    <t>E20</t>
  </si>
  <si>
    <t>3000000000000</t>
  </si>
  <si>
    <t>skmp</t>
  </si>
  <si>
    <t>PT15M</t>
  </si>
  <si>
    <t>2000000000000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</si>
  <si>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</si>
  <si>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</si>
  <si>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</si>
  <si>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</si>
  <si>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</si>
  <si>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</si>
  <si>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170000000000000102</t>
  </si>
  <si>
    <t>200000001500000001</t>
  </si>
  <si>
    <t>200000000000000002</t>
  </si>
  <si>
    <t>200000001500000003</t>
  </si>
  <si>
    <t>200000000000000004</t>
  </si>
  <si>
    <t>170000001500000101</t>
  </si>
  <si>
    <t>170000000000000103</t>
  </si>
  <si>
    <t>802</t>
  </si>
  <si>
    <t>803</t>
  </si>
  <si>
    <t>804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</si>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</sst>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topLeftCell="A68" zoomScaleNormal="100" workbookViewId="0">
      <selection activeCell="H84" sqref="H84:H87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1.7109375" style="1" customWidth="1"/>
    <col min="18" max="18" width="8.8554687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4.1406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1.8554687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110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109</v>
      </c>
      <c r="AH1" s="30" t="s">
        <v>83</v>
      </c>
      <c r="AI1" s="30"/>
      <c r="AJ1" s="24"/>
    </row>
    <row r="2" spans="1:92" ht="21" x14ac:dyDescent="0.35">
      <c r="A2" s="18" t="s">
        <v>25</v>
      </c>
      <c r="B2" s="17" t="s">
        <v>121</v>
      </c>
      <c r="C2" s="10" t="s">
        <v>112</v>
      </c>
      <c r="D2" s="10" t="s">
        <v>100</v>
      </c>
      <c r="E2" s="11"/>
      <c r="F2" s="12">
        <v>10</v>
      </c>
      <c r="G2" s="12"/>
      <c r="H2" s="41"/>
      <c r="I2" s="41"/>
      <c r="J2" s="43">
        <f t="shared" ref="J2:J19" si="0">IF(C2="","",SUM(F2:I2))</f>
        <v>10</v>
      </c>
      <c r="K2" s="10" t="s">
        <v>103</v>
      </c>
      <c r="L2" s="10"/>
      <c r="M2" s="10"/>
      <c r="N2" s="10"/>
      <c r="O2" s="10" t="s">
        <v>96</v>
      </c>
      <c r="P2" s="29" t="s">
        <v>96</v>
      </c>
      <c r="Q2" s="29" t="s">
        <v>95</v>
      </c>
      <c r="R2" s="24"/>
      <c r="S2" s="7" t="s">
        <v>35</v>
      </c>
      <c r="T2" s="9">
        <f>SUMIFS(Tabel1342323[TotalHour],Tabel1342323[settlement_method],"D01",Tabel1342323[resolution],"PT15M")</f>
        <v>0</v>
      </c>
      <c r="U2" s="42">
        <f>SUMIFS(Tabel1342323[Quarter1],Tabel1342323[settlement_method],"D01",Tabel1342323[resolution],"PT15M")</f>
        <v>0</v>
      </c>
      <c r="V2" s="42">
        <f>SUMIFS(Tabel1342323[Quarter2],Tabel1342323[settlement_method],"D01",Tabel1342323[resolution],"PT15M")</f>
        <v>0</v>
      </c>
      <c r="W2" s="42">
        <f>SUMIFS(Tabel1342323[Quarter3],Tabel1342323[settlement_method],"D01",Tabel1342323[resolution],"PT15M")</f>
        <v>0</v>
      </c>
      <c r="X2" s="42">
        <f>SUMIFS(Tabel1342323[Quarter4],Tabel1342323[settlement_method],"D01",Tabel1342323[resolution],"PT15M")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_xlfn._xlws.SORT(_xlfn.UNIQUE(_xlfn._xlws.FILTER(Tabel1342323[ga_id],Tabel1342323[ga_id] &lt;&gt; "")))</f>
        <v>800</v>
      </c>
      <c r="AE2" s="27" t="str" cm="1">
        <f t="array" ref="AE2">_xlfn._xlws.SORT(_xlfn.UNIQUE(_xlfn._xlws.FILTER(AE28:AE41,AE28:AE41 &lt;&gt; "")))</f>
        <v>3000000000000</v>
      </c>
      <c r="AF2" s="27" t="str" cm="1">
        <f t="array" ref="AF2">_xlfn._xlws.SORT(_xlfn.UNIQUE(_xlfn._xlws.FILTER(AF28:AF40,AF28:AF40 &lt;&gt; "")))</f>
        <v>2200000000000</v>
      </c>
      <c r="AG2" s="27" t="str">
        <f>IF(B$2="production","E18",IF($B$2="flex_consumption","D01","E02"))</f>
        <v>E18</v>
      </c>
      <c r="AH2" s="27" t="str" cm="1">
        <f t="array" ref="AH2:AH6">_xlfn._xlws.SORT(_xlfn.UNIQUE(_xlfn.VSTACK(_xlfn._xlws.FILTER(Tabel1342323[from_ga],Tabel1342323[from_ga] &lt;&gt; ""),_xlfn._xlws.FILTER(Tabel1342323[to_ga],Tabel1342323[to_ga] &lt;&gt; ""))))</f>
        <v>800</v>
      </c>
      <c r="AI2" s="24"/>
      <c r="AJ2" s="24"/>
    </row>
    <row r="3" spans="1:92" x14ac:dyDescent="0.25">
      <c r="C3" s="10" t="s">
        <v>113</v>
      </c>
      <c r="D3" s="10" t="s">
        <v>100</v>
      </c>
      <c r="E3" s="11"/>
      <c r="F3" s="12">
        <v>20.003</v>
      </c>
      <c r="G3" s="12"/>
      <c r="H3" s="41"/>
      <c r="I3" s="41"/>
      <c r="J3" s="43">
        <f t="shared" si="0"/>
        <v>20.003</v>
      </c>
      <c r="K3" s="10" t="s">
        <v>92</v>
      </c>
      <c r="L3" s="10"/>
      <c r="M3" s="10"/>
      <c r="N3" s="10"/>
      <c r="O3" s="10" t="s">
        <v>118</v>
      </c>
      <c r="P3" s="29" t="s">
        <v>118</v>
      </c>
      <c r="Q3" s="29" t="s">
        <v>95</v>
      </c>
      <c r="R3" s="24"/>
      <c r="S3" s="7" t="s">
        <v>39</v>
      </c>
      <c r="T3" s="9">
        <f>SUMIFS(Tabel1342323[TotalHour],Tabel1342323[settlement_method],"E02",Tabel1342323[resolution],"PT15M")</f>
        <v>15</v>
      </c>
      <c r="U3" s="42">
        <f>SUMIFS(Tabel1342323[Quarter1],Tabel1342323[settlement_method],"E02",Tabel1342323[resolution],"PT15M")</f>
        <v>5</v>
      </c>
      <c r="V3" s="42">
        <f>SUMIFS(Tabel1342323[Quarter2],Tabel1342323[settlement_method],"E02",Tabel1342323[resolution],"PT15M")</f>
        <v>0</v>
      </c>
      <c r="W3" s="42">
        <f>SUMIFS(Tabel1342323[Quarter3],Tabel1342323[settlement_method],"E02",Tabel1342323[resolution],"PT15M")</f>
        <v>0</v>
      </c>
      <c r="X3" s="42">
        <f>SUMIFS(Tabel1342323[Quarter4],Tabel1342323[settlement_method],"E02",Tabel1342323[resolution],"PT15M")</f>
        <v>10</v>
      </c>
      <c r="Y3" s="24"/>
      <c r="Z3" s="24"/>
      <c r="AA3" s="24"/>
      <c r="AC3" s="24"/>
      <c r="AD3" s="24" t="str">
        <v>801</v>
      </c>
      <c r="AE3" s="24"/>
      <c r="AF3" s="24"/>
      <c r="AG3" s="24"/>
      <c r="AH3" s="24" t="str">
        <v>801</v>
      </c>
      <c r="AI3" s="24"/>
      <c r="AJ3" s="24"/>
    </row>
    <row r="4" spans="1:92" x14ac:dyDescent="0.25">
      <c r="C4" s="10" t="s">
        <v>114</v>
      </c>
      <c r="D4" s="10" t="s">
        <v>100</v>
      </c>
      <c r="E4" s="11"/>
      <c r="F4" s="12">
        <v>5</v>
      </c>
      <c r="G4" s="12"/>
      <c r="H4" s="41"/>
      <c r="I4" s="41"/>
      <c r="J4" s="43">
        <f t="shared" si="0"/>
        <v>5</v>
      </c>
      <c r="K4" s="10" t="s">
        <v>103</v>
      </c>
      <c r="L4" s="10"/>
      <c r="M4" s="10"/>
      <c r="N4" s="10"/>
      <c r="O4" s="10" t="s">
        <v>95</v>
      </c>
      <c r="P4" s="29" t="s">
        <v>95</v>
      </c>
      <c r="Q4" s="29" t="s">
        <v>119</v>
      </c>
      <c r="R4" s="24"/>
      <c r="S4" s="7" t="s">
        <v>28</v>
      </c>
      <c r="T4" s="9">
        <f>SUMIFS(Tabel1342323[TotalHour],Tabel1342323[type],"E18",Tabel1342323[resolution],"PT15M")</f>
        <v>0</v>
      </c>
      <c r="U4" s="42">
        <f>SUMIFS(Tabel1342323[Quarter1],Tabel1342323[type],"E18",Tabel1342323[resolution],"PT15M")</f>
        <v>0</v>
      </c>
      <c r="V4" s="42">
        <f>SUMIFS(Tabel1342323[Quarter2],Tabel1342323[type],"E18",Tabel1342323[resolution],"PT15M")</f>
        <v>0</v>
      </c>
      <c r="W4" s="42">
        <f>SUMIFS(Tabel1342323[Quarter3],Tabel1342323[type],"E18",Tabel1342323[resolution],"PT15M")</f>
        <v>0</v>
      </c>
      <c r="X4" s="42">
        <f>SUMIFS(Tabel1342323[Quarter4],Tabel1342323[type],"E18",Tabel1342323[resolution],"PT15M")</f>
        <v>0</v>
      </c>
      <c r="Y4" s="24"/>
      <c r="Z4" s="24"/>
      <c r="AA4" s="24"/>
      <c r="AC4" s="24"/>
      <c r="AD4" s="24" t="str">
        <v>802</v>
      </c>
      <c r="AE4" s="24"/>
      <c r="AF4" s="24"/>
      <c r="AG4" s="24"/>
      <c r="AH4" s="24" t="str">
        <v>802</v>
      </c>
      <c r="AI4" s="24"/>
      <c r="AJ4" s="24"/>
    </row>
    <row r="5" spans="1:92" x14ac:dyDescent="0.25">
      <c r="C5" s="10" t="s">
        <v>115</v>
      </c>
      <c r="D5" s="10" t="s">
        <v>100</v>
      </c>
      <c r="E5" s="11"/>
      <c r="F5" s="12">
        <v>1.117</v>
      </c>
      <c r="G5" s="12"/>
      <c r="H5" s="41"/>
      <c r="I5" s="41"/>
      <c r="J5" s="43">
        <f t="shared" si="0"/>
        <v>1.117</v>
      </c>
      <c r="K5" s="10" t="s">
        <v>92</v>
      </c>
      <c r="L5" s="10"/>
      <c r="M5" s="10"/>
      <c r="N5" s="10"/>
      <c r="O5" s="10" t="s">
        <v>95</v>
      </c>
      <c r="P5" s="29" t="s">
        <v>95</v>
      </c>
      <c r="Q5" s="29" t="s">
        <v>120</v>
      </c>
      <c r="R5" s="24"/>
      <c r="S5" s="7" t="s">
        <v>26</v>
      </c>
      <c r="T5" s="9">
        <f>SUMIFS(Tabel1342323[TotalHour],Tabel1342323[type],"E17",Tabel1342323[resolution],"PT15M")</f>
        <v>15</v>
      </c>
      <c r="U5" s="42">
        <f>SUMIFS(Tabel1342323[Quarter1],Tabel1342323[type],"E17",Tabel1342323[resolution],"PT15M")</f>
        <v>5</v>
      </c>
      <c r="V5" s="42">
        <f>SUMIFS(Tabel1342323[Quarter2],Tabel1342323[type],"E17",Tabel1342323[resolution],"PT15M")</f>
        <v>0</v>
      </c>
      <c r="W5" s="42">
        <f>SUMIFS(Tabel1342323[Quarter3],Tabel1342323[type],"E17",Tabel1342323[resolution],"PT15M")</f>
        <v>0</v>
      </c>
      <c r="X5" s="42">
        <f>SUMIFS(Tabel1342323[Quarter4],Tabel1342323[type],"E17",Tabel1342323[resolution],"PT15M")</f>
        <v>10</v>
      </c>
      <c r="Y5" s="24"/>
      <c r="Z5" s="24"/>
      <c r="AA5" s="24"/>
      <c r="AC5" s="24"/>
      <c r="AD5" s="24"/>
      <c r="AE5" s="24"/>
      <c r="AF5" s="24"/>
      <c r="AG5" s="24"/>
      <c r="AH5" s="24" t="str">
        <v>803</v>
      </c>
      <c r="AI5" s="24"/>
      <c r="AJ5" s="24"/>
    </row>
    <row r="6" spans="1:92" x14ac:dyDescent="0.25">
      <c r="C6" s="10" t="s">
        <v>116</v>
      </c>
      <c r="D6" s="10" t="s">
        <v>90</v>
      </c>
      <c r="E6" s="11" t="s">
        <v>106</v>
      </c>
      <c r="F6" s="12">
        <v>5</v>
      </c>
      <c r="G6" s="12"/>
      <c r="H6" s="12"/>
      <c r="I6" s="12">
        <v>10</v>
      </c>
      <c r="J6" s="43">
        <f t="shared" si="0"/>
        <v>15</v>
      </c>
      <c r="K6" s="10" t="s">
        <v>103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SUMIFS(Tabel1342323[TotalHour],Tabel1342323[type],"E20",Tabel1342323[resolution],"PT15M",Tabel1342323[to_ga],"800")</f>
        <v>10</v>
      </c>
      <c r="U6" s="42">
        <f>SUMIFS(Tabel1342323[Quarter1],Tabel1342323[type],"E20",Tabel1342323[resolution],"PT15M",Tabel1342323[to_ga],"800")</f>
        <v>10</v>
      </c>
      <c r="V6" s="42">
        <f>SUMIFS(Tabel1342323[Quarter2],Tabel1342323[type],"E20",Tabel1342323[resolution],"PT15M",Tabel1342323[to_ga],"800")</f>
        <v>0</v>
      </c>
      <c r="W6" s="42">
        <f>SUMIFS(Tabel1342323[Quarter3],Tabel1342323[type],"E20",Tabel1342323[resolution],"PT15M",Tabel1342323[to_ga],"800")</f>
        <v>0</v>
      </c>
      <c r="X6" s="42">
        <f>SUMIFS(Tabel1342323[Quarter4],Tabel1342323[type],"E20",Tabel1342323[resolution],"PT15M",Tabel1342323[to_ga],"800")</f>
        <v>0</v>
      </c>
      <c r="Y6" s="24"/>
      <c r="Z6" s="24"/>
      <c r="AA6" s="24"/>
      <c r="AC6" s="24"/>
      <c r="AD6" s="24"/>
      <c r="AE6" s="24"/>
      <c r="AF6" s="24"/>
      <c r="AG6" s="24"/>
      <c r="AH6" s="24" t="str">
        <v>804</v>
      </c>
      <c r="AI6" s="24"/>
      <c r="AJ6" s="24"/>
    </row>
    <row r="7" spans="1:92" x14ac:dyDescent="0.25">
      <c r="C7" s="10" t="s">
        <v>111</v>
      </c>
      <c r="D7" s="10" t="s">
        <v>90</v>
      </c>
      <c r="E7" s="11" t="s">
        <v>106</v>
      </c>
      <c r="F7" s="12">
        <v>8</v>
      </c>
      <c r="G7" s="12"/>
      <c r="H7" s="41"/>
      <c r="I7" s="41"/>
      <c r="J7" s="43">
        <f t="shared" si="0"/>
        <v>8</v>
      </c>
      <c r="K7" s="10" t="s">
        <v>92</v>
      </c>
      <c r="L7" s="10" t="s">
        <v>104</v>
      </c>
      <c r="M7" s="10" t="s">
        <v>94</v>
      </c>
      <c r="N7" s="10"/>
      <c r="O7" s="10" t="s">
        <v>95</v>
      </c>
      <c r="P7" s="29"/>
      <c r="Q7" s="29"/>
      <c r="R7" s="24"/>
      <c r="S7" s="6" t="s">
        <v>42</v>
      </c>
      <c r="T7" s="9">
        <f>SUMIFS(Tabel1342323[TotalHour],Tabel1342323[type],"E20",Tabel1342323[resolution],"PT15M",Tabel1342323[from_ga],"800")</f>
        <v>5</v>
      </c>
      <c r="U7" s="42">
        <f>SUMIFS(Tabel1342323[Quarter1],Tabel1342323[type],"E20",Tabel1342323[resolution],"PT15M",Tabel1342323[from_ga],"800")</f>
        <v>5</v>
      </c>
      <c r="V7" s="42">
        <f>SUMIFS(Tabel1342323[Quarter2],Tabel1342323[type],"E20",Tabel1342323[resolution],"PT15M",Tabel1342323[from_ga],"800")</f>
        <v>0</v>
      </c>
      <c r="W7" s="42">
        <f>SUMIFS(Tabel1342323[Quarter3],Tabel1342323[type],"E20",Tabel1342323[resolution],"PT15M",Tabel1342323[from_ga],"800")</f>
        <v>0</v>
      </c>
      <c r="X7" s="42">
        <f>SUMIFS(Tabel1342323[Quarter4],Tabel1342323[type],"E20",Tabel1342323[resolution],"PT15M",Tabel1342323[from_ga],"800")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25">
      <c r="C8" s="10" t="s">
        <v>117</v>
      </c>
      <c r="D8" s="10" t="s">
        <v>90</v>
      </c>
      <c r="E8" s="11" t="s">
        <v>106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92</v>
      </c>
      <c r="L8" s="10" t="s">
        <v>101</v>
      </c>
      <c r="M8" s="10" t="s">
        <v>105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25">
      <c r="C9" s="10"/>
      <c r="D9" s="10"/>
      <c r="E9" s="11"/>
      <c r="F9" s="12"/>
      <c r="G9" s="12"/>
      <c r="H9" s="41"/>
      <c r="I9" s="41"/>
      <c r="J9" s="43" t="str">
        <f t="shared" si="0"/>
        <v/>
      </c>
      <c r="K9" s="10"/>
      <c r="L9" s="10"/>
      <c r="M9" s="10"/>
      <c r="N9" s="10"/>
      <c r="O9" s="10"/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2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74</v>
      </c>
      <c r="S10" s="26" t="str">
        <f>_xlfn.IFNA(INDEX(Tabel1342323[ga_id],MATCH(U10,Tabel1342323[es_id],0)),"")</f>
        <v>800</v>
      </c>
      <c r="T10" s="26" t="str">
        <f>_xlfn.IFNA(INDEX(Tabel1342323[brp_id],MATCH(U10,Tabel1342323[es_id],0)),"")</f>
        <v>2200000000000</v>
      </c>
      <c r="U10" s="26" t="str">
        <f>IF(AE$2=0,"",AE$2)</f>
        <v>3000000000000</v>
      </c>
      <c r="V10" s="20">
        <f>SUMIFS(Tabel1342323[TotalHour],Tabel1342323[es_id],U10,IF(B$2="production",Tabel1342323[type],Tabel1342323[settlement_method]),AG$2,Tabel1342323[resolution],"PT1H")/4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25">
      <c r="C11" s="10"/>
      <c r="D11" s="10"/>
      <c r="E11" s="11"/>
      <c r="F11" s="12"/>
      <c r="G11" s="12"/>
      <c r="H11" s="41"/>
      <c r="I11" s="41"/>
      <c r="J11" s="43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75</v>
      </c>
      <c r="S11" s="26" t="str">
        <f>_xlfn.IFNA(INDEX(Tabel1342323[ga_id],MATCH(U11,Tabel1342323[es_id],0)),"")</f>
        <v>800</v>
      </c>
      <c r="T11" s="26" t="str">
        <f>_xlfn.IFNA(INDEX(Tabel1342323[brp_id],MATCH(U11,Tabel1342323[es_id],0)),"")</f>
        <v>2200000000000</v>
      </c>
      <c r="U11" s="26" t="str">
        <f t="shared" ref="U11:V13" si="2">U$10</f>
        <v>3000000000000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2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76</v>
      </c>
      <c r="S12" s="26" t="str">
        <f>_xlfn.IFNA(INDEX(Tabel1342323[ga_id],MATCH(U12,Tabel1342323[es_id],0)),"")</f>
        <v>800</v>
      </c>
      <c r="T12" s="26" t="str">
        <f>_xlfn.IFNA(INDEX(Tabel1342323[brp_id],MATCH(U12,Tabel1342323[es_id],0)),"")</f>
        <v>2200000000000</v>
      </c>
      <c r="U12" s="26" t="str">
        <f t="shared" si="2"/>
        <v>3000000000000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107</v>
      </c>
      <c r="AF12" s="36" t="s">
        <v>108</v>
      </c>
      <c r="AG12" s="36"/>
      <c r="AH12" s="35"/>
      <c r="AI12" s="24"/>
      <c r="AJ12" s="24"/>
    </row>
    <row r="13" spans="1:92" x14ac:dyDescent="0.2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77</v>
      </c>
      <c r="S13" s="26" t="str">
        <f>_xlfn.IFNA(INDEX(Tabel1342323[ga_id],MATCH(U13,Tabel1342323[es_id],0)),"")</f>
        <v>800</v>
      </c>
      <c r="T13" s="26" t="str">
        <f>_xlfn.IFNA(INDEX(Tabel1342323[brp_id],MATCH(U13,Tabel1342323[es_id],0)),"")</f>
        <v>2200000000000</v>
      </c>
      <c r="U13" s="26" t="str">
        <f t="shared" si="2"/>
        <v>3000000000000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_xlfn._xlws.SORT(_xlfn.UNIQUE(_xlfn._xlws.FILTER(Tabel1342323[es_id],Tabel1342323[es_id] &lt;&gt; "")))</f>
        <v>1000000000000</v>
      </c>
      <c r="AF13" s="36" t="str" cm="1">
        <f t="array" ref="AF13:AF14">_xlfn._xlws.SORT(_xlfn.UNIQUE(_xlfn._xlws.FILTER(Tabel1342323[brp_id],Tabel1342323[brp_id] &lt;&gt; "")))</f>
        <v>1100000000000</v>
      </c>
      <c r="AG13" s="36"/>
      <c r="AH13" s="35"/>
    </row>
    <row r="14" spans="1:92" x14ac:dyDescent="0.2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74</v>
      </c>
      <c r="S14" s="26" t="str">
        <f>_xlfn.IFNA(INDEX(Tabel1342323[ga_id],MATCH(U14,Tabel1342323[es_id],0)),"")</f>
        <v/>
      </c>
      <c r="T14" s="26" t="str">
        <f>_xlfn.IFNA(INDEX(Tabel1342323[brp_id],MATCH(U14,Tabel1342323[es_id],0)),"")</f>
        <v/>
      </c>
      <c r="U14" s="26" t="str">
        <f>IF(AE$3=0,"",AE$3)</f>
        <v/>
      </c>
      <c r="V14" s="20">
        <f>SUMIFS(Tabel1342323[TotalHour],Tabel1342323[es_id],U14,IF(B$2="production",Tabel1342323[type],Tabel1342323[settlement_method]),AG$2,Tabel1342323[resolution],"PT1H")/4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0"/>
        <v>0</v>
      </c>
      <c r="K15" s="10" t="s">
        <v>103</v>
      </c>
      <c r="L15" s="10" t="s">
        <v>93</v>
      </c>
      <c r="M15" s="10" t="s">
        <v>94</v>
      </c>
      <c r="N15" s="10" t="s">
        <v>97</v>
      </c>
      <c r="O15" s="10" t="s">
        <v>95</v>
      </c>
      <c r="P15" s="29"/>
      <c r="Q15" s="29"/>
      <c r="R15" s="15" t="s">
        <v>75</v>
      </c>
      <c r="S15" s="26" t="str">
        <f>_xlfn.IFNA(INDEX(Tabel1342323[ga_id],MATCH(U15,Tabel1342323[es_id],0)),"")</f>
        <v/>
      </c>
      <c r="T15" s="26" t="str">
        <f>_xlfn.IFNA(INDEX(Tabel1342323[brp_id],MATCH(U15,Tabel1342323[es_id],0)),"")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 t="s">
        <v>98</v>
      </c>
      <c r="D16" s="10" t="s">
        <v>99</v>
      </c>
      <c r="E16" s="11"/>
      <c r="F16" s="12"/>
      <c r="G16" s="12"/>
      <c r="H16" s="41"/>
      <c r="I16" s="41"/>
      <c r="J16" s="43">
        <f t="shared" si="0"/>
        <v>0</v>
      </c>
      <c r="K16" s="10" t="s">
        <v>103</v>
      </c>
      <c r="L16" s="10" t="s">
        <v>101</v>
      </c>
      <c r="M16" s="10" t="s">
        <v>105</v>
      </c>
      <c r="N16" s="10" t="s">
        <v>102</v>
      </c>
      <c r="O16" s="10" t="s">
        <v>95</v>
      </c>
      <c r="P16" s="29"/>
      <c r="Q16" s="29"/>
      <c r="R16" s="15" t="s">
        <v>76</v>
      </c>
      <c r="S16" s="26" t="str">
        <f>_xlfn.IFNA(INDEX(Tabel1342323[ga_id],MATCH(U16,Tabel1342323[es_id],0)),"")</f>
        <v/>
      </c>
      <c r="T16" s="26" t="str">
        <f>_xlfn.IFNA(INDEX(Tabel1342323[brp_id],MATCH(U16,Tabel1342323[es_id],0)),"")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_xlfn.IFNA(INDEX(Tabel1342323[ga_id],MATCH(U17,Tabel1342323[es_id],0)),"")</f>
        <v/>
      </c>
      <c r="T17" s="26" t="str">
        <f>_xlfn.IFNA(INDEX(Tabel1342323[brp_id],MATCH(U17,Tabel1342323[es_id],0)),"")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_xlfn.IFNA(INDEX(Tabel1342323[ga_id],MATCH(U18,Tabel1342323[es_id],0)),"")</f>
        <v/>
      </c>
      <c r="T18" s="26" t="str">
        <f>_xlfn.IFNA(INDEX(Tabel1342323[brp_id],MATCH(U18,Tabel1342323[es_id],0)),"")</f>
        <v/>
      </c>
      <c r="U18" s="26" t="str">
        <f>IF(AE$4=0,"",AE$4)</f>
        <v/>
      </c>
      <c r="V18" s="20">
        <f>SUMIFS(Tabel1342323[TotalHour],Tabel1342323[es_id],U18,IF(B$2="production",Tabel1342323[type],Tabel1342323[settlement_method]),AG$2,Tabel1342323[resolution],"PT1H")/4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_xlfn.IFNA(INDEX(Tabel1342323[ga_id],MATCH(U19,Tabel1342323[es_id],0)),"")</f>
        <v/>
      </c>
      <c r="T19" s="26" t="str">
        <f>_xlfn.IFNA(INDEX(Tabel1342323[brp_id],MATCH(U19,Tabel1342323[es_id],0)),"")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4" t="str">
        <f>CONCATENATE(B2,"_per_",B1)</f>
        <v>production_per_ga_brp_es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_xlfn.IFNA(INDEX(Tabel1342323[ga_id],MATCH(U20,Tabel1342323[es_id],0)),"")</f>
        <v/>
      </c>
      <c r="T20" s="26" t="str">
        <f>_xlfn.IFNA(INDEX(Tabel1342323[brp_id],MATCH(U20,Tabel1342323[es_id],0)),"")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_xlfn.IFNA(INDEX(Tabel1342323[ga_id],MATCH(U21,Tabel1342323[es_id],0)),"")</f>
        <v/>
      </c>
      <c r="T21" s="26" t="str">
        <f>_xlfn.IFNA(INDEX(Tabel1342323[brp_id],MATCH(U21,Tabel1342323[es_id],0)),"")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/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>skmp</v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3000000000000</v>
      </c>
      <c r="G22" s="31" t="str">
        <f>IF(B$1="ga",IF(E22="","","null"),IF(B$1="ga_es",IF(F22="","","null"),IF(B$1="ga_brp",IF(AF$2=0,"",AF$2),IF(F22="","",INDEX(Tabel1342323[brp_id],MATCH(F22,Tabel1342323[es_id],0),1)))))</f>
        <v>2200000000000</v>
      </c>
      <c r="H22" s="33" t="str">
        <f t="shared" ref="H22:H45" ca="1" si="5">SUBSTITUTE(IF(E22="","",I22+J22+K22),",",".")</f>
        <v>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el1342323[es_id],IF(B$1="ga_brp",Tabel1342323[brp_id],Tabel1342323[ga_id])),IF(OR(B$1="ga_es",B$1="ga_brp_es"),F22,IF(B$1="ga_brp",G22,E22)),IF(B$2="production",Tabel1342323[type],Tabel1342323[settlement_method]),AG$2,Tabel1342323[resolution],"PT15M")</f>
        <v>0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_xlfn.IFNA(INDEX(Tabel1342323[ga_id],MATCH(U22,Tabel1342323[es_id],0)),"")</f>
        <v/>
      </c>
      <c r="T22" s="26" t="str">
        <f>_xlfn.IFNA(INDEX(Tabel1342323[brp_id],MATCH(U22,Tabel1342323[es_id],0)),"")</f>
        <v/>
      </c>
      <c r="U22" s="26" t="str">
        <f>IF(AE$5=0,"",AE$5)</f>
        <v/>
      </c>
      <c r="V22" s="20">
        <f>SUMIFS(Tabel1342323[TotalHour],Tabel1342323[es_id],U22,IF(B$2="production",Tabel1342323[type],Tabel1342323[settlement_method]),AG$2,Tabel1342323[resolution],"PT1H")/4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/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>skmp</v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3000000000000</v>
      </c>
      <c r="G23" s="31" t="str">
        <f>IF(B$1="ga",IF(E23="","","null"),IF(B$1="ga_es",IF(F23="","","null"),IF(B$1="ga_brp",IF(AF$2=0,"",AF$2),IF(F23="","",INDEX(Tabel1342323[brp_id],MATCH(F23,Tabel1342323[es_id],0),1)))))</f>
        <v>2200000000000</v>
      </c>
      <c r="H23" s="33" t="str">
        <f t="shared" ca="1" si="5"/>
        <v>0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el1342323[es_id],IF(B$1="ga_brp",Tabel1342323[brp_id],Tabel1342323[ga_id])),IF(OR(B$1="ga_es",B$1="ga_brp_es"),F23,IF(B$1="ga_brp",G23,E23)),IF(B$2="production",Tabel1342323[type],Tabel1342323[settlement_method]),AG$2,Tabel1342323[resolution],"PT15M")</f>
        <v>0</v>
      </c>
      <c r="K23" s="9">
        <f t="shared" si="6"/>
        <v>0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_xlfn.IFNA(INDEX(Tabel1342323[ga_id],MATCH(U23,Tabel1342323[es_id],0)),"")</f>
        <v/>
      </c>
      <c r="T23" s="26" t="str">
        <f>_xlfn.IFNA(INDEX(Tabel1342323[brp_id],MATCH(U23,Tabel1342323[es_id],0)),"")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/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>skmp</v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3000000000000</v>
      </c>
      <c r="G24" s="31" t="str">
        <f>IF(B$1="ga",IF(E24="","","null"),IF(B$1="ga_es",IF(F24="","","null"),IF(B$1="ga_brp",IF(AF$2=0,"",AF$2),IF(F24="","",INDEX(Tabel1342323[brp_id],MATCH(F24,Tabel1342323[es_id],0),1)))))</f>
        <v>2200000000000</v>
      </c>
      <c r="H24" s="33" t="str">
        <f t="shared" ca="1" si="5"/>
        <v>0</v>
      </c>
      <c r="I24" s="9">
        <f t="shared" si="8"/>
        <v>0</v>
      </c>
      <c r="J24" s="9">
        <f ca="1">SUMIFS(INDIRECT(ADDRESS(2,MATCH(D24,$1:$1,0),4,1)&amp;":"&amp;ADDRESS(19,MATCH(D24,$1:$1,0),4,1)),IF(OR(B$1="ga_es",B$1="ga_brp_es"),Tabel1342323[es_id],IF(B$1="ga_brp",Tabel1342323[brp_id],Tabel1342323[ga_id])),IF(OR(B$1="ga_es",B$1="ga_brp_es"),F24,IF(B$1="ga_brp",G24,E24)),IF(B$2="production",Tabel1342323[type],Tabel1342323[settlement_method]),AG$2,Tabel1342323[resolution],"PT15M")</f>
        <v>0</v>
      </c>
      <c r="K24" s="9">
        <f t="shared" si="6"/>
        <v>0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_xlfn.IFNA(INDEX(Tabel1342323[ga_id],MATCH(U24,Tabel1342323[es_id],0)),"")</f>
        <v/>
      </c>
      <c r="T24" s="26" t="str">
        <f>_xlfn.IFNA(INDEX(Tabel1342323[brp_id],MATCH(U24,Tabel1342323[es_id],0)),"")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_xlfn._xlws.SORT(_xlfn.UNIQUE(IFERROR(INDEX(_xlfn._xlws.FILTER(Tabel1342323[[type]:[brp_id]],(Tabel1342323[es_id]=AE6)*(Tabel1342323[settlement_method]="D01"),""),,6),"")))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/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>skmp</v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3000000000000</v>
      </c>
      <c r="G25" s="31" t="str">
        <f>IF(B$1="ga",IF(E25="","","null"),IF(B$1="ga_es",IF(F25="","","null"),IF(B$1="ga_brp",IF(AF$2=0,"",AF$2),IF(F25="","",INDEX(Tabel1342323[brp_id],MATCH(F25,Tabel1342323[es_id],0),1)))))</f>
        <v>2200000000000</v>
      </c>
      <c r="H25" s="33" t="str">
        <f t="shared" ca="1" si="5"/>
        <v>7.48</v>
      </c>
      <c r="I25" s="9">
        <f t="shared" si="8"/>
        <v>0</v>
      </c>
      <c r="J25" s="9">
        <f ca="1">SUMIFS(INDIRECT(ADDRESS(2,MATCH(D25,$1:$1,0),4,1)&amp;":"&amp;ADDRESS(19,MATCH(D25,$1:$1,0),4,1)),IF(OR(B$1="ga_es",B$1="ga_brp_es"),Tabel1342323[es_id],IF(B$1="ga_brp",Tabel1342323[brp_id],Tabel1342323[ga_id])),IF(OR(B$1="ga_es",B$1="ga_brp_es"),F25,IF(B$1="ga_brp",G25,E25)),IF(B$2="production",Tabel1342323[type],Tabel1342323[settlement_method]),AG$2,Tabel1342323[resolution],"PT15M")</f>
        <v>0</v>
      </c>
      <c r="K25" s="9">
        <f t="shared" si="6"/>
        <v>7.4799999999999995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_xlfn.IFNA(INDEX(Tabel1342323[ga_id],MATCH(U25,Tabel1342323[es_id],0)),"")</f>
        <v/>
      </c>
      <c r="T25" s="26" t="str">
        <f>_xlfn.IFNA(INDEX(Tabel1342323[brp_id],MATCH(U25,Tabel1342323[es_id],0)),"")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_xlfn._xlws.SORT(_xlfn.UNIQUE(IFERROR(INDEX(_xlfn._xlws.FILTER(Tabel1342323[[type]:[brp_id]],(Tabel1342323[es_id]=AE7)*(Tabel1342323[settlement_method]="D01"),""),,6),"")))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5" t="s">
        <v>74</v>
      </c>
      <c r="E26" s="31" t="str">
        <f t="shared" si="7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IF(B$1="ga",IF(E26="","","null"),IF(B$1="ga_es",IF(F26="","","null"),IF(B$1="ga_brp",IF(AF$3=0,"",AF$3),IF(F26="","",INDEX(Tabel1342323[brp_id],MATCH(F26,Tabel1342323[es_id],0),1)))))</f>
        <v/>
      </c>
      <c r="H26" s="33" t="str">
        <f t="shared" si="5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el1342323[es_id],IF(B$1="ga_brp",Tabel1342323[brp_id],Tabel1342323[ga_id])),IF(OR(B$1="ga_es",B$1="ga_brp_es"),F26,IF(B$1="ga_brp",G26,E26)),IF(B$2="production",Tabel1342323[type],Tabel1342323[settlement_method]),AG$2,Tabel1342323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_xlfn.IFNA(INDEX(Tabel1342323[ga_id],MATCH(U26,Tabel1342323[es_id],0)),"")</f>
        <v/>
      </c>
      <c r="T26" s="26" t="str">
        <f>_xlfn.IFNA(INDEX(Tabel1342323[brp_id],MATCH(U26,Tabel1342323[es_id],0)),"")</f>
        <v/>
      </c>
      <c r="U26" s="26" t="str">
        <f>IF(AE$6=0,"",AE$6)</f>
        <v/>
      </c>
      <c r="V26" s="20">
        <f>SUMIFS(Tabel1342323[TotalHour],Tabel1342323[es_id],U26,IF(B$2="production",Tabel1342323[type],Tabel1342323[settlement_method]),AG$2,Tabel1342323[resolution],"PT1H")/4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5" t="s">
        <v>75</v>
      </c>
      <c r="E27" s="31" t="str">
        <f t="shared" si="7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IF(B$1="ga",IF(E27="","","null"),IF(B$1="ga_es",IF(F27="","","null"),IF(B$1="ga_brp",IF(AF$3=0,"",AF$3),IF(F27="","",INDEX(Tabel1342323[brp_id],MATCH(F27,Tabel1342323[es_id],0),1)))))</f>
        <v/>
      </c>
      <c r="H27" s="33" t="str">
        <f t="shared" si="5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el1342323[es_id],IF(B$1="ga_brp",Tabel1342323[brp_id],Tabel1342323[ga_id])),IF(OR(B$1="ga_es",B$1="ga_brp_es"),F27,IF(B$1="ga_brp",G27,E27)),IF(B$2="production",Tabel1342323[type],Tabel1342323[settlement_method]),AG$2,Tabel1342323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_xlfn.IFNA(INDEX(Tabel1342323[ga_id],MATCH(U27,Tabel1342323[es_id],0)),"")</f>
        <v/>
      </c>
      <c r="T27" s="26" t="str">
        <f>_xlfn.IFNA(INDEX(Tabel1342323[brp_id],MATCH(U27,Tabel1342323[es_id],0)),"")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5" t="s">
        <v>76</v>
      </c>
      <c r="E28" s="31" t="str">
        <f t="shared" si="7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IF(B$1="ga",IF(E28="","","null"),IF(B$1="ga_es",IF(F28="","","null"),IF(B$1="ga_brp",IF(AF$3=0,"",AF$3),IF(F28="","",INDEX(Tabel1342323[brp_id],MATCH(F28,Tabel1342323[es_id],0),1)))))</f>
        <v/>
      </c>
      <c r="H28" s="33" t="str">
        <f t="shared" si="5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el1342323[es_id],IF(B$1="ga_brp",Tabel1342323[brp_id],Tabel1342323[ga_id])),IF(OR(B$1="ga_es",B$1="ga_brp_es"),F28,IF(B$1="ga_brp",G28,E28)),IF(B$2="production",Tabel1342323[type],Tabel1342323[settlement_method]),AG$2,Tabel1342323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_xlfn.IFNA(INDEX(Tabel1342323[ga_id],MATCH(U28,Tabel1342323[es_id],0)),"")</f>
        <v/>
      </c>
      <c r="T28" s="26" t="str">
        <f>_xlfn.IFNA(INDEX(Tabel1342323[brp_id],MATCH(U28,Tabel1342323[es_id],0)),"")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IFERROR(IF($B$2="production",INDEX(_xlfn._xlws.FILTER(Tabel1342323[[type]:[brp_id]],(Tabel1342323[es_id]=AE13)*(Tabel1342323[type]="E18"),""),,9),INDEX(_xlfn._xlws.FILTER(Tabel1342323[[type]:[brp_id]],(Tabel1342323[es_id]=AE13)*(Tabel1342323[settlement_method]=AG$2),""),,9)),"")</f>
        <v/>
      </c>
      <c r="AF28" s="36" t="str" cm="1">
        <f t="array" ref="AF28">IFERROR(IF($B$2="production",_xlfn.UNIQUE(INDEX(_xlfn._xlws.FILTER(Tabel1342323[[type]:[brp_id]],(Tabel1342323[brp_id]=AF13)*(Tabel1342323[type]=$AG$2),""),,10)),_xlfn.UNIQUE(INDEX(_xlfn._xlws.FILTER(Tabel1342323[[type]:[brp_id]],(Tabel1342323[brp_id]=AF13)*(Tabel1342323[settlement_method]=AG$2),""),,10))),"")</f>
        <v/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5" t="s">
        <v>77</v>
      </c>
      <c r="E29" s="31" t="str">
        <f t="shared" si="7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IF(B$1="ga",IF(E29="","","null"),IF(B$1="ga_es",IF(F29="","","null"),IF(B$1="ga_brp",IF(AF$3=0,"",AF$3),IF(F29="","",INDEX(Tabel1342323[brp_id],MATCH(F29,Tabel1342323[es_id],0),1)))))</f>
        <v/>
      </c>
      <c r="H29" s="33" t="str">
        <f t="shared" si="5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el1342323[es_id],IF(B$1="ga_brp",Tabel1342323[brp_id],Tabel1342323[ga_id])),IF(OR(B$1="ga_es",B$1="ga_brp_es"),F29,IF(B$1="ga_brp",G29,E29)),IF(B$2="production",Tabel1342323[type],Tabel1342323[settlement_method]),AG$2,Tabel1342323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_xlfn.IFNA(INDEX(Tabel1342323[ga_id],MATCH(U29,Tabel1342323[es_id],0)),"")</f>
        <v/>
      </c>
      <c r="T29" s="26" t="str">
        <f>_xlfn.IFNA(INDEX(Tabel1342323[brp_id],MATCH(U29,Tabel1342323[es_id],0)),"")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F29" s="36" t="str" cm="1">
        <f t="array" ref="AF29">IFERROR(IF($B$2="production",_xlfn.UNIQUE(INDEX(_xlfn._xlws.FILTER(Tabel1342323[[type]:[brp_id]],(Tabel1342323[brp_id]=AF14)*(Tabel1342323[type]=$AG$2),""),,10)),_xlfn.UNIQUE(INDEX(_xlfn._xlws.FILTER(Tabel1342323[[type]:[brp_id]],(Tabel1342323[brp_id]=AF14)*(Tabel1342323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5" t="s">
        <v>74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IF(B$1="ga",IF(E30="","","null"),IF(B$1="ga_es",IF(F30="","","null"),IF(B$1="ga_brp",IF(AF$4=0,"",AF$4),IF(F30="","",INDEX(Tabel1342323[brp_id],MATCH(F30,Tabel1342323[es_id],0),1)))))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el1342323[es_id],IF(B$1="ga_brp",Tabel1342323[brp_id],Tabel1342323[ga_id])),IF(OR(B$1="ga_es",B$1="ga_brp_es"),F30,IF(B$1="ga_brp",G30,E30)),IF(B$2="production",Tabel1342323[type],Tabel1342323[settlement_method]),AG$2,Tabel1342323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_xlfn.IFNA(INDEX(Tabel1342323[ga_id],MATCH(U30,Tabel1342323[es_id],0)),"")</f>
        <v/>
      </c>
      <c r="T30" s="26" t="str">
        <f>_xlfn.IFNA(INDEX(Tabel1342323[brp_id],MATCH(U30,Tabel1342323[es_id],0)),"")</f>
        <v/>
      </c>
      <c r="U30" s="26" t="str">
        <f>IF(AE$7=0,"",AE$7)</f>
        <v/>
      </c>
      <c r="V30" s="20">
        <f>SUMIFS(Tabel1342323[TotalHour],Tabel1342323[es_id],U30,IF(B$2="production",Tabel1342323[type],Tabel1342323[settlement_method]),AG$2,Tabel1342323[resolution],"PT1H")/4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el1342323[[type]:[brp_id]],(Tabel1342323[es_id]=AE14)*(Tabel1342323[type]="E18"),""),,9)),_xlfn.UNIQUE(INDEX(_xlfn._xlws.FILTER(Tabel1342323[[type]:[brp_id]],(Tabel1342323[es_id]=AE14)*(Tabel1342323[settlement_method]=AG$2),""),,9))),"")</f>
        <v/>
      </c>
      <c r="AF30" s="36" t="str" cm="1">
        <f t="array" ref="AF30">IFERROR(IF($B$2="production",_xlfn.UNIQUE(INDEX(_xlfn._xlws.FILTER(Tabel1342323[[type]:[brp_id]],(Tabel1342323[brp_id]=AF15)*(Tabel1342323[type]=$AG$2),""),,10)),_xlfn.UNIQUE(INDEX(_xlfn._xlws.FILTER(Tabel1342323[[type]:[brp_id]],(Tabel1342323[brp_id]=AF15)*(Tabel1342323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5" t="s">
        <v>75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IF(B$1="ga",IF(E31="","","null"),IF(B$1="ga_es",IF(F31="","","null"),IF(B$1="ga_brp",IF(AF$4=0,"",AF$4),IF(F31="","",INDEX(Tabel1342323[brp_id],MATCH(F31,Tabel1342323[es_id],0),1)))))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el1342323[es_id],IF(B$1="ga_brp",Tabel1342323[brp_id],Tabel1342323[ga_id])),IF(OR(B$1="ga_es",B$1="ga_brp_es"),F31,IF(B$1="ga_brp",G31,E31)),IF(B$2="production",Tabel1342323[type],Tabel1342323[settlement_method]),AG$2,Tabel1342323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_xlfn.IFNA(INDEX(Tabel1342323[ga_id],MATCH(U31,Tabel1342323[es_id],0)),"")</f>
        <v/>
      </c>
      <c r="T31" s="26" t="str">
        <f>_xlfn.IFNA(INDEX(Tabel1342323[brp_id],MATCH(U31,Tabel1342323[es_id],0)),"")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el1342323[[type]:[brp_id]],(Tabel1342323[es_id]=AE15)*(Tabel1342323[type]="E18"),""),,9)),_xlfn.UNIQUE(INDEX(_xlfn._xlws.FILTER(Tabel1342323[[type]:[brp_id]],(Tabel1342323[es_id]=AE15)*(Tabel1342323[settlement_method]=AG$2),""),,9))),"")</f>
        <v>3000000000000</v>
      </c>
      <c r="AF31" s="36" t="str" cm="1">
        <f t="array" ref="AF31">IFERROR(IF($B$2="production",_xlfn.UNIQUE(INDEX(_xlfn._xlws.FILTER(Tabel1342323[[type]:[brp_id]],(Tabel1342323[brp_id]=AF16)*(Tabel1342323[type]=$AG$2),""),,10)),_xlfn.UNIQUE(INDEX(_xlfn._xlws.FILTER(Tabel1342323[[type]:[brp_id]],(Tabel1342323[brp_id]=AF16)*(Tabel1342323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5" t="s">
        <v>76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IF(B$1="ga",IF(E32="","","null"),IF(B$1="ga_es",IF(F32="","","null"),IF(B$1="ga_brp",IF(AF$4=0,"",AF$4),IF(F32="","",INDEX(Tabel1342323[brp_id],MATCH(F32,Tabel1342323[es_id],0),1)))))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el1342323[es_id],IF(B$1="ga_brp",Tabel1342323[brp_id],Tabel1342323[ga_id])),IF(OR(B$1="ga_es",B$1="ga_brp_es"),F32,IF(B$1="ga_brp",G32,E32)),IF(B$2="production",Tabel1342323[type],Tabel1342323[settlement_method]),AG$2,Tabel1342323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_xlfn.IFNA(INDEX(Tabel1342323[ga_id],MATCH(U32,Tabel1342323[es_id],0)),"")</f>
        <v/>
      </c>
      <c r="T32" s="26" t="str">
        <f>_xlfn.IFNA(INDEX(Tabel1342323[brp_id],MATCH(U32,Tabel1342323[es_id],0)),"")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el1342323[[type]:[brp_id]],(Tabel1342323[es_id]=AE16)*(Tabel1342323[type]="E18"),""),,9)),_xlfn.UNIQUE(INDEX(_xlfn._xlws.FILTER(Tabel1342323[[type]:[brp_id]],(Tabel1342323[es_id]=AE16)*(Tabel1342323[settlement_method]=AG$2),""),,9))),"")</f>
        <v/>
      </c>
      <c r="AF32" s="36" t="str" cm="1">
        <f t="array" ref="AF32">IFERROR(IF($B$2="production",_xlfn.UNIQUE(INDEX(_xlfn._xlws.FILTER(Tabel1342323[[type]:[brp_id]],(Tabel1342323[brp_id]=AF17)*(Tabel1342323[type]=$AG$2),""),,10)),_xlfn.UNIQUE(INDEX(_xlfn._xlws.FILTER(Tabel1342323[[type]:[brp_id]],(Tabel1342323[brp_id]=AF17)*(Tabel1342323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5" t="s">
        <v>77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IF(B$1="ga",IF(E33="","","null"),IF(B$1="ga_es",IF(F33="","","null"),IF(B$1="ga_brp",IF(AF$4=0,"",AF$4),IF(F33="","",INDEX(Tabel1342323[brp_id],MATCH(F33,Tabel1342323[es_id],0),1)))))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el1342323[es_id],IF(B$1="ga_brp",Tabel1342323[brp_id],Tabel1342323[ga_id])),IF(OR(B$1="ga_es",B$1="ga_brp_es"),F33,IF(B$1="ga_brp",G33,E33)),IF(B$2="production",Tabel1342323[type],Tabel1342323[settlement_method]),AG$2,Tabel1342323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_xlfn.IFNA(INDEX(Tabel1342323[ga_id],MATCH(U33,Tabel1342323[es_id],0)),"")</f>
        <v/>
      </c>
      <c r="T33" s="26" t="str">
        <f>_xlfn.IFNA(INDEX(Tabel1342323[brp_id],MATCH(U33,Tabel1342323[es_id],0)),"")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el1342323[[type]:[brp_id]],(Tabel1342323[es_id]=AE17)*(Tabel1342323[type]="E18"),""),,9)),_xlfn.UNIQUE(INDEX(_xlfn._xlws.FILTER(Tabel1342323[[type]:[brp_id]],(Tabel1342323[es_id]=AE17)*(Tabel1342323[settlement_method]=AG$2),""),,9))),"")</f>
        <v/>
      </c>
      <c r="AF33" s="36" t="str" cm="1">
        <f t="array" ref="AF33">IFERROR(IF($B$2="production",_xlfn.UNIQUE(INDEX(_xlfn._xlws.FILTER(Tabel1342323[[type]:[brp_id]],(Tabel1342323[brp_id]=AF18)*(Tabel1342323[type]=$AG$2),""),,10)),_xlfn.UNIQUE(INDEX(_xlfn._xlws.FILTER(Tabel1342323[[type]:[brp_id]],(Tabel1342323[brp_id]=AF18)*(Tabel1342323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IF(B$1="ga",IF(E34="","","null"),IF(B$1="ga_es",IF(F34="","","null"),IF(B$1="ga_brp",IF(AF$5=0,"",AF$5),IF(F34="","",INDEX(Tabel1342323[brp_id],MATCH(F34,Tabel1342323[es_id],0),1)))))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el1342323[es_id],IF(B$1="ga_brp",Tabel1342323[brp_id],Tabel1342323[ga_id])),IF(OR(B$1="ga_es",B$1="ga_brp_es"),F34,IF(B$1="ga_brp",G34,E34)),IF(B$2="production",Tabel1342323[type],Tabel1342323[settlement_method]),AG$2,Tabel1342323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el1342323[[type]:[brp_id]],(Tabel1342323[es_id]=AE18)*(Tabel1342323[type]="E18"),""),,9)),_xlfn.UNIQUE(INDEX(_xlfn._xlws.FILTER(Tabel1342323[[type]:[brp_id]],(Tabel1342323[es_id]=AE18)*(Tabel1342323[settlement_method]=AG$2),""),,9))),"")</f>
        <v/>
      </c>
      <c r="AF34" s="36" t="str" cm="1">
        <f t="array" ref="AF34">IFERROR(IF($B$2="production",_xlfn.UNIQUE(INDEX(_xlfn._xlws.FILTER(Tabel1342323[[type]:[brp_id]],(Tabel1342323[brp_id]=AF19)*(Tabel1342323[type]=$AG$2),""),,10)),_xlfn.UNIQUE(INDEX(_xlfn._xlws.FILTER(Tabel1342323[[type]:[brp_id]],(Tabel1342323[brp_id]=AF19)*(Tabel1342323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IF(B$1="ga",IF(E35="","","null"),IF(B$1="ga_es",IF(F35="","","null"),IF(B$1="ga_brp",IF(AF$5=0,"",AF$5),IF(F35="","",INDEX(Tabel1342323[brp_id],MATCH(F35,Tabel1342323[es_id],0),1)))))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el1342323[es_id],IF(B$1="ga_brp",Tabel1342323[brp_id],Tabel1342323[ga_id])),IF(OR(B$1="ga_es",B$1="ga_brp_es"),F35,IF(B$1="ga_brp",G35,E35)),IF(B$2="production",Tabel1342323[type],Tabel1342323[settlement_method]),AG$2,Tabel1342323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SUMIFS(Tabel1342323[TotalHour],Tabel1342323[settlement_method],"D01",Tabel1342323[resolution],"PT1H")</f>
        <v>0</v>
      </c>
      <c r="W35" s="16" t="s">
        <v>49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 t="str" cm="1">
        <f t="array" ref="AE35">IFERROR(IF($B$2="production",_xlfn.UNIQUE(INDEX(_xlfn._xlws.FILTER(Tabel1342323[[type]:[brp_id]],(Tabel1342323[es_id]=AE19)*(Tabel1342323[type]="E18"),""),,9)),_xlfn.UNIQUE(INDEX(_xlfn._xlws.FILTER(Tabel1342323[[type]:[brp_id]],(Tabel1342323[es_id]=AE19)*(Tabel1342323[settlement_method]=AG$2),""),,9))),"")</f>
        <v/>
      </c>
      <c r="AF35" s="36" t="str" cm="1">
        <f t="array" ref="AF35">IFERROR(IF($B$2="production",_xlfn.UNIQUE(INDEX(_xlfn._xlws.FILTER(Tabel1342323[[type]:[brp_id]],(Tabel1342323[brp_id]=AF20)*(Tabel1342323[type]=$AG$2),""),,10)),_xlfn.UNIQUE(INDEX(_xlfn._xlws.FILTER(Tabel1342323[[type]:[brp_id]],(Tabel1342323[brp_id]=AF20)*(Tabel1342323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IF(B$1="ga",IF(E36="","","null"),IF(B$1="ga_es",IF(F36="","","null"),IF(B$1="ga_brp",IF(AF$5=0,"",AF$5),IF(F36="","",INDEX(Tabel1342323[brp_id],MATCH(F36,Tabel1342323[es_id],0),1)))))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el1342323[es_id],IF(B$1="ga_brp",Tabel1342323[brp_id],Tabel1342323[ga_id])),IF(OR(B$1="ga_es",B$1="ga_brp_es"),F36,IF(B$1="ga_brp",G36,E36)),IF(B$2="production",Tabel1342323[type],Tabel1342323[settlement_method]),AG$2,Tabel1342323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SUMIFS(Tabel1342323[TotalHour],Tabel1342323[settlement_method],"D01",Tabel1342323[resolution],"PT1H")/4</f>
        <v>0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el1342323[[type]:[brp_id]],(Tabel1342323[es_id]=AE20)*(Tabel1342323[type]="E18"),""),,9)),_xlfn.UNIQUE(INDEX(_xlfn._xlws.FILTER(Tabel1342323[[type]:[brp_id]],(Tabel1342323[es_id]=AE20)*(Tabel1342323[settlement_method]=AG$2),""),,9))),"")</f>
        <v/>
      </c>
      <c r="AF36" s="36" t="str" cm="1">
        <f t="array" ref="AF36">IFERROR(IF($B$2="production",_xlfn.UNIQUE(INDEX(_xlfn._xlws.FILTER(Tabel1342323[[type]:[brp_id]],(Tabel1342323[brp_id]=AF21)*(Tabel1342323[type]=$AG$2),""),,10)),_xlfn.UNIQUE(INDEX(_xlfn._xlws.FILTER(Tabel1342323[[type]:[brp_id]],(Tabel1342323[brp_id]=AF21)*(Tabel1342323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IF(B$1="ga",IF(E37="","","null"),IF(B$1="ga_es",IF(F37="","","null"),IF(B$1="ga_brp",IF(AF$5=0,"",AF$5),IF(F37="","",INDEX(Tabel1342323[brp_id],MATCH(F37,Tabel1342323[es_id],0),1)))))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el1342323[es_id],IF(B$1="ga_brp",Tabel1342323[brp_id],Tabel1342323[ga_id])),IF(OR(B$1="ga_es",B$1="ga_brp_es"),F37,IF(B$1="ga_brp",G37,E37)),IF(B$2="production",Tabel1342323[type],Tabel1342323[settlement_method]),AG$2,Tabel1342323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 t="str" cm="1">
        <f t="array" ref="AE37">IFERROR(IF($B$2="production",_xlfn.UNIQUE(INDEX(_xlfn._xlws.FILTER(Tabel1342323[[type]:[brp_id]],(Tabel1342323[es_id]=AE21)*(Tabel1342323[type]="E18"),""),,9)),_xlfn.UNIQUE(INDEX(_xlfn._xlws.FILTER(Tabel1342323[[type]:[brp_id]],(Tabel1342323[es_id]=AE21)*(Tabel1342323[settlement_method]=AG$2),""),,9))),"")</f>
        <v/>
      </c>
      <c r="AF37" s="36" t="str" cm="1">
        <f t="array" ref="AF37">IFERROR(IF($B$2="production",_xlfn.UNIQUE(INDEX(_xlfn._xlws.FILTER(Tabel1342323[[type]:[brp_id]],(Tabel1342323[brp_id]=AF22)*(Tabel1342323[type]=$AG$2),""),,10)),_xlfn.UNIQUE(INDEX(_xlfn._xlws.FILTER(Tabel1342323[[type]:[brp_id]],(Tabel1342323[brp_id]=AF22)*(Tabel1342323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IF(B$1="ga",IF(E38="","","null"),IF(B$1="ga_es",IF(F38="","","null"),IF(B$1="ga_brp",IF(AF$5=0,"",AF$5),IF(F38="","",INDEX(Tabel1342323[brp_id],MATCH(F38,Tabel1342323[es_id],0),1)))))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el1342323[es_id],IF(B$1="ga_brp",Tabel1342323[brp_id],Tabel1342323[ga_id])),IF(OR(B$1="ga_es",B$1="ga_brp_es"),F38,IF(B$1="ga_brp",G38,E38)),IF(B$2="production",Tabel1342323[type],Tabel1342323[settlement_method]),AG$2,Tabel1342323[resolution],"PT15M")</f>
        <v>0</v>
      </c>
      <c r="K38" s="9">
        <f t="shared" si="6"/>
        <v>0</v>
      </c>
      <c r="R38" s="24"/>
      <c r="S38" s="24"/>
      <c r="T38" s="24"/>
      <c r="U38" s="15" t="s">
        <v>55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 t="str" cm="1">
        <f t="array" ref="AE38">IFERROR(IF($B$2="production",_xlfn.UNIQUE(INDEX(_xlfn._xlws.FILTER(Tabel1342323[[type]:[brp_id]],(Tabel1342323[es_id]=AE22)*(Tabel1342323[type]="E18"),""),,9)),_xlfn.UNIQUE(INDEX(_xlfn._xlws.FILTER(Tabel1342323[[type]:[brp_id]],(Tabel1342323[es_id]=AE22)*(Tabel1342323[settlement_method]=AG$2),""),,9))),"")</f>
        <v/>
      </c>
      <c r="AF38" s="36" t="str" cm="1">
        <f t="array" ref="AF38">IFERROR(IF($B$2="production",_xlfn.UNIQUE(INDEX(_xlfn._xlws.FILTER(Tabel1342323[[type]:[brp_id]],(Tabel1342323[brp_id]=AF23)*(Tabel1342323[type]=$AG$2),""),,10)),_xlfn.UNIQUE(INDEX(_xlfn._xlws.FILTER(Tabel1342323[[type]:[brp_id]],(Tabel1342323[brp_id]=AF23)*(Tabel1342323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IF(B$1="ga",IF(E39="","","null"),IF(B$1="ga_es",IF(F39="","","null"),IF(B$1="ga_brp",IF(AF$5=0,"",AF$5),IF(F39="","",INDEX(Tabel1342323[brp_id],MATCH(F39,Tabel1342323[es_id],0),1)))))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el1342323[es_id],IF(B$1="ga_brp",Tabel1342323[brp_id],Tabel1342323[ga_id])),IF(OR(B$1="ga_es",B$1="ga_brp_es"),F39,IF(B$1="ga_brp",G39,E39)),IF(B$2="production",Tabel1342323[type],Tabel1342323[settlement_method]),AG$2,Tabel1342323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 t="str" cm="1">
        <f t="array" ref="AE39">IFERROR(IF($B$2="production",_xlfn.UNIQUE(INDEX(_xlfn._xlws.FILTER(Tabel1342323[[type]:[brp_id]],(Tabel1342323[es_id]=AE23)*(Tabel1342323[type]="E18"),""),,9)),_xlfn.UNIQUE(INDEX(_xlfn._xlws.FILTER(Tabel1342323[[type]:[brp_id]],(Tabel1342323[es_id]=AE23)*(Tabel1342323[settlement_method]=AG$2),""),,9))),"")</f>
        <v/>
      </c>
      <c r="AF39" s="36" t="str" cm="1">
        <f t="array" ref="AF39">IFERROR(IF($B$2="production",_xlfn.UNIQUE(INDEX(_xlfn._xlws.FILTER(Tabel1342323[[type]:[brp_id]],(Tabel1342323[brp_id]=AF24)*(Tabel1342323[type]=$AG$2),""),,10)),_xlfn.UNIQUE(INDEX(_xlfn._xlws.FILTER(Tabel1342323[[type]:[brp_id]],(Tabel1342323[brp_id]=AF24)*(Tabel1342323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IF(B$1="ga",IF(E40="","","null"),IF(B$1="ga_es",IF(F40="","","null"),IF(B$1="ga_brp",IF(AF$5=0,"",AF$5),IF(F40="","",INDEX(Tabel1342323[brp_id],MATCH(F40,Tabel1342323[es_id],0),1)))))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el1342323[es_id],IF(B$1="ga_brp",Tabel1342323[brp_id],Tabel1342323[ga_id])),IF(OR(B$1="ga_es",B$1="ga_brp_es"),F40,IF(B$1="ga_brp",G40,E40)),IF(B$2="production",Tabel1342323[type],Tabel1342323[settlement_method]),AG$2,Tabel1342323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 t="str" cm="1">
        <f t="array" ref="AE40">IFERROR(IF($B$2="production",_xlfn.UNIQUE(INDEX(_xlfn._xlws.FILTER(Tabel1342323[[type]:[brp_id]],(Tabel1342323[es_id]=AE24)*(Tabel1342323[type]="E18"),""),,9)),_xlfn.UNIQUE(INDEX(_xlfn._xlws.FILTER(Tabel1342323[[type]:[brp_id]],(Tabel1342323[es_id]=AE24)*(Tabel1342323[settlement_method]=AG$2),""),,9))),"")</f>
        <v/>
      </c>
      <c r="AF40" s="36" t="str" cm="1">
        <f t="array" ref="AF40">IFERROR(IF($B$2="production",_xlfn.UNIQUE(INDEX(_xlfn._xlws.FILTER(Tabel1342323[[type]:[brp_id]],(Tabel1342323[brp_id]=AF25)*(Tabel1342323[type]=$AG$2),""),,10)),_xlfn.UNIQUE(INDEX(_xlfn._xlws.FILTER(Tabel1342323[[type]:[brp_id]],(Tabel1342323[brp_id]=AF25)*(Tabel1342323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IF(B$1="ga",IF(E41="","","null"),IF(B$1="ga_es",IF(F41="","","null"),IF(B$1="ga_brp",IF(AF$5=0,"",AF$5),IF(F41="","",INDEX(Tabel1342323[brp_id],MATCH(F41,Tabel1342323[es_id],0),1)))))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el1342323[es_id],IF(B$1="ga_brp",Tabel1342323[brp_id],Tabel1342323[ga_id])),IF(OR(B$1="ga_es",B$1="ga_brp_es"),F41,IF(B$1="ga_brp",G41,E41)),IF(B$2="production",Tabel1342323[type],Tabel1342323[settlement_method]),AG$2,Tabel1342323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SUMIFS(Tabel1342323[TotalHour],Tabel1342323[type],"E18",Tabel1342323[resolution],"PT1H")</f>
        <v>0</v>
      </c>
      <c r="W41" s="39" t="s">
        <v>49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el1342323[[type]:[brp_id]],(Tabel1342323[es_id]=AE25)*(Tabel1342323[type]="E18"),""),,9)),_xlfn.UNIQUE(INDEX(_xlfn._xlws.FILTER(Tabel1342323[[type]:[brp_id]],(Tabel1342323[es_id]=AE25)*(Tabel1342323[settlement_method]=AG$2),""),,9))),"")</f>
        <v/>
      </c>
      <c r="AF41" s="36" t="str" cm="1">
        <f t="array" ref="AF41">IFERROR(IF($B$2="production",_xlfn.UNIQUE(INDEX(_xlfn._xlws.FILTER(Tabel1342323[[type]:[brp_id]],(Tabel1342323[brp_id]=AF26)*(Tabel1342323[type]=$AG$2),""),,10)),_xlfn.UNIQUE(INDEX(_xlfn._xlws.FILTER(Tabel1342323[[type]:[brp_id]],(Tabel1342323[brp_id]=AF26)*(Tabel1342323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IF(B$1="ga",IF(E42="","","null"),IF(B$1="ga_es",IF(F42="","","null"),IF(B$1="ga_brp",IF(AF$5=0,"",AF$5),IF(F42="","",INDEX(Tabel1342323[brp_id],MATCH(F42,Tabel1342323[es_id],0),1)))))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el1342323[es_id],IF(B$1="ga_brp",Tabel1342323[brp_id],Tabel1342323[ga_id])),IF(OR(B$1="ga_es",B$1="ga_brp_es"),F42,IF(B$1="ga_brp",G42,E42)),IF(B$2="production",Tabel1342323[type],Tabel1342323[settlement_method]),AG$2,Tabel1342323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SUMIFS(Tabel1342323[TotalHour],Tabel1342323[type],"E18",Tabel1342323[resolution],"PT1H")/4</f>
        <v>0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el1342323[[type]:[brp_id]],(Tabel1342323[es_id]=AE26)*(Tabel1342323[type]="E18"),""),,9)),_xlfn.UNIQUE(INDEX(_xlfn._xlws.FILTER(Tabel1342323[[type]:[brp_id]],(Tabel1342323[es_id]=AE26)*(Tabel1342323[settlement_method]=AG$2),""),,9))),"")</f>
        <v/>
      </c>
      <c r="AF42" s="36" t="str" cm="1">
        <f t="array" ref="AF42">IFERROR(IF($B$2="production",_xlfn.UNIQUE(INDEX(_xlfn._xlws.FILTER(Tabel1342323[[type]:[brp_id]],(Tabel1342323[brp_id]=AF27)*(Tabel1342323[type]=$AG$2),""),,10)),_xlfn.UNIQUE(INDEX(_xlfn._xlws.FILTER(Tabel1342323[[type]:[brp_id]],(Tabel1342323[brp_id]=AF27)*(Tabel1342323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IF(B$1="ga",IF(E43="","","null"),IF(B$1="ga_es",IF(F43="","","null"),IF(B$1="ga_brp",IF(AF$5=0,"",AF$5),IF(F43="","",INDEX(Tabel1342323[brp_id],MATCH(F43,Tabel1342323[es_id],0),1)))))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el1342323[es_id],IF(B$1="ga_brp",Tabel1342323[brp_id],Tabel1342323[ga_id])),IF(OR(B$1="ga_es",B$1="ga_brp_es"),F43,IF(B$1="ga_brp",G43,E43)),IF(B$2="production",Tabel1342323[type],Tabel1342323[settlement_method]),AG$2,Tabel1342323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 t="str" cm="1">
        <f t="array" ref="AE43">IFERROR(IF($B$2="production",_xlfn.UNIQUE(INDEX(_xlfn._xlws.FILTER(Tabel1342323[[type]:[brp_id]],(Tabel1342323[es_id]=AE27)*(Tabel1342323[type]="E18"),""),,9)),_xlfn.UNIQUE(INDEX(_xlfn._xlws.FILTER(Tabel1342323[[type]:[brp_id]],(Tabel1342323[es_id]=AE27)*(Tabel1342323[settlement_method]=AG$2),""),,9))),"")</f>
        <v/>
      </c>
      <c r="AF43" s="36" t="str" cm="1">
        <f t="array" ref="AF43">IFERROR(IF($B$2="production",_xlfn.UNIQUE(INDEX(_xlfn._xlws.FILTER(Tabel1342323[[type]:[brp_id]],(Tabel1342323[brp_id]=AF28)*(Tabel1342323[type]=$AG$2),""),,10)),_xlfn.UNIQUE(INDEX(_xlfn._xlws.FILTER(Tabel1342323[[type]:[brp_id]],(Tabel1342323[brp_id]=AF28)*(Tabel1342323[settlement_method]=AG$2),""),,10))),"")</f>
        <v/>
      </c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IF(B$1="ga",IF(E44="","","null"),IF(B$1="ga_es",IF(F44="","","null"),IF(B$1="ga_brp",IF(AF$5=0,"",AF$5),IF(F44="","",INDEX(Tabel1342323[brp_id],MATCH(F44,Tabel1342323[es_id],0),1)))))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el1342323[es_id],IF(B$1="ga_brp",Tabel1342323[brp_id],Tabel1342323[ga_id])),IF(OR(B$1="ga_es",B$1="ga_brp_es"),F44,IF(B$1="ga_brp",G44,E44)),IF(B$2="production",Tabel1342323[type],Tabel1342323[settlement_method]),AG$2,Tabel1342323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IF(B$1="ga",IF(E45="","","null"),IF(B$1="ga_es",IF(F45="","","null"),IF(B$1="ga_brp",IF(AF$5=0,"",AF$5),IF(F45="","",INDEX(Tabel1342323[brp_id],MATCH(F45,Tabel1342323[es_id],0),1)))))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el1342323[es_id],IF(B$1="ga_brp",Tabel1342323[brp_id],Tabel1342323[ga_id])),IF(OR(B$1="ga_es",B$1="ga_brp_es"),F45,IF(B$1="ga_brp",G45,E45)),IF(B$2="production",Tabel1342323[type],Tabel1342323[settlement_method]),AG$2,Tabel1342323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4" t="s">
        <v>34</v>
      </c>
      <c r="F46" s="44"/>
      <c r="G46" s="44"/>
      <c r="H46" s="44"/>
      <c r="J46" s="2"/>
      <c r="R46" s="24"/>
      <c r="S46" s="24"/>
      <c r="T46" s="24"/>
      <c r="U46" s="15" t="s">
        <v>53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SUMIFS(Tabel1342323[TotalHour],Tabel1342323[settlement_method],"E02",Tabel1342323[resolution],"PT1H")</f>
        <v>8.8070000000000004</v>
      </c>
      <c r="W47" s="39" t="s">
        <v>49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9.7220000000000013</v>
      </c>
      <c r="I48" s="2" t="str">
        <f>SUBSTITUTE(H48,",",".")</f>
        <v>9.722</v>
      </c>
      <c r="R48" s="24"/>
      <c r="S48" s="24"/>
      <c r="T48" s="24"/>
      <c r="U48" s="7" t="s">
        <v>44</v>
      </c>
      <c r="V48" s="9">
        <f>SUMIFS(Tabel1342323[TotalHour],Tabel1342323[settlement_method],"E02",Tabel1342323[resolution],"PT1H")/4</f>
        <v>2.2017500000000001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4.7210000000000001</v>
      </c>
      <c r="I49" s="2" t="str">
        <f t="shared" ref="I49:I51" si="13">SUBSTITUTE(H49,",",".")</f>
        <v>4.721</v>
      </c>
      <c r="R49" s="24"/>
      <c r="S49" s="24"/>
      <c r="T49" s="24"/>
      <c r="U49" s="15" t="s">
        <v>58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4.7210000000000001</v>
      </c>
      <c r="I50" s="2" t="str">
        <f t="shared" si="13"/>
        <v>4.721</v>
      </c>
      <c r="R50" s="24"/>
      <c r="S50" s="24"/>
      <c r="T50" s="24"/>
      <c r="U50" s="15" t="s">
        <v>59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4.7220000000000004</v>
      </c>
      <c r="I51" s="2" t="str">
        <f t="shared" si="13"/>
        <v>4.722</v>
      </c>
      <c r="R51" s="24"/>
      <c r="S51" s="24"/>
      <c r="T51" s="24"/>
      <c r="U51" s="15" t="s">
        <v>60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ROUND(SUMIFS(Tabel1342323[TotalHour],Tabel1342323[type],"E20",Tabel1342323[resolution],"PT1H",Tabel1342323[to_ga],$AD$2),3)</f>
        <v>20.003</v>
      </c>
      <c r="W53" s="39" t="s">
        <v>49</v>
      </c>
      <c r="X53" s="40"/>
      <c r="Y53" s="28">
        <f>ROUND(SUM(Y55:Y58),3)</f>
        <v>20.003</v>
      </c>
      <c r="Z53" s="21">
        <f>SUM(Z55:Z58)</f>
        <v>20.004000000000001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0</v>
      </c>
      <c r="I54" s="2" t="str">
        <f>SUBSTITUTE(H54,",",".")</f>
        <v>0</v>
      </c>
      <c r="R54" s="24"/>
      <c r="S54" s="24"/>
      <c r="T54" s="24"/>
      <c r="U54" s="6" t="s">
        <v>30</v>
      </c>
      <c r="V54" s="9">
        <f>SUMIFS(Tabel1342323[TotalHour],Tabel1342323[type],"E20",Tabel1342323[resolution],"PT1H",Tabel1342323[to_ga],$AD$2)/4</f>
        <v>5.00075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4">$AD$2</f>
        <v>800</v>
      </c>
      <c r="F55" s="31" t="s">
        <v>33</v>
      </c>
      <c r="G55" s="31" t="s">
        <v>33</v>
      </c>
      <c r="H55" s="32">
        <f>totalFlex1H_quarter2+totalFlex15M_quarter2</f>
        <v>0</v>
      </c>
      <c r="I55" s="2" t="str">
        <f t="shared" ref="I55:I57" si="15">SUBSTITUTE(H55,",",".")</f>
        <v>0</v>
      </c>
      <c r="R55" s="24"/>
      <c r="S55" s="24"/>
      <c r="T55" s="24"/>
      <c r="U55" s="15" t="s">
        <v>62</v>
      </c>
      <c r="V55" s="19">
        <f>V$54</f>
        <v>5.00075</v>
      </c>
      <c r="W55" s="19">
        <f>V55</f>
        <v>5.00075</v>
      </c>
      <c r="X55" s="19"/>
      <c r="Y55" s="23">
        <f>ROUND(W55, 3)</f>
        <v>5.0010000000000003</v>
      </c>
      <c r="Z55" s="23">
        <f>ROUND(V55,3)</f>
        <v>5.0010000000000003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4"/>
        <v>800</v>
      </c>
      <c r="F56" s="31" t="s">
        <v>33</v>
      </c>
      <c r="G56" s="31" t="s">
        <v>33</v>
      </c>
      <c r="H56" s="32">
        <f>totalFlex1H_quarter3+totalFlex15M_quarter3</f>
        <v>0</v>
      </c>
      <c r="I56" s="2" t="str">
        <f t="shared" si="15"/>
        <v>0</v>
      </c>
      <c r="R56" s="24"/>
      <c r="S56" s="24"/>
      <c r="T56" s="24"/>
      <c r="U56" s="15" t="s">
        <v>63</v>
      </c>
      <c r="V56" s="19">
        <f>V$54</f>
        <v>5.00075</v>
      </c>
      <c r="W56" s="19">
        <f>X56+W55</f>
        <v>5.0004999999999997</v>
      </c>
      <c r="X56" s="19">
        <f>V56-Y55</f>
        <v>-2.5000000000030553E-4</v>
      </c>
      <c r="Y56" s="23">
        <f>ROUND(W56, 3)</f>
        <v>5.0010000000000003</v>
      </c>
      <c r="Z56" s="23">
        <f>ROUND(V56,3)</f>
        <v>5.0010000000000003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4"/>
        <v>800</v>
      </c>
      <c r="F57" s="31" t="s">
        <v>33</v>
      </c>
      <c r="G57" s="31" t="s">
        <v>33</v>
      </c>
      <c r="H57" s="32">
        <f>totalFlex1H_quarter4+totalFlex15M_quarter4</f>
        <v>0</v>
      </c>
      <c r="I57" s="2" t="str">
        <f t="shared" si="15"/>
        <v>0</v>
      </c>
      <c r="R57" s="24"/>
      <c r="S57" s="24"/>
      <c r="T57" s="24"/>
      <c r="U57" s="15" t="s">
        <v>64</v>
      </c>
      <c r="V57" s="19">
        <f>V$54</f>
        <v>5.00075</v>
      </c>
      <c r="W57" s="19">
        <f>X57+W56</f>
        <v>5.0002499999999994</v>
      </c>
      <c r="X57" s="19">
        <f>V57-Y56</f>
        <v>-2.5000000000030553E-4</v>
      </c>
      <c r="Y57" s="23">
        <f>ROUND(W57, 3)</f>
        <v>5</v>
      </c>
      <c r="Z57" s="23">
        <f>ROUND(V57,3)</f>
        <v>5.0010000000000003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5.00075</v>
      </c>
      <c r="W58" s="19">
        <f>X58+W57</f>
        <v>5.0009999999999994</v>
      </c>
      <c r="X58" s="19">
        <f>V58-Y57</f>
        <v>7.5000000000002842E-4</v>
      </c>
      <c r="Y58" s="23">
        <f>ROUND(W58, 3)</f>
        <v>5.0010000000000003</v>
      </c>
      <c r="Z58" s="23">
        <f>ROUND(V58,3)</f>
        <v>5.0010000000000003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ROUND(SUMIFS(Tabel1342323[TotalHour],Tabel1342323[type],"E20",Tabel1342323[resolution],"PT1H",Tabel1342323[from_ga],"800"),3)</f>
        <v>1.117</v>
      </c>
      <c r="W59" s="39" t="s">
        <v>49</v>
      </c>
      <c r="X59" s="40"/>
      <c r="Y59" s="28">
        <f>ROUND(SUM(Y61:Y64),3)</f>
        <v>1.117</v>
      </c>
      <c r="Z59" s="21">
        <f>SUM(Z61:Z64)</f>
        <v>1.1160000000000001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0</v>
      </c>
      <c r="I60" s="2" t="str">
        <f>SUBSTITUTE(H60,",",".")</f>
        <v>0</v>
      </c>
      <c r="R60" s="24"/>
      <c r="S60" s="24"/>
      <c r="T60" s="24"/>
      <c r="U60" s="6" t="s">
        <v>32</v>
      </c>
      <c r="V60" s="9">
        <f>SUMIFS(Tabel1342323[TotalHour],Tabel1342323[type],"E20",Tabel1342323[resolution],"PT1H",Tabel1342323[from_ga],"800")/4</f>
        <v>0.27925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16">$AD$2</f>
        <v>800</v>
      </c>
      <c r="F61" s="31" t="s">
        <v>33</v>
      </c>
      <c r="G61" s="31" t="s">
        <v>33</v>
      </c>
      <c r="H61" s="32">
        <f>totalProduction1H_quarter2+totalProduction15M_quarter2</f>
        <v>0</v>
      </c>
      <c r="I61" s="2" t="str">
        <f t="shared" ref="I61:I63" si="17">SUBSTITUTE(H61,",",".")</f>
        <v>0</v>
      </c>
      <c r="R61" s="24"/>
      <c r="S61" s="24"/>
      <c r="T61" s="24"/>
      <c r="U61" s="15" t="s">
        <v>66</v>
      </c>
      <c r="V61" s="19">
        <f>V$60</f>
        <v>0.27925</v>
      </c>
      <c r="W61" s="19">
        <f>V61</f>
        <v>0.27925</v>
      </c>
      <c r="X61" s="19"/>
      <c r="Y61" s="23">
        <f>ROUND(W61, 3)</f>
        <v>0.27900000000000003</v>
      </c>
      <c r="Z61" s="23">
        <f>ROUND(V61,3)</f>
        <v>0.27900000000000003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16"/>
        <v>800</v>
      </c>
      <c r="F62" s="31" t="s">
        <v>33</v>
      </c>
      <c r="G62" s="31" t="s">
        <v>33</v>
      </c>
      <c r="H62" s="32">
        <f>totalProduction1H_quarter3+totalProduction15M_quarter3</f>
        <v>0</v>
      </c>
      <c r="I62" s="2" t="str">
        <f t="shared" si="17"/>
        <v>0</v>
      </c>
      <c r="R62" s="24"/>
      <c r="S62" s="24"/>
      <c r="T62" s="24"/>
      <c r="U62" s="15" t="s">
        <v>67</v>
      </c>
      <c r="V62" s="19">
        <f>V$60</f>
        <v>0.27925</v>
      </c>
      <c r="W62" s="19">
        <f>X62+W61</f>
        <v>0.27949999999999997</v>
      </c>
      <c r="X62" s="19">
        <f>V62-Y61</f>
        <v>2.4999999999997247E-4</v>
      </c>
      <c r="Y62" s="23">
        <f>ROUND(W62, 3)</f>
        <v>0.28000000000000003</v>
      </c>
      <c r="Z62" s="23">
        <f>ROUND(V62,3)</f>
        <v>0.27900000000000003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16"/>
        <v>800</v>
      </c>
      <c r="F63" s="31" t="s">
        <v>33</v>
      </c>
      <c r="G63" s="31" t="s">
        <v>33</v>
      </c>
      <c r="H63" s="32">
        <f>totalProduction1H_quarter4+totalProduction15M_quarter4</f>
        <v>0</v>
      </c>
      <c r="I63" s="2" t="str">
        <f t="shared" si="17"/>
        <v>0</v>
      </c>
      <c r="R63" s="24"/>
      <c r="S63" s="24"/>
      <c r="T63" s="24"/>
      <c r="U63" s="15" t="s">
        <v>68</v>
      </c>
      <c r="V63" s="19">
        <f>V$60</f>
        <v>0.27925</v>
      </c>
      <c r="W63" s="19">
        <f>X63+W62</f>
        <v>0.27874999999999994</v>
      </c>
      <c r="X63" s="19">
        <f>V63-Y62</f>
        <v>-7.5000000000002842E-4</v>
      </c>
      <c r="Y63" s="23">
        <f>ROUND(W63, 3)</f>
        <v>0.27900000000000003</v>
      </c>
      <c r="Z63" s="23">
        <f>ROUND(V63,3)</f>
        <v>0.27900000000000003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0.27925</v>
      </c>
      <c r="W64" s="19">
        <f>X64+W63</f>
        <v>0.27899999999999991</v>
      </c>
      <c r="X64" s="19">
        <f>V64-Y63</f>
        <v>2.4999999999997247E-4</v>
      </c>
      <c r="Y64" s="23">
        <f>ROUND(W64, 3)</f>
        <v>0.27900000000000003</v>
      </c>
      <c r="Z64" s="23">
        <f>ROUND(V64,3)</f>
        <v>0.27900000000000003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ROUND(SUMIFS(Tabel1342323[TotalHour],Tabel1342323[type],"E17",Tabel1342323[resolution],"PT1H"),3)</f>
        <v>8.8070000000000004</v>
      </c>
      <c r="W65" s="52" t="s">
        <v>49</v>
      </c>
      <c r="X65" s="53"/>
      <c r="Y65" s="28">
        <f>ROUND(SUM(Y67:Y70),3)</f>
        <v>8.8070000000000004</v>
      </c>
      <c r="Z65" s="21">
        <f>SUM(Z67:Z70)</f>
        <v>8.8079999999999998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2.5200000000000014</v>
      </c>
      <c r="I66" s="2" t="str">
        <f>SUBSTITUTE(H66,",",".")</f>
        <v>2.52</v>
      </c>
      <c r="R66" s="24"/>
      <c r="S66" s="24"/>
      <c r="T66" s="24"/>
      <c r="U66" s="7" t="s">
        <v>27</v>
      </c>
      <c r="V66" s="9">
        <f>SUMIFS(Tabel1342323[TotalHour],Tabel1342323[type],"E17",Tabel1342323[resolution],"PT1H")/4</f>
        <v>2.2017500000000001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18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2.5190000000000001</v>
      </c>
      <c r="I67" s="2" t="str">
        <f t="shared" ref="I67:I69" si="19">SUBSTITUTE(H67,",",".")</f>
        <v>2.519</v>
      </c>
      <c r="R67" s="24"/>
      <c r="S67" s="24"/>
      <c r="T67" s="24"/>
      <c r="U67" s="15" t="s">
        <v>70</v>
      </c>
      <c r="V67" s="19">
        <f>V$66</f>
        <v>2.2017500000000001</v>
      </c>
      <c r="W67" s="19">
        <f>V67</f>
        <v>2.2017500000000001</v>
      </c>
      <c r="X67" s="19"/>
      <c r="Y67" s="23">
        <f>ROUND(W67, 3)</f>
        <v>2.202</v>
      </c>
      <c r="Z67" s="23">
        <f>ROUND(V67,3)</f>
        <v>2.202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18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2.52</v>
      </c>
      <c r="I68" s="2" t="str">
        <f t="shared" si="19"/>
        <v>2.52</v>
      </c>
      <c r="R68" s="24"/>
      <c r="S68" s="24"/>
      <c r="T68" s="24"/>
      <c r="U68" s="15" t="s">
        <v>71</v>
      </c>
      <c r="V68" s="19">
        <f>V$66</f>
        <v>2.2017500000000001</v>
      </c>
      <c r="W68" s="19">
        <f>X68+W67</f>
        <v>2.2015000000000002</v>
      </c>
      <c r="X68" s="19">
        <f>V68-Y67</f>
        <v>-2.4999999999986144E-4</v>
      </c>
      <c r="Y68" s="23">
        <f>ROUND(W68, 3)</f>
        <v>2.202</v>
      </c>
      <c r="Z68" s="23">
        <f>ROUND(V68,3)</f>
        <v>2.202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18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-7.4799999999999995</v>
      </c>
      <c r="I69" s="2" t="str">
        <f t="shared" si="19"/>
        <v>-7.48</v>
      </c>
      <c r="J69" s="2"/>
      <c r="R69" s="24"/>
      <c r="S69" s="24"/>
      <c r="T69" s="24"/>
      <c r="U69" s="15" t="s">
        <v>72</v>
      </c>
      <c r="V69" s="19">
        <f>V$66</f>
        <v>2.2017500000000001</v>
      </c>
      <c r="W69" s="19">
        <f>X69+W68</f>
        <v>2.2012500000000004</v>
      </c>
      <c r="X69" s="19">
        <f>V69-Y68</f>
        <v>-2.4999999999986144E-4</v>
      </c>
      <c r="Y69" s="23">
        <f>ROUND(W69, 3)</f>
        <v>2.2010000000000001</v>
      </c>
      <c r="Z69" s="23">
        <f>ROUND(V69,3)</f>
        <v>2.202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2.2017500000000001</v>
      </c>
      <c r="W70" s="19">
        <f>X70+W69</f>
        <v>2.2020000000000004</v>
      </c>
      <c r="X70" s="19">
        <f>V70-Y69</f>
        <v>7.5000000000002842E-4</v>
      </c>
      <c r="Y70" s="23">
        <f>ROUND(W70, 3)</f>
        <v>2.202</v>
      </c>
      <c r="Z70" s="23">
        <f>ROUND(V70,3)</f>
        <v>2.202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</v>
      </c>
      <c r="I72" s="2" t="str">
        <f>SUBSTITUTE(H72,",",".")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76</v>
      </c>
      <c r="E73" s="31" t="str">
        <f t="shared" ref="E73:E75" si="20">$AD$2</f>
        <v>800</v>
      </c>
      <c r="F73" s="31" t="s">
        <v>33</v>
      </c>
      <c r="G73" s="31" t="s">
        <v>33</v>
      </c>
      <c r="H73" s="32">
        <f>IF(gridLoss1H_quarter3&gt;0,gridLoss1H_quarter3,0)</f>
        <v>2.52</v>
      </c>
      <c r="I73" s="2" t="str">
        <f t="shared" ref="I73:I75" si="21">SUBSTITUTE(H73,",",".")</f>
        <v>2.52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75</v>
      </c>
      <c r="E74" s="31" t="str">
        <f t="shared" si="20"/>
        <v>800</v>
      </c>
      <c r="F74" s="31" t="s">
        <v>33</v>
      </c>
      <c r="G74" s="31" t="s">
        <v>33</v>
      </c>
      <c r="H74" s="32">
        <f>IF(gridLoss1H_quarter2&gt;0,gridLoss1H_quarter2,0)</f>
        <v>2.5190000000000001</v>
      </c>
      <c r="I74" s="2" t="str">
        <f t="shared" si="21"/>
        <v>2.519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74</v>
      </c>
      <c r="E75" s="31" t="str">
        <f t="shared" si="20"/>
        <v>800</v>
      </c>
      <c r="F75" s="31" t="s">
        <v>33</v>
      </c>
      <c r="G75" s="31" t="s">
        <v>33</v>
      </c>
      <c r="H75" s="32">
        <f>IF(gridLoss1H_quarter1&gt;0,gridLoss1H_quarter1,0)</f>
        <v>2.5200000000000014</v>
      </c>
      <c r="I75" s="2" t="str">
        <f t="shared" si="21"/>
        <v>2.52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7.4799999999999995</v>
      </c>
      <c r="I78" s="2" t="str">
        <f>SUBSTITUTE(H78,",",".")</f>
        <v>7.48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76</v>
      </c>
      <c r="E79" s="31" t="str">
        <f t="shared" ref="E79:E81" si="22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" t="str">
        <f t="shared" ref="I79:I81" si="23">SUBSTITUTE(H79,",",".")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75</v>
      </c>
      <c r="E80" s="31" t="str">
        <f t="shared" si="22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" t="str">
        <f t="shared" si="23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74</v>
      </c>
      <c r="E81" s="31" t="str">
        <f t="shared" si="22"/>
        <v>800</v>
      </c>
      <c r="F81" s="31" t="s">
        <v>33</v>
      </c>
      <c r="G81" s="31" t="s">
        <v>33</v>
      </c>
      <c r="H81" s="32">
        <f>IF(gridLoss1H_quarter1&lt;0,(gridLoss1H_quarter1)*-1,0)</f>
        <v>0</v>
      </c>
      <c r="I81" s="2" t="str">
        <f t="shared" si="23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9.722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75</v>
      </c>
      <c r="E85" s="31" t="str">
        <f t="shared" ref="E85:E87" si="24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4.721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76</v>
      </c>
      <c r="E86" s="31" t="str">
        <f t="shared" si="24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4.721</v>
      </c>
      <c r="I86" s="2"/>
      <c r="J86" s="2"/>
      <c r="R86" s="2"/>
      <c r="S86" s="2"/>
      <c r="U86" s="15" t="s">
        <v>74</v>
      </c>
      <c r="V86" s="26" cm="1">
        <f t="array" aca="1" ref="V86" ca="1">SUMIFS(INDIRECT("Tabel1342323["&amp;U86&amp;"]"),Tabel1342323[resolution],"PT15M",Tabel1342323[from_ga],INDIRECT("AH"&amp;ROUND(ROW()*0.25-19,0)))-SUMIFS(INDIRECT("Tabel1342323["&amp;U86&amp;"]"),Tabel1342323[resolution],"PT15M",Tabel1342323[to_ga],INDIRECT("AH"&amp;ROUND(ROW()*0.25-19,0)))</f>
        <v>10</v>
      </c>
      <c r="W86" s="6">
        <f>(SUMIFS(Tabel1342323[Quarter1],Tabel1342323[resolution],"PT1H",Tabel1342323[from_ga],AH$3)-SUMIFS(Tabel1342323[Quarter1],Tabel1342323[resolution],"PT1H",Tabel1342323[to_ga],AH$3))/4</f>
        <v>0</v>
      </c>
      <c r="X86" s="16">
        <f>W86</f>
        <v>0</v>
      </c>
      <c r="Y86" s="16"/>
      <c r="Z86" s="16">
        <f t="shared" ref="Z86:Z109" si="25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77</v>
      </c>
      <c r="E87" s="31" t="str">
        <f t="shared" si="24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12.202</v>
      </c>
      <c r="I87" s="2"/>
      <c r="J87" s="2"/>
      <c r="R87" s="2"/>
      <c r="S87" s="2"/>
      <c r="U87" s="15" t="s">
        <v>75</v>
      </c>
      <c r="V87" s="26" cm="1">
        <f t="array" aca="1" ref="V87" ca="1">SUMIFS(INDIRECT("Tabel1342323["&amp;U87&amp;"]"),Tabel1342323[resolution],"PT15M",Tabel1342323[from_ga],INDIRECT("AH"&amp;ROUND(ROW()*0.25-19,0)))-SUMIFS(INDIRECT("Tabel1342323["&amp;U87&amp;"]"),Tabel1342323[resolution],"PT15M",Tabel1342323[to_ga],INDIRECT("AH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5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el1342323["&amp;U88&amp;"]"),Tabel1342323[resolution],"PT15M",Tabel1342323[from_ga],INDIRECT("AH"&amp;ROUND(ROW()*0.25-19,0)))-SUMIFS(INDIRECT("Tabel1342323["&amp;U88&amp;"]"),Tabel1342323[resolution],"PT15M",Tabel1342323[to_ga],INDIRECT("AH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5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el1342323["&amp;U89&amp;"]"),Tabel1342323[resolution],"PT15M",Tabel1342323[from_ga],INDIRECT("AH"&amp;ROUND(ROW()*0.25-19,0)))-SUMIFS(INDIRECT("Tabel1342323["&amp;U89&amp;"]"),Tabel1342323[resolution],"PT15M",Tabel1342323[to_ga],INDIRECT("AH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5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74</v>
      </c>
      <c r="E90" s="31" t="str">
        <f t="shared" ref="E90:E113" si="26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7">SUBSTITUTE(IF(E90="","",V86+Z86),",",".")</f>
        <v>10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74</v>
      </c>
      <c r="V90" s="26" cm="1">
        <f t="array" aca="1" ref="V90" ca="1">SUMIFS(INDIRECT("Tabel1342323["&amp;U90&amp;"]"),Tabel1342323[resolution],"PT15M",Tabel1342323[from_ga],INDIRECT("AH"&amp;ROUND(ROW()*0.25-19,0)))-SUMIFS(INDIRECT("Tabel1342323["&amp;U90&amp;"]"),Tabel1342323[resolution],"PT15M",Tabel1342323[to_ga],INDIRECT("AH"&amp;ROUND(ROW()*0.25-19,0)))</f>
        <v>0</v>
      </c>
      <c r="W90" s="6">
        <f>(SUMIFS(Tabel1342323[Quarter1],Tabel1342323[resolution],"PT1H",Tabel1342323[from_ga],AH$4)-SUMIFS(Tabel1342323[Quarter1],Tabel1342323[resolution],"PT1H",Tabel1342323[to_ga],AH$4))/4</f>
        <v>5.00075</v>
      </c>
      <c r="X90" s="16">
        <f>W90</f>
        <v>5.00075</v>
      </c>
      <c r="Y90" s="16"/>
      <c r="Z90" s="16">
        <f t="shared" si="25"/>
        <v>5.0010000000000003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75</v>
      </c>
      <c r="E91" s="31" t="str">
        <f t="shared" si="26"/>
        <v>800</v>
      </c>
      <c r="F91" s="31" t="str">
        <f t="shared" ref="F91:F113" si="28">IF(E91&lt;&gt;"","null","")</f>
        <v>null</v>
      </c>
      <c r="G91" s="31" t="str">
        <f t="shared" ref="G91:G113" si="29">IF(E91&lt;&gt;"","null","")</f>
        <v>null</v>
      </c>
      <c r="H91" s="32" t="str">
        <f t="shared" ca="1" si="27"/>
        <v>0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75</v>
      </c>
      <c r="V91" s="26" cm="1">
        <f t="array" aca="1" ref="V91" ca="1">SUMIFS(INDIRECT("Tabel1342323["&amp;U91&amp;"]"),Tabel1342323[resolution],"PT15M",Tabel1342323[from_ga],INDIRECT("AH"&amp;ROUND(ROW()*0.25-19,0)))-SUMIFS(INDIRECT("Tabel1342323["&amp;U91&amp;"]"),Tabel1342323[resolution],"PT15M",Tabel1342323[to_ga],INDIRECT("AH"&amp;ROUND(ROW()*0.25-19,0)))</f>
        <v>0</v>
      </c>
      <c r="W91" s="16">
        <f>W$90</f>
        <v>5.00075</v>
      </c>
      <c r="X91" s="16">
        <f>Y91+X90</f>
        <v>5.0004999999999997</v>
      </c>
      <c r="Y91" s="16">
        <f>W91-Z90</f>
        <v>-2.5000000000030553E-4</v>
      </c>
      <c r="Z91" s="16">
        <f t="shared" si="25"/>
        <v>5.0010000000000003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76</v>
      </c>
      <c r="E92" s="31" t="str">
        <f t="shared" si="26"/>
        <v>800</v>
      </c>
      <c r="F92" s="31" t="str">
        <f t="shared" si="28"/>
        <v>null</v>
      </c>
      <c r="G92" s="31" t="str">
        <f t="shared" si="29"/>
        <v>null</v>
      </c>
      <c r="H92" s="32" t="str">
        <f t="shared" ca="1" si="27"/>
        <v>0</v>
      </c>
      <c r="I92" s="32" t="str" cm="1">
        <f t="array" aca="1" ref="I92" ca="1">IF(E92="","",INDIRECT("AH"&amp;ROUND((ROW()-80)*0.25,0)))</f>
        <v>801</v>
      </c>
      <c r="J92" s="2"/>
      <c r="U92" s="15" t="s">
        <v>76</v>
      </c>
      <c r="V92" s="26" cm="1">
        <f t="array" aca="1" ref="V92" ca="1">SUMIFS(INDIRECT("Tabel1342323["&amp;U92&amp;"]"),Tabel1342323[resolution],"PT15M",Tabel1342323[from_ga],INDIRECT("AH"&amp;ROUND(ROW()*0.25-19,0)))-SUMIFS(INDIRECT("Tabel1342323["&amp;U92&amp;"]"),Tabel1342323[resolution],"PT15M",Tabel1342323[to_ga],INDIRECT("AH"&amp;ROUND(ROW()*0.25-19,0)))</f>
        <v>0</v>
      </c>
      <c r="W92" s="16">
        <f>W$90</f>
        <v>5.00075</v>
      </c>
      <c r="X92" s="16">
        <f>Y92+X91</f>
        <v>5.0002499999999994</v>
      </c>
      <c r="Y92" s="16">
        <f>W92-Z91</f>
        <v>-2.5000000000030553E-4</v>
      </c>
      <c r="Z92" s="16">
        <f t="shared" si="25"/>
        <v>5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77</v>
      </c>
      <c r="E93" s="31" t="str">
        <f t="shared" si="26"/>
        <v>800</v>
      </c>
      <c r="F93" s="31" t="str">
        <f t="shared" si="28"/>
        <v>null</v>
      </c>
      <c r="G93" s="31" t="str">
        <f t="shared" si="29"/>
        <v>null</v>
      </c>
      <c r="H93" s="32" t="str">
        <f t="shared" ca="1" si="27"/>
        <v>0</v>
      </c>
      <c r="I93" s="32" t="str" cm="1">
        <f t="array" aca="1" ref="I93" ca="1">IF(E93="","",INDIRECT("AH"&amp;ROUND((ROW()-80)*0.25,0)))</f>
        <v>801</v>
      </c>
      <c r="J93" s="2"/>
      <c r="U93" s="15" t="s">
        <v>77</v>
      </c>
      <c r="V93" s="26" cm="1">
        <f t="array" aca="1" ref="V93" ca="1">SUMIFS(INDIRECT("Tabel1342323["&amp;U93&amp;"]"),Tabel1342323[resolution],"PT15M",Tabel1342323[from_ga],INDIRECT("AH"&amp;ROUND(ROW()*0.25-19,0)))-SUMIFS(INDIRECT("Tabel1342323["&amp;U93&amp;"]"),Tabel1342323[resolution],"PT15M",Tabel1342323[to_ga],INDIRECT("AH"&amp;ROUND(ROW()*0.25-19,0)))</f>
        <v>0</v>
      </c>
      <c r="W93" s="16">
        <f>W$90</f>
        <v>5.00075</v>
      </c>
      <c r="X93" s="16">
        <f>Y93+X92</f>
        <v>5.0009999999999994</v>
      </c>
      <c r="Y93" s="16">
        <f>W93-Z92</f>
        <v>7.5000000000002842E-4</v>
      </c>
      <c r="Z93" s="16">
        <f t="shared" si="25"/>
        <v>5.0010000000000003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74</v>
      </c>
      <c r="E94" s="31" t="str">
        <f t="shared" si="26"/>
        <v>800</v>
      </c>
      <c r="F94" s="31" t="str">
        <f t="shared" si="28"/>
        <v>null</v>
      </c>
      <c r="G94" s="31" t="str">
        <f t="shared" si="29"/>
        <v>null</v>
      </c>
      <c r="H94" s="32" t="str">
        <f t="shared" ca="1" si="27"/>
        <v>5.001</v>
      </c>
      <c r="I94" s="32" t="str" cm="1">
        <f t="array" aca="1" ref="I94" ca="1">IF(E94="","",INDIRECT("AH"&amp;ROUND((ROW()-80)*0.25,0)))</f>
        <v>802</v>
      </c>
      <c r="J94" s="2"/>
      <c r="U94" s="15" t="s">
        <v>74</v>
      </c>
      <c r="V94" s="26" cm="1">
        <f t="array" aca="1" ref="V94" ca="1">SUMIFS(INDIRECT("Tabel1342323["&amp;U94&amp;"]"),Tabel1342323[resolution],"PT15M",Tabel1342323[from_ga],INDIRECT("AH"&amp;ROUND(ROW()*0.25-19,0)))-SUMIFS(INDIRECT("Tabel1342323["&amp;U94&amp;"]"),Tabel1342323[resolution],"PT15M",Tabel1342323[to_ga],INDIRECT("AH"&amp;ROUND(ROW()*0.25-19,0)))</f>
        <v>-5</v>
      </c>
      <c r="W94" s="6">
        <f>SUMIFS(Tabel1342323[Quarter1],Tabel1342323[resolution],"PT1H",Tabel1342323[from_ga],AH$5)-SUMIFS(Tabel1342323[Quarter1],Tabel1342323[resolution],"PT1H",Tabel1342323[to_ga],AH$5)/4</f>
        <v>0</v>
      </c>
      <c r="X94" s="16">
        <f>W94</f>
        <v>0</v>
      </c>
      <c r="Y94" s="16"/>
      <c r="Z94" s="16">
        <f t="shared" si="25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75</v>
      </c>
      <c r="E95" s="31" t="str">
        <f t="shared" si="26"/>
        <v>800</v>
      </c>
      <c r="F95" s="31" t="str">
        <f t="shared" si="28"/>
        <v>null</v>
      </c>
      <c r="G95" s="31" t="str">
        <f t="shared" si="29"/>
        <v>null</v>
      </c>
      <c r="H95" s="32" t="str">
        <f t="shared" ca="1" si="27"/>
        <v>5.001</v>
      </c>
      <c r="I95" s="32" t="str" cm="1">
        <f t="array" aca="1" ref="I95" ca="1">IF(E95="","",INDIRECT("AH"&amp;ROUND((ROW()-80)*0.25,0)))</f>
        <v>802</v>
      </c>
      <c r="J95" s="2"/>
      <c r="U95" s="15" t="s">
        <v>75</v>
      </c>
      <c r="V95" s="26" cm="1">
        <f t="array" aca="1" ref="V95" ca="1">SUMIFS(INDIRECT("Tabel1342323["&amp;U95&amp;"]"),Tabel1342323[resolution],"PT15M",Tabel1342323[from_ga],INDIRECT("AH"&amp;ROUND(ROW()*0.25-19,0)))-SUMIFS(INDIRECT("Tabel1342323["&amp;U95&amp;"]"),Tabel1342323[resolution],"PT15M",Tabel1342323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5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76</v>
      </c>
      <c r="E96" s="31" t="str">
        <f t="shared" si="26"/>
        <v>800</v>
      </c>
      <c r="F96" s="31" t="str">
        <f t="shared" si="28"/>
        <v>null</v>
      </c>
      <c r="G96" s="31" t="str">
        <f t="shared" si="29"/>
        <v>null</v>
      </c>
      <c r="H96" s="32" t="str">
        <f t="shared" ca="1" si="27"/>
        <v>5</v>
      </c>
      <c r="I96" s="32" t="str" cm="1">
        <f t="array" aca="1" ref="I96" ca="1">IF(E96="","",INDIRECT("AH"&amp;ROUND((ROW()-80)*0.25,0)))</f>
        <v>802</v>
      </c>
      <c r="J96" s="2"/>
      <c r="U96" s="15" t="s">
        <v>76</v>
      </c>
      <c r="V96" s="26" cm="1">
        <f t="array" aca="1" ref="V96" ca="1">SUMIFS(INDIRECT("Tabel1342323["&amp;U96&amp;"]"),Tabel1342323[resolution],"PT15M",Tabel1342323[from_ga],INDIRECT("AH"&amp;ROUND(ROW()*0.25-19,0)))-SUMIFS(INDIRECT("Tabel1342323["&amp;U96&amp;"]"),Tabel1342323[resolution],"PT15M",Tabel1342323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5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77</v>
      </c>
      <c r="E97" s="31" t="str">
        <f t="shared" si="26"/>
        <v>800</v>
      </c>
      <c r="F97" s="31" t="str">
        <f t="shared" si="28"/>
        <v>null</v>
      </c>
      <c r="G97" s="31" t="str">
        <f t="shared" si="29"/>
        <v>null</v>
      </c>
      <c r="H97" s="32" t="str">
        <f t="shared" ca="1" si="27"/>
        <v>5.001</v>
      </c>
      <c r="I97" s="32" t="str" cm="1">
        <f t="array" aca="1" ref="I97" ca="1">IF(E97="","",INDIRECT("AH"&amp;ROUND((ROW()-80)*0.25,0)))</f>
        <v>802</v>
      </c>
      <c r="J97" s="2"/>
      <c r="U97" s="15" t="s">
        <v>77</v>
      </c>
      <c r="V97" s="26" cm="1">
        <f t="array" aca="1" ref="V97" ca="1">SUMIFS(INDIRECT("Tabel1342323["&amp;U97&amp;"]"),Tabel1342323[resolution],"PT15M",Tabel1342323[from_ga],INDIRECT("AH"&amp;ROUND(ROW()*0.25-19,0)))-SUMIFS(INDIRECT("Tabel1342323["&amp;U97&amp;"]"),Tabel1342323[resolution],"PT15M",Tabel1342323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5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74</v>
      </c>
      <c r="E98" s="31" t="str">
        <f t="shared" si="26"/>
        <v>800</v>
      </c>
      <c r="F98" s="31" t="str">
        <f t="shared" si="28"/>
        <v>null</v>
      </c>
      <c r="G98" s="31" t="str">
        <f t="shared" si="29"/>
        <v>null</v>
      </c>
      <c r="H98" s="32" t="str">
        <f t="shared" ca="1" si="27"/>
        <v>-5</v>
      </c>
      <c r="I98" s="32" t="str" cm="1">
        <f t="array" aca="1" ref="I98" ca="1">IF(E98="","",INDIRECT("AH"&amp;ROUND((ROW()-80)*0.25,0)))</f>
        <v>803</v>
      </c>
      <c r="J98" s="2"/>
      <c r="U98" s="15" t="s">
        <v>74</v>
      </c>
      <c r="V98" s="26" cm="1">
        <f t="array" aca="1" ref="V98" ca="1">SUMIFS(INDIRECT("Tabel1342323["&amp;U98&amp;"]"),Tabel1342323[resolution],"PT15M",Tabel1342323[from_ga],INDIRECT("AH"&amp;ROUND(ROW()*0.25-19,0)))-SUMIFS(INDIRECT("Tabel1342323["&amp;U98&amp;"]"),Tabel1342323[resolution],"PT15M",Tabel1342323[to_ga],INDIRECT("AH"&amp;ROUND(ROW()*0.25-19,0)))</f>
        <v>0</v>
      </c>
      <c r="W98" s="6">
        <f>(SUMIFS(Tabel1342323[Quarter1],Tabel1342323[resolution],"PT1H",Tabel1342323[from_ga],AH$6)-SUMIFS(Tabel1342323[Quarter1],Tabel1342323[resolution],"PT1H",Tabel1342323[to_ga],AH$6))/4</f>
        <v>-0.27925</v>
      </c>
      <c r="X98" s="16">
        <f>W98</f>
        <v>-0.27925</v>
      </c>
      <c r="Y98" s="16"/>
      <c r="Z98" s="16">
        <f t="shared" si="25"/>
        <v>-0.27900000000000003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75</v>
      </c>
      <c r="E99" s="31" t="str">
        <f t="shared" si="26"/>
        <v>800</v>
      </c>
      <c r="F99" s="31" t="str">
        <f t="shared" si="28"/>
        <v>null</v>
      </c>
      <c r="G99" s="31" t="str">
        <f t="shared" si="29"/>
        <v>null</v>
      </c>
      <c r="H99" s="32" t="str">
        <f t="shared" ca="1" si="27"/>
        <v>0</v>
      </c>
      <c r="I99" s="32" t="str" cm="1">
        <f t="array" aca="1" ref="I99" ca="1">IF(E99="","",INDIRECT("AH"&amp;ROUND((ROW()-80)*0.25,0)))</f>
        <v>803</v>
      </c>
      <c r="J99" s="2"/>
      <c r="U99" s="15" t="s">
        <v>75</v>
      </c>
      <c r="V99" s="26" cm="1">
        <f t="array" aca="1" ref="V99" ca="1">SUMIFS(INDIRECT("Tabel1342323["&amp;U99&amp;"]"),Tabel1342323[resolution],"PT15M",Tabel1342323[from_ga],INDIRECT("AH"&amp;ROUND(ROW()*0.25-19,0)))-SUMIFS(INDIRECT("Tabel1342323["&amp;U99&amp;"]"),Tabel1342323[resolution],"PT15M",Tabel1342323[to_ga],INDIRECT("AH"&amp;ROUND(ROW()*0.25-19,0)))</f>
        <v>0</v>
      </c>
      <c r="W99" s="16">
        <f>W$98</f>
        <v>-0.27925</v>
      </c>
      <c r="X99" s="16">
        <f>Y99+X98</f>
        <v>-0.27949999999999997</v>
      </c>
      <c r="Y99" s="16">
        <f>W99-Z98</f>
        <v>-2.4999999999997247E-4</v>
      </c>
      <c r="Z99" s="16">
        <f t="shared" si="25"/>
        <v>-0.28000000000000003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76</v>
      </c>
      <c r="E100" s="31" t="str">
        <f t="shared" si="26"/>
        <v>800</v>
      </c>
      <c r="F100" s="31" t="str">
        <f t="shared" si="28"/>
        <v>null</v>
      </c>
      <c r="G100" s="31" t="str">
        <f t="shared" si="29"/>
        <v>null</v>
      </c>
      <c r="H100" s="32" t="str">
        <f t="shared" ca="1" si="27"/>
        <v>0</v>
      </c>
      <c r="I100" s="32" t="str" cm="1">
        <f t="array" aca="1" ref="I100" ca="1">IF(E100="","",INDIRECT("AH"&amp;ROUND((ROW()-80)*0.25,0)))</f>
        <v>803</v>
      </c>
      <c r="J100" s="2"/>
      <c r="U100" s="15" t="s">
        <v>76</v>
      </c>
      <c r="V100" s="26" cm="1">
        <f t="array" aca="1" ref="V100" ca="1">SUMIFS(INDIRECT("Tabel1342323["&amp;U100&amp;"]"),Tabel1342323[resolution],"PT15M",Tabel1342323[from_ga],INDIRECT("AH"&amp;ROUND(ROW()*0.25-19,0)))-SUMIFS(INDIRECT("Tabel1342323["&amp;U100&amp;"]"),Tabel1342323[resolution],"PT15M",Tabel1342323[to_ga],INDIRECT("AH"&amp;ROUND(ROW()*0.25-19,0)))</f>
        <v>0</v>
      </c>
      <c r="W100" s="16">
        <f>W$98</f>
        <v>-0.27925</v>
      </c>
      <c r="X100" s="16">
        <f>Y100+X99</f>
        <v>-0.27874999999999994</v>
      </c>
      <c r="Y100" s="16">
        <f>W100-Z99</f>
        <v>7.5000000000002842E-4</v>
      </c>
      <c r="Z100" s="16">
        <f t="shared" si="25"/>
        <v>-0.27900000000000003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77</v>
      </c>
      <c r="E101" s="31" t="str">
        <f t="shared" si="26"/>
        <v>800</v>
      </c>
      <c r="F101" s="31" t="str">
        <f t="shared" si="28"/>
        <v>null</v>
      </c>
      <c r="G101" s="31" t="str">
        <f t="shared" si="29"/>
        <v>null</v>
      </c>
      <c r="H101" s="32" t="str">
        <f t="shared" ca="1" si="27"/>
        <v>0</v>
      </c>
      <c r="I101" s="32" t="str" cm="1">
        <f t="array" aca="1" ref="I101" ca="1">IF(E101="","",INDIRECT("AH"&amp;ROUND((ROW()-80)*0.25,0)))</f>
        <v>803</v>
      </c>
      <c r="J101" s="2"/>
      <c r="U101" s="15" t="s">
        <v>77</v>
      </c>
      <c r="V101" s="26" cm="1">
        <f t="array" aca="1" ref="V101" ca="1">SUMIFS(INDIRECT("Tabel1342323["&amp;U101&amp;"]"),Tabel1342323[resolution],"PT15M",Tabel1342323[from_ga],INDIRECT("AH"&amp;ROUND(ROW()*0.25-19,0)))-SUMIFS(INDIRECT("Tabel1342323["&amp;U101&amp;"]"),Tabel1342323[resolution],"PT15M",Tabel1342323[to_ga],INDIRECT("AH"&amp;ROUND(ROW()*0.25-19,0)))</f>
        <v>0</v>
      </c>
      <c r="W101" s="16">
        <f>W$98</f>
        <v>-0.27925</v>
      </c>
      <c r="X101" s="16">
        <f>Y101+X100</f>
        <v>-0.27899999999999991</v>
      </c>
      <c r="Y101" s="16">
        <f>W101-Z100</f>
        <v>-2.4999999999997247E-4</v>
      </c>
      <c r="Z101" s="16">
        <f t="shared" si="25"/>
        <v>-0.27900000000000003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74</v>
      </c>
      <c r="E102" s="31" t="str">
        <f t="shared" si="26"/>
        <v>800</v>
      </c>
      <c r="F102" s="31" t="str">
        <f t="shared" si="28"/>
        <v>null</v>
      </c>
      <c r="G102" s="31" t="str">
        <f t="shared" si="29"/>
        <v>null</v>
      </c>
      <c r="H102" s="32" t="str">
        <f t="shared" ca="1" si="27"/>
        <v>-0.279</v>
      </c>
      <c r="I102" s="32" t="str" cm="1">
        <f t="array" aca="1" ref="I102" ca="1">IF(E102="","",INDIRECT("AH"&amp;ROUND((ROW()-80)*0.25,0)))</f>
        <v>804</v>
      </c>
      <c r="J102" s="2"/>
      <c r="U102" s="15" t="s">
        <v>74</v>
      </c>
      <c r="V102" s="26" cm="1">
        <f t="array" aca="1" ref="V102" ca="1">SUMIFS(INDIRECT("Tabel1342323["&amp;U102&amp;"]"),Tabel1342323[resolution],"PT15M",Tabel1342323[from_ga],INDIRECT("AH"&amp;ROUND(ROW()*0.25-19,0)))-SUMIFS(INDIRECT("Tabel1342323["&amp;U102&amp;"]"),Tabel1342323[resolution],"PT15M",Tabel1342323[to_ga],INDIRECT("AH"&amp;ROUND(ROW()*0.25-19,0)))</f>
        <v>0</v>
      </c>
      <c r="W102" s="6">
        <f>(SUMIFS(Tabel1342323[Quarter1],Tabel1342323[resolution],"PT1H",Tabel1342323[from_ga],AH$7)-SUMIFS(Tabel1342323[Quarter1],Tabel1342323[resolution],"PT1H",Tabel1342323[to_ga],AH$7))/4</f>
        <v>0</v>
      </c>
      <c r="X102" s="16">
        <f>W102</f>
        <v>0</v>
      </c>
      <c r="Y102" s="16"/>
      <c r="Z102" s="16">
        <f t="shared" si="25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75</v>
      </c>
      <c r="E103" s="31" t="str">
        <f t="shared" si="26"/>
        <v>800</v>
      </c>
      <c r="F103" s="31" t="str">
        <f t="shared" si="28"/>
        <v>null</v>
      </c>
      <c r="G103" s="31" t="str">
        <f t="shared" si="29"/>
        <v>null</v>
      </c>
      <c r="H103" s="32" t="str">
        <f t="shared" ca="1" si="27"/>
        <v>-0.28</v>
      </c>
      <c r="I103" s="32" t="str" cm="1">
        <f t="array" aca="1" ref="I103" ca="1">IF(E103="","",INDIRECT("AH"&amp;ROUND((ROW()-80)*0.25,0)))</f>
        <v>804</v>
      </c>
      <c r="J103" s="2"/>
      <c r="U103" s="15" t="s">
        <v>75</v>
      </c>
      <c r="V103" s="26" cm="1">
        <f t="array" aca="1" ref="V103" ca="1">SUMIFS(INDIRECT("Tabel1342323["&amp;U103&amp;"]"),Tabel1342323[resolution],"PT15M",Tabel1342323[from_ga],INDIRECT("AH"&amp;ROUND(ROW()*0.25-19,0)))-SUMIFS(INDIRECT("Tabel1342323["&amp;U103&amp;"]"),Tabel1342323[resolution],"PT15M",Tabel1342323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5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76</v>
      </c>
      <c r="E104" s="31" t="str">
        <f t="shared" si="26"/>
        <v>800</v>
      </c>
      <c r="F104" s="31" t="str">
        <f t="shared" si="28"/>
        <v>null</v>
      </c>
      <c r="G104" s="31" t="str">
        <f t="shared" si="29"/>
        <v>null</v>
      </c>
      <c r="H104" s="32" t="str">
        <f t="shared" ca="1" si="27"/>
        <v>-0.279</v>
      </c>
      <c r="I104" s="32" t="str" cm="1">
        <f t="array" aca="1" ref="I104" ca="1">IF(E104="","",INDIRECT("AH"&amp;ROUND((ROW()-80)*0.25,0)))</f>
        <v>804</v>
      </c>
      <c r="J104" s="2"/>
      <c r="U104" s="15" t="s">
        <v>76</v>
      </c>
      <c r="V104" s="26" cm="1">
        <f t="array" aca="1" ref="V104" ca="1">SUMIFS(INDIRECT("Tabel1342323["&amp;U104&amp;"]"),Tabel1342323[resolution],"PT15M",Tabel1342323[from_ga],INDIRECT("AH"&amp;ROUND(ROW()*0.25-19,0)))-SUMIFS(INDIRECT("Tabel1342323["&amp;U104&amp;"]"),Tabel1342323[resolution],"PT15M",Tabel1342323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5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77</v>
      </c>
      <c r="E105" s="31" t="str">
        <f t="shared" si="26"/>
        <v>800</v>
      </c>
      <c r="F105" s="31" t="str">
        <f t="shared" si="28"/>
        <v>null</v>
      </c>
      <c r="G105" s="31" t="str">
        <f t="shared" si="29"/>
        <v>null</v>
      </c>
      <c r="H105" s="32" t="str">
        <f t="shared" ca="1" si="27"/>
        <v>-0.279</v>
      </c>
      <c r="I105" s="32" t="str" cm="1">
        <f t="array" aca="1" ref="I105" ca="1">IF(E105="","",INDIRECT("AH"&amp;ROUND((ROW()-80)*0.25,0)))</f>
        <v>804</v>
      </c>
      <c r="J105" s="2"/>
      <c r="U105" s="15" t="s">
        <v>77</v>
      </c>
      <c r="V105" s="26" cm="1">
        <f t="array" aca="1" ref="V105" ca="1">SUMIFS(INDIRECT("Tabel1342323["&amp;U105&amp;"]"),Tabel1342323[resolution],"PT15M",Tabel1342323[from_ga],INDIRECT("AH"&amp;ROUND(ROW()*0.25-19,0)))-SUMIFS(INDIRECT("Tabel1342323["&amp;U105&amp;"]"),Tabel1342323[resolution],"PT15M",Tabel1342323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5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74</v>
      </c>
      <c r="E106" s="31" t="str">
        <f t="shared" si="26"/>
        <v/>
      </c>
      <c r="F106" s="31" t="str">
        <f t="shared" si="28"/>
        <v/>
      </c>
      <c r="G106" s="31" t="str">
        <f t="shared" si="29"/>
        <v/>
      </c>
      <c r="H106" s="32" t="str">
        <f t="shared" si="27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el1342323["&amp;U106&amp;"]"),Tabel1342323[resolution],"PT15M",Tabel1342323[from_ga],INDIRECT("AH"&amp;ROUND(ROW()*0.25-19,0)))-SUMIFS(INDIRECT("Tabel1342323["&amp;U106&amp;"]"),Tabel1342323[resolution],"PT15M",Tabel1342323[to_ga],INDIRECT("AH"&amp;ROUND(ROW()*0.25-19,0)))</f>
        <v>0</v>
      </c>
      <c r="W106" s="6">
        <f>(SUMIFS(Tabel1342323[Quarter1],Tabel1342323[resolution],"PT1H",Tabel1342323[from_ga],AH$8)-SUMIFS(Tabel1342323[Quarter1],Tabel1342323[resolution],"PT1H",Tabel1342323[to_ga],AH$8))/4</f>
        <v>0</v>
      </c>
      <c r="X106" s="16">
        <f>W106</f>
        <v>0</v>
      </c>
      <c r="Y106" s="16"/>
      <c r="Z106" s="16">
        <f t="shared" si="25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75</v>
      </c>
      <c r="E107" s="31" t="str">
        <f t="shared" si="26"/>
        <v/>
      </c>
      <c r="F107" s="31" t="str">
        <f t="shared" si="28"/>
        <v/>
      </c>
      <c r="G107" s="31" t="str">
        <f t="shared" si="29"/>
        <v/>
      </c>
      <c r="H107" s="32" t="str">
        <f t="shared" si="27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el1342323["&amp;U107&amp;"]"),Tabel1342323[resolution],"PT15M",Tabel1342323[from_ga],INDIRECT("AH"&amp;ROUND(ROW()*0.25-19,0)))-SUMIFS(INDIRECT("Tabel1342323["&amp;U107&amp;"]"),Tabel1342323[resolution],"PT15M",Tabel1342323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5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76</v>
      </c>
      <c r="E108" s="31" t="str">
        <f t="shared" si="26"/>
        <v/>
      </c>
      <c r="F108" s="31" t="str">
        <f t="shared" si="28"/>
        <v/>
      </c>
      <c r="G108" s="31" t="str">
        <f t="shared" si="29"/>
        <v/>
      </c>
      <c r="H108" s="32" t="str">
        <f t="shared" si="27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el1342323["&amp;U108&amp;"]"),Tabel1342323[resolution],"PT15M",Tabel1342323[from_ga],INDIRECT("AH"&amp;ROUND(ROW()*0.25-19,0)))-SUMIFS(INDIRECT("Tabel1342323["&amp;U108&amp;"]"),Tabel1342323[resolution],"PT15M",Tabel1342323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5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77</v>
      </c>
      <c r="E109" s="31" t="str">
        <f t="shared" si="26"/>
        <v/>
      </c>
      <c r="F109" s="31" t="str">
        <f t="shared" si="28"/>
        <v/>
      </c>
      <c r="G109" s="31" t="str">
        <f t="shared" si="29"/>
        <v/>
      </c>
      <c r="H109" s="32" t="str">
        <f t="shared" si="27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el1342323["&amp;U109&amp;"]"),Tabel1342323[resolution],"PT15M",Tabel1342323[from_ga],INDIRECT("AH"&amp;ROUND(ROW()*0.25-19,0)))-SUMIFS(INDIRECT("Tabel1342323["&amp;U109&amp;"]"),Tabel1342323[resolution],"PT15M",Tabel1342323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5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74</v>
      </c>
      <c r="E110" s="31" t="str">
        <f t="shared" si="26"/>
        <v/>
      </c>
      <c r="F110" s="31" t="str">
        <f t="shared" si="28"/>
        <v/>
      </c>
      <c r="G110" s="31" t="str">
        <f t="shared" si="29"/>
        <v/>
      </c>
      <c r="H110" s="32" t="str">
        <f t="shared" si="27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75</v>
      </c>
      <c r="E111" s="31" t="str">
        <f t="shared" si="26"/>
        <v/>
      </c>
      <c r="F111" s="31" t="str">
        <f t="shared" si="28"/>
        <v/>
      </c>
      <c r="G111" s="31" t="str">
        <f t="shared" si="29"/>
        <v/>
      </c>
      <c r="H111" s="32" t="str">
        <f t="shared" si="27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76</v>
      </c>
      <c r="E112" s="31" t="str">
        <f t="shared" si="26"/>
        <v/>
      </c>
      <c r="F112" s="31" t="str">
        <f t="shared" si="28"/>
        <v/>
      </c>
      <c r="G112" s="31" t="str">
        <f t="shared" si="29"/>
        <v/>
      </c>
      <c r="H112" s="32" t="str">
        <f t="shared" si="27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77</v>
      </c>
      <c r="E113" s="31" t="str">
        <f t="shared" si="26"/>
        <v/>
      </c>
      <c r="F113" s="31" t="str">
        <f t="shared" si="28"/>
        <v/>
      </c>
      <c r="G113" s="31" t="str">
        <f t="shared" si="29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2024-09-04T11:30:16Z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