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"/>
    </mc:Choice>
  </mc:AlternateContent>
  <xr:revisionPtr revIDLastSave="0" documentId="13_ncr:1_{2D7B7708-C31B-4459-89D8-BC50BB58A619}" xr6:coauthVersionLast="47" xr6:coauthVersionMax="47" xr10:uidLastSave="{00000000-0000-0000-0000-000000000000}"/>
  <bookViews>
    <workbookView xWindow="-110" yWindow="-110" windowWidth="51420" windowHeight="21100" activeTab="3" xr2:uid="{029705A5-E2D6-4928-9AB0-F32087606243}"/>
  </bookViews>
  <sheets>
    <sheet name="Tariffs - daily" sheetId="8" r:id="rId1"/>
    <sheet name="Tariffs - hourly" sheetId="1" r:id="rId2"/>
    <sheet name="Config and arguments" sheetId="7" r:id="rId3"/>
    <sheet name="TimeSeriesPoints" sheetId="5" r:id="rId4"/>
    <sheet name="MeteringPointPeriods" sheetId="4" r:id="rId5"/>
    <sheet name="ChargePriceInformationPeriods" sheetId="3" r:id="rId6"/>
    <sheet name="ChargeLinks" sheetId="2" r:id="rId7"/>
    <sheet name="ChargePricePoints" sheetId="6" r:id="rId8"/>
  </sheets>
  <definedNames>
    <definedName name="gridLoss1H_quarter1" localSheetId="3">TimeSeriesPoints!$L$66</definedName>
    <definedName name="gridLoss1H_quarter2" localSheetId="3">TimeSeriesPoints!$L$67</definedName>
    <definedName name="gridLoss1H_quarter3" localSheetId="3">TimeSeriesPoints!$L$68</definedName>
    <definedName name="gridLoss1H_quarter4" localSheetId="3">TimeSeriesPoints!$L$69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5" l="1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H34" i="2"/>
  <c r="I34" i="2"/>
  <c r="M34" i="2" s="1"/>
  <c r="J34" i="2"/>
  <c r="K34" i="2"/>
  <c r="L34" i="2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J2" i="5"/>
  <c r="D24" i="8" s="1" a="1"/>
  <c r="D24" i="8" s="1"/>
  <c r="J3" i="5"/>
  <c r="J4" i="5"/>
  <c r="J5" i="5"/>
  <c r="J6" i="5"/>
  <c r="J7" i="5"/>
  <c r="J8" i="5"/>
  <c r="J9" i="5"/>
  <c r="J10" i="5"/>
  <c r="J11" i="5"/>
  <c r="D31" i="8" s="1" a="1"/>
  <c r="D31" i="8" s="1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AC3" i="7"/>
  <c r="AC4" i="7" s="1"/>
  <c r="C3" i="8" a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5" i="2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F2" i="5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5" i="2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AB3" i="7"/>
  <c r="AB23" i="7" s="1"/>
  <c r="K25" i="1" s="1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I26" i="2"/>
  <c r="I27" i="2"/>
  <c r="I28" i="2"/>
  <c r="I29" i="2"/>
  <c r="I30" i="2"/>
  <c r="I31" i="2"/>
  <c r="I32" i="2"/>
  <c r="I33" i="2"/>
  <c r="I35" i="2"/>
  <c r="J26" i="2"/>
  <c r="J27" i="2"/>
  <c r="J28" i="2"/>
  <c r="J29" i="2"/>
  <c r="J30" i="2"/>
  <c r="J31" i="2"/>
  <c r="J32" i="2"/>
  <c r="J33" i="2"/>
  <c r="J35" i="2"/>
  <c r="K26" i="2"/>
  <c r="K27" i="2"/>
  <c r="K28" i="2"/>
  <c r="K29" i="2"/>
  <c r="K30" i="2"/>
  <c r="K31" i="2"/>
  <c r="K32" i="2"/>
  <c r="K33" i="2"/>
  <c r="K35" i="2"/>
  <c r="I2" i="2"/>
  <c r="J2" i="2"/>
  <c r="I3" i="2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G16" i="6"/>
  <c r="G17" i="6"/>
  <c r="G18" i="6"/>
  <c r="G19" i="6"/>
  <c r="G20" i="6"/>
  <c r="G21" i="6"/>
  <c r="G22" i="6"/>
  <c r="G23" i="6"/>
  <c r="G24" i="6"/>
  <c r="G25" i="6"/>
  <c r="G8" i="5"/>
  <c r="H8" i="5"/>
  <c r="I8" i="5"/>
  <c r="G9" i="5"/>
  <c r="H9" i="5"/>
  <c r="I9" i="5"/>
  <c r="G10" i="5"/>
  <c r="H10" i="5"/>
  <c r="I10" i="5"/>
  <c r="G11" i="5"/>
  <c r="H11" i="5"/>
  <c r="I11" i="5"/>
  <c r="G12" i="5"/>
  <c r="H12" i="5"/>
  <c r="I12" i="5"/>
  <c r="G13" i="5"/>
  <c r="H13" i="5"/>
  <c r="I13" i="5"/>
  <c r="G14" i="5"/>
  <c r="H14" i="5"/>
  <c r="I14" i="5"/>
  <c r="G15" i="5"/>
  <c r="H15" i="5"/>
  <c r="I15" i="5"/>
  <c r="G16" i="5"/>
  <c r="H16" i="5"/>
  <c r="I16" i="5"/>
  <c r="G17" i="5"/>
  <c r="H17" i="5"/>
  <c r="I17" i="5"/>
  <c r="G18" i="5"/>
  <c r="H18" i="5"/>
  <c r="I18" i="5"/>
  <c r="G19" i="5"/>
  <c r="H19" i="5"/>
  <c r="I19" i="5"/>
  <c r="G20" i="5"/>
  <c r="H20" i="5"/>
  <c r="I20" i="5"/>
  <c r="G21" i="5"/>
  <c r="H21" i="5"/>
  <c r="I21" i="5"/>
  <c r="G22" i="5"/>
  <c r="H22" i="5"/>
  <c r="I22" i="5"/>
  <c r="G23" i="5"/>
  <c r="H23" i="5"/>
  <c r="I23" i="5"/>
  <c r="G24" i="5"/>
  <c r="H24" i="5"/>
  <c r="I24" i="5"/>
  <c r="G25" i="5"/>
  <c r="H25" i="5"/>
  <c r="I25" i="5"/>
  <c r="G26" i="5"/>
  <c r="H26" i="5"/>
  <c r="I26" i="5"/>
  <c r="M30" i="2" l="1"/>
  <c r="M28" i="2"/>
  <c r="M31" i="2"/>
  <c r="M27" i="2"/>
  <c r="M35" i="2"/>
  <c r="M33" i="2"/>
  <c r="M32" i="2"/>
  <c r="M29" i="2"/>
  <c r="M26" i="2"/>
  <c r="AB82" i="7"/>
  <c r="K84" i="1" s="1"/>
  <c r="I84" i="1" s="1"/>
  <c r="AB81" i="7"/>
  <c r="K83" i="1" s="1"/>
  <c r="Q83" i="1" s="1"/>
  <c r="AB61" i="7"/>
  <c r="K63" i="1" s="1"/>
  <c r="L63" i="1" s="1"/>
  <c r="AB41" i="7"/>
  <c r="K43" i="1" s="1"/>
  <c r="L43" i="1" s="1"/>
  <c r="AB21" i="7"/>
  <c r="K23" i="1" s="1"/>
  <c r="S23" i="1" s="1"/>
  <c r="AC5" i="7"/>
  <c r="AC6" i="7"/>
  <c r="AB79" i="7"/>
  <c r="K81" i="1" s="1"/>
  <c r="M81" i="1" s="1"/>
  <c r="J81" i="1" s="1"/>
  <c r="AB59" i="7"/>
  <c r="K61" i="1" s="1"/>
  <c r="S61" i="1" s="1"/>
  <c r="AB39" i="7"/>
  <c r="K41" i="1" s="1"/>
  <c r="C41" i="1" s="1"/>
  <c r="AB19" i="7"/>
  <c r="K21" i="1" s="1"/>
  <c r="D21" i="1" s="1"/>
  <c r="AB98" i="7"/>
  <c r="K100" i="1" s="1"/>
  <c r="B100" i="1" s="1"/>
  <c r="AB78" i="7"/>
  <c r="K80" i="1" s="1"/>
  <c r="B80" i="1" s="1"/>
  <c r="AB58" i="7"/>
  <c r="K60" i="1" s="1"/>
  <c r="C60" i="1" s="1"/>
  <c r="AB38" i="7"/>
  <c r="K40" i="1" s="1"/>
  <c r="D40" i="1" s="1"/>
  <c r="AB18" i="7"/>
  <c r="K20" i="1" s="1"/>
  <c r="C20" i="1" s="1"/>
  <c r="AB97" i="7"/>
  <c r="K99" i="1" s="1"/>
  <c r="M99" i="1" s="1"/>
  <c r="AB77" i="7"/>
  <c r="K79" i="1" s="1"/>
  <c r="AB57" i="7"/>
  <c r="K59" i="1" s="1"/>
  <c r="D59" i="1" s="1"/>
  <c r="AB37" i="7"/>
  <c r="K39" i="1" s="1"/>
  <c r="L39" i="1" s="1"/>
  <c r="AB17" i="7"/>
  <c r="K19" i="1" s="1"/>
  <c r="C19" i="1" s="1"/>
  <c r="AB96" i="7"/>
  <c r="K98" i="1" s="1"/>
  <c r="U98" i="1" s="1"/>
  <c r="AB76" i="7"/>
  <c r="K78" i="1" s="1"/>
  <c r="M78" i="1" s="1"/>
  <c r="AB56" i="7"/>
  <c r="K58" i="1" s="1"/>
  <c r="D58" i="1" s="1"/>
  <c r="AB36" i="7"/>
  <c r="K38" i="1" s="1"/>
  <c r="S38" i="1" s="1"/>
  <c r="AB16" i="7"/>
  <c r="K18" i="1" s="1"/>
  <c r="U18" i="1" s="1"/>
  <c r="AB95" i="7"/>
  <c r="K97" i="1" s="1"/>
  <c r="C97" i="1" s="1"/>
  <c r="AB75" i="7"/>
  <c r="K77" i="1" s="1"/>
  <c r="M77" i="1" s="1"/>
  <c r="AB55" i="7"/>
  <c r="K57" i="1" s="1"/>
  <c r="C57" i="1" s="1"/>
  <c r="AB35" i="7"/>
  <c r="K37" i="1" s="1"/>
  <c r="B37" i="1" s="1"/>
  <c r="AB15" i="7"/>
  <c r="K17" i="1" s="1"/>
  <c r="C17" i="1" s="1"/>
  <c r="AB94" i="7"/>
  <c r="K96" i="1" s="1"/>
  <c r="Q96" i="1" s="1"/>
  <c r="AB74" i="7"/>
  <c r="K76" i="1" s="1"/>
  <c r="L76" i="1" s="1"/>
  <c r="AB54" i="7"/>
  <c r="K56" i="1" s="1"/>
  <c r="C56" i="1" s="1"/>
  <c r="AB34" i="7"/>
  <c r="K36" i="1" s="1"/>
  <c r="I36" i="1" s="1"/>
  <c r="AB14" i="7"/>
  <c r="K16" i="1" s="1"/>
  <c r="B16" i="1" s="1"/>
  <c r="AB93" i="7"/>
  <c r="K95" i="1" s="1"/>
  <c r="C95" i="1" s="1"/>
  <c r="AB73" i="7"/>
  <c r="K75" i="1" s="1"/>
  <c r="C75" i="1" s="1"/>
  <c r="AB53" i="7"/>
  <c r="K55" i="1" s="1"/>
  <c r="C55" i="1" s="1"/>
  <c r="AB33" i="7"/>
  <c r="K35" i="1" s="1"/>
  <c r="S35" i="1" s="1"/>
  <c r="AB13" i="7"/>
  <c r="K15" i="1" s="1"/>
  <c r="D15" i="1" s="1"/>
  <c r="AB62" i="7"/>
  <c r="K64" i="1" s="1"/>
  <c r="L64" i="1" s="1"/>
  <c r="AB42" i="7"/>
  <c r="K44" i="1" s="1"/>
  <c r="L44" i="1" s="1"/>
  <c r="AB22" i="7"/>
  <c r="K24" i="1" s="1"/>
  <c r="D24" i="1" s="1"/>
  <c r="AB60" i="7"/>
  <c r="K62" i="1" s="1"/>
  <c r="L62" i="1" s="1"/>
  <c r="AB4" i="7"/>
  <c r="K6" i="1" s="1"/>
  <c r="E6" i="1" s="1"/>
  <c r="AB92" i="7"/>
  <c r="K94" i="1" s="1"/>
  <c r="M94" i="1" s="1"/>
  <c r="AB72" i="7"/>
  <c r="K74" i="1" s="1"/>
  <c r="D74" i="1" s="1"/>
  <c r="AB52" i="7"/>
  <c r="K54" i="1" s="1"/>
  <c r="D54" i="1" s="1"/>
  <c r="AB12" i="7"/>
  <c r="K14" i="1" s="1"/>
  <c r="U14" i="1" s="1"/>
  <c r="AB91" i="7"/>
  <c r="K93" i="1" s="1"/>
  <c r="L93" i="1" s="1"/>
  <c r="AB71" i="7"/>
  <c r="K73" i="1" s="1"/>
  <c r="B73" i="1" s="1"/>
  <c r="AB51" i="7"/>
  <c r="K53" i="1" s="1"/>
  <c r="C53" i="1" s="1"/>
  <c r="AB31" i="7"/>
  <c r="K33" i="1" s="1"/>
  <c r="U33" i="1" s="1"/>
  <c r="AB11" i="7"/>
  <c r="K13" i="1" s="1"/>
  <c r="I13" i="1" s="1"/>
  <c r="AB90" i="7"/>
  <c r="K92" i="1" s="1"/>
  <c r="D92" i="1" s="1"/>
  <c r="AB70" i="7"/>
  <c r="K72" i="1" s="1"/>
  <c r="D72" i="1" s="1"/>
  <c r="AB50" i="7"/>
  <c r="K52" i="1" s="1"/>
  <c r="E52" i="1" s="1"/>
  <c r="AB30" i="7"/>
  <c r="K32" i="1" s="1"/>
  <c r="E32" i="1" s="1"/>
  <c r="AB10" i="7"/>
  <c r="K12" i="1" s="1"/>
  <c r="S12" i="1" s="1"/>
  <c r="AB89" i="7"/>
  <c r="K91" i="1" s="1"/>
  <c r="L91" i="1" s="1"/>
  <c r="AB69" i="7"/>
  <c r="K71" i="1" s="1"/>
  <c r="S71" i="1" s="1"/>
  <c r="AB49" i="7"/>
  <c r="K51" i="1" s="1"/>
  <c r="U51" i="1" s="1"/>
  <c r="AB29" i="7"/>
  <c r="K31" i="1" s="1"/>
  <c r="I31" i="1" s="1"/>
  <c r="AB9" i="7"/>
  <c r="K11" i="1" s="1"/>
  <c r="L11" i="1" s="1"/>
  <c r="AB80" i="7"/>
  <c r="K82" i="1" s="1"/>
  <c r="L82" i="1" s="1"/>
  <c r="AB40" i="7"/>
  <c r="K42" i="1" s="1"/>
  <c r="L42" i="1" s="1"/>
  <c r="AB20" i="7"/>
  <c r="K22" i="1" s="1"/>
  <c r="U22" i="1" s="1"/>
  <c r="AB32" i="7"/>
  <c r="K34" i="1" s="1"/>
  <c r="D34" i="1" s="1"/>
  <c r="AB88" i="7"/>
  <c r="K90" i="1" s="1"/>
  <c r="B90" i="1" s="1"/>
  <c r="AB68" i="7"/>
  <c r="K70" i="1" s="1"/>
  <c r="D70" i="1" s="1"/>
  <c r="AB48" i="7"/>
  <c r="K50" i="1" s="1"/>
  <c r="D50" i="1" s="1"/>
  <c r="AB28" i="7"/>
  <c r="K30" i="1" s="1"/>
  <c r="I30" i="1" s="1"/>
  <c r="AB8" i="7"/>
  <c r="K10" i="1" s="1"/>
  <c r="E10" i="1" s="1"/>
  <c r="AB87" i="7"/>
  <c r="K89" i="1" s="1"/>
  <c r="O89" i="1" s="1"/>
  <c r="AB67" i="7"/>
  <c r="K69" i="1" s="1"/>
  <c r="L69" i="1" s="1"/>
  <c r="AB47" i="7"/>
  <c r="K49" i="1" s="1"/>
  <c r="U49" i="1" s="1"/>
  <c r="AB27" i="7"/>
  <c r="K29" i="1" s="1"/>
  <c r="U29" i="1" s="1"/>
  <c r="AB7" i="7"/>
  <c r="K9" i="1" s="1"/>
  <c r="L9" i="1" s="1"/>
  <c r="AB86" i="7"/>
  <c r="K88" i="1" s="1"/>
  <c r="E88" i="1" s="1"/>
  <c r="AB66" i="7"/>
  <c r="K68" i="1" s="1"/>
  <c r="L68" i="1" s="1"/>
  <c r="AB46" i="7"/>
  <c r="K48" i="1" s="1"/>
  <c r="I48" i="1" s="1"/>
  <c r="AB26" i="7"/>
  <c r="K28" i="1" s="1"/>
  <c r="I28" i="1" s="1"/>
  <c r="AB6" i="7"/>
  <c r="K8" i="1" s="1"/>
  <c r="U8" i="1" s="1"/>
  <c r="AB85" i="7"/>
  <c r="K87" i="1" s="1"/>
  <c r="D87" i="1" s="1"/>
  <c r="AB65" i="7"/>
  <c r="K67" i="1" s="1"/>
  <c r="E67" i="1" s="1"/>
  <c r="AB45" i="7"/>
  <c r="K47" i="1" s="1"/>
  <c r="D47" i="1" s="1"/>
  <c r="AB25" i="7"/>
  <c r="K27" i="1" s="1"/>
  <c r="E27" i="1" s="1"/>
  <c r="AB5" i="7"/>
  <c r="K7" i="1" s="1"/>
  <c r="C7" i="1" s="1"/>
  <c r="AB84" i="7"/>
  <c r="K86" i="1" s="1"/>
  <c r="I86" i="1" s="1"/>
  <c r="AB64" i="7"/>
  <c r="K66" i="1" s="1"/>
  <c r="I66" i="1" s="1"/>
  <c r="AB44" i="7"/>
  <c r="K46" i="1" s="1"/>
  <c r="L46" i="1" s="1"/>
  <c r="AB24" i="7"/>
  <c r="K26" i="1" s="1"/>
  <c r="C26" i="1" s="1"/>
  <c r="K5" i="1"/>
  <c r="AB83" i="7"/>
  <c r="K85" i="1" s="1"/>
  <c r="D85" i="1" s="1"/>
  <c r="AB63" i="7"/>
  <c r="K65" i="1" s="1"/>
  <c r="I65" i="1" s="1"/>
  <c r="AB43" i="7"/>
  <c r="K45" i="1" s="1"/>
  <c r="E45" i="1" s="1"/>
  <c r="L25" i="1"/>
  <c r="E25" i="1"/>
  <c r="B25" i="1"/>
  <c r="I25" i="1"/>
  <c r="N84" i="1"/>
  <c r="C43" i="1"/>
  <c r="N89" i="1"/>
  <c r="I89" i="1"/>
  <c r="T89" i="1"/>
  <c r="Q89" i="1"/>
  <c r="L89" i="1"/>
  <c r="I29" i="1"/>
  <c r="C29" i="1"/>
  <c r="S29" i="1"/>
  <c r="T85" i="1"/>
  <c r="O85" i="1"/>
  <c r="L24" i="1"/>
  <c r="S92" i="1"/>
  <c r="D52" i="1"/>
  <c r="S52" i="1"/>
  <c r="U52" i="1"/>
  <c r="L52" i="1"/>
  <c r="C52" i="1"/>
  <c r="O82" i="1"/>
  <c r="E82" i="1"/>
  <c r="N82" i="1"/>
  <c r="R82" i="1"/>
  <c r="T82" i="1"/>
  <c r="D60" i="1"/>
  <c r="U60" i="1"/>
  <c r="E60" i="1"/>
  <c r="C40" i="1"/>
  <c r="S40" i="1"/>
  <c r="L40" i="1"/>
  <c r="E40" i="1"/>
  <c r="B60" i="1"/>
  <c r="C39" i="1"/>
  <c r="D39" i="1"/>
  <c r="U39" i="1"/>
  <c r="E39" i="1"/>
  <c r="B81" i="1"/>
  <c r="D81" i="1"/>
  <c r="F81" i="1"/>
  <c r="Q81" i="1"/>
  <c r="G81" i="1"/>
  <c r="N81" i="1"/>
  <c r="R81" i="1"/>
  <c r="O81" i="1"/>
  <c r="T81" i="1"/>
  <c r="S78" i="1"/>
  <c r="L78" i="1"/>
  <c r="G78" i="1"/>
  <c r="E58" i="1"/>
  <c r="I58" i="1"/>
  <c r="L58" i="1"/>
  <c r="C38" i="1"/>
  <c r="C18" i="1"/>
  <c r="D18" i="1"/>
  <c r="S18" i="1"/>
  <c r="I18" i="1"/>
  <c r="B40" i="1"/>
  <c r="M79" i="1"/>
  <c r="H79" i="1" s="1"/>
  <c r="C79" i="1"/>
  <c r="D79" i="1"/>
  <c r="F79" i="1"/>
  <c r="S79" i="1"/>
  <c r="U79" i="1"/>
  <c r="Q79" i="1"/>
  <c r="L79" i="1"/>
  <c r="B79" i="1"/>
  <c r="E79" i="1"/>
  <c r="G79" i="1"/>
  <c r="N79" i="1"/>
  <c r="R79" i="1"/>
  <c r="O79" i="1" s="1"/>
  <c r="I79" i="1"/>
  <c r="T79" i="1"/>
  <c r="C77" i="1"/>
  <c r="U77" i="1"/>
  <c r="E77" i="1"/>
  <c r="R77" i="1"/>
  <c r="O77" i="1" s="1"/>
  <c r="I77" i="1"/>
  <c r="T77" i="1"/>
  <c r="L77" i="1"/>
  <c r="G77" i="1"/>
  <c r="S57" i="1"/>
  <c r="U57" i="1"/>
  <c r="I57" i="1"/>
  <c r="L57" i="1"/>
  <c r="I6" i="1"/>
  <c r="C6" i="1"/>
  <c r="U6" i="1"/>
  <c r="L61" i="1"/>
  <c r="C59" i="1"/>
  <c r="S59" i="1"/>
  <c r="U59" i="1"/>
  <c r="E59" i="1"/>
  <c r="I59" i="1"/>
  <c r="B59" i="1"/>
  <c r="L59" i="1"/>
  <c r="L23" i="1"/>
  <c r="C23" i="1"/>
  <c r="D23" i="1"/>
  <c r="L98" i="1"/>
  <c r="I96" i="1"/>
  <c r="I99" i="1"/>
  <c r="L99" i="1"/>
  <c r="T99" i="1"/>
  <c r="F97" i="1"/>
  <c r="S97" i="1"/>
  <c r="N97" i="1"/>
  <c r="R97" i="1"/>
  <c r="O97" i="1" s="1"/>
  <c r="I97" i="1"/>
  <c r="T97" i="1"/>
  <c r="M97" i="1"/>
  <c r="H97" i="1" s="1"/>
  <c r="Q97" i="1"/>
  <c r="L97" i="1"/>
  <c r="G97" i="1"/>
  <c r="B97" i="1"/>
  <c r="D75" i="1"/>
  <c r="S75" i="1"/>
  <c r="U75" i="1"/>
  <c r="E75" i="1"/>
  <c r="I75" i="1"/>
  <c r="L75" i="1"/>
  <c r="B75" i="1"/>
  <c r="S55" i="1"/>
  <c r="D94" i="1"/>
  <c r="F94" i="1"/>
  <c r="S94" i="1"/>
  <c r="U94" i="1"/>
  <c r="N94" i="1"/>
  <c r="R94" i="1"/>
  <c r="O94" i="1" s="1"/>
  <c r="T94" i="1"/>
  <c r="Q94" i="1"/>
  <c r="L94" i="1"/>
  <c r="B94" i="1"/>
  <c r="D33" i="1"/>
  <c r="S33" i="1"/>
  <c r="L33" i="1"/>
  <c r="C33" i="1"/>
  <c r="D13" i="1"/>
  <c r="E13" i="1"/>
  <c r="U69" i="1"/>
  <c r="E69" i="1"/>
  <c r="I69" i="1"/>
  <c r="E47" i="1"/>
  <c r="I47" i="1"/>
  <c r="L47" i="1"/>
  <c r="B47" i="1"/>
  <c r="C47" i="1"/>
  <c r="U47" i="1"/>
  <c r="C36" i="1"/>
  <c r="D36" i="1"/>
  <c r="S36" i="1"/>
  <c r="U36" i="1"/>
  <c r="E36" i="1"/>
  <c r="L36" i="1"/>
  <c r="B36" i="1"/>
  <c r="E63" i="1"/>
  <c r="E43" i="1"/>
  <c r="I42" i="1"/>
  <c r="U25" i="1"/>
  <c r="E42" i="1"/>
  <c r="S25" i="1"/>
  <c r="D25" i="1"/>
  <c r="S43" i="1"/>
  <c r="U42" i="1"/>
  <c r="D43" i="1"/>
  <c r="L54" i="1"/>
  <c r="S42" i="1"/>
  <c r="C25" i="1"/>
  <c r="B27" i="1"/>
  <c r="C42" i="1"/>
  <c r="M84" i="1"/>
  <c r="M83" i="1"/>
  <c r="J83" i="1" s="1"/>
  <c r="B43" i="1"/>
  <c r="B42" i="1"/>
  <c r="C3" i="8"/>
  <c r="K4" i="2"/>
  <c r="M4" i="2" s="1"/>
  <c r="I7" i="5"/>
  <c r="H7" i="5"/>
  <c r="G7" i="5"/>
  <c r="I6" i="5"/>
  <c r="H6" i="5"/>
  <c r="G6" i="5"/>
  <c r="I5" i="5"/>
  <c r="H5" i="5"/>
  <c r="G5" i="5"/>
  <c r="I4" i="5"/>
  <c r="H4" i="5"/>
  <c r="G4" i="5"/>
  <c r="I3" i="5"/>
  <c r="H3" i="5"/>
  <c r="G3" i="5"/>
  <c r="I2" i="5"/>
  <c r="H2" i="5"/>
  <c r="G2" i="5"/>
  <c r="K25" i="2"/>
  <c r="M25" i="2" s="1"/>
  <c r="K24" i="2"/>
  <c r="M24" i="2" s="1"/>
  <c r="K23" i="2"/>
  <c r="M23" i="2" s="1"/>
  <c r="K22" i="2"/>
  <c r="M22" i="2" s="1"/>
  <c r="K21" i="2"/>
  <c r="M21" i="2" s="1"/>
  <c r="K20" i="2"/>
  <c r="M20" i="2" s="1"/>
  <c r="K19" i="2"/>
  <c r="M19" i="2" s="1"/>
  <c r="K18" i="2"/>
  <c r="M18" i="2" s="1"/>
  <c r="K17" i="2"/>
  <c r="M17" i="2" s="1"/>
  <c r="K16" i="2"/>
  <c r="M16" i="2" s="1"/>
  <c r="K15" i="2"/>
  <c r="K14" i="2"/>
  <c r="M14" i="2" s="1"/>
  <c r="K13" i="2"/>
  <c r="M13" i="2" s="1"/>
  <c r="K12" i="2"/>
  <c r="M12" i="2" s="1"/>
  <c r="K11" i="2"/>
  <c r="M11" i="2" s="1"/>
  <c r="K10" i="2"/>
  <c r="M10" i="2" s="1"/>
  <c r="K9" i="2"/>
  <c r="M9" i="2" s="1"/>
  <c r="K8" i="2"/>
  <c r="M8" i="2" s="1"/>
  <c r="K7" i="2"/>
  <c r="M7" i="2" s="1"/>
  <c r="K6" i="2"/>
  <c r="M6" i="2" s="1"/>
  <c r="K5" i="2"/>
  <c r="M5" i="2" s="1"/>
  <c r="K3" i="2"/>
  <c r="M3" i="2" s="1"/>
  <c r="K2" i="2"/>
  <c r="M2" i="2" s="1"/>
  <c r="C3" i="1" a="1"/>
  <c r="B62" i="1" l="1"/>
  <c r="I62" i="1"/>
  <c r="B56" i="1"/>
  <c r="I93" i="1"/>
  <c r="R99" i="1"/>
  <c r="O99" i="1" s="1"/>
  <c r="L20" i="1"/>
  <c r="L56" i="1"/>
  <c r="N99" i="1"/>
  <c r="H99" i="1" s="1"/>
  <c r="I20" i="1"/>
  <c r="T93" i="1"/>
  <c r="U54" i="1"/>
  <c r="I56" i="1"/>
  <c r="G94" i="1"/>
  <c r="U99" i="1"/>
  <c r="E61" i="1"/>
  <c r="N77" i="1"/>
  <c r="I81" i="1"/>
  <c r="I40" i="1"/>
  <c r="R89" i="1"/>
  <c r="U56" i="1"/>
  <c r="I95" i="1"/>
  <c r="F99" i="1"/>
  <c r="D61" i="1"/>
  <c r="E56" i="1"/>
  <c r="S56" i="1"/>
  <c r="C94" i="1"/>
  <c r="D99" i="1"/>
  <c r="C61" i="1"/>
  <c r="S77" i="1"/>
  <c r="E81" i="1"/>
  <c r="U40" i="1"/>
  <c r="I43" i="1"/>
  <c r="D56" i="1"/>
  <c r="C99" i="1"/>
  <c r="B61" i="1"/>
  <c r="F77" i="1"/>
  <c r="L92" i="1"/>
  <c r="E54" i="1"/>
  <c r="I94" i="1"/>
  <c r="D77" i="1"/>
  <c r="L81" i="1"/>
  <c r="T92" i="1"/>
  <c r="I92" i="1"/>
  <c r="C21" i="1"/>
  <c r="S99" i="1"/>
  <c r="U13" i="1"/>
  <c r="I23" i="1"/>
  <c r="I38" i="1"/>
  <c r="U81" i="1"/>
  <c r="L60" i="1"/>
  <c r="N92" i="1"/>
  <c r="T95" i="1"/>
  <c r="S62" i="1"/>
  <c r="S47" i="1"/>
  <c r="S13" i="1"/>
  <c r="E94" i="1"/>
  <c r="E23" i="1"/>
  <c r="B57" i="1"/>
  <c r="D38" i="1"/>
  <c r="S81" i="1"/>
  <c r="I60" i="1"/>
  <c r="E92" i="1"/>
  <c r="B33" i="1"/>
  <c r="B23" i="1"/>
  <c r="E57" i="1"/>
  <c r="B58" i="1"/>
  <c r="S60" i="1"/>
  <c r="I33" i="1"/>
  <c r="E33" i="1"/>
  <c r="Q99" i="1"/>
  <c r="D57" i="1"/>
  <c r="S39" i="1"/>
  <c r="Q84" i="1"/>
  <c r="U95" i="1"/>
  <c r="I16" i="1"/>
  <c r="L16" i="1"/>
  <c r="L84" i="1"/>
  <c r="S95" i="1"/>
  <c r="G84" i="1"/>
  <c r="U84" i="1"/>
  <c r="F95" i="1"/>
  <c r="E99" i="1"/>
  <c r="U16" i="1"/>
  <c r="C72" i="1"/>
  <c r="U44" i="1"/>
  <c r="E16" i="1"/>
  <c r="D95" i="1"/>
  <c r="B99" i="1"/>
  <c r="S16" i="1"/>
  <c r="E72" i="1"/>
  <c r="S63" i="1"/>
  <c r="B44" i="1"/>
  <c r="E49" i="1"/>
  <c r="D16" i="1"/>
  <c r="C92" i="1"/>
  <c r="C69" i="1"/>
  <c r="I55" i="1"/>
  <c r="C16" i="1"/>
  <c r="M92" i="1"/>
  <c r="D69" i="1"/>
  <c r="E55" i="1"/>
  <c r="U19" i="1"/>
  <c r="B92" i="1"/>
  <c r="S98" i="1"/>
  <c r="I82" i="1"/>
  <c r="U92" i="1"/>
  <c r="U15" i="1"/>
  <c r="M95" i="1"/>
  <c r="G99" i="1"/>
  <c r="S20" i="1"/>
  <c r="D63" i="1"/>
  <c r="B95" i="1"/>
  <c r="D20" i="1"/>
  <c r="O84" i="1"/>
  <c r="G95" i="1"/>
  <c r="E31" i="1"/>
  <c r="D8" i="1"/>
  <c r="S31" i="1"/>
  <c r="M82" i="1"/>
  <c r="C62" i="1"/>
  <c r="D45" i="1"/>
  <c r="S9" i="1"/>
  <c r="S51" i="1"/>
  <c r="L55" i="1"/>
  <c r="D6" i="1"/>
  <c r="C58" i="1"/>
  <c r="S32" i="1"/>
  <c r="U10" i="1"/>
  <c r="F87" i="1"/>
  <c r="B87" i="1"/>
  <c r="D32" i="1"/>
  <c r="C11" i="1"/>
  <c r="I54" i="1"/>
  <c r="D49" i="1"/>
  <c r="B34" i="1"/>
  <c r="U55" i="1"/>
  <c r="S6" i="1"/>
  <c r="L18" i="1"/>
  <c r="Q78" i="1"/>
  <c r="I39" i="1"/>
  <c r="B52" i="1"/>
  <c r="F92" i="1"/>
  <c r="E11" i="1"/>
  <c r="I9" i="1"/>
  <c r="U9" i="1"/>
  <c r="L87" i="1"/>
  <c r="L49" i="1"/>
  <c r="D55" i="1"/>
  <c r="L6" i="1"/>
  <c r="E18" i="1"/>
  <c r="F78" i="1"/>
  <c r="I52" i="1"/>
  <c r="C24" i="1"/>
  <c r="S11" i="1"/>
  <c r="Q87" i="1"/>
  <c r="B11" i="1"/>
  <c r="C44" i="1"/>
  <c r="C49" i="1"/>
  <c r="B6" i="1"/>
  <c r="U24" i="1"/>
  <c r="U11" i="1"/>
  <c r="D62" i="1"/>
  <c r="U65" i="1"/>
  <c r="S87" i="1"/>
  <c r="I49" i="1"/>
  <c r="B18" i="1"/>
  <c r="D78" i="1"/>
  <c r="B24" i="1"/>
  <c r="D11" i="1"/>
  <c r="C87" i="1"/>
  <c r="T88" i="1"/>
  <c r="U62" i="1"/>
  <c r="U87" i="1"/>
  <c r="U82" i="1"/>
  <c r="S82" i="1"/>
  <c r="R87" i="1"/>
  <c r="O87" i="1" s="1"/>
  <c r="I87" i="1"/>
  <c r="S8" i="1"/>
  <c r="D31" i="1"/>
  <c r="U58" i="1"/>
  <c r="C32" i="1"/>
  <c r="G87" i="1"/>
  <c r="C8" i="1"/>
  <c r="S44" i="1"/>
  <c r="N87" i="1"/>
  <c r="L8" i="1"/>
  <c r="S84" i="1"/>
  <c r="E87" i="1"/>
  <c r="D71" i="1"/>
  <c r="D35" i="1"/>
  <c r="E95" i="1"/>
  <c r="T91" i="1"/>
  <c r="S58" i="1"/>
  <c r="L32" i="1"/>
  <c r="R92" i="1"/>
  <c r="O92" i="1" s="1"/>
  <c r="B31" i="1"/>
  <c r="T87" i="1"/>
  <c r="U31" i="1"/>
  <c r="I68" i="1"/>
  <c r="C51" i="1"/>
  <c r="B55" i="1"/>
  <c r="R91" i="1"/>
  <c r="O91" i="1" s="1"/>
  <c r="U32" i="1"/>
  <c r="E68" i="1"/>
  <c r="L30" i="1"/>
  <c r="E93" i="1"/>
  <c r="L17" i="1"/>
  <c r="B41" i="1"/>
  <c r="F82" i="1"/>
  <c r="D29" i="1"/>
  <c r="E89" i="1"/>
  <c r="B21" i="1"/>
  <c r="D67" i="1"/>
  <c r="E30" i="1"/>
  <c r="U93" i="1"/>
  <c r="I17" i="1"/>
  <c r="T80" i="1"/>
  <c r="D82" i="1"/>
  <c r="B29" i="1"/>
  <c r="U89" i="1"/>
  <c r="U67" i="1"/>
  <c r="C9" i="1"/>
  <c r="U30" i="1"/>
  <c r="B53" i="1"/>
  <c r="S93" i="1"/>
  <c r="S17" i="1"/>
  <c r="I80" i="1"/>
  <c r="C82" i="1"/>
  <c r="B72" i="1"/>
  <c r="U85" i="1"/>
  <c r="L29" i="1"/>
  <c r="C10" i="1"/>
  <c r="L53" i="1"/>
  <c r="L37" i="1"/>
  <c r="D65" i="1"/>
  <c r="L67" i="1"/>
  <c r="E9" i="1"/>
  <c r="C70" i="1"/>
  <c r="I53" i="1"/>
  <c r="D93" i="1"/>
  <c r="I37" i="1"/>
  <c r="U80" i="1"/>
  <c r="B82" i="1"/>
  <c r="F85" i="1"/>
  <c r="E29" i="1"/>
  <c r="S10" i="1"/>
  <c r="S30" i="1"/>
  <c r="E53" i="1"/>
  <c r="C14" i="1"/>
  <c r="E37" i="1"/>
  <c r="S80" i="1"/>
  <c r="Q82" i="1"/>
  <c r="I85" i="1"/>
  <c r="B50" i="1"/>
  <c r="E65" i="1"/>
  <c r="B66" i="1"/>
  <c r="R93" i="1"/>
  <c r="N96" i="1"/>
  <c r="I41" i="1"/>
  <c r="C67" i="1"/>
  <c r="F93" i="1"/>
  <c r="L70" i="1"/>
  <c r="C13" i="1"/>
  <c r="U53" i="1"/>
  <c r="L14" i="1"/>
  <c r="U37" i="1"/>
  <c r="F80" i="1"/>
  <c r="R85" i="1"/>
  <c r="D89" i="1"/>
  <c r="F90" i="1"/>
  <c r="L65" i="1"/>
  <c r="U41" i="1"/>
  <c r="B70" i="1"/>
  <c r="S49" i="1"/>
  <c r="I70" i="1"/>
  <c r="B13" i="1"/>
  <c r="S53" i="1"/>
  <c r="I14" i="1"/>
  <c r="Q91" i="1"/>
  <c r="S37" i="1"/>
  <c r="D80" i="1"/>
  <c r="B32" i="1"/>
  <c r="G92" i="1"/>
  <c r="E85" i="1"/>
  <c r="S89" i="1"/>
  <c r="I46" i="1"/>
  <c r="N93" i="1"/>
  <c r="J93" i="1" s="1"/>
  <c r="B17" i="1"/>
  <c r="C65" i="1"/>
  <c r="S45" i="1"/>
  <c r="S86" i="1"/>
  <c r="E70" i="1"/>
  <c r="L13" i="1"/>
  <c r="D53" i="1"/>
  <c r="D37" i="1"/>
  <c r="C80" i="1"/>
  <c r="C85" i="1"/>
  <c r="C89" i="1"/>
  <c r="I45" i="1"/>
  <c r="L80" i="1"/>
  <c r="S85" i="1"/>
  <c r="S65" i="1"/>
  <c r="U86" i="1"/>
  <c r="M87" i="1"/>
  <c r="B49" i="1"/>
  <c r="C31" i="1"/>
  <c r="L73" i="1"/>
  <c r="E34" i="1"/>
  <c r="I91" i="1"/>
  <c r="C37" i="1"/>
  <c r="M80" i="1"/>
  <c r="H80" i="1" s="1"/>
  <c r="I32" i="1"/>
  <c r="Q92" i="1"/>
  <c r="M85" i="1"/>
  <c r="F89" i="1"/>
  <c r="I11" i="1"/>
  <c r="L45" i="1"/>
  <c r="D30" i="1"/>
  <c r="U66" i="1"/>
  <c r="B30" i="1"/>
  <c r="Q86" i="1"/>
  <c r="I73" i="1"/>
  <c r="I21" i="1"/>
  <c r="N100" i="1"/>
  <c r="B85" i="1"/>
  <c r="M89" i="1"/>
  <c r="H89" i="1" s="1"/>
  <c r="P89" i="1" s="1"/>
  <c r="D66" i="1"/>
  <c r="O86" i="1"/>
  <c r="E73" i="1"/>
  <c r="E21" i="1"/>
  <c r="E100" i="1"/>
  <c r="G85" i="1"/>
  <c r="B89" i="1"/>
  <c r="B46" i="1"/>
  <c r="R96" i="1"/>
  <c r="O96" i="1" s="1"/>
  <c r="R86" i="1"/>
  <c r="U73" i="1"/>
  <c r="L21" i="1"/>
  <c r="L85" i="1"/>
  <c r="G89" i="1"/>
  <c r="M93" i="1"/>
  <c r="U21" i="1"/>
  <c r="Q85" i="1"/>
  <c r="S46" i="1"/>
  <c r="Q93" i="1"/>
  <c r="S21" i="1"/>
  <c r="I76" i="1"/>
  <c r="U76" i="1"/>
  <c r="S66" i="1"/>
  <c r="O93" i="1"/>
  <c r="T96" i="1"/>
  <c r="J85" i="1"/>
  <c r="E76" i="1"/>
  <c r="S73" i="1"/>
  <c r="B63" i="1"/>
  <c r="D44" i="1"/>
  <c r="E62" i="1"/>
  <c r="S67" i="1"/>
  <c r="D68" i="1"/>
  <c r="U70" i="1"/>
  <c r="D51" i="1"/>
  <c r="D73" i="1"/>
  <c r="S14" i="1"/>
  <c r="I35" i="1"/>
  <c r="L95" i="1"/>
  <c r="E97" i="1"/>
  <c r="U96" i="1"/>
  <c r="C98" i="1"/>
  <c r="E91" i="1"/>
  <c r="E17" i="1"/>
  <c r="B38" i="1"/>
  <c r="B78" i="1"/>
  <c r="E41" i="1"/>
  <c r="C81" i="1"/>
  <c r="E20" i="1"/>
  <c r="G80" i="1"/>
  <c r="J80" i="1" s="1"/>
  <c r="Q100" i="1"/>
  <c r="G82" i="1"/>
  <c r="L72" i="1"/>
  <c r="E50" i="1"/>
  <c r="D76" i="1"/>
  <c r="E8" i="1"/>
  <c r="E96" i="1"/>
  <c r="D98" i="1"/>
  <c r="N91" i="1"/>
  <c r="T78" i="1"/>
  <c r="G100" i="1"/>
  <c r="I50" i="1"/>
  <c r="S76" i="1"/>
  <c r="B83" i="1"/>
  <c r="C45" i="1"/>
  <c r="D64" i="1"/>
  <c r="D46" i="1"/>
  <c r="B67" i="1"/>
  <c r="U68" i="1"/>
  <c r="S69" i="1"/>
  <c r="S70" i="1"/>
  <c r="C93" i="1"/>
  <c r="D14" i="1"/>
  <c r="E35" i="1"/>
  <c r="Q95" i="1"/>
  <c r="U97" i="1"/>
  <c r="B20" i="1"/>
  <c r="S96" i="1"/>
  <c r="M98" i="1"/>
  <c r="U91" i="1"/>
  <c r="I61" i="1"/>
  <c r="U17" i="1"/>
  <c r="B77" i="1"/>
  <c r="L38" i="1"/>
  <c r="I78" i="1"/>
  <c r="L41" i="1"/>
  <c r="U20" i="1"/>
  <c r="Q80" i="1"/>
  <c r="U100" i="1"/>
  <c r="I72" i="1"/>
  <c r="E24" i="1"/>
  <c r="U50" i="1"/>
  <c r="C76" i="1"/>
  <c r="C54" i="1"/>
  <c r="B15" i="1"/>
  <c r="R78" i="1"/>
  <c r="O78" i="1" s="1"/>
  <c r="S50" i="1"/>
  <c r="F98" i="1"/>
  <c r="C68" i="1"/>
  <c r="F96" i="1"/>
  <c r="S91" i="1"/>
  <c r="S100" i="1"/>
  <c r="F84" i="1"/>
  <c r="B93" i="1"/>
  <c r="E38" i="1"/>
  <c r="C64" i="1"/>
  <c r="L50" i="1"/>
  <c r="C46" i="1"/>
  <c r="I67" i="1"/>
  <c r="S68" i="1"/>
  <c r="D96" i="1"/>
  <c r="F91" i="1"/>
  <c r="D17" i="1"/>
  <c r="S41" i="1"/>
  <c r="R80" i="1"/>
  <c r="O80" i="1" s="1"/>
  <c r="F100" i="1"/>
  <c r="U72" i="1"/>
  <c r="I24" i="1"/>
  <c r="C90" i="1"/>
  <c r="B84" i="1"/>
  <c r="C66" i="1"/>
  <c r="U43" i="1"/>
  <c r="C86" i="1"/>
  <c r="B68" i="1"/>
  <c r="B69" i="1"/>
  <c r="L31" i="1"/>
  <c r="G93" i="1"/>
  <c r="U34" i="1"/>
  <c r="R95" i="1"/>
  <c r="O95" i="1" s="1"/>
  <c r="D97" i="1"/>
  <c r="L15" i="1"/>
  <c r="C96" i="1"/>
  <c r="U23" i="1"/>
  <c r="D91" i="1"/>
  <c r="U61" i="1"/>
  <c r="Q77" i="1"/>
  <c r="U38" i="1"/>
  <c r="E78" i="1"/>
  <c r="D41" i="1"/>
  <c r="E19" i="1"/>
  <c r="N80" i="1"/>
  <c r="D100" i="1"/>
  <c r="S72" i="1"/>
  <c r="S24" i="1"/>
  <c r="S48" i="1"/>
  <c r="D90" i="1"/>
  <c r="I64" i="1"/>
  <c r="E26" i="1"/>
  <c r="C84" i="1"/>
  <c r="S83" i="1"/>
  <c r="D84" i="1"/>
  <c r="B64" i="1"/>
  <c r="E84" i="1"/>
  <c r="C15" i="1"/>
  <c r="N78" i="1"/>
  <c r="I19" i="1"/>
  <c r="I63" i="1"/>
  <c r="S54" i="1"/>
  <c r="D42" i="1"/>
  <c r="U63" i="1"/>
  <c r="U45" i="1"/>
  <c r="M86" i="1"/>
  <c r="J86" i="1" s="1"/>
  <c r="N95" i="1"/>
  <c r="J95" i="1" s="1"/>
  <c r="I15" i="1"/>
  <c r="B98" i="1"/>
  <c r="U78" i="1"/>
  <c r="B19" i="1"/>
  <c r="E80" i="1"/>
  <c r="C100" i="1"/>
  <c r="B48" i="1"/>
  <c r="G90" i="1"/>
  <c r="C63" i="1"/>
  <c r="E46" i="1"/>
  <c r="U83" i="1"/>
  <c r="E15" i="1"/>
  <c r="G98" i="1"/>
  <c r="L19" i="1"/>
  <c r="M100" i="1"/>
  <c r="E48" i="1"/>
  <c r="U46" i="1"/>
  <c r="E64" i="1"/>
  <c r="S64" i="1"/>
  <c r="S15" i="1"/>
  <c r="Q98" i="1"/>
  <c r="S19" i="1"/>
  <c r="O83" i="1"/>
  <c r="H98" i="1"/>
  <c r="C78" i="1"/>
  <c r="D19" i="1"/>
  <c r="E66" i="1"/>
  <c r="R83" i="1"/>
  <c r="C71" i="1"/>
  <c r="B96" i="1"/>
  <c r="O98" i="1"/>
  <c r="P98" i="1" s="1"/>
  <c r="C91" i="1"/>
  <c r="L66" i="1"/>
  <c r="T83" i="1"/>
  <c r="B71" i="1"/>
  <c r="M96" i="1"/>
  <c r="J96" i="1" s="1"/>
  <c r="T98" i="1"/>
  <c r="M91" i="1"/>
  <c r="E44" i="1"/>
  <c r="C83" i="1"/>
  <c r="L83" i="1"/>
  <c r="D83" i="1"/>
  <c r="L71" i="1"/>
  <c r="G96" i="1"/>
  <c r="I98" i="1"/>
  <c r="B91" i="1"/>
  <c r="I44" i="1"/>
  <c r="I83" i="1"/>
  <c r="G83" i="1"/>
  <c r="E83" i="1"/>
  <c r="I71" i="1"/>
  <c r="C73" i="1"/>
  <c r="L96" i="1"/>
  <c r="R98" i="1"/>
  <c r="G91" i="1"/>
  <c r="T100" i="1"/>
  <c r="N83" i="1"/>
  <c r="F83" i="1"/>
  <c r="U64" i="1"/>
  <c r="E71" i="1"/>
  <c r="N98" i="1"/>
  <c r="L100" i="1"/>
  <c r="B76" i="1"/>
  <c r="R84" i="1"/>
  <c r="U71" i="1"/>
  <c r="E98" i="1"/>
  <c r="I100" i="1"/>
  <c r="C50" i="1"/>
  <c r="T84" i="1"/>
  <c r="B45" i="1"/>
  <c r="M15" i="2"/>
  <c r="AD4" i="1" s="1" a="1"/>
  <c r="AD4" i="1" s="1"/>
  <c r="R100" i="1"/>
  <c r="O100" i="1" s="1"/>
  <c r="AD4" i="8" a="1"/>
  <c r="AD4" i="8" s="1"/>
  <c r="B74" i="1"/>
  <c r="C12" i="1"/>
  <c r="B51" i="1"/>
  <c r="D22" i="1"/>
  <c r="D10" i="1"/>
  <c r="S28" i="1"/>
  <c r="I27" i="1"/>
  <c r="B26" i="1"/>
  <c r="B54" i="1"/>
  <c r="D7" i="1"/>
  <c r="L51" i="1"/>
  <c r="C74" i="1"/>
  <c r="B39" i="1"/>
  <c r="C22" i="1"/>
  <c r="B12" i="1"/>
  <c r="N85" i="1"/>
  <c r="U88" i="1"/>
  <c r="B10" i="1"/>
  <c r="Q90" i="1"/>
  <c r="B28" i="1"/>
  <c r="S22" i="1"/>
  <c r="D28" i="1"/>
  <c r="D26" i="1"/>
  <c r="L74" i="1"/>
  <c r="L90" i="1"/>
  <c r="L7" i="1"/>
  <c r="I51" i="1"/>
  <c r="I74" i="1"/>
  <c r="B35" i="1"/>
  <c r="B22" i="1"/>
  <c r="L12" i="1"/>
  <c r="C88" i="1"/>
  <c r="L10" i="1"/>
  <c r="T90" i="1"/>
  <c r="U28" i="1"/>
  <c r="L27" i="1"/>
  <c r="N86" i="1"/>
  <c r="H86" i="1" s="1"/>
  <c r="U26" i="1"/>
  <c r="I7" i="1"/>
  <c r="E51" i="1"/>
  <c r="E74" i="1"/>
  <c r="C35" i="1"/>
  <c r="L22" i="1"/>
  <c r="I12" i="1"/>
  <c r="F88" i="1"/>
  <c r="I10" i="1"/>
  <c r="I90" i="1"/>
  <c r="E28" i="1"/>
  <c r="S88" i="1"/>
  <c r="C27" i="1"/>
  <c r="E7" i="1"/>
  <c r="D9" i="1"/>
  <c r="B14" i="1"/>
  <c r="U74" i="1"/>
  <c r="L35" i="1"/>
  <c r="E12" i="1"/>
  <c r="D88" i="1"/>
  <c r="R90" i="1"/>
  <c r="O90" i="1" s="1"/>
  <c r="D27" i="1"/>
  <c r="S74" i="1"/>
  <c r="U12" i="1"/>
  <c r="M88" i="1"/>
  <c r="N90" i="1"/>
  <c r="B5" i="1"/>
  <c r="U5" i="1"/>
  <c r="S5" i="1"/>
  <c r="L5" i="1"/>
  <c r="I5" i="1"/>
  <c r="E5" i="1"/>
  <c r="C5" i="1"/>
  <c r="D5" i="1"/>
  <c r="B7" i="1"/>
  <c r="L28" i="1"/>
  <c r="F86" i="1"/>
  <c r="E90" i="1"/>
  <c r="D86" i="1"/>
  <c r="B9" i="1"/>
  <c r="E14" i="1"/>
  <c r="U35" i="1"/>
  <c r="D12" i="1"/>
  <c r="G88" i="1"/>
  <c r="U90" i="1"/>
  <c r="B65" i="1"/>
  <c r="C28" i="1"/>
  <c r="B88" i="1"/>
  <c r="I8" i="1"/>
  <c r="S26" i="1"/>
  <c r="E86" i="1"/>
  <c r="C30" i="1"/>
  <c r="L88" i="1"/>
  <c r="S90" i="1"/>
  <c r="Q88" i="1"/>
  <c r="B86" i="1"/>
  <c r="L34" i="1"/>
  <c r="D48" i="1"/>
  <c r="R88" i="1"/>
  <c r="O88" i="1" s="1"/>
  <c r="G86" i="1"/>
  <c r="C34" i="1"/>
  <c r="U48" i="1"/>
  <c r="N88" i="1"/>
  <c r="I88" i="1"/>
  <c r="I26" i="1"/>
  <c r="U7" i="1"/>
  <c r="L86" i="1"/>
  <c r="I34" i="1"/>
  <c r="C48" i="1"/>
  <c r="S7" i="1"/>
  <c r="S27" i="1"/>
  <c r="L26" i="1"/>
  <c r="I22" i="1"/>
  <c r="T86" i="1"/>
  <c r="S34" i="1"/>
  <c r="E22" i="1"/>
  <c r="L48" i="1"/>
  <c r="M90" i="1"/>
  <c r="J90" i="1" s="1"/>
  <c r="U27" i="1"/>
  <c r="B8" i="1"/>
  <c r="J94" i="1"/>
  <c r="J77" i="1"/>
  <c r="J78" i="1"/>
  <c r="H90" i="1"/>
  <c r="H92" i="1"/>
  <c r="J91" i="1"/>
  <c r="J100" i="1"/>
  <c r="J88" i="1"/>
  <c r="J89" i="1"/>
  <c r="J84" i="1"/>
  <c r="J97" i="1"/>
  <c r="J98" i="1"/>
  <c r="H100" i="1"/>
  <c r="H82" i="1"/>
  <c r="P82" i="1" s="1"/>
  <c r="J87" i="1"/>
  <c r="H93" i="1"/>
  <c r="P79" i="1"/>
  <c r="J99" i="1"/>
  <c r="J79" i="1"/>
  <c r="H91" i="1"/>
  <c r="H85" i="1"/>
  <c r="P85" i="1" s="1"/>
  <c r="P97" i="1"/>
  <c r="H87" i="1"/>
  <c r="J92" i="1"/>
  <c r="H83" i="1"/>
  <c r="H81" i="1"/>
  <c r="P81" i="1" s="1"/>
  <c r="H78" i="1"/>
  <c r="H84" i="1"/>
  <c r="H94" i="1"/>
  <c r="P94" i="1" s="1"/>
  <c r="H95" i="1"/>
  <c r="H77" i="1"/>
  <c r="P77" i="1" s="1"/>
  <c r="H96" i="1"/>
  <c r="J82" i="1"/>
  <c r="H88" i="1"/>
  <c r="F5" i="1"/>
  <c r="F25" i="1"/>
  <c r="F45" i="1"/>
  <c r="F65" i="1"/>
  <c r="N9" i="1"/>
  <c r="N29" i="1"/>
  <c r="N49" i="1"/>
  <c r="N69" i="1"/>
  <c r="F6" i="1"/>
  <c r="F26" i="1"/>
  <c r="F46" i="1"/>
  <c r="F66" i="1"/>
  <c r="N10" i="1"/>
  <c r="N30" i="1"/>
  <c r="N50" i="1"/>
  <c r="N70" i="1"/>
  <c r="F20" i="1"/>
  <c r="N45" i="1"/>
  <c r="N46" i="1"/>
  <c r="N47" i="1"/>
  <c r="N68" i="1"/>
  <c r="F7" i="1"/>
  <c r="F27" i="1"/>
  <c r="F47" i="1"/>
  <c r="F67" i="1"/>
  <c r="N11" i="1"/>
  <c r="N31" i="1"/>
  <c r="N51" i="1"/>
  <c r="N71" i="1"/>
  <c r="F71" i="1"/>
  <c r="N62" i="1"/>
  <c r="N63" i="1"/>
  <c r="F8" i="1"/>
  <c r="F28" i="1"/>
  <c r="F48" i="1"/>
  <c r="F68" i="1"/>
  <c r="N12" i="1"/>
  <c r="N32" i="1"/>
  <c r="N52" i="1"/>
  <c r="N72" i="1"/>
  <c r="F31" i="1"/>
  <c r="N15" i="1"/>
  <c r="N75" i="1"/>
  <c r="F38" i="1"/>
  <c r="F39" i="1"/>
  <c r="F60" i="1"/>
  <c r="F21" i="1"/>
  <c r="F22" i="1"/>
  <c r="F23" i="1"/>
  <c r="F24" i="1"/>
  <c r="F9" i="1"/>
  <c r="F29" i="1"/>
  <c r="F49" i="1"/>
  <c r="F69" i="1"/>
  <c r="N13" i="1"/>
  <c r="N33" i="1"/>
  <c r="N53" i="1"/>
  <c r="N73" i="1"/>
  <c r="F51" i="1"/>
  <c r="N55" i="1"/>
  <c r="F19" i="1"/>
  <c r="F61" i="1"/>
  <c r="N26" i="1"/>
  <c r="N7" i="1"/>
  <c r="F64" i="1"/>
  <c r="F10" i="1"/>
  <c r="F30" i="1"/>
  <c r="F50" i="1"/>
  <c r="F70" i="1"/>
  <c r="N14" i="1"/>
  <c r="N34" i="1"/>
  <c r="N54" i="1"/>
  <c r="N74" i="1"/>
  <c r="F11" i="1"/>
  <c r="N35" i="1"/>
  <c r="N42" i="1"/>
  <c r="N44" i="1"/>
  <c r="N27" i="1"/>
  <c r="N48" i="1"/>
  <c r="F12" i="1"/>
  <c r="F32" i="1"/>
  <c r="F52" i="1"/>
  <c r="F72" i="1"/>
  <c r="N16" i="1"/>
  <c r="N36" i="1"/>
  <c r="N56" i="1"/>
  <c r="N76" i="1"/>
  <c r="F55" i="1"/>
  <c r="N19" i="1"/>
  <c r="N59" i="1"/>
  <c r="N23" i="1"/>
  <c r="N24" i="1"/>
  <c r="N5" i="1"/>
  <c r="N6" i="1"/>
  <c r="F63" i="1"/>
  <c r="N28" i="1"/>
  <c r="F13" i="1"/>
  <c r="F33" i="1"/>
  <c r="F53" i="1"/>
  <c r="F73" i="1"/>
  <c r="N17" i="1"/>
  <c r="N37" i="1"/>
  <c r="N57" i="1"/>
  <c r="F15" i="1"/>
  <c r="N22" i="1"/>
  <c r="N43" i="1"/>
  <c r="N65" i="1"/>
  <c r="F14" i="1"/>
  <c r="F34" i="1"/>
  <c r="F54" i="1"/>
  <c r="F74" i="1"/>
  <c r="N18" i="1"/>
  <c r="N38" i="1"/>
  <c r="N58" i="1"/>
  <c r="F35" i="1"/>
  <c r="F75" i="1"/>
  <c r="N39" i="1"/>
  <c r="F58" i="1"/>
  <c r="N25" i="1"/>
  <c r="F62" i="1"/>
  <c r="N8" i="1"/>
  <c r="F16" i="1"/>
  <c r="F36" i="1"/>
  <c r="F56" i="1"/>
  <c r="F76" i="1"/>
  <c r="N20" i="1"/>
  <c r="N40" i="1"/>
  <c r="N60" i="1"/>
  <c r="F17" i="1"/>
  <c r="F37" i="1"/>
  <c r="F57" i="1"/>
  <c r="N21" i="1"/>
  <c r="N41" i="1"/>
  <c r="N61" i="1"/>
  <c r="F18" i="1"/>
  <c r="F59" i="1"/>
  <c r="F40" i="1"/>
  <c r="N64" i="1"/>
  <c r="F41" i="1"/>
  <c r="F42" i="1"/>
  <c r="N66" i="1"/>
  <c r="F43" i="1"/>
  <c r="F44" i="1"/>
  <c r="N67" i="1"/>
  <c r="M69" i="1"/>
  <c r="M71" i="1"/>
  <c r="G30" i="1"/>
  <c r="G18" i="1"/>
  <c r="T61" i="1"/>
  <c r="T12" i="1"/>
  <c r="T32" i="1"/>
  <c r="T52" i="1"/>
  <c r="T72" i="1"/>
  <c r="M12" i="1"/>
  <c r="M32" i="1"/>
  <c r="M52" i="1"/>
  <c r="M72" i="1"/>
  <c r="G11" i="1"/>
  <c r="G31" i="1"/>
  <c r="G51" i="1"/>
  <c r="G71" i="1"/>
  <c r="T13" i="1"/>
  <c r="T33" i="1"/>
  <c r="T53" i="1"/>
  <c r="T73" i="1"/>
  <c r="M13" i="1"/>
  <c r="M33" i="1"/>
  <c r="M53" i="1"/>
  <c r="M73" i="1"/>
  <c r="G12" i="1"/>
  <c r="G52" i="1"/>
  <c r="G72" i="1"/>
  <c r="M37" i="1"/>
  <c r="G16" i="1"/>
  <c r="G56" i="1"/>
  <c r="M38" i="1"/>
  <c r="G57" i="1"/>
  <c r="T19" i="1"/>
  <c r="M20" i="1"/>
  <c r="T41" i="1"/>
  <c r="G32" i="1"/>
  <c r="T58" i="1"/>
  <c r="M58" i="1"/>
  <c r="G17" i="1"/>
  <c r="T59" i="1"/>
  <c r="M59" i="1"/>
  <c r="T21" i="1"/>
  <c r="M61" i="1"/>
  <c r="T14" i="1"/>
  <c r="T34" i="1"/>
  <c r="T54" i="1"/>
  <c r="T74" i="1"/>
  <c r="M14" i="1"/>
  <c r="M34" i="1"/>
  <c r="M54" i="1"/>
  <c r="M74" i="1"/>
  <c r="G13" i="1"/>
  <c r="G33" i="1"/>
  <c r="G53" i="1"/>
  <c r="G73" i="1"/>
  <c r="T36" i="1"/>
  <c r="T76" i="1"/>
  <c r="M56" i="1"/>
  <c r="G15" i="1"/>
  <c r="G55" i="1"/>
  <c r="T37" i="1"/>
  <c r="T57" i="1"/>
  <c r="G36" i="1"/>
  <c r="T38" i="1"/>
  <c r="G37" i="1"/>
  <c r="M19" i="1"/>
  <c r="G40" i="1"/>
  <c r="T15" i="1"/>
  <c r="T35" i="1"/>
  <c r="T55" i="1"/>
  <c r="T75" i="1"/>
  <c r="M15" i="1"/>
  <c r="M35" i="1"/>
  <c r="M55" i="1"/>
  <c r="M75" i="1"/>
  <c r="G14" i="1"/>
  <c r="G34" i="1"/>
  <c r="G54" i="1"/>
  <c r="G74" i="1"/>
  <c r="T16" i="1"/>
  <c r="T56" i="1"/>
  <c r="M16" i="1"/>
  <c r="M36" i="1"/>
  <c r="M76" i="1"/>
  <c r="G35" i="1"/>
  <c r="G75" i="1"/>
  <c r="T17" i="1"/>
  <c r="M17" i="1"/>
  <c r="M57" i="1"/>
  <c r="G76" i="1"/>
  <c r="T18" i="1"/>
  <c r="M18" i="1"/>
  <c r="T39" i="1"/>
  <c r="M39" i="1"/>
  <c r="G58" i="1"/>
  <c r="T22" i="1"/>
  <c r="T42" i="1"/>
  <c r="T62" i="1"/>
  <c r="M22" i="1"/>
  <c r="M42" i="1"/>
  <c r="M62" i="1"/>
  <c r="G21" i="1"/>
  <c r="G41" i="1"/>
  <c r="G61" i="1"/>
  <c r="T23" i="1"/>
  <c r="T43" i="1"/>
  <c r="T63" i="1"/>
  <c r="M23" i="1"/>
  <c r="M43" i="1"/>
  <c r="M63" i="1"/>
  <c r="G22" i="1"/>
  <c r="G42" i="1"/>
  <c r="G62" i="1"/>
  <c r="G28" i="1"/>
  <c r="T10" i="1"/>
  <c r="T70" i="1"/>
  <c r="M10" i="1"/>
  <c r="G9" i="1"/>
  <c r="T31" i="1"/>
  <c r="M31" i="1"/>
  <c r="G10" i="1"/>
  <c r="G60" i="1"/>
  <c r="T24" i="1"/>
  <c r="T44" i="1"/>
  <c r="T64" i="1"/>
  <c r="M24" i="1"/>
  <c r="M44" i="1"/>
  <c r="M64" i="1"/>
  <c r="G23" i="1"/>
  <c r="G43" i="1"/>
  <c r="G63" i="1"/>
  <c r="T67" i="1"/>
  <c r="M27" i="1"/>
  <c r="G6" i="1"/>
  <c r="G66" i="1"/>
  <c r="G47" i="1"/>
  <c r="T49" i="1"/>
  <c r="M49" i="1"/>
  <c r="G8" i="1"/>
  <c r="G50" i="1"/>
  <c r="G19" i="1"/>
  <c r="T5" i="1"/>
  <c r="T25" i="1"/>
  <c r="T45" i="1"/>
  <c r="T65" i="1"/>
  <c r="M5" i="1"/>
  <c r="M25" i="1"/>
  <c r="M45" i="1"/>
  <c r="M65" i="1"/>
  <c r="G24" i="1"/>
  <c r="G44" i="1"/>
  <c r="G64" i="1"/>
  <c r="M67" i="1"/>
  <c r="G46" i="1"/>
  <c r="M29" i="1"/>
  <c r="T50" i="1"/>
  <c r="M50" i="1"/>
  <c r="G29" i="1"/>
  <c r="T51" i="1"/>
  <c r="M51" i="1"/>
  <c r="T20" i="1"/>
  <c r="G39" i="1"/>
  <c r="M41" i="1"/>
  <c r="T6" i="1"/>
  <c r="T26" i="1"/>
  <c r="T46" i="1"/>
  <c r="T66" i="1"/>
  <c r="M6" i="1"/>
  <c r="M26" i="1"/>
  <c r="M46" i="1"/>
  <c r="M66" i="1"/>
  <c r="G5" i="1"/>
  <c r="G25" i="1"/>
  <c r="G45" i="1"/>
  <c r="G65" i="1"/>
  <c r="T7" i="1"/>
  <c r="T27" i="1"/>
  <c r="T47" i="1"/>
  <c r="M7" i="1"/>
  <c r="M47" i="1"/>
  <c r="G26" i="1"/>
  <c r="T9" i="1"/>
  <c r="T29" i="1"/>
  <c r="T69" i="1"/>
  <c r="M9" i="1"/>
  <c r="G48" i="1"/>
  <c r="T30" i="1"/>
  <c r="M30" i="1"/>
  <c r="M70" i="1"/>
  <c r="G69" i="1"/>
  <c r="T11" i="1"/>
  <c r="T71" i="1"/>
  <c r="M11" i="1"/>
  <c r="G38" i="1"/>
  <c r="T60" i="1"/>
  <c r="M60" i="1"/>
  <c r="G59" i="1"/>
  <c r="M21" i="1"/>
  <c r="G20" i="1"/>
  <c r="T8" i="1"/>
  <c r="T28" i="1"/>
  <c r="T48" i="1"/>
  <c r="T68" i="1"/>
  <c r="M8" i="1"/>
  <c r="M28" i="1"/>
  <c r="M48" i="1"/>
  <c r="M68" i="1"/>
  <c r="G7" i="1"/>
  <c r="G27" i="1"/>
  <c r="G67" i="1"/>
  <c r="G68" i="1"/>
  <c r="G49" i="1"/>
  <c r="G70" i="1"/>
  <c r="T40" i="1"/>
  <c r="M40" i="1"/>
  <c r="C3" i="1"/>
  <c r="P99" i="1" l="1"/>
  <c r="G16" i="8" a="1"/>
  <c r="G16" i="8" s="1"/>
  <c r="P95" i="1"/>
  <c r="P84" i="1"/>
  <c r="P87" i="1"/>
  <c r="P80" i="1"/>
  <c r="P92" i="1"/>
  <c r="P91" i="1"/>
  <c r="P86" i="1"/>
  <c r="P93" i="1"/>
  <c r="P88" i="1"/>
  <c r="P96" i="1"/>
  <c r="P83" i="1"/>
  <c r="P100" i="1"/>
  <c r="P78" i="1"/>
  <c r="P90" i="1"/>
  <c r="J62" i="1"/>
  <c r="H62" i="1"/>
  <c r="J51" i="1"/>
  <c r="H51" i="1"/>
  <c r="H60" i="1"/>
  <c r="J60" i="1"/>
  <c r="H39" i="1"/>
  <c r="J39" i="1"/>
  <c r="H55" i="1"/>
  <c r="J55" i="1"/>
  <c r="H20" i="1"/>
  <c r="J20" i="1"/>
  <c r="H75" i="1"/>
  <c r="J75" i="1"/>
  <c r="H74" i="1"/>
  <c r="J74" i="1"/>
  <c r="J46" i="1"/>
  <c r="H46" i="1"/>
  <c r="H65" i="1"/>
  <c r="J65" i="1"/>
  <c r="H43" i="1"/>
  <c r="J43" i="1"/>
  <c r="H57" i="1"/>
  <c r="J57" i="1"/>
  <c r="H34" i="1"/>
  <c r="J34" i="1"/>
  <c r="H12" i="1"/>
  <c r="J12" i="1"/>
  <c r="J42" i="1"/>
  <c r="H42" i="1"/>
  <c r="J50" i="1"/>
  <c r="H50" i="1"/>
  <c r="H72" i="1"/>
  <c r="J72" i="1"/>
  <c r="H52" i="1"/>
  <c r="J52" i="1"/>
  <c r="H63" i="1"/>
  <c r="J63" i="1"/>
  <c r="H32" i="1"/>
  <c r="J32" i="1"/>
  <c r="H64" i="1"/>
  <c r="J64" i="1"/>
  <c r="H23" i="1"/>
  <c r="J23" i="1"/>
  <c r="H17" i="1"/>
  <c r="J17" i="1"/>
  <c r="H14" i="1"/>
  <c r="J14" i="1"/>
  <c r="H37" i="1"/>
  <c r="J37" i="1"/>
  <c r="H58" i="1"/>
  <c r="J58" i="1"/>
  <c r="J29" i="1"/>
  <c r="H29" i="1"/>
  <c r="J27" i="1"/>
  <c r="H27" i="1"/>
  <c r="H66" i="1"/>
  <c r="J66" i="1"/>
  <c r="H38" i="1"/>
  <c r="J38" i="1"/>
  <c r="H54" i="1"/>
  <c r="J54" i="1"/>
  <c r="H56" i="1"/>
  <c r="J56" i="1"/>
  <c r="J11" i="1"/>
  <c r="H11" i="1"/>
  <c r="H35" i="1"/>
  <c r="J35" i="1"/>
  <c r="H18" i="1"/>
  <c r="J18" i="1"/>
  <c r="J6" i="1"/>
  <c r="H6" i="1"/>
  <c r="H25" i="1"/>
  <c r="J25" i="1"/>
  <c r="J5" i="1"/>
  <c r="H5" i="1"/>
  <c r="H19" i="1"/>
  <c r="J19" i="1"/>
  <c r="H13" i="1"/>
  <c r="J13" i="1"/>
  <c r="J47" i="1"/>
  <c r="H47" i="1"/>
  <c r="H22" i="1"/>
  <c r="J22" i="1"/>
  <c r="J49" i="1"/>
  <c r="H49" i="1"/>
  <c r="J10" i="1"/>
  <c r="H10" i="1"/>
  <c r="J67" i="1"/>
  <c r="H67" i="1"/>
  <c r="J26" i="1"/>
  <c r="H26" i="1"/>
  <c r="J68" i="1"/>
  <c r="H68" i="1"/>
  <c r="H24" i="1"/>
  <c r="J24" i="1"/>
  <c r="J9" i="1"/>
  <c r="H9" i="1"/>
  <c r="H33" i="1"/>
  <c r="J33" i="1"/>
  <c r="H59" i="1"/>
  <c r="J59" i="1"/>
  <c r="H31" i="1"/>
  <c r="J31" i="1"/>
  <c r="H40" i="1"/>
  <c r="J40" i="1"/>
  <c r="H15" i="1"/>
  <c r="J15" i="1"/>
  <c r="J45" i="1"/>
  <c r="H45" i="1"/>
  <c r="H44" i="1"/>
  <c r="J44" i="1"/>
  <c r="H76" i="1"/>
  <c r="J76" i="1"/>
  <c r="H73" i="1"/>
  <c r="J73" i="1"/>
  <c r="H16" i="1"/>
  <c r="J16" i="1"/>
  <c r="J71" i="1"/>
  <c r="H71" i="1"/>
  <c r="J7" i="1"/>
  <c r="H7" i="1"/>
  <c r="H21" i="1"/>
  <c r="J21" i="1"/>
  <c r="J70" i="1"/>
  <c r="H70" i="1"/>
  <c r="J30" i="1"/>
  <c r="H30" i="1"/>
  <c r="J48" i="1"/>
  <c r="H48" i="1"/>
  <c r="J28" i="1"/>
  <c r="H28" i="1"/>
  <c r="J8" i="1"/>
  <c r="H8" i="1"/>
  <c r="J41" i="1"/>
  <c r="H41" i="1"/>
  <c r="H36" i="1"/>
  <c r="J36" i="1"/>
  <c r="H61" i="1"/>
  <c r="J61" i="1"/>
  <c r="H53" i="1"/>
  <c r="J53" i="1"/>
  <c r="J69" i="1"/>
  <c r="H69" i="1"/>
  <c r="R17" i="1"/>
  <c r="O17" i="1" s="1"/>
  <c r="R49" i="1"/>
  <c r="O49" i="1" s="1"/>
  <c r="R20" i="1"/>
  <c r="O20" i="1" s="1"/>
  <c r="R40" i="1"/>
  <c r="O40" i="1" s="1"/>
  <c r="R60" i="1"/>
  <c r="O60" i="1" s="1"/>
  <c r="Q24" i="1"/>
  <c r="Q44" i="1"/>
  <c r="Q64" i="1"/>
  <c r="R21" i="1"/>
  <c r="O21" i="1" s="1"/>
  <c r="R41" i="1"/>
  <c r="O41" i="1" s="1"/>
  <c r="R61" i="1"/>
  <c r="O61" i="1" s="1"/>
  <c r="Q5" i="1"/>
  <c r="Q25" i="1"/>
  <c r="Q45" i="1"/>
  <c r="Q65" i="1"/>
  <c r="R65" i="1"/>
  <c r="O65" i="1" s="1"/>
  <c r="R66" i="1"/>
  <c r="O66" i="1" s="1"/>
  <c r="Q30" i="1"/>
  <c r="R47" i="1"/>
  <c r="O47" i="1" s="1"/>
  <c r="Q11" i="1"/>
  <c r="Q71" i="1"/>
  <c r="R68" i="1"/>
  <c r="O68" i="1" s="1"/>
  <c r="Q13" i="1"/>
  <c r="Q29" i="1"/>
  <c r="R26" i="1"/>
  <c r="O26" i="1" s="1"/>
  <c r="Q10" i="1"/>
  <c r="Q70" i="1"/>
  <c r="Q32" i="1"/>
  <c r="R69" i="1"/>
  <c r="O69" i="1" s="1"/>
  <c r="R22" i="1"/>
  <c r="O22" i="1" s="1"/>
  <c r="R42" i="1"/>
  <c r="O42" i="1" s="1"/>
  <c r="R62" i="1"/>
  <c r="O62" i="1" s="1"/>
  <c r="Q6" i="1"/>
  <c r="Q26" i="1"/>
  <c r="Q46" i="1"/>
  <c r="Q66" i="1"/>
  <c r="R24" i="1"/>
  <c r="O24" i="1" s="1"/>
  <c r="R64" i="1"/>
  <c r="O64" i="1" s="1"/>
  <c r="Q28" i="1"/>
  <c r="Q68" i="1"/>
  <c r="R5" i="1"/>
  <c r="O5" i="1" s="1"/>
  <c r="R45" i="1"/>
  <c r="O45" i="1" s="1"/>
  <c r="Q9" i="1"/>
  <c r="Q49" i="1"/>
  <c r="R46" i="1"/>
  <c r="O46" i="1" s="1"/>
  <c r="Q50" i="1"/>
  <c r="Q31" i="1"/>
  <c r="Q52" i="1"/>
  <c r="R23" i="1"/>
  <c r="O23" i="1" s="1"/>
  <c r="R43" i="1"/>
  <c r="O43" i="1" s="1"/>
  <c r="R63" i="1"/>
  <c r="O63" i="1" s="1"/>
  <c r="Q7" i="1"/>
  <c r="Q27" i="1"/>
  <c r="Q47" i="1"/>
  <c r="Q67" i="1"/>
  <c r="R44" i="1"/>
  <c r="O44" i="1" s="1"/>
  <c r="Q8" i="1"/>
  <c r="Q48" i="1"/>
  <c r="R25" i="1"/>
  <c r="O25" i="1" s="1"/>
  <c r="Q69" i="1"/>
  <c r="R6" i="1"/>
  <c r="O6" i="1" s="1"/>
  <c r="R27" i="1"/>
  <c r="O27" i="1" s="1"/>
  <c r="Q51" i="1"/>
  <c r="Q53" i="1"/>
  <c r="R10" i="1"/>
  <c r="O10" i="1" s="1"/>
  <c r="R30" i="1"/>
  <c r="O30" i="1" s="1"/>
  <c r="R50" i="1"/>
  <c r="O50" i="1" s="1"/>
  <c r="R70" i="1"/>
  <c r="O70" i="1" s="1"/>
  <c r="Q14" i="1"/>
  <c r="Q34" i="1"/>
  <c r="Q54" i="1"/>
  <c r="Q74" i="1"/>
  <c r="R11" i="1"/>
  <c r="O11" i="1" s="1"/>
  <c r="R31" i="1"/>
  <c r="O31" i="1" s="1"/>
  <c r="R51" i="1"/>
  <c r="O51" i="1" s="1"/>
  <c r="R71" i="1"/>
  <c r="O71" i="1" s="1"/>
  <c r="Q15" i="1"/>
  <c r="Q35" i="1"/>
  <c r="Q55" i="1"/>
  <c r="Q75" i="1"/>
  <c r="Q61" i="1"/>
  <c r="R18" i="1"/>
  <c r="O18" i="1" s="1"/>
  <c r="Q42" i="1"/>
  <c r="R19" i="1"/>
  <c r="O19" i="1" s="1"/>
  <c r="Q43" i="1"/>
  <c r="R12" i="1"/>
  <c r="O12" i="1" s="1"/>
  <c r="R32" i="1"/>
  <c r="O32" i="1" s="1"/>
  <c r="R52" i="1"/>
  <c r="O52" i="1" s="1"/>
  <c r="R72" i="1"/>
  <c r="O72" i="1" s="1"/>
  <c r="Q16" i="1"/>
  <c r="Q36" i="1"/>
  <c r="Q56" i="1"/>
  <c r="Q76" i="1"/>
  <c r="R35" i="1"/>
  <c r="O35" i="1" s="1"/>
  <c r="Q19" i="1"/>
  <c r="Q59" i="1"/>
  <c r="Q23" i="1"/>
  <c r="R67" i="1"/>
  <c r="O67" i="1" s="1"/>
  <c r="Q72" i="1"/>
  <c r="R9" i="1"/>
  <c r="O9" i="1" s="1"/>
  <c r="R13" i="1"/>
  <c r="O13" i="1" s="1"/>
  <c r="R33" i="1"/>
  <c r="O33" i="1" s="1"/>
  <c r="R53" i="1"/>
  <c r="O53" i="1" s="1"/>
  <c r="R73" i="1"/>
  <c r="O73" i="1" s="1"/>
  <c r="Q17" i="1"/>
  <c r="Q37" i="1"/>
  <c r="Q57" i="1"/>
  <c r="R75" i="1"/>
  <c r="O75" i="1" s="1"/>
  <c r="Q39" i="1"/>
  <c r="Q41" i="1"/>
  <c r="R7" i="1"/>
  <c r="O7" i="1" s="1"/>
  <c r="R28" i="1"/>
  <c r="O28" i="1" s="1"/>
  <c r="R29" i="1"/>
  <c r="O29" i="1" s="1"/>
  <c r="R14" i="1"/>
  <c r="O14" i="1" s="1"/>
  <c r="R34" i="1"/>
  <c r="O34" i="1" s="1"/>
  <c r="R54" i="1"/>
  <c r="O54" i="1" s="1"/>
  <c r="R74" i="1"/>
  <c r="O74" i="1" s="1"/>
  <c r="Q18" i="1"/>
  <c r="Q38" i="1"/>
  <c r="Q58" i="1"/>
  <c r="R15" i="1"/>
  <c r="O15" i="1" s="1"/>
  <c r="R55" i="1"/>
  <c r="O55" i="1" s="1"/>
  <c r="R37" i="1"/>
  <c r="O37" i="1" s="1"/>
  <c r="R58" i="1"/>
  <c r="O58" i="1" s="1"/>
  <c r="Q62" i="1"/>
  <c r="R39" i="1"/>
  <c r="O39" i="1" s="1"/>
  <c r="R48" i="1"/>
  <c r="O48" i="1" s="1"/>
  <c r="Q73" i="1"/>
  <c r="R16" i="1"/>
  <c r="O16" i="1" s="1"/>
  <c r="R36" i="1"/>
  <c r="O36" i="1" s="1"/>
  <c r="R56" i="1"/>
  <c r="O56" i="1" s="1"/>
  <c r="R76" i="1"/>
  <c r="O76" i="1" s="1"/>
  <c r="Q20" i="1"/>
  <c r="Q40" i="1"/>
  <c r="Q60" i="1"/>
  <c r="R57" i="1"/>
  <c r="O57" i="1" s="1"/>
  <c r="Q21" i="1"/>
  <c r="R38" i="1"/>
  <c r="O38" i="1" s="1"/>
  <c r="Q22" i="1"/>
  <c r="R59" i="1"/>
  <c r="O59" i="1" s="1"/>
  <c r="Q63" i="1"/>
  <c r="R8" i="1"/>
  <c r="O8" i="1" s="1"/>
  <c r="Q12" i="1"/>
  <c r="Q33" i="1"/>
  <c r="P40" i="1" l="1"/>
  <c r="P48" i="1"/>
  <c r="P37" i="1"/>
  <c r="P20" i="1"/>
  <c r="P22" i="1"/>
  <c r="P8" i="1"/>
  <c r="P18" i="1"/>
  <c r="P59" i="1"/>
  <c r="P9" i="1"/>
  <c r="P65" i="1"/>
  <c r="P47" i="1"/>
  <c r="P33" i="1"/>
  <c r="P38" i="1"/>
  <c r="P15" i="1"/>
  <c r="P27" i="1"/>
  <c r="P45" i="1"/>
  <c r="P55" i="1"/>
  <c r="P13" i="1"/>
  <c r="P5" i="1"/>
  <c r="P25" i="1"/>
  <c r="P51" i="1"/>
  <c r="P31" i="1"/>
  <c r="P68" i="1"/>
  <c r="P49" i="1"/>
  <c r="P6" i="1"/>
  <c r="P17" i="1"/>
  <c r="P54" i="1"/>
  <c r="P67" i="1"/>
  <c r="P64" i="1"/>
  <c r="P34" i="1"/>
  <c r="P76" i="1"/>
  <c r="P24" i="1"/>
  <c r="P63" i="1"/>
  <c r="P21" i="1"/>
  <c r="P36" i="1"/>
  <c r="P28" i="1"/>
  <c r="P7" i="1"/>
  <c r="P61" i="1"/>
  <c r="P11" i="1"/>
  <c r="P35" i="1"/>
  <c r="P32" i="1"/>
  <c r="P39" i="1"/>
  <c r="P57" i="1"/>
  <c r="P29" i="1"/>
  <c r="P41" i="1"/>
  <c r="P16" i="1"/>
  <c r="P72" i="1"/>
  <c r="P23" i="1"/>
  <c r="P69" i="1"/>
  <c r="P14" i="1"/>
  <c r="P62" i="1"/>
  <c r="P43" i="1"/>
  <c r="P75" i="1"/>
  <c r="P52" i="1"/>
  <c r="P70" i="1"/>
  <c r="P66" i="1"/>
  <c r="P50" i="1"/>
  <c r="P74" i="1"/>
  <c r="P42" i="1"/>
  <c r="P12" i="1"/>
  <c r="P30" i="1"/>
  <c r="P71" i="1"/>
  <c r="P56" i="1"/>
  <c r="P10" i="1"/>
  <c r="P46" i="1"/>
  <c r="P26" i="1"/>
  <c r="P60" i="1"/>
  <c r="P44" i="1"/>
  <c r="P58" i="1"/>
  <c r="P73" i="1"/>
  <c r="P19" i="1"/>
  <c r="P53" i="1"/>
  <c r="K5" i="8"/>
  <c r="D5" i="8" s="1"/>
  <c r="K8" i="8"/>
  <c r="K7" i="8"/>
  <c r="U7" i="8" s="1"/>
  <c r="K6" i="8"/>
  <c r="AC9" i="7"/>
  <c r="AC10" i="7"/>
  <c r="AC8" i="7"/>
  <c r="G6" i="8" l="1"/>
  <c r="R7" i="8"/>
  <c r="O7" i="8" s="1"/>
  <c r="O8" i="8"/>
  <c r="H8" i="8"/>
  <c r="R5" i="8"/>
  <c r="O5" i="8" s="1"/>
  <c r="Q6" i="8"/>
  <c r="R6" i="8"/>
  <c r="O6" i="8" s="1"/>
  <c r="Q7" i="8"/>
  <c r="T6" i="8"/>
  <c r="R8" i="8"/>
  <c r="G8" i="8"/>
  <c r="E8" i="8"/>
  <c r="L8" i="8"/>
  <c r="D8" i="8"/>
  <c r="I8" i="8"/>
  <c r="S8" i="8"/>
  <c r="N8" i="8"/>
  <c r="U8" i="8"/>
  <c r="T8" i="8"/>
  <c r="B8" i="8"/>
  <c r="C8" i="8"/>
  <c r="M8" i="8"/>
  <c r="F8" i="8"/>
  <c r="Q8" i="8"/>
  <c r="M5" i="8"/>
  <c r="M7" i="8"/>
  <c r="S7" i="8"/>
  <c r="F7" i="8"/>
  <c r="L7" i="8"/>
  <c r="G7" i="8"/>
  <c r="F6" i="8"/>
  <c r="N5" i="8"/>
  <c r="C7" i="8"/>
  <c r="G5" i="8"/>
  <c r="B7" i="8"/>
  <c r="E6" i="8"/>
  <c r="C5" i="8"/>
  <c r="U6" i="8"/>
  <c r="B5" i="8"/>
  <c r="D6" i="8"/>
  <c r="L5" i="8"/>
  <c r="N6" i="8"/>
  <c r="I5" i="8"/>
  <c r="S6" i="8"/>
  <c r="T5" i="8"/>
  <c r="E7" i="8"/>
  <c r="U5" i="8"/>
  <c r="I7" i="8"/>
  <c r="I6" i="8"/>
  <c r="D7" i="8"/>
  <c r="Q5" i="8"/>
  <c r="E5" i="8"/>
  <c r="S5" i="8"/>
  <c r="B6" i="8"/>
  <c r="N7" i="8"/>
  <c r="C6" i="8"/>
  <c r="F5" i="8"/>
  <c r="L6" i="8"/>
  <c r="T7" i="8"/>
  <c r="M6" i="8"/>
  <c r="H7" i="8" l="1"/>
  <c r="P7" i="8" s="1"/>
  <c r="H5" i="8"/>
  <c r="P5" i="8" s="1"/>
  <c r="J5" i="8"/>
  <c r="H6" i="8"/>
  <c r="P6" i="8" s="1"/>
  <c r="P8" i="8"/>
  <c r="J8" i="8"/>
  <c r="J6" i="8"/>
  <c r="J7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<sst xmlns="http://schemas.openxmlformats.org/spreadsheetml/2006/main" count="866" uniqueCount="180">
  <si>
    <t>charge_price</t>
  </si>
  <si>
    <t>170000000000000101</t>
  </si>
  <si>
    <t>tariff</t>
  </si>
  <si>
    <t>180000000000000001</t>
  </si>
  <si>
    <t>090000000000180001</t>
  </si>
  <si>
    <t>180000000000000002</t>
  </si>
  <si>
    <t>170000000000000201</t>
  </si>
  <si>
    <t>charge_code</t>
  </si>
  <si>
    <t>charge_type</t>
  </si>
  <si>
    <t>charge_owner_id</t>
  </si>
  <si>
    <t>metering_point_id</t>
  </si>
  <si>
    <t>quantity</t>
  </si>
  <si>
    <t>resolution</t>
  </si>
  <si>
    <t>is_tax</t>
  </si>
  <si>
    <t>fee</t>
  </si>
  <si>
    <t>subscription</t>
  </si>
  <si>
    <t>PT1H</t>
  </si>
  <si>
    <t>E17</t>
  </si>
  <si>
    <t>D01</t>
  </si>
  <si>
    <t>PT15M</t>
  </si>
  <si>
    <t>E18</t>
  </si>
  <si>
    <t>D07</t>
  </si>
  <si>
    <t>E02</t>
  </si>
  <si>
    <t>D09</t>
  </si>
  <si>
    <t>E20</t>
  </si>
  <si>
    <t>170000000150001000</t>
  </si>
  <si>
    <t>180000000150001000</t>
  </si>
  <si>
    <t>070000000000170201</t>
  </si>
  <si>
    <t>170000000000000102</t>
  </si>
  <si>
    <t>200000000000000001</t>
  </si>
  <si>
    <t>type</t>
  </si>
  <si>
    <t>calculation_type</t>
  </si>
  <si>
    <t>settlement_method</t>
  </si>
  <si>
    <t>grid_area_code</t>
  </si>
  <si>
    <t>from_grid_area_code</t>
  </si>
  <si>
    <t>to_grid_area_code</t>
  </si>
  <si>
    <t>parent_metering_point_id</t>
  </si>
  <si>
    <t>energy_supplier_id</t>
  </si>
  <si>
    <t>1000000000000</t>
  </si>
  <si>
    <t>2000000000000</t>
  </si>
  <si>
    <t>3000000000000</t>
  </si>
  <si>
    <t>4000000000000</t>
  </si>
  <si>
    <t>1100000000000</t>
  </si>
  <si>
    <t>2200000000000</t>
  </si>
  <si>
    <t>3300000000000</t>
  </si>
  <si>
    <t>4400000000000</t>
  </si>
  <si>
    <t>metering_point_type</t>
  </si>
  <si>
    <t>price</t>
  </si>
  <si>
    <t>amount</t>
  </si>
  <si>
    <t>MP type mapping</t>
  </si>
  <si>
    <t>consumption</t>
  </si>
  <si>
    <t>production</t>
  </si>
  <si>
    <t>own_production</t>
  </si>
  <si>
    <t>consumption_from_grid</t>
  </si>
  <si>
    <t>Settlement method mapping</t>
  </si>
  <si>
    <t>flex</t>
  </si>
  <si>
    <t>non_profiled</t>
  </si>
  <si>
    <t>1</t>
  </si>
  <si>
    <t>quality</t>
  </si>
  <si>
    <t>observation_time</t>
  </si>
  <si>
    <t>measured</t>
  </si>
  <si>
    <t>charge_time</t>
  </si>
  <si>
    <t>2023-02-01 23:00:00.000000</t>
  </si>
  <si>
    <t>2023-02-02 23:00:00.000000</t>
  </si>
  <si>
    <t>2023-01-31 23:00:00.000000</t>
  </si>
  <si>
    <t>2023-02-01 02:00:00.000000</t>
  </si>
  <si>
    <t>2023-02-01 02:00:00</t>
  </si>
  <si>
    <t>2023-02-01 02:15:00</t>
  </si>
  <si>
    <t>2023-02-01 02:30:00</t>
  </si>
  <si>
    <t>2023-02-01 02:45:00</t>
  </si>
  <si>
    <t>charge_time_shortened</t>
  </si>
  <si>
    <t>Aggregations</t>
  </si>
  <si>
    <t>quantity_qualities</t>
  </si>
  <si>
    <t>time</t>
  </si>
  <si>
    <t>exchange</t>
  </si>
  <si>
    <t>hour</t>
  </si>
  <si>
    <t>quantity_unit</t>
  </si>
  <si>
    <t>false</t>
  </si>
  <si>
    <t>P1M</t>
  </si>
  <si>
    <t>tariff-hourly-4-co_is_tax</t>
  </si>
  <si>
    <t>from_date</t>
  </si>
  <si>
    <t>to_date</t>
  </si>
  <si>
    <t>6660000000666</t>
  </si>
  <si>
    <t>true</t>
  </si>
  <si>
    <t>calculation_id</t>
  </si>
  <si>
    <t>calculation_execution_time_start</t>
  </si>
  <si>
    <t>calculation_result_id</t>
  </si>
  <si>
    <t>amount_type</t>
  </si>
  <si>
    <t>0b15a420-9fc8-409a-a169-fbd49479d718</t>
  </si>
  <si>
    <t>wholesale_fixing</t>
  </si>
  <si>
    <t>2024-01-01 23:00:00</t>
  </si>
  <si>
    <t>2023-02-03 02:00:00.000000</t>
  </si>
  <si>
    <t>2023-02-03 02:00:00</t>
  </si>
  <si>
    <t>OutputCombination</t>
  </si>
  <si>
    <t>fee-1</t>
  </si>
  <si>
    <t>fee-2</t>
  </si>
  <si>
    <t>fee-3</t>
  </si>
  <si>
    <t>subscription-1</t>
  </si>
  <si>
    <t>subscription-2</t>
  </si>
  <si>
    <t>subscription-3</t>
  </si>
  <si>
    <t>tariff-hourly-1</t>
  </si>
  <si>
    <t>tariff-hourly-2</t>
  </si>
  <si>
    <t>tariff-hourly-3</t>
  </si>
  <si>
    <t>tariff-daily-1</t>
  </si>
  <si>
    <t>tariff-daily-2</t>
  </si>
  <si>
    <t>tariff-daily-3-co_is_tax</t>
  </si>
  <si>
    <t>0000000000800</t>
  </si>
  <si>
    <t>P1D</t>
  </si>
  <si>
    <t>null</t>
  </si>
  <si>
    <t>tariff-daily-4-co_is_not_tax</t>
  </si>
  <si>
    <t>800</t>
  </si>
  <si>
    <t>801</t>
  </si>
  <si>
    <t>180000000000000111</t>
  </si>
  <si>
    <t>111</t>
  </si>
  <si>
    <t>170000000000000111</t>
  </si>
  <si>
    <t>balance_responsible_party_id</t>
  </si>
  <si>
    <t>2016-12-31 23:00:00</t>
  </si>
  <si>
    <t>2.5</t>
  </si>
  <si>
    <t>quantity_quantified</t>
  </si>
  <si>
    <t>grid_areas:</t>
  </si>
  <si>
    <t>2023-02-01 23:00:00</t>
  </si>
  <si>
    <t>2023-02-02 23:00:00</t>
  </si>
  <si>
    <t xml:space="preserve">  calculation_type:</t>
  </si>
  <si>
    <t xml:space="preserve">  calculation_execution_time_start:</t>
  </si>
  <si>
    <t xml:space="preserve">  period_end: </t>
  </si>
  <si>
    <t xml:space="preserve">  period_start: </t>
  </si>
  <si>
    <t xml:space="preserve">  created_by_user_id: </t>
  </si>
  <si>
    <t>2023-01-31 23:00:00</t>
  </si>
  <si>
    <t>2023-02-03 23:00:00</t>
  </si>
  <si>
    <t>00000000-0000-0000-00000000000000001</t>
  </si>
  <si>
    <t>mapped</t>
  </si>
  <si>
    <t>Mapped</t>
  </si>
  <si>
    <t>2</t>
  </si>
  <si>
    <t>2023-02-04 23:00:00</t>
  </si>
  <si>
    <t>2019-06-06 23:00:00</t>
  </si>
  <si>
    <t>2023-02-20 23:00:00</t>
  </si>
  <si>
    <t>0.908602</t>
  </si>
  <si>
    <t>0.001</t>
  </si>
  <si>
    <t>charge_price_quantified</t>
  </si>
  <si>
    <t>20</t>
  </si>
  <si>
    <t>30</t>
  </si>
  <si>
    <t>3</t>
  </si>
  <si>
    <t>10</t>
  </si>
  <si>
    <t>7.654321</t>
  </si>
  <si>
    <t>666.666666</t>
  </si>
  <si>
    <t>5</t>
  </si>
  <si>
    <t>3.357</t>
  </si>
  <si>
    <t>40.159</t>
  </si>
  <si>
    <t>100000</t>
  </si>
  <si>
    <t>ga</t>
  </si>
  <si>
    <t>180000000000001111</t>
  </si>
  <si>
    <t>170000000000001111</t>
  </si>
  <si>
    <t>200000000000000111</t>
  </si>
  <si>
    <t>112</t>
  </si>
  <si>
    <t>tariff-hourly-2--0000000000800--4000000000000--production--800</t>
  </si>
  <si>
    <t>es</t>
  </si>
  <si>
    <t>Charge_resolution</t>
  </si>
  <si>
    <t>Date range - hour by hour</t>
  </si>
  <si>
    <t>Date range - day by day</t>
  </si>
  <si>
    <t>tariff-daily-1--0000000000800--2000000000000--production--111</t>
  </si>
  <si>
    <t>day</t>
  </si>
  <si>
    <t>grid_area</t>
  </si>
  <si>
    <t>charge_time_day</t>
  </si>
  <si>
    <t>Select tariff:</t>
  </si>
  <si>
    <t xml:space="preserve">  calculation_id:</t>
  </si>
  <si>
    <t>Calculation Arguments:</t>
  </si>
  <si>
    <t>Limitations</t>
  </si>
  <si>
    <t>Does not calculate grid loss - if your GLMP/SKMP has tariffs, these will not be properly calculated and aggregated</t>
  </si>
  <si>
    <t xml:space="preserve">Does  not account for charge elements or charge links stopping in calculation period. E.g. it is assumed that price element and charge links exists for all of calculation period. </t>
  </si>
  <si>
    <t>Does not properly assess quantity_qualities (can only distinguish between 'missing' and 'measured')</t>
  </si>
  <si>
    <t>Hvilkemålepunkter har den har charge element?</t>
  </si>
  <si>
    <t>2023-02-02 02:00:00</t>
  </si>
  <si>
    <t>2023-01-31</t>
  </si>
  <si>
    <t>2023-02-01</t>
  </si>
  <si>
    <t>2023-02-02</t>
  </si>
  <si>
    <t>Day1</t>
  </si>
  <si>
    <t>Day2</t>
  </si>
  <si>
    <t>Day3</t>
  </si>
  <si>
    <t>Day4</t>
  </si>
  <si>
    <t>whichday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</si>
</sst>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/mm/dd\ hh:mm:ss"/>
    <numFmt numFmtId="165" formatCode="0.000"/>
    <numFmt numFmtId="166" formatCode="0.000000"/>
    <numFmt numFmtId="167" formatCode="yyyy/mm/dd;@"/>
    <numFmt numFmtId="168" formatCode="yyyy/mm/dd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3" borderId="0" xfId="0" applyNumberFormat="1" applyFill="1"/>
    <xf numFmtId="165" fontId="0" fillId="2" borderId="0" xfId="0" applyNumberFormat="1" applyFill="1"/>
    <xf numFmtId="0" fontId="3" fillId="2" borderId="0" xfId="0" applyFont="1" applyFill="1"/>
    <xf numFmtId="166" fontId="3" fillId="2" borderId="0" xfId="0" applyNumberFormat="1" applyFont="1" applyFill="1"/>
    <xf numFmtId="164" fontId="3" fillId="2" borderId="0" xfId="0" applyNumberFormat="1" applyFont="1" applyFill="1"/>
    <xf numFmtId="49" fontId="0" fillId="2" borderId="0" xfId="0" applyNumberFormat="1" applyFill="1"/>
    <xf numFmtId="0" fontId="4" fillId="2" borderId="0" xfId="0" applyFont="1" applyFill="1"/>
    <xf numFmtId="0" fontId="4" fillId="4" borderId="0" xfId="0" applyFont="1" applyFill="1"/>
    <xf numFmtId="165" fontId="4" fillId="4" borderId="0" xfId="0" applyNumberFormat="1" applyFont="1" applyFill="1"/>
    <xf numFmtId="0" fontId="5" fillId="2" borderId="0" xfId="0" applyFont="1" applyFill="1"/>
    <xf numFmtId="0" fontId="6" fillId="2" borderId="0" xfId="0" applyFont="1" applyFill="1"/>
    <xf numFmtId="0" fontId="0" fillId="4" borderId="0" xfId="0" applyFill="1"/>
    <xf numFmtId="165" fontId="0" fillId="4" borderId="0" xfId="0" applyNumberFormat="1" applyFill="1"/>
    <xf numFmtId="0" fontId="2" fillId="2" borderId="1" xfId="0" applyFont="1" applyFill="1" applyBorder="1"/>
    <xf numFmtId="14" fontId="0" fillId="2" borderId="0" xfId="0" applyNumberFormat="1" applyFill="1"/>
    <xf numFmtId="167" fontId="0" fillId="2" borderId="0" xfId="0" applyNumberFormat="1" applyFill="1"/>
    <xf numFmtId="49" fontId="0" fillId="3" borderId="1" xfId="0" applyNumberFormat="1" applyFill="1" applyBorder="1"/>
    <xf numFmtId="0" fontId="0" fillId="3" borderId="1" xfId="0" applyFill="1" applyBorder="1"/>
    <xf numFmtId="0" fontId="0" fillId="3" borderId="0" xfId="0" applyFill="1"/>
    <xf numFmtId="0" fontId="7" fillId="2" borderId="0" xfId="0" applyFont="1" applyFill="1"/>
    <xf numFmtId="168" fontId="3" fillId="2" borderId="0" xfId="0" applyNumberFormat="1" applyFont="1" applyFill="1"/>
    <xf numFmtId="49" fontId="5" fillId="3" borderId="2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5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100">
    <dxf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164" formatCode="yyyy/mm/dd\ hh:mm:ss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166" formatCode="0.000000"/>
      <fill>
        <patternFill>
          <fgColor indexed="64"/>
          <bgColor theme="0" tint="-4.9989318521683403E-2"/>
        </patternFill>
      </fill>
    </dxf>
    <dxf>
      <numFmt numFmtId="164" formatCode="yyyy/mm/dd\ hh:mm:ss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/mm/dd\ hh:mm:ss"/>
    </dxf>
    <dxf>
      <numFmt numFmtId="164" formatCode="yyyy/mm/dd\ hh:mm:ss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>
          <fgColor indexed="64"/>
          <bgColor theme="0" tint="-4.9989318521683403E-2"/>
        </patternFill>
      </fill>
    </dxf>
    <dxf>
      <numFmt numFmtId="165" formatCode="0.000"/>
      <fill>
        <patternFill>
          <fgColor indexed="64"/>
          <bgColor theme="0" tint="-4.9989318521683403E-2"/>
        </patternFill>
      </fill>
    </dxf>
    <dxf>
      <numFmt numFmtId="30" formatCode="@"/>
    </dxf>
    <dxf>
      <numFmt numFmtId="30" formatCode="@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165" formatCode="0.000"/>
      <fill>
        <patternFill patternType="solid">
          <fgColor indexed="64"/>
          <bgColor rgb="FFFFFFCC"/>
        </patternFill>
      </fill>
    </dxf>
    <dxf>
      <numFmt numFmtId="165" formatCode="0.000"/>
      <fill>
        <patternFill patternType="solid">
          <fgColor indexed="64"/>
          <bgColor rgb="FFFFFFCC"/>
        </patternFill>
      </fill>
    </dxf>
    <dxf>
      <numFmt numFmtId="165" formatCode="0.000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30" formatCode="@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C1F9529-110B-40F9-8C26-ABDA713BFD15}" name="OutPut10" displayName="OutPut10" ref="B4:U8" totalsRowShown="0" headerRowDxfId="99" dataDxfId="98">
  <autoFilter ref="B4:U8" xr:uid="{D2FF87A6-8F25-416A-AF7A-DA3500DDFC40}"/>
  <tableColumns count="20">
    <tableColumn id="17" xr3:uid="{940A16E7-F84C-4270-B1A9-57FBF6F2994B}" name="calculation_id" dataDxfId="97">
      <calculatedColumnFormula>IF(OutPut10[[#This Row],[time]]="","",'Config and arguments'!C$2)</calculatedColumnFormula>
    </tableColumn>
    <tableColumn id="18" xr3:uid="{6EE4D5AC-3136-4CFB-96B5-508251133DF0}" name="calculation_type" dataDxfId="96">
      <calculatedColumnFormula>IF(OutPut10[[#This Row],[time]]="","",'Config and arguments'!C$5)</calculatedColumnFormula>
    </tableColumn>
    <tableColumn id="19" xr3:uid="{C21B7ED5-A5B4-4A4B-83CF-13E86DA51D9B}" name="calculation_execution_time_start" dataDxfId="95">
      <calculatedColumnFormula>IF(OutPut10[[#This Row],[time]]="","",'Config and arguments'!C$6)</calculatedColumnFormula>
    </tableColumn>
    <tableColumn id="20" xr3:uid="{726B2AD0-3C52-4881-9A1E-39F084A8516A}" name="calculation_result_id" dataDxfId="94">
      <calculatedColumnFormula>IF(OutPut10[[#This Row],[time]]="","","IGNORED")</calculatedColumnFormula>
    </tableColumn>
    <tableColumn id="2" xr3:uid="{BC71DDD9-BD82-458C-8818-3422A0CA67E1}" name="grid_area_code" dataDxfId="93">
      <calculatedColumnFormula>IF(OutPut10[[#This Row],[time]]="","",G$3)</calculatedColumnFormula>
    </tableColumn>
    <tableColumn id="3" xr3:uid="{C7B284DD-6E01-4FF2-98DD-0C68007ED9C4}" name="energy_supplier_id" dataDxfId="92">
      <calculatedColumnFormula>IF(OutPut10[[#This Row],[time]]="","",$E$3)</calculatedColumnFormula>
    </tableColumn>
    <tableColumn id="4" xr3:uid="{BB70289C-E05D-4CBF-8163-BCB1670CB7B4}" name="quantity" dataDxfId="91">
      <calculatedColumnFormula>IF(OutPut10[[#This Row],[time]]="","",SUBSTITUTE(SUMIFS(TimeSeriesPoints[quantity_quantified],TimeSeriesPoints[metering_point_type],OutPut10[[#This Row],[metering_point_type]],TimeSeriesPoints[settlement_method],OutPut10[[#This Row],[settlement_method]],TimeSeriesPoints[day],K6,TimeSeriesPoints[grid_area],OutPut10[[#This Row],[grid_area_code]],TimeSeriesPoints[es],E$3),",","."))</calculatedColumnFormula>
    </tableColumn>
    <tableColumn id="5" xr3:uid="{9BC4E831-16AB-4A9C-A05C-41C9B8BCA61B}" name="quantity_unit" dataDxfId="90">
      <calculatedColumnFormula>IF(OutPut10[[#This Row],[time]]="","","kWh")</calculatedColumnFormula>
    </tableColumn>
    <tableColumn id="6" xr3:uid="{5E508F52-F245-4252-A053-3A4CF96A1E64}" name="quantity_qualities" dataDxfId="89">
      <calculatedColumnFormula>IF(OutPut10[[#This Row],[time]]="","",IF(SUMIFS(TimeSeriesPoints[quantity_quantified],TimeSeriesPoints[metering_point_type],OutPut10[[#This Row],[metering_point_type]],TimeSeriesPoints[settlement_method],OutPut10[[#This Row],[settlement_method]],TimeSeriesPoints[es],OutPut10[[#This Row],[energy_supplier_id]],TimeSeriesPoints[hour],OutPut10[[#This Row],[time]])&gt;0,"['measured']","['missing']"))</calculatedColumnFormula>
    </tableColumn>
    <tableColumn id="7" xr3:uid="{09DDC3DF-BD86-4667-82E3-A93BC5449F84}" name="time" dataDxfId="88">
      <calculatedColumnFormula>'Config and arguments'!AC3</calculatedColumnFormula>
    </tableColumn>
    <tableColumn id="8" xr3:uid="{A90DE32A-2A31-4C61-9DBB-EF94C4547149}" name="resolution" dataDxfId="87">
      <calculatedColumnFormula>IF(OutPut10[[#This Row],[time]]="","","PT1H")</calculatedColumnFormula>
    </tableColumn>
    <tableColumn id="9" xr3:uid="{9004D9C9-21EC-45BA-9606-EB0F82E2D0B0}" name="metering_point_type" dataDxfId="86">
      <calculatedColumnFormula>IF(OutPut10[[#This Row],[time]]="","",$F$3)</calculatedColumnFormula>
    </tableColumn>
    <tableColumn id="10" xr3:uid="{9687C2B3-5DA9-4486-9B8D-0594A95BB9D3}" name="settlement_method" dataDxfId="85">
      <calculatedColumnFormula>IF(OutPut10[[#This Row],[time]]="","",IF($H$3="","",$H$3))</calculatedColumnFormula>
    </tableColumn>
    <tableColumn id="11" xr3:uid="{32A90718-8212-4196-9024-26AA9AD07D21}" name="price" dataDxfId="84">
      <calculatedColumnFormula>IF(OutPut10[[#This Row],[time]]="","",IF(SUMIFS(ChargePricePoints[charge_price_quantified],ChargePricePoints[charge_time_day],OutPut10[[#This Row],[time]],ChargePricePoints[charge_code],OutPut10[[#This Row],[charge_code]])=0,"",SUBSTITUTE(SUMIFS(ChargePricePoints[charge_price_quantified],ChargePricePoints[charge_time_day],OutPut10[[#This Row],[time]],ChargePricePoints[charge_code],OutPut10[[#This Row],[charge_code]]),",",".")))</calculatedColumnFormula>
    </tableColumn>
    <tableColumn id="12" xr3:uid="{BD375783-A03A-49F3-877C-6BBFC098DC79}" name="amount" dataDxfId="83">
      <calculatedColumnFormula>IFERROR(SUBSTITUTE(SUBSTITUTE(OutPut10[[#This Row],[price]],".",",")*SUBSTITUTE(OutPut10[[#This Row],[quantity]],".",","),",","."),"")</calculatedColumnFormula>
    </tableColumn>
    <tableColumn id="13" xr3:uid="{89F57AB7-40BD-42BE-89B4-ECEB2C36D1FF}" name="is_tax" dataDxfId="82">
      <calculatedColumnFormula>IF(OutPut10[[#This Row],[time]]="","",VLOOKUP(C$3,ChargePriceInformationPeriods[],5,FALSE))</calculatedColumnFormula>
    </tableColumn>
    <tableColumn id="14" xr3:uid="{646C9EED-02AB-4F33-B2CA-7ED3272E9FD1}" name="charge_code" dataDxfId="81">
      <calculatedColumnFormula>IF(OutPut10[[#This Row],[time]]="","",$C$3)</calculatedColumnFormula>
    </tableColumn>
    <tableColumn id="15" xr3:uid="{2124DB4B-D05E-4FF3-B11A-3C2CD2DB489F}" name="charge_type" dataDxfId="80">
      <calculatedColumnFormula>IF(OutPut10[[#This Row],[time]]="","","tariff")</calculatedColumnFormula>
    </tableColumn>
    <tableColumn id="16" xr3:uid="{E3ACC620-F20E-489D-83FF-8FAB25088A35}" name="charge_owner_id" dataDxfId="79">
      <calculatedColumnFormula>IF(OutPut10[[#This Row],[time]]="","",$D$3)</calculatedColumnFormula>
    </tableColumn>
    <tableColumn id="1" xr3:uid="{4E6498E7-69CC-46BD-AAC2-4F8C3C54B573}" name="amount_type" dataDxfId="78">
      <calculatedColumnFormula>IF(OutPut10[[#This Row],[time]]="","","amount_per_charge")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FF87A6-8F25-416A-AF7A-DA3500DDFC40}" name="OutPut" displayName="OutPut" ref="B4:U100" totalsRowShown="0" headerRowDxfId="77" dataDxfId="76">
  <autoFilter ref="B4:U100" xr:uid="{D2FF87A6-8F25-416A-AF7A-DA3500DDFC40}"/>
  <tableColumns count="20">
    <tableColumn id="17" xr3:uid="{F4A59025-41CA-47AD-952B-2428959E8A50}" name="calculation_id" dataDxfId="75">
      <calculatedColumnFormula>IF(OutPut[[#This Row],[time]]="","",'Config and arguments'!C$2)</calculatedColumnFormula>
    </tableColumn>
    <tableColumn id="18" xr3:uid="{F095173D-E1DC-4697-B288-D95D5945D253}" name="calculation_type" dataDxfId="74">
      <calculatedColumnFormula>IF(OutPut[[#This Row],[time]]="","",'Config and arguments'!C$5)</calculatedColumnFormula>
    </tableColumn>
    <tableColumn id="19" xr3:uid="{2C01FBCF-AEED-47E5-874A-D9CB2BD9D409}" name="calculation_execution_time_start" dataDxfId="73">
      <calculatedColumnFormula>IF(OutPut[[#This Row],[time]]="","",'Config and arguments'!C$6)</calculatedColumnFormula>
    </tableColumn>
    <tableColumn id="20" xr3:uid="{37341BB6-4D32-46E1-825A-6DF5D1A0D770}" name="calculation_result_id" dataDxfId="72">
      <calculatedColumnFormula>IF(OutPut[[#This Row],[time]]="","","IGNORED")</calculatedColumnFormula>
    </tableColumn>
    <tableColumn id="2" xr3:uid="{0DDB3581-9EFD-4CD5-A5E4-AA25CC64A8EA}" name="grid_area_code" dataDxfId="71">
      <calculatedColumnFormula>IF(OutPut[[#This Row],[time]]="","",G$3)</calculatedColumnFormula>
    </tableColumn>
    <tableColumn id="3" xr3:uid="{9ECD4A31-B204-4AAA-BCE0-A55479D4D6F9}" name="energy_supplier_id" dataDxfId="70">
      <calculatedColumnFormula>IF(OutPut[[#This Row],[time]]="","",$E$3)</calculatedColumnFormula>
    </tableColumn>
    <tableColumn id="4" xr3:uid="{08094514-49A8-4D25-A69E-A75EB3232592}" name="quantity" dataDxfId="69">
      <calculatedColumnFormula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calculatedColumnFormula>
    </tableColumn>
    <tableColumn id="5" xr3:uid="{88D10A42-9475-42BD-ADCA-A3FFA72BC973}" name="quantity_unit" dataDxfId="68">
      <calculatedColumnFormula>IF(OutPut[[#This Row],[time]]="","","kWh")</calculatedColumnFormula>
    </tableColumn>
    <tableColumn id="6" xr3:uid="{A3DD608C-4E56-40B0-B1F7-95AC815014A7}" name="quantity_qualities" dataDxfId="67">
      <calculatedColumnFormula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calculatedColumnFormula>
    </tableColumn>
    <tableColumn id="7" xr3:uid="{FBD9FA55-93F5-4E1A-96F5-ED949010179F}" name="time" dataDxfId="66">
      <calculatedColumnFormula>'Config and arguments'!AB3</calculatedColumnFormula>
    </tableColumn>
    <tableColumn id="8" xr3:uid="{9932B718-7F22-4D96-BEE4-F0152DC66C3C}" name="resolution" dataDxfId="65">
      <calculatedColumnFormula>IF(OutPut[[#This Row],[time]]="","","PT1H")</calculatedColumnFormula>
    </tableColumn>
    <tableColumn id="9" xr3:uid="{E64C45EC-3ECC-46FF-85E7-A6E4C66A6B05}" name="metering_point_type" dataDxfId="64">
      <calculatedColumnFormula>IF(OutPut[[#This Row],[time]]="","",$F$3)</calculatedColumnFormula>
    </tableColumn>
    <tableColumn id="10" xr3:uid="{0EF4D2F5-DCAF-46F8-9394-603FD6C1F55C}" name="settlement_method" dataDxfId="63">
      <calculatedColumnFormula>IF(OutPut[[#This Row],[time]]="","",IF($H$3="","",$H$3))</calculatedColumnFormula>
    </tableColumn>
    <tableColumn id="11" xr3:uid="{DBC31B41-AB04-4AC3-9F13-BFC4F3EEAA92}" name="price" dataDxfId="62">
      <calculatedColumnFormula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calculatedColumnFormula>
    </tableColumn>
    <tableColumn id="12" xr3:uid="{D1E8A453-6F3B-41B3-A143-A8DCE8CA5BCA}" name="amount" dataDxfId="61">
      <calculatedColumnFormula>IFERROR(SUBSTITUTE(SUBSTITUTE(OutPut[[#This Row],[price]],".",",")*SUBSTITUTE(OutPut[[#This Row],[quantity]],".",","),",","."),"")</calculatedColumnFormula>
    </tableColumn>
    <tableColumn id="13" xr3:uid="{1EB903FD-EE7B-4893-8B3E-F5CD1AE80C04}" name="is_tax" dataDxfId="60">
      <calculatedColumnFormula>IF(OutPut[[#This Row],[time]]="","",VLOOKUP(C$3,ChargePriceInformationPeriods[],5,FALSE))</calculatedColumnFormula>
    </tableColumn>
    <tableColumn id="14" xr3:uid="{6EA78CDA-CA22-44EA-8F2B-84698D2E2563}" name="charge_code" dataDxfId="59">
      <calculatedColumnFormula>IF(OutPut[[#This Row],[time]]="","",$C$3)</calculatedColumnFormula>
    </tableColumn>
    <tableColumn id="15" xr3:uid="{736A1B4A-102F-483A-AA11-B763F06372FC}" name="charge_type" dataDxfId="58">
      <calculatedColumnFormula>IF(OutPut[[#This Row],[time]]="","","tariff")</calculatedColumnFormula>
    </tableColumn>
    <tableColumn id="16" xr3:uid="{64C92314-FA8E-4583-B04E-521FB24FEAD6}" name="charge_owner_id" dataDxfId="57">
      <calculatedColumnFormula>IF(OutPut[[#This Row],[time]]="","",$D$3)</calculatedColumnFormula>
    </tableColumn>
    <tableColumn id="1" xr3:uid="{F22DD871-796B-4BA4-81DC-7842494D2C98}" name="amount_type" dataDxfId="56">
      <calculatedColumnFormula>IF(OutPut[[#This Row],[time]]="","","amount_per_charge")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9288B3-D090-4897-AD89-5C04D501F267}" name="MPTypeMapping" displayName="MPTypeMapping" ref="A13:B25" totalsRowShown="0" headerRowDxfId="55" dataDxfId="54">
  <autoFilter ref="A13:B25" xr:uid="{4D9288B3-D090-4897-AD89-5C04D501F267}"/>
  <tableColumns count="2">
    <tableColumn id="1" xr3:uid="{7A432737-3E15-4ECB-BE3F-D5902A6BDC2B}" name="MP type mapping" dataDxfId="53"/>
    <tableColumn id="2" xr3:uid="{FDB8F8B6-CF45-4A18-8759-8120EBE28034}" name="Mapped" dataDxfId="5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218855-94F9-4AAF-B51E-818503732FDE}" name="SettlementMapping" displayName="SettlementMapping" ref="A9:B11" totalsRowShown="0" headerRowDxfId="51" dataDxfId="50">
  <autoFilter ref="A9:B11" xr:uid="{78218855-94F9-4AAF-B51E-818503732FDE}"/>
  <tableColumns count="2">
    <tableColumn id="1" xr3:uid="{09776318-E643-49BC-83B0-C37A38FFE072}" name="Settlement method mapping" dataDxfId="49"/>
    <tableColumn id="2" xr3:uid="{D6412985-2D80-4076-945F-216E94C8E760}" name="mapped" dataDxfId="48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8F0617-F039-41D8-8DF9-B9925F5FD292}" name="TimeSeriesPoints" displayName="TimeSeriesPoints" ref="A1:L26" totalsRowShown="0">
  <autoFilter ref="A1:L26" xr:uid="{3C8F0617-F039-41D8-8DF9-B9925F5FD292}"/>
  <tableColumns count="12">
    <tableColumn id="1" xr3:uid="{ED5AEA4E-C692-4374-B1CE-C8D8084741D8}" name="metering_point_id"/>
    <tableColumn id="2" xr3:uid="{DBE4F15E-E8C9-4215-9F8E-1B98001B79C1}" name="quantity" dataDxfId="47"/>
    <tableColumn id="3" xr3:uid="{D9F5ACD6-F0C4-4862-A8B2-60E7B62AC08B}" name="quality"/>
    <tableColumn id="4" xr3:uid="{920B490A-353A-458C-88EB-A4C7A92A30BF}" name="observation_time" dataDxfId="46"/>
    <tableColumn id="9" xr3:uid="{97767956-0C76-4A35-860F-18BF3F7A3AB2}" name="quantity_quantified" dataDxfId="45">
      <calculatedColumnFormula>IFERROR(VALUE(SUBSTITUTE(TimeSeriesPoints[[#This Row],[quantity]],".",",")),"")</calculatedColumnFormula>
    </tableColumn>
    <tableColumn id="8" xr3:uid="{95F37151-1BE1-4674-A3E2-CA6607A85058}" name="grid_area" dataDxfId="44">
      <calculatedColumnFormula>_xlfn.IFNA(INDEX(MeteringPointPeriods[],MATCH(TimeSeriesPoints[[#This Row],[metering_point_id]],MeteringPointPeriods[metering_point_id],0),5),"")</calculatedColumnFormula>
    </tableColumn>
    <tableColumn id="5" xr3:uid="{2111F635-3CBD-450C-8956-C061F4C2F263}" name="metering_point_type" dataDxfId="43"/>
    <tableColumn id="6" xr3:uid="{111D7211-7EE4-420E-A428-72724271B430}" name="settlement_method" dataDxfId="42"/>
    <tableColumn id="7" xr3:uid="{E3FD1FFD-3A22-44CC-B91A-56AD78045817}" name="hour" dataDxfId="41"/>
    <tableColumn id="11" xr3:uid="{D09BFE2D-78E0-4D13-A4AC-2879BE34BEB2}" name="day" dataDxfId="40">
      <calculatedColumnFormula>LEFT(TimeSeriesPoints[[#This Row],[observation_time]],10)</calculatedColumnFormula>
    </tableColumn>
    <tableColumn id="12" xr3:uid="{58CC0E1D-F2F8-45BB-BE68-8AEE47403DD0}" name="whichday" dataDxfId="0">
      <calculatedColumnFormula>INDEX('Config and arguments'!AA3:AB98,MATCH(TimeSeriesPoints[[#This Row],[observation_time]],'Config and arguments'!AB3:AB98,0),1)</calculatedColumnFormula>
    </tableColumn>
    <tableColumn id="10" xr3:uid="{D0F2E272-8CBF-4B28-9B88-2B8309280988}" name="es" dataDxfId="39">
      <calculatedColumnFormula>_xlfn.IFNA(INDEX(MeteringPointPeriods[],MATCH(TimeSeriesPoints[[#This Row],[metering_point_id]],MeteringPointPeriods[metering_point_id],0),10),"")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23C94B-085F-44ED-9C29-B56B92F1B82F}" name="MeteringPointPeriods" displayName="MeteringPointPeriods" ref="A1:M26" totalsRowShown="0" dataDxfId="38">
  <autoFilter ref="A1:M26" xr:uid="{9C23C94B-085F-44ED-9C29-B56B92F1B82F}"/>
  <tableColumns count="13">
    <tableColumn id="1" xr3:uid="{BDDD221E-D8D0-4820-9E79-C550EEFB1552}" name="metering_point_id" dataDxfId="37"/>
    <tableColumn id="2" xr3:uid="{3264101E-B7CE-433E-95D3-ECAF67C4B197}" name="type" dataDxfId="36"/>
    <tableColumn id="3" xr3:uid="{7C0D9AD3-5F1E-4528-9C99-D7C9C0B81870}" name="calculation_type" dataDxfId="35"/>
    <tableColumn id="4" xr3:uid="{A7E122D3-3055-4D9F-A63D-DBCBA9074AEF}" name="settlement_method" dataDxfId="34"/>
    <tableColumn id="5" xr3:uid="{BDA72DCA-8178-4B49-AC99-64FE311CA920}" name="grid_area_code" dataDxfId="33"/>
    <tableColumn id="6" xr3:uid="{7C4FD7ED-486D-43F5-8209-FB7F4E50B817}" name="resolution" dataDxfId="32"/>
    <tableColumn id="7" xr3:uid="{EA876C75-481F-4F0C-BFAD-2B6485E386C9}" name="from_grid_area_code" dataDxfId="31"/>
    <tableColumn id="8" xr3:uid="{DDADF541-4D21-429F-AD29-34F72E0F5DB0}" name="to_grid_area_code" dataDxfId="30"/>
    <tableColumn id="9" xr3:uid="{6873E7DA-25ED-4F63-9CC3-142EBFD5C96C}" name="parent_metering_point_id" dataDxfId="29"/>
    <tableColumn id="10" xr3:uid="{5E7B70BE-3917-4AE6-83EA-8A871F97FB99}" name="energy_supplier_id" dataDxfId="28"/>
    <tableColumn id="11" xr3:uid="{BE1BF5F2-4168-4BEC-B68C-E044D0519557}" name="balance_responsible_party_id" dataDxfId="27"/>
    <tableColumn id="12" xr3:uid="{9E73F0DE-D460-465D-A80A-57B4C4CD3239}" name="from_date" dataDxfId="26"/>
    <tableColumn id="13" xr3:uid="{AC523A53-B312-436C-B015-81473D31863F}" name="to_date" dataDxfId="2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FEEFC2-9D36-4306-A34D-8A90B0675648}" name="ChargePriceInformationPeriods" displayName="ChargePriceInformationPeriods" ref="A1:G15" totalsRowShown="0">
  <autoFilter ref="A1:G15" xr:uid="{91FEEFC2-9D36-4306-A34D-8A90B0675648}"/>
  <tableColumns count="7">
    <tableColumn id="1" xr3:uid="{CF0BFE7C-60FC-42F9-9181-73CE1D7E20B7}" name="charge_code"/>
    <tableColumn id="2" xr3:uid="{673AD76B-379D-462E-928F-C6D0BFD5A10C}" name="charge_type"/>
    <tableColumn id="3" xr3:uid="{243A323C-AF81-41DC-852D-4848600A710B}" name="charge_owner_id" dataDxfId="24"/>
    <tableColumn id="4" xr3:uid="{AD6E792C-2C46-4350-8BAD-EFB6FA436C58}" name="resolution"/>
    <tableColumn id="5" xr3:uid="{30067025-C046-41BD-B06F-E0FF1088CE27}" name="is_tax" dataDxfId="23"/>
    <tableColumn id="6" xr3:uid="{0AB395C0-A6FB-4B10-918C-5C09E228F063}" name="from_date" dataDxfId="22"/>
    <tableColumn id="7" xr3:uid="{62861BBF-4C0E-43ED-8B6A-11C6ED2A05A8}" name="to_date" dataDxfId="21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16282-02DA-45DD-8144-000BF0AE3C4B}" name="ChargeLinks" displayName="ChargeLinks" ref="A1:M35" totalsRowShown="0" headerRowDxfId="20">
  <autoFilter ref="A1:M35" xr:uid="{4C016282-02DA-45DD-8144-000BF0AE3C4B}"/>
  <tableColumns count="13">
    <tableColumn id="1" xr3:uid="{5D866E37-33E8-4772-8058-91EEF8C237C2}" name="charge_code" dataDxfId="19"/>
    <tableColumn id="2" xr3:uid="{490CB0A2-0EF8-4653-8A5E-9B8094165BDC}" name="charge_type" dataDxfId="18"/>
    <tableColumn id="3" xr3:uid="{7135A3A1-5051-429E-8261-8AB31A739FB5}" name="charge_owner_id" dataDxfId="17"/>
    <tableColumn id="4" xr3:uid="{5C6B43BE-2B8F-4A1F-BF82-B40970FE2DC5}" name="metering_point_id" dataDxfId="16"/>
    <tableColumn id="5" xr3:uid="{59F6ECAA-71F3-40FF-846D-92E4C6D2132D}" name="quantity" dataDxfId="15"/>
    <tableColumn id="11" xr3:uid="{39BCCFB9-F921-409E-84A0-7A6857B7750E}" name="from_date" dataDxfId="14"/>
    <tableColumn id="8" xr3:uid="{7264F479-E0E3-49AD-90F9-D674864C31B9}" name="to_date" dataDxfId="13"/>
    <tableColumn id="13" xr3:uid="{D4F9E4BF-038C-44B8-84BD-68CDB130F334}" name="Charge_resolution" dataDxfId="12">
      <calculatedColumnFormula>INDEX(ChargePriceInformationPeriods[],MATCH(ChargeLinks[[#This Row],[charge_code]],ChargePriceInformationPeriods[charge_code],0),4)</calculatedColumnFormula>
    </tableColumn>
    <tableColumn id="6" xr3:uid="{3847870A-615B-48A2-A325-CD1C7BAED26A}" name="energy_supplier_id" dataDxfId="11">
      <calculatedColumnFormula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calculatedColumnFormula>
    </tableColumn>
    <tableColumn id="7" xr3:uid="{58B714A4-DCC0-4728-99C2-D5D8472B5530}" name="metering_point_type" dataDxfId="10">
      <calculatedColumnFormula>_xlfn.IFNA(VLOOKUP(VLOOKUP(ChargeLinks[[#This Row],[metering_point_id]],MeteringPointPeriods[],2,FALSE),MPTypeMapping[],2,FALSE),"")</calculatedColumnFormula>
    </tableColumn>
    <tableColumn id="9" xr3:uid="{76EB7E81-9D94-4902-9DF2-1A4EF371DAF0}" name="settlement_method" dataDxfId="9">
      <calculatedColumnFormula>_xlfn.IFNA(VLOOKUP(VLOOKUP(ChargeLinks[[#This Row],[metering_point_id]],MeteringPointPeriods[],4,FALSE),SettlementMapping[],2,FALSE),"")</calculatedColumnFormula>
    </tableColumn>
    <tableColumn id="12" xr3:uid="{9B7776FE-6F51-4A0B-A78D-D4AAF0A7F158}" name="ga" dataDxfId="8">
      <calculatedColumnFormula>INDEX(MeteringPointPeriods[],MATCH(ChargeLinks[[#This Row],[metering_point_id]],MeteringPointPeriods[metering_point_id],0),5)</calculatedColumnFormula>
    </tableColumn>
    <tableColumn id="10" xr3:uid="{A2CD103B-C1B7-45F8-A620-EBFFDBF64097}" name="OutputCombination" dataDxfId="7">
      <calculatedColumnFormula>_xlfn.TEXTJOIN("--",TRUE,ChargeLinks[[#This Row],[charge_code]],ChargeLinks[[#This Row],[charge_owner_id]],ChargeLinks[[#This Row],[energy_supplier_id]],ChargeLinks[[#This Row],[metering_point_type]],ChargeLinks[[#This Row],[ga]],ChargeLinks[[#This Row],[settlement_method]])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E1B98-9587-45C5-95FD-F3B94687A50B}" name="ChargePricePoints" displayName="ChargePricePoints" ref="A1:H25" totalsRowShown="0">
  <autoFilter ref="A1:H25" xr:uid="{CC8E1B98-9587-45C5-95FD-F3B94687A50B}"/>
  <tableColumns count="8">
    <tableColumn id="1" xr3:uid="{69DFFE3D-C209-469C-93C2-67D70897CECD}" name="charge_code"/>
    <tableColumn id="2" xr3:uid="{C2BA6440-DC16-4F9B-96BE-A9A0F237B7ED}" name="charge_type"/>
    <tableColumn id="3" xr3:uid="{DE42A2CB-11DB-40C9-972F-4996A60A2655}" name="charge_owner_id" dataDxfId="6"/>
    <tableColumn id="4" xr3:uid="{C462E5E9-79F8-4B90-AE92-B40FC6B4334A}" name="charge_price" dataDxfId="5"/>
    <tableColumn id="5" xr3:uid="{C24479F8-FACC-4841-9EBA-38DC21F5176A}" name="charge_time" dataDxfId="4"/>
    <tableColumn id="7" xr3:uid="{A8F6CD35-AC38-4473-9AC2-FFF55080D37D}" name="charge_price_quantified" dataDxfId="3">
      <calculatedColumnFormula>IFERROR(VALUE(SUBSTITUTE(ChargePricePoints[[#This Row],[charge_price]],".",",")),"")</calculatedColumnFormula>
    </tableColumn>
    <tableColumn id="6" xr3:uid="{95636D1A-8B9F-4BA2-BBFA-C07691BB959D}" name="charge_time_shortened" dataDxfId="2">
      <calculatedColumnFormula>LEFT(E2,19)</calculatedColumnFormula>
    </tableColumn>
    <tableColumn id="8" xr3:uid="{47A0FE82-5DE4-4CCB-9012-C7369049E3C7}" name="charge_time_day" dataDxfId="1">
      <calculatedColumnFormula>LEFT(ChargePricePoints[[#This Row],[charge_time]],10)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E869-7DB3-49E5-B6F6-E519947E3917}">
  <dimension ref="B1:AD100"/>
  <sheetViews>
    <sheetView topLeftCell="B1" zoomScaleNormal="100" workbookViewId="0">
      <selection activeCell="H19" sqref="H19"/>
    </sheetView>
  </sheetViews>
  <sheetFormatPr defaultRowHeight="14.5" x14ac:dyDescent="0.35"/>
  <cols>
    <col min="1" max="1" width="8.7265625" style="3"/>
    <col min="2" max="2" width="35" style="3" bestFit="1" customWidth="1"/>
    <col min="3" max="3" width="36.81640625" style="3" customWidth="1"/>
    <col min="4" max="4" width="31.26953125" style="3" bestFit="1" customWidth="1"/>
    <col min="5" max="5" width="19" style="3" bestFit="1" customWidth="1"/>
    <col min="6" max="6" width="19.7265625" style="3" bestFit="1" customWidth="1"/>
    <col min="7" max="7" width="19.1796875" style="3" customWidth="1"/>
    <col min="8" max="8" width="20.453125" style="3" bestFit="1" customWidth="1"/>
    <col min="9" max="9" width="19.54296875" style="3" bestFit="1" customWidth="1"/>
    <col min="10" max="10" width="20.7265625" style="3" customWidth="1"/>
    <col min="11" max="11" width="19" style="3" bestFit="1" customWidth="1"/>
    <col min="12" max="12" width="13.54296875" style="3" bestFit="1" customWidth="1"/>
    <col min="13" max="13" width="20.453125" style="3" bestFit="1" customWidth="1"/>
    <col min="14" max="14" width="30.1796875" style="3" customWidth="1"/>
    <col min="15" max="15" width="15.1796875" style="3" customWidth="1"/>
    <col min="16" max="16" width="17.1796875" style="3" bestFit="1" customWidth="1"/>
    <col min="17" max="17" width="19.54296875" style="3" customWidth="1"/>
    <col min="18" max="18" width="20.08984375" style="3" bestFit="1" customWidth="1"/>
    <col min="19" max="19" width="29.453125" style="3" bestFit="1" customWidth="1"/>
    <col min="20" max="21" width="22.1796875" style="3" bestFit="1" customWidth="1"/>
    <col min="22" max="22" width="26.7265625" style="3" bestFit="1" customWidth="1"/>
    <col min="23" max="23" width="24.453125" style="3" bestFit="1" customWidth="1"/>
    <col min="24" max="24" width="21.81640625" style="3" customWidth="1"/>
    <col min="25" max="25" width="31.26953125" style="3" bestFit="1" customWidth="1"/>
    <col min="26" max="26" width="29.453125" style="3" bestFit="1" customWidth="1"/>
    <col min="27" max="27" width="22.453125" style="3" bestFit="1" customWidth="1"/>
    <col min="28" max="28" width="17.1796875" style="3" bestFit="1" customWidth="1"/>
    <col min="29" max="29" width="25" style="3" bestFit="1" customWidth="1"/>
    <col min="30" max="30" width="73.08984375" style="6" bestFit="1" customWidth="1"/>
    <col min="31" max="31" width="24.81640625" style="3" bestFit="1" customWidth="1"/>
    <col min="32" max="32" width="17.1796875" style="3" bestFit="1" customWidth="1"/>
    <col min="33" max="33" width="10.81640625" style="3" customWidth="1"/>
    <col min="34" max="34" width="8.7265625" style="3"/>
    <col min="35" max="35" width="17.7265625" style="3" bestFit="1" customWidth="1"/>
    <col min="36" max="36" width="8.81640625" style="3" customWidth="1"/>
    <col min="37" max="16384" width="8.7265625" style="3"/>
  </cols>
  <sheetData>
    <row r="1" spans="2:30" ht="18.5" x14ac:dyDescent="0.45">
      <c r="B1" s="13" t="s">
        <v>163</v>
      </c>
      <c r="C1" s="25" t="s">
        <v>159</v>
      </c>
      <c r="D1" s="26"/>
      <c r="E1" s="26"/>
      <c r="F1" s="27"/>
    </row>
    <row r="3" spans="2:30" x14ac:dyDescent="0.35">
      <c r="C3" s="6" t="str" cm="1">
        <f t="array" ref="C3:G3">_xlfn.TEXTSPLIT(C1,"--")</f>
        <v>tariff-daily-1</v>
      </c>
      <c r="D3" s="6" t="str">
        <v>0000000000800</v>
      </c>
      <c r="E3" s="6" t="str">
        <v>2000000000000</v>
      </c>
      <c r="F3" s="6" t="str">
        <v>production</v>
      </c>
      <c r="G3" s="6" t="str">
        <v>111</v>
      </c>
      <c r="H3" s="6"/>
      <c r="AD3" s="14" t="s">
        <v>71</v>
      </c>
    </row>
    <row r="4" spans="2:30" x14ac:dyDescent="0.35">
      <c r="B4" s="10" t="s">
        <v>84</v>
      </c>
      <c r="C4" s="10" t="s">
        <v>31</v>
      </c>
      <c r="D4" s="10" t="s">
        <v>85</v>
      </c>
      <c r="E4" s="10" t="s">
        <v>86</v>
      </c>
      <c r="F4" s="10" t="s">
        <v>33</v>
      </c>
      <c r="G4" s="10" t="s">
        <v>37</v>
      </c>
      <c r="H4" s="10" t="s">
        <v>11</v>
      </c>
      <c r="I4" s="10" t="s">
        <v>76</v>
      </c>
      <c r="J4" s="10" t="s">
        <v>72</v>
      </c>
      <c r="K4" s="10" t="s">
        <v>73</v>
      </c>
      <c r="L4" s="10" t="s">
        <v>12</v>
      </c>
      <c r="M4" s="10" t="s">
        <v>46</v>
      </c>
      <c r="N4" s="10" t="s">
        <v>32</v>
      </c>
      <c r="O4" s="10" t="s">
        <v>47</v>
      </c>
      <c r="P4" s="10" t="s">
        <v>48</v>
      </c>
      <c r="Q4" s="10" t="s">
        <v>13</v>
      </c>
      <c r="R4" s="10" t="s">
        <v>7</v>
      </c>
      <c r="S4" s="10" t="s">
        <v>8</v>
      </c>
      <c r="T4" s="10" t="s">
        <v>9</v>
      </c>
      <c r="U4" s="10" t="s">
        <v>87</v>
      </c>
      <c r="AD4" s="6" t="str" cm="1">
        <f t="array" ref="AD4:AD11">_xlfn.UNIQUE(INDEX(_xlfn._xlws.FILTER(ChargeLinks[],(ChargeLinks[charge_type]="Tariff")*(ChargeLinks[Charge_resolution]="P1D")),,13))</f>
        <v>tariff-daily-1--0000000000800--3000000000000--consumption--800--non_profiled</v>
      </c>
    </row>
    <row r="5" spans="2:30" x14ac:dyDescent="0.35">
      <c r="B5" s="11" t="str">
        <f>IF(OutPut10[[#This Row],[time]]="","",'Config and arguments'!C$2)</f>
        <v>0b15a420-9fc8-409a-a169-fbd49479d718</v>
      </c>
      <c r="C5" s="11" t="str">
        <f>IF(OutPut10[[#This Row],[time]]="","",'Config and arguments'!C$5)</f>
        <v>wholesale_fixing</v>
      </c>
      <c r="D5" s="11" t="str">
        <f>IF(OutPut10[[#This Row],[time]]="","",'Config and arguments'!C$6)</f>
        <v>2024-01-01 23:00:00</v>
      </c>
      <c r="E5" s="11" t="str">
        <f>IF(OutPut10[[#This Row],[time]]="","","IGNORED")</f>
        <v>IGNORED</v>
      </c>
      <c r="F5" s="11" t="str">
        <f>IF(OutPut10[[#This Row],[time]]="","",G$3)</f>
        <v>111</v>
      </c>
      <c r="G5" s="11" t="str">
        <f>IF(OutPut10[[#This Row],[time]]="","",$E$3)</f>
        <v>2000000000000</v>
      </c>
      <c r="H5" s="11" t="str">
        <f>IF(OutPut10[[#This Row],[time]]="","",SUBSTITUTE(SUMIFS(TimeSeriesPoints[quantity_quantified],TimeSeriesPoints[metering_point_type],OutPut10[[#This Row],[metering_point_type]],TimeSeriesPoints[settlement_method],OutPut10[[#This Row],[settlement_method]],TimeSeriesPoints[day],K6,TimeSeriesPoints[grid_area],OutPut10[[#This Row],[grid_area_code]],TimeSeriesPoints[es],E$3),",","."))</f>
        <v>200000</v>
      </c>
      <c r="I5" s="11" t="str">
        <f>IF(OutPut10[[#This Row],[time]]="","","kWh")</f>
        <v>kWh</v>
      </c>
      <c r="J5" s="11" t="str">
        <f>IF(OutPut10[[#This Row],[time]]="","",IF(SUMIFS(TimeSeriesPoints[quantity_quantified],TimeSeriesPoints[metering_point_type],OutPut10[[#This Row],[metering_point_type]],TimeSeriesPoints[settlement_method],OutPut10[[#This Row],[settlement_method]],TimeSeriesPoints[es],OutPut10[[#This Row],[energy_supplier_id]],TimeSeriesPoints[hour],OutPut10[[#This Row],[time]])&gt;0,"['measured']","['missing']"))</f>
        <v>['missing']</v>
      </c>
      <c r="K5" s="11" t="str">
        <f>'Config and arguments'!AC3</f>
        <v>2023-01-31</v>
      </c>
      <c r="L5" s="11" t="str">
        <f>IF(OutPut10[[#This Row],[time]]="","","PT1H")</f>
        <v>PT1H</v>
      </c>
      <c r="M5" s="11" t="str">
        <f>IF(OutPut10[[#This Row],[time]]="","",$F$3)</f>
        <v>production</v>
      </c>
      <c r="N5" s="12" t="str">
        <f>IF(OutPut10[[#This Row],[time]]="","",IF($H$3="","",$H$3))</f>
        <v/>
      </c>
      <c r="O5" s="12" t="str">
        <f>IF(OutPut10[[#This Row],[time]]="","",IF(SUMIFS(ChargePricePoints[charge_price_quantified],ChargePricePoints[charge_time_day],OutPut10[[#This Row],[time]],ChargePricePoints[charge_code],OutPut10[[#This Row],[charge_code]])=0,"",SUBSTITUTE(SUMIFS(ChargePricePoints[charge_price_quantified],ChargePricePoints[charge_time_day],OutPut10[[#This Row],[time]],ChargePricePoints[charge_code],OutPut10[[#This Row],[charge_code]]),",",".")))</f>
        <v>0.001</v>
      </c>
      <c r="P5" s="12" t="str">
        <f>IFERROR(SUBSTITUTE(SUBSTITUTE(OutPut10[[#This Row],[price]],".",",")*SUBSTITUTE(OutPut10[[#This Row],[quantity]],".",","),",","."),"")</f>
        <v>200</v>
      </c>
      <c r="Q5" s="11" t="str">
        <f>IF(OutPut10[[#This Row],[time]]="","",VLOOKUP(C$3,ChargePriceInformationPeriods[],5,FALSE))</f>
        <v>false</v>
      </c>
      <c r="R5" s="11" t="str">
        <f>IF(OutPut10[[#This Row],[time]]="","",$C$3)</f>
        <v>tariff-daily-1</v>
      </c>
      <c r="S5" s="11" t="str">
        <f>IF(OutPut10[[#This Row],[time]]="","","tariff")</f>
        <v>tariff</v>
      </c>
      <c r="T5" s="11" t="str">
        <f>IF(OutPut10[[#This Row],[time]]="","",$D$3)</f>
        <v>0000000000800</v>
      </c>
      <c r="U5" s="11" t="str">
        <f>IF(OutPut10[[#This Row],[time]]="","","amount_per_charge")</f>
        <v>amount_per_charge</v>
      </c>
      <c r="AD5" s="6" t="str">
        <v>tariff-daily-1--0000000000800--1000000000000--consumption--800--flex</v>
      </c>
    </row>
    <row r="6" spans="2:30" x14ac:dyDescent="0.35">
      <c r="B6" s="11" t="str">
        <f>IF(OutPut10[[#This Row],[time]]="","",'Config and arguments'!C$2)</f>
        <v>0b15a420-9fc8-409a-a169-fbd49479d718</v>
      </c>
      <c r="C6" s="11" t="str">
        <f>IF(OutPut10[[#This Row],[time]]="","",'Config and arguments'!C$5)</f>
        <v>wholesale_fixing</v>
      </c>
      <c r="D6" s="11" t="str">
        <f>IF(OutPut10[[#This Row],[time]]="","",'Config and arguments'!C$6)</f>
        <v>2024-01-01 23:00:00</v>
      </c>
      <c r="E6" s="11" t="str">
        <f>IF(OutPut10[[#This Row],[time]]="","","IGNORED")</f>
        <v>IGNORED</v>
      </c>
      <c r="F6" s="11" t="str">
        <f>IF(OutPut10[[#This Row],[time]]="","",G$3)</f>
        <v>111</v>
      </c>
      <c r="G6" s="11" t="str">
        <f>IF(OutPut10[[#This Row],[time]]="","",$E$3)</f>
        <v>2000000000000</v>
      </c>
      <c r="H6" s="11" t="str">
        <f>IF(OutPut10[[#This Row],[time]]="","",SUBSTITUTE(SUMIFS(TimeSeriesPoints[quantity_quantified],TimeSeriesPoints[metering_point_type],OutPut10[[#This Row],[metering_point_type]],TimeSeriesPoints[settlement_method],OutPut10[[#This Row],[settlement_method]],TimeSeriesPoints[day],K7,TimeSeriesPoints[grid_area],OutPut10[[#This Row],[grid_area_code]],TimeSeriesPoints[es],E$3),",","."))</f>
        <v>100000</v>
      </c>
      <c r="I6" s="11" t="str">
        <f>IF(OutPut10[[#This Row],[time]]="","","kWh")</f>
        <v>kWh</v>
      </c>
      <c r="J6" s="11" t="str">
        <f>IF(OutPut10[[#This Row],[time]]="","",IF(SUMIFS(TimeSeriesPoints[quantity_quantified],TimeSeriesPoints[metering_point_type],OutPut10[[#This Row],[metering_point_type]],TimeSeriesPoints[settlement_method],OutPut10[[#This Row],[settlement_method]],TimeSeriesPoints[es],OutPut10[[#This Row],[energy_supplier_id]],TimeSeriesPoints[hour],OutPut10[[#This Row],[time]])&gt;0,"['measured']","['missing']"))</f>
        <v>['missing']</v>
      </c>
      <c r="K6" s="11" t="str">
        <f>'Config and arguments'!AC4</f>
        <v>2023-02-01</v>
      </c>
      <c r="L6" s="11" t="str">
        <f>IF(OutPut10[[#This Row],[time]]="","","PT1H")</f>
        <v>PT1H</v>
      </c>
      <c r="M6" s="11" t="str">
        <f>IF(OutPut10[[#This Row],[time]]="","",$F$3)</f>
        <v>production</v>
      </c>
      <c r="N6" s="12" t="str">
        <f>IF(OutPut10[[#This Row],[time]]="","",IF($H$3="","",$H$3))</f>
        <v/>
      </c>
      <c r="O6" s="12" t="str">
        <f>IF(OutPut10[[#This Row],[time]]="","",IF(SUMIFS(ChargePricePoints[charge_price_quantified],ChargePricePoints[charge_time_day],OutPut10[[#This Row],[time]],ChargePricePoints[charge_code],OutPut10[[#This Row],[charge_code]])=0,"",SUBSTITUTE(SUMIFS(ChargePricePoints[charge_price_quantified],ChargePricePoints[charge_time_day],OutPut10[[#This Row],[time]],ChargePricePoints[charge_code],OutPut10[[#This Row],[charge_code]]),",",".")))</f>
        <v/>
      </c>
      <c r="P6" s="12" t="str">
        <f>IFERROR(SUBSTITUTE(SUBSTITUTE(OutPut10[[#This Row],[price]],".",",")*SUBSTITUTE(OutPut10[[#This Row],[quantity]],".",","),",","."),"")</f>
        <v/>
      </c>
      <c r="Q6" s="11" t="str">
        <f>IF(OutPut10[[#This Row],[time]]="","",VLOOKUP(C$3,ChargePriceInformationPeriods[],5,FALSE))</f>
        <v>false</v>
      </c>
      <c r="R6" s="11" t="str">
        <f>IF(OutPut10[[#This Row],[time]]="","",$C$3)</f>
        <v>tariff-daily-1</v>
      </c>
      <c r="S6" s="11" t="str">
        <f>IF(OutPut10[[#This Row],[time]]="","","tariff")</f>
        <v>tariff</v>
      </c>
      <c r="T6" s="11" t="str">
        <f>IF(OutPut10[[#This Row],[time]]="","",$D$3)</f>
        <v>0000000000800</v>
      </c>
      <c r="U6" s="11" t="str">
        <f>IF(OutPut10[[#This Row],[time]]="","","amount_per_charge")</f>
        <v>amount_per_charge</v>
      </c>
      <c r="AD6" s="6" t="str">
        <v>tariff-daily-2--0000000000800--2000000000000--production--800</v>
      </c>
    </row>
    <row r="7" spans="2:30" x14ac:dyDescent="0.35">
      <c r="B7" s="11" t="str">
        <f>IF(OutPut10[[#This Row],[time]]="","",'Config and arguments'!C$2)</f>
        <v>0b15a420-9fc8-409a-a169-fbd49479d718</v>
      </c>
      <c r="C7" s="11" t="str">
        <f>IF(OutPut10[[#This Row],[time]]="","",'Config and arguments'!C$5)</f>
        <v>wholesale_fixing</v>
      </c>
      <c r="D7" s="11" t="str">
        <f>IF(OutPut10[[#This Row],[time]]="","",'Config and arguments'!C$6)</f>
        <v>2024-01-01 23:00:00</v>
      </c>
      <c r="E7" s="11" t="str">
        <f>IF(OutPut10[[#This Row],[time]]="","","IGNORED")</f>
        <v>IGNORED</v>
      </c>
      <c r="F7" s="11" t="str">
        <f>IF(OutPut10[[#This Row],[time]]="","",G$3)</f>
        <v>111</v>
      </c>
      <c r="G7" s="11" t="str">
        <f>IF(OutPut10[[#This Row],[time]]="","",$E$3)</f>
        <v>2000000000000</v>
      </c>
      <c r="H7" s="11" t="str">
        <f>IF(OutPut10[[#This Row],[time]]="","",SUBSTITUTE(SUMIFS(TimeSeriesPoints[quantity_quantified],TimeSeriesPoints[metering_point_type],OutPut10[[#This Row],[metering_point_type]],TimeSeriesPoints[settlement_method],OutPut10[[#This Row],[settlement_method]],TimeSeriesPoints[day],K8,TimeSeriesPoints[grid_area],OutPut10[[#This Row],[grid_area_code]],TimeSeriesPoints[es],E$3),",","."))</f>
        <v>0</v>
      </c>
      <c r="I7" s="11" t="str">
        <f>IF(OutPut10[[#This Row],[time]]="","","kWh")</f>
        <v>kWh</v>
      </c>
      <c r="J7" s="11" t="str">
        <f>IF(OutPut10[[#This Row],[time]]="","",IF(SUMIFS(TimeSeriesPoints[quantity_quantified],TimeSeriesPoints[metering_point_type],OutPut10[[#This Row],[metering_point_type]],TimeSeriesPoints[settlement_method],OutPut10[[#This Row],[settlement_method]],TimeSeriesPoints[es],OutPut10[[#This Row],[energy_supplier_id]],TimeSeriesPoints[hour],OutPut10[[#This Row],[time]])&gt;0,"['measured']","['missing']"))</f>
        <v>['missing']</v>
      </c>
      <c r="K7" s="11" t="str">
        <f>'Config and arguments'!AC5</f>
        <v>2023-02-02</v>
      </c>
      <c r="L7" s="11" t="str">
        <f>IF(OutPut10[[#This Row],[time]]="","","PT1H")</f>
        <v>PT1H</v>
      </c>
      <c r="M7" s="11" t="str">
        <f>IF(OutPut10[[#This Row],[time]]="","",$F$3)</f>
        <v>production</v>
      </c>
      <c r="N7" s="12" t="str">
        <f>IF(OutPut10[[#This Row],[time]]="","",IF($H$3="","",$H$3))</f>
        <v/>
      </c>
      <c r="O7" s="12" t="str">
        <f>IF(OutPut10[[#This Row],[time]]="","",IF(SUMIFS(ChargePricePoints[charge_price_quantified],ChargePricePoints[charge_time_day],OutPut10[[#This Row],[time]],ChargePricePoints[charge_code],OutPut10[[#This Row],[charge_code]])=0,"",SUBSTITUTE(SUMIFS(ChargePricePoints[charge_price_quantified],ChargePricePoints[charge_time_day],OutPut10[[#This Row],[time]],ChargePricePoints[charge_code],OutPut10[[#This Row],[charge_code]]),",",".")))</f>
        <v/>
      </c>
      <c r="P7" s="12" t="str">
        <f>IFERROR(SUBSTITUTE(SUBSTITUTE(OutPut10[[#This Row],[price]],".",",")*SUBSTITUTE(OutPut10[[#This Row],[quantity]],".",","),",","."),"")</f>
        <v/>
      </c>
      <c r="Q7" s="11" t="str">
        <f>IF(OutPut10[[#This Row],[time]]="","",VLOOKUP(C$3,ChargePriceInformationPeriods[],5,FALSE))</f>
        <v>false</v>
      </c>
      <c r="R7" s="11" t="str">
        <f>IF(OutPut10[[#This Row],[time]]="","",$C$3)</f>
        <v>tariff-daily-1</v>
      </c>
      <c r="S7" s="11" t="str">
        <f>IF(OutPut10[[#This Row],[time]]="","","tariff")</f>
        <v>tariff</v>
      </c>
      <c r="T7" s="11" t="str">
        <f>IF(OutPut10[[#This Row],[time]]="","",$D$3)</f>
        <v>0000000000800</v>
      </c>
      <c r="U7" s="11" t="str">
        <f>IF(OutPut10[[#This Row],[time]]="","","amount_per_charge")</f>
        <v>amount_per_charge</v>
      </c>
      <c r="AD7" s="6" t="str">
        <v>tariff-daily-3-co_is_tax--6660000000666--1000000000000--consumption_from_grid--800</v>
      </c>
    </row>
    <row r="8" spans="2:30" x14ac:dyDescent="0.35">
      <c r="B8" s="11" t="str">
        <f>IF(OutPut10[[#This Row],[time]]="","",'Config and arguments'!C$2)</f>
        <v/>
      </c>
      <c r="C8" s="11" t="str">
        <f>IF(OutPut10[[#This Row],[time]]="","",'Config and arguments'!C$5)</f>
        <v/>
      </c>
      <c r="D8" s="11" t="str">
        <f>IF(OutPut10[[#This Row],[time]]="","",'Config and arguments'!C$6)</f>
        <v/>
      </c>
      <c r="E8" s="11" t="str">
        <f>IF(OutPut10[[#This Row],[time]]="","","IGNORED")</f>
        <v/>
      </c>
      <c r="F8" s="11" t="str">
        <f>IF(OutPut10[[#This Row],[time]]="","",G$3)</f>
        <v/>
      </c>
      <c r="G8" s="11" t="str">
        <f>IF(OutPut10[[#This Row],[time]]="","",$E$3)</f>
        <v/>
      </c>
      <c r="H8" s="11" t="str">
        <f>IF(OutPut10[[#This Row],[time]]="","",SUBSTITUTE(SUMIFS(TimeSeriesPoints[quantity_quantified],TimeSeriesPoints[metering_point_type],OutPut10[[#This Row],[metering_point_type]],TimeSeriesPoints[settlement_method],OutPut10[[#This Row],[settlement_method]],TimeSeriesPoints[day],K9,TimeSeriesPoints[grid_area],OutPut10[[#This Row],[grid_area_code]],TimeSeriesPoints[es],E$3),",","."))</f>
        <v/>
      </c>
      <c r="I8" s="11" t="str">
        <f>IF(OutPut10[[#This Row],[time]]="","","kWh")</f>
        <v/>
      </c>
      <c r="J8" s="11" t="str">
        <f>IF(OutPut10[[#This Row],[time]]="","",IF(SUMIFS(TimeSeriesPoints[quantity_quantified],TimeSeriesPoints[metering_point_type],OutPut10[[#This Row],[metering_point_type]],TimeSeriesPoints[settlement_method],OutPut10[[#This Row],[settlement_method]],TimeSeriesPoints[es],OutPut10[[#This Row],[energy_supplier_id]],TimeSeriesPoints[hour],OutPut10[[#This Row],[time]])&gt;0,"['measured']","['missing']"))</f>
        <v/>
      </c>
      <c r="K8" s="11" t="str">
        <f>'Config and arguments'!AC6</f>
        <v/>
      </c>
      <c r="L8" s="11" t="str">
        <f>IF(OutPut10[[#This Row],[time]]="","","PT1H")</f>
        <v/>
      </c>
      <c r="M8" s="11" t="str">
        <f>IF(OutPut10[[#This Row],[time]]="","",$F$3)</f>
        <v/>
      </c>
      <c r="N8" s="12" t="str">
        <f>IF(OutPut10[[#This Row],[time]]="","",IF($H$3="","",$H$3))</f>
        <v/>
      </c>
      <c r="O8" s="12" t="str">
        <f>IF(OutPut10[[#This Row],[time]]="","",IF(SUMIFS(ChargePricePoints[charge_price_quantified],ChargePricePoints[charge_time_day],OutPut10[[#This Row],[time]],ChargePricePoints[charge_code],OutPut10[[#This Row],[charge_code]])=0,"",SUBSTITUTE(SUMIFS(ChargePricePoints[charge_price_quantified],ChargePricePoints[charge_time_day],OutPut10[[#This Row],[time]],ChargePricePoints[charge_code],OutPut10[[#This Row],[charge_code]]),",",".")))</f>
        <v/>
      </c>
      <c r="P8" s="12" t="str">
        <f>IFERROR(SUBSTITUTE(SUBSTITUTE(OutPut10[[#This Row],[price]],".",",")*SUBSTITUTE(OutPut10[[#This Row],[quantity]],".",","),",","."),"")</f>
        <v/>
      </c>
      <c r="Q8" s="11" t="str">
        <f>IF(OutPut10[[#This Row],[time]]="","",VLOOKUP(C$3,ChargePriceInformationPeriods[],5,FALSE))</f>
        <v/>
      </c>
      <c r="R8" s="11" t="str">
        <f>IF(OutPut10[[#This Row],[time]]="","",$C$3)</f>
        <v/>
      </c>
      <c r="S8" s="11" t="str">
        <f>IF(OutPut10[[#This Row],[time]]="","","tariff")</f>
        <v/>
      </c>
      <c r="T8" s="11" t="str">
        <f>IF(OutPut10[[#This Row],[time]]="","",$D$3)</f>
        <v/>
      </c>
      <c r="U8" s="11" t="str">
        <f>IF(OutPut10[[#This Row],[time]]="","","amount_per_charge")</f>
        <v/>
      </c>
      <c r="AD8" s="6" t="str">
        <v>tariff-daily-4-co_is_not_tax--6660000000666--2000000000000--production--800</v>
      </c>
    </row>
    <row r="9" spans="2:30" x14ac:dyDescent="0.35">
      <c r="N9" s="5"/>
      <c r="O9" s="5"/>
      <c r="P9" s="5"/>
      <c r="AD9" s="6" t="str">
        <v>tariff-daily-2--0000000000800--4000000000000--production--800</v>
      </c>
    </row>
    <row r="10" spans="2:30" x14ac:dyDescent="0.35">
      <c r="N10" s="5"/>
      <c r="O10" s="5"/>
      <c r="P10" s="5"/>
      <c r="AD10" s="6" t="str">
        <v>tariff-daily-2--0000000000800--2000000000000--own_production--800</v>
      </c>
    </row>
    <row r="11" spans="2:30" x14ac:dyDescent="0.35">
      <c r="N11" s="5"/>
      <c r="O11" s="5"/>
      <c r="P11" s="5"/>
      <c r="AD11" s="6" t="str">
        <v>tariff-daily-1--0000000000800--2000000000000--production--111</v>
      </c>
    </row>
    <row r="12" spans="2:30" x14ac:dyDescent="0.35">
      <c r="N12" s="5"/>
      <c r="O12" s="5"/>
      <c r="P12" s="5"/>
    </row>
    <row r="13" spans="2:30" x14ac:dyDescent="0.35">
      <c r="N13" s="5"/>
      <c r="O13" s="5"/>
      <c r="P13" s="5"/>
    </row>
    <row r="14" spans="2:30" x14ac:dyDescent="0.35">
      <c r="N14" s="5"/>
      <c r="O14" s="5"/>
      <c r="P14" s="5"/>
    </row>
    <row r="15" spans="2:30" x14ac:dyDescent="0.35">
      <c r="G15" s="3" t="s">
        <v>170</v>
      </c>
      <c r="N15" s="5"/>
      <c r="O15" s="5"/>
      <c r="P15" s="5"/>
    </row>
    <row r="16" spans="2:30" x14ac:dyDescent="0.35">
      <c r="G16" s="3" t="str" cm="1">
        <f t="array" ref="G16:G17">INDEX(_xlfn._xlws.FILTER(ChargeLinks[],ChargeLinks[OutputCombination]=C1),,4)</f>
        <v>180000000000000111</v>
      </c>
      <c r="N16" s="5"/>
      <c r="O16" s="5"/>
      <c r="P16" s="5"/>
    </row>
    <row r="17" spans="4:25" x14ac:dyDescent="0.35">
      <c r="G17" s="3" t="str">
        <v>170000000000000111</v>
      </c>
      <c r="N17" s="5"/>
      <c r="O17" s="5"/>
      <c r="P17" s="5"/>
    </row>
    <row r="18" spans="4:25" x14ac:dyDescent="0.35">
      <c r="N18" s="5"/>
      <c r="O18" s="5"/>
      <c r="P18" s="5"/>
    </row>
    <row r="19" spans="4:25" x14ac:dyDescent="0.35">
      <c r="N19" s="5"/>
      <c r="O19" s="5"/>
      <c r="P19" s="5"/>
    </row>
    <row r="20" spans="4:25" x14ac:dyDescent="0.35">
      <c r="N20" s="5"/>
      <c r="O20" s="5"/>
      <c r="P20" s="5"/>
    </row>
    <row r="21" spans="4:25" x14ac:dyDescent="0.35">
      <c r="N21" s="5"/>
      <c r="O21" s="5"/>
      <c r="P21" s="5"/>
    </row>
    <row r="22" spans="4:25" x14ac:dyDescent="0.35">
      <c r="N22" s="5"/>
      <c r="O22" s="5"/>
      <c r="P22" s="5"/>
    </row>
    <row r="23" spans="4:25" x14ac:dyDescent="0.35">
      <c r="N23" s="5"/>
      <c r="O23" s="5"/>
      <c r="P23" s="5"/>
    </row>
    <row r="24" spans="4:25" x14ac:dyDescent="0.35">
      <c r="D24" s="3" t="e" cm="1" vm="1">
        <f t="array" ref="D24">SUM(_xlfn._xlws.FILTER(TimeSeriesPoints[quantity_quantified],ISNUMBER(MATCH(TimeSeriesPoints[metering_point_id],_xlfn.ANCHORARRAY(G16),0))*(TimeSeriesPoints[day]=E24)))</f>
        <v>#VALUE!</v>
      </c>
      <c r="E24" s="3" t="s">
        <v>172</v>
      </c>
      <c r="N24" s="5"/>
      <c r="O24" s="5"/>
      <c r="P24" s="5"/>
    </row>
    <row r="25" spans="4:25" x14ac:dyDescent="0.35">
      <c r="E25" s="3" t="s">
        <v>173</v>
      </c>
      <c r="N25" s="5"/>
      <c r="O25" s="5"/>
      <c r="P25" s="5"/>
    </row>
    <row r="26" spans="4:25" x14ac:dyDescent="0.35">
      <c r="E26" s="3" t="s">
        <v>174</v>
      </c>
      <c r="N26" s="5"/>
      <c r="O26" s="5"/>
      <c r="P26" s="5"/>
    </row>
    <row r="27" spans="4:25" x14ac:dyDescent="0.35">
      <c r="N27" s="5"/>
      <c r="O27" s="5"/>
      <c r="P27" s="5"/>
    </row>
    <row r="28" spans="4:25" x14ac:dyDescent="0.35">
      <c r="N28" s="5"/>
      <c r="O28" s="5"/>
      <c r="P28" s="5"/>
    </row>
    <row r="29" spans="4:25" x14ac:dyDescent="0.35">
      <c r="N29" s="5"/>
      <c r="O29" s="5"/>
      <c r="P29" s="5"/>
    </row>
    <row r="30" spans="4:25" x14ac:dyDescent="0.35">
      <c r="N30" s="5"/>
      <c r="O30" s="5"/>
      <c r="P30" s="5"/>
      <c r="V30" s="9"/>
      <c r="Y30" s="9"/>
    </row>
    <row r="31" spans="4:25" x14ac:dyDescent="0.35">
      <c r="D31" s="3" cm="1">
        <f t="array" ref="D31:D32">_xlfn._xlws.FILTER(TimeSeriesPoints[quantity_quantified],ISNUMBER(MATCH(TimeSeriesPoints[metering_point_id],_xlfn.ANCHORARRAY(G16),0))*(TimeSeriesPoints[day]=E25))</f>
        <v>100000</v>
      </c>
      <c r="N31" s="5"/>
      <c r="O31" s="5"/>
      <c r="P31" s="5"/>
      <c r="V31" s="9"/>
      <c r="Y31" s="9"/>
    </row>
    <row r="32" spans="4:25" x14ac:dyDescent="0.35">
      <c r="D32" s="3">
        <v>100000</v>
      </c>
      <c r="N32" s="5"/>
      <c r="O32" s="5"/>
      <c r="P32" s="5"/>
      <c r="Y32" s="9"/>
    </row>
    <row r="33" spans="14:25" x14ac:dyDescent="0.35">
      <c r="N33" s="5"/>
      <c r="O33" s="5"/>
      <c r="P33" s="5"/>
      <c r="Y33" s="9"/>
    </row>
    <row r="34" spans="14:25" x14ac:dyDescent="0.35">
      <c r="N34" s="5"/>
      <c r="O34" s="5"/>
      <c r="P34" s="5"/>
      <c r="Y34" s="9"/>
    </row>
    <row r="35" spans="14:25" x14ac:dyDescent="0.35">
      <c r="N35" s="5"/>
      <c r="O35" s="5"/>
      <c r="P35" s="5"/>
      <c r="Y35" s="9"/>
    </row>
    <row r="36" spans="14:25" x14ac:dyDescent="0.35">
      <c r="N36" s="5"/>
      <c r="O36" s="5"/>
      <c r="P36" s="5"/>
      <c r="Y36" s="9"/>
    </row>
    <row r="37" spans="14:25" x14ac:dyDescent="0.35">
      <c r="N37" s="5"/>
      <c r="O37" s="5"/>
      <c r="P37" s="5"/>
      <c r="Y37" s="9"/>
    </row>
    <row r="38" spans="14:25" x14ac:dyDescent="0.35">
      <c r="N38" s="5"/>
      <c r="O38" s="5"/>
      <c r="P38" s="5"/>
      <c r="Y38" s="9"/>
    </row>
    <row r="39" spans="14:25" x14ac:dyDescent="0.35">
      <c r="N39" s="5"/>
      <c r="O39" s="5"/>
      <c r="P39" s="5"/>
      <c r="Y39" s="9"/>
    </row>
    <row r="40" spans="14:25" x14ac:dyDescent="0.35">
      <c r="N40" s="5"/>
      <c r="O40" s="5"/>
      <c r="P40" s="5"/>
      <c r="Y40" s="9"/>
    </row>
    <row r="41" spans="14:25" x14ac:dyDescent="0.35">
      <c r="N41" s="5"/>
      <c r="O41" s="5"/>
      <c r="P41" s="5"/>
      <c r="Y41" s="9"/>
    </row>
    <row r="42" spans="14:25" x14ac:dyDescent="0.35">
      <c r="N42" s="5"/>
      <c r="O42" s="5"/>
      <c r="P42" s="5"/>
      <c r="Y42" s="9"/>
    </row>
    <row r="43" spans="14:25" x14ac:dyDescent="0.35">
      <c r="N43" s="5"/>
      <c r="O43" s="5"/>
      <c r="P43" s="5"/>
      <c r="Y43" s="9"/>
    </row>
    <row r="44" spans="14:25" x14ac:dyDescent="0.35">
      <c r="N44" s="5"/>
      <c r="O44" s="5"/>
      <c r="P44" s="5"/>
      <c r="Y44" s="9"/>
    </row>
    <row r="45" spans="14:25" x14ac:dyDescent="0.35">
      <c r="N45" s="5"/>
      <c r="O45" s="5"/>
      <c r="P45" s="5"/>
      <c r="Y45" s="9"/>
    </row>
    <row r="46" spans="14:25" x14ac:dyDescent="0.35">
      <c r="N46" s="5"/>
      <c r="O46" s="5"/>
      <c r="P46" s="5"/>
      <c r="Y46" s="9"/>
    </row>
    <row r="47" spans="14:25" x14ac:dyDescent="0.35">
      <c r="N47" s="5"/>
      <c r="O47" s="5"/>
      <c r="P47" s="5"/>
      <c r="Y47" s="9"/>
    </row>
    <row r="48" spans="14:25" x14ac:dyDescent="0.35">
      <c r="N48" s="5"/>
      <c r="O48" s="5"/>
      <c r="P48" s="5"/>
      <c r="Y48" s="9"/>
    </row>
    <row r="49" spans="14:25" x14ac:dyDescent="0.35">
      <c r="N49" s="5"/>
      <c r="O49" s="5"/>
      <c r="P49" s="5"/>
      <c r="Y49" s="9"/>
    </row>
    <row r="50" spans="14:25" x14ac:dyDescent="0.35">
      <c r="N50" s="5"/>
      <c r="O50" s="5"/>
      <c r="P50" s="5"/>
      <c r="Y50" s="9"/>
    </row>
    <row r="51" spans="14:25" x14ac:dyDescent="0.35">
      <c r="N51" s="5"/>
      <c r="O51" s="5"/>
      <c r="P51" s="5"/>
      <c r="Y51" s="9"/>
    </row>
    <row r="52" spans="14:25" x14ac:dyDescent="0.35">
      <c r="N52" s="5"/>
      <c r="O52" s="5"/>
      <c r="P52" s="5"/>
      <c r="Y52" s="9"/>
    </row>
    <row r="53" spans="14:25" x14ac:dyDescent="0.35">
      <c r="N53" s="5"/>
      <c r="O53" s="5"/>
      <c r="P53" s="5"/>
      <c r="Y53" s="9"/>
    </row>
    <row r="54" spans="14:25" x14ac:dyDescent="0.35">
      <c r="N54" s="5"/>
      <c r="O54" s="5"/>
      <c r="P54" s="5"/>
      <c r="Y54" s="9"/>
    </row>
    <row r="55" spans="14:25" x14ac:dyDescent="0.35">
      <c r="N55" s="5"/>
      <c r="O55" s="5"/>
      <c r="P55" s="5"/>
      <c r="Y55" s="9"/>
    </row>
    <row r="56" spans="14:25" x14ac:dyDescent="0.35">
      <c r="N56" s="5"/>
      <c r="O56" s="5"/>
      <c r="P56" s="5"/>
      <c r="Y56" s="9"/>
    </row>
    <row r="57" spans="14:25" x14ac:dyDescent="0.35">
      <c r="N57" s="5"/>
      <c r="O57" s="5"/>
      <c r="P57" s="5"/>
      <c r="Y57" s="9"/>
    </row>
    <row r="58" spans="14:25" x14ac:dyDescent="0.35">
      <c r="N58" s="5"/>
      <c r="O58" s="5"/>
      <c r="P58" s="5"/>
      <c r="V58" s="9"/>
      <c r="W58" s="9"/>
      <c r="X58" s="9"/>
      <c r="Y58" s="9"/>
    </row>
    <row r="59" spans="14:25" x14ac:dyDescent="0.35">
      <c r="N59" s="5"/>
      <c r="O59" s="5"/>
      <c r="P59" s="5"/>
      <c r="V59" s="9"/>
      <c r="W59" s="9"/>
      <c r="X59" s="9"/>
      <c r="Y59" s="9"/>
    </row>
    <row r="60" spans="14:25" x14ac:dyDescent="0.35">
      <c r="N60" s="5"/>
      <c r="O60" s="5"/>
      <c r="P60" s="5"/>
      <c r="V60" s="9"/>
      <c r="W60" s="9"/>
      <c r="X60" s="9"/>
      <c r="Y60" s="9"/>
    </row>
    <row r="61" spans="14:25" x14ac:dyDescent="0.35">
      <c r="N61" s="5"/>
      <c r="O61" s="5"/>
      <c r="P61" s="5"/>
      <c r="V61" s="9"/>
      <c r="W61" s="9"/>
      <c r="X61" s="9"/>
      <c r="Y61" s="9"/>
    </row>
    <row r="62" spans="14:25" x14ac:dyDescent="0.35">
      <c r="N62" s="5"/>
      <c r="O62" s="5"/>
      <c r="P62" s="5"/>
      <c r="V62" s="9"/>
      <c r="W62" s="9"/>
      <c r="X62" s="9"/>
      <c r="Y62" s="9"/>
    </row>
    <row r="63" spans="14:25" x14ac:dyDescent="0.35">
      <c r="N63" s="5"/>
      <c r="O63" s="5"/>
      <c r="P63" s="5"/>
      <c r="V63" s="9"/>
      <c r="W63" s="9"/>
      <c r="X63" s="9"/>
      <c r="Y63" s="9"/>
    </row>
    <row r="64" spans="14:25" x14ac:dyDescent="0.35">
      <c r="N64" s="5"/>
      <c r="O64" s="5"/>
      <c r="P64" s="5"/>
      <c r="V64" s="9"/>
      <c r="W64" s="9"/>
      <c r="X64" s="9"/>
      <c r="Y64" s="9"/>
    </row>
    <row r="65" spans="14:25" x14ac:dyDescent="0.35">
      <c r="N65" s="5"/>
      <c r="O65" s="5"/>
      <c r="P65" s="5"/>
      <c r="V65" s="9"/>
      <c r="W65" s="9"/>
      <c r="X65" s="9"/>
      <c r="Y65" s="9"/>
    </row>
    <row r="66" spans="14:25" x14ac:dyDescent="0.35">
      <c r="N66" s="5"/>
      <c r="O66" s="5"/>
      <c r="P66" s="5"/>
      <c r="V66" s="9"/>
      <c r="W66" s="9"/>
      <c r="X66" s="9"/>
      <c r="Y66" s="9"/>
    </row>
    <row r="67" spans="14:25" x14ac:dyDescent="0.35">
      <c r="N67" s="5"/>
      <c r="O67" s="5"/>
      <c r="P67" s="5"/>
      <c r="V67" s="9"/>
      <c r="W67" s="9"/>
      <c r="X67" s="9"/>
      <c r="Y67" s="9"/>
    </row>
    <row r="68" spans="14:25" x14ac:dyDescent="0.35">
      <c r="N68" s="5"/>
      <c r="O68" s="5"/>
      <c r="P68" s="5"/>
    </row>
    <row r="69" spans="14:25" x14ac:dyDescent="0.35">
      <c r="N69" s="5"/>
      <c r="O69" s="5"/>
      <c r="P69" s="5"/>
    </row>
    <row r="70" spans="14:25" x14ac:dyDescent="0.35">
      <c r="N70" s="5"/>
      <c r="O70" s="5"/>
      <c r="P70" s="5"/>
    </row>
    <row r="71" spans="14:25" x14ac:dyDescent="0.35">
      <c r="N71" s="5"/>
      <c r="O71" s="5"/>
      <c r="P71" s="5"/>
    </row>
    <row r="72" spans="14:25" x14ac:dyDescent="0.35">
      <c r="N72" s="5"/>
      <c r="O72" s="5"/>
      <c r="P72" s="5"/>
    </row>
    <row r="73" spans="14:25" x14ac:dyDescent="0.35">
      <c r="N73" s="5"/>
      <c r="O73" s="5"/>
      <c r="P73" s="5"/>
    </row>
    <row r="74" spans="14:25" x14ac:dyDescent="0.35">
      <c r="N74" s="5"/>
      <c r="O74" s="5"/>
      <c r="P74" s="5"/>
    </row>
    <row r="75" spans="14:25" x14ac:dyDescent="0.35">
      <c r="N75" s="5"/>
      <c r="O75" s="5"/>
      <c r="P75" s="5"/>
    </row>
    <row r="76" spans="14:25" x14ac:dyDescent="0.35">
      <c r="N76" s="5"/>
      <c r="O76" s="5"/>
      <c r="P76" s="5"/>
    </row>
    <row r="77" spans="14:25" x14ac:dyDescent="0.35">
      <c r="N77" s="5"/>
      <c r="O77" s="5"/>
      <c r="P77" s="5"/>
    </row>
    <row r="78" spans="14:25" x14ac:dyDescent="0.35">
      <c r="N78" s="5"/>
      <c r="O78" s="5"/>
      <c r="P78" s="5"/>
    </row>
    <row r="79" spans="14:25" x14ac:dyDescent="0.35">
      <c r="N79" s="5"/>
      <c r="O79" s="5"/>
      <c r="P79" s="5"/>
    </row>
    <row r="80" spans="14:25" x14ac:dyDescent="0.35">
      <c r="N80" s="5"/>
      <c r="O80" s="5"/>
      <c r="P80" s="5"/>
    </row>
    <row r="81" spans="14:16" x14ac:dyDescent="0.35">
      <c r="N81" s="5"/>
      <c r="O81" s="5"/>
      <c r="P81" s="5"/>
    </row>
    <row r="82" spans="14:16" x14ac:dyDescent="0.35">
      <c r="N82" s="5"/>
      <c r="O82" s="5"/>
      <c r="P82" s="5"/>
    </row>
    <row r="83" spans="14:16" x14ac:dyDescent="0.35">
      <c r="N83" s="5"/>
      <c r="O83" s="5"/>
      <c r="P83" s="5"/>
    </row>
    <row r="84" spans="14:16" x14ac:dyDescent="0.35">
      <c r="N84" s="5"/>
      <c r="O84" s="5"/>
      <c r="P84" s="5"/>
    </row>
    <row r="85" spans="14:16" x14ac:dyDescent="0.35">
      <c r="N85" s="5"/>
      <c r="O85" s="5"/>
      <c r="P85" s="5"/>
    </row>
    <row r="86" spans="14:16" x14ac:dyDescent="0.35">
      <c r="N86" s="5"/>
      <c r="O86" s="5"/>
      <c r="P86" s="5"/>
    </row>
    <row r="87" spans="14:16" x14ac:dyDescent="0.35">
      <c r="N87" s="5"/>
      <c r="O87" s="5"/>
      <c r="P87" s="5"/>
    </row>
    <row r="88" spans="14:16" x14ac:dyDescent="0.35">
      <c r="N88" s="5"/>
      <c r="O88" s="5"/>
      <c r="P88" s="5"/>
    </row>
    <row r="89" spans="14:16" x14ac:dyDescent="0.35">
      <c r="N89" s="5"/>
      <c r="O89" s="5"/>
      <c r="P89" s="5"/>
    </row>
    <row r="90" spans="14:16" x14ac:dyDescent="0.35">
      <c r="N90" s="5"/>
      <c r="O90" s="5"/>
      <c r="P90" s="5"/>
    </row>
    <row r="91" spans="14:16" x14ac:dyDescent="0.35">
      <c r="N91" s="5"/>
      <c r="O91" s="5"/>
      <c r="P91" s="5"/>
    </row>
    <row r="92" spans="14:16" x14ac:dyDescent="0.35">
      <c r="N92" s="5"/>
      <c r="O92" s="5"/>
      <c r="P92" s="5"/>
    </row>
    <row r="93" spans="14:16" x14ac:dyDescent="0.35">
      <c r="N93" s="5"/>
      <c r="O93" s="5"/>
      <c r="P93" s="5"/>
    </row>
    <row r="94" spans="14:16" x14ac:dyDescent="0.35">
      <c r="N94" s="5"/>
      <c r="O94" s="5"/>
      <c r="P94" s="5"/>
    </row>
    <row r="95" spans="14:16" x14ac:dyDescent="0.35">
      <c r="N95" s="5"/>
      <c r="O95" s="5"/>
      <c r="P95" s="5"/>
    </row>
    <row r="96" spans="14:16" x14ac:dyDescent="0.35">
      <c r="N96" s="5"/>
      <c r="O96" s="5"/>
      <c r="P96" s="5"/>
    </row>
    <row r="97" spans="14:16" x14ac:dyDescent="0.35">
      <c r="N97" s="5"/>
      <c r="O97" s="5"/>
      <c r="P97" s="5"/>
    </row>
    <row r="98" spans="14:16" x14ac:dyDescent="0.35">
      <c r="N98" s="5"/>
      <c r="O98" s="5"/>
      <c r="P98" s="5"/>
    </row>
    <row r="99" spans="14:16" x14ac:dyDescent="0.35">
      <c r="N99" s="5"/>
      <c r="O99" s="5"/>
      <c r="P99" s="5"/>
    </row>
    <row r="100" spans="14:16" x14ac:dyDescent="0.35">
      <c r="N100" s="5"/>
      <c r="O100" s="5"/>
      <c r="P100" s="5"/>
    </row>
  </sheetData>
  <mergeCells count="1">
    <mergeCell ref="C1:F1"/>
  </mergeCells>
  <dataValidations count="1">
    <dataValidation type="list" allowBlank="1" showInputMessage="1" showErrorMessage="1" sqref="C1" xr:uid="{94F5DC8C-4B4D-4AF6-89DB-C19A08BA1E3A}">
      <formula1>$AD$4:$AD$40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B6AB-141A-4E8A-8579-9357A3BEFD45}">
  <dimension ref="B1:AD100"/>
  <sheetViews>
    <sheetView zoomScaleNormal="100" workbookViewId="0">
      <selection activeCell="G1" sqref="G1"/>
    </sheetView>
  </sheetViews>
  <sheetFormatPr defaultRowHeight="14.5" x14ac:dyDescent="0.35"/>
  <cols>
    <col min="1" max="1" width="8.7265625" style="3"/>
    <col min="2" max="2" width="35" style="3" bestFit="1" customWidth="1"/>
    <col min="3" max="3" width="36.81640625" style="3" customWidth="1"/>
    <col min="4" max="4" width="31.26953125" style="3" bestFit="1" customWidth="1"/>
    <col min="5" max="5" width="19" style="3" bestFit="1" customWidth="1"/>
    <col min="6" max="6" width="19.7265625" style="3" bestFit="1" customWidth="1"/>
    <col min="7" max="7" width="19.1796875" style="3" customWidth="1"/>
    <col min="8" max="8" width="20.453125" style="3" bestFit="1" customWidth="1"/>
    <col min="9" max="9" width="19.54296875" style="3" bestFit="1" customWidth="1"/>
    <col min="10" max="10" width="20.7265625" style="3" customWidth="1"/>
    <col min="11" max="11" width="19" style="3" bestFit="1" customWidth="1"/>
    <col min="12" max="12" width="13.54296875" style="3" bestFit="1" customWidth="1"/>
    <col min="13" max="13" width="20.453125" style="3" bestFit="1" customWidth="1"/>
    <col min="14" max="14" width="30.1796875" style="3" customWidth="1"/>
    <col min="15" max="15" width="15.1796875" style="3" customWidth="1"/>
    <col min="16" max="16" width="17.1796875" style="3" bestFit="1" customWidth="1"/>
    <col min="17" max="17" width="19.54296875" style="3" customWidth="1"/>
    <col min="18" max="18" width="20.08984375" style="3" bestFit="1" customWidth="1"/>
    <col min="19" max="19" width="29.453125" style="3" bestFit="1" customWidth="1"/>
    <col min="20" max="21" width="22.1796875" style="3" bestFit="1" customWidth="1"/>
    <col min="22" max="22" width="26.7265625" style="3" bestFit="1" customWidth="1"/>
    <col min="23" max="23" width="24.453125" style="3" bestFit="1" customWidth="1"/>
    <col min="24" max="24" width="21.81640625" style="3" customWidth="1"/>
    <col min="25" max="25" width="31.26953125" style="3" bestFit="1" customWidth="1"/>
    <col min="26" max="26" width="29.453125" style="3" bestFit="1" customWidth="1"/>
    <col min="27" max="27" width="22.453125" style="3" bestFit="1" customWidth="1"/>
    <col min="28" max="28" width="17.1796875" style="3" bestFit="1" customWidth="1"/>
    <col min="29" max="29" width="25" style="3" bestFit="1" customWidth="1"/>
    <col min="30" max="30" width="73.08984375" style="6" bestFit="1" customWidth="1"/>
    <col min="31" max="31" width="24.81640625" style="3" bestFit="1" customWidth="1"/>
    <col min="32" max="32" width="17.1796875" style="3" bestFit="1" customWidth="1"/>
    <col min="33" max="33" width="10.81640625" style="3" customWidth="1"/>
    <col min="34" max="34" width="8.7265625" style="3"/>
    <col min="35" max="35" width="17.7265625" style="3" bestFit="1" customWidth="1"/>
    <col min="36" max="36" width="8.81640625" style="3" customWidth="1"/>
    <col min="37" max="16384" width="8.7265625" style="3"/>
  </cols>
  <sheetData>
    <row r="1" spans="2:30" ht="18.5" x14ac:dyDescent="0.45">
      <c r="B1" s="13" t="s">
        <v>163</v>
      </c>
      <c r="C1" s="25" t="s">
        <v>154</v>
      </c>
      <c r="D1" s="26"/>
      <c r="E1" s="26"/>
      <c r="F1" s="27"/>
    </row>
    <row r="3" spans="2:30" x14ac:dyDescent="0.35">
      <c r="C3" s="6" t="str" cm="1">
        <f t="array" ref="C3:G3">_xlfn.TEXTSPLIT(C1,"--")</f>
        <v>tariff-hourly-2</v>
      </c>
      <c r="D3" s="6" t="str">
        <v>0000000000800</v>
      </c>
      <c r="E3" s="6" t="str">
        <v>4000000000000</v>
      </c>
      <c r="F3" s="6" t="str">
        <v>production</v>
      </c>
      <c r="G3" s="6" t="str">
        <v>800</v>
      </c>
      <c r="AD3" s="6" t="s">
        <v>71</v>
      </c>
    </row>
    <row r="4" spans="2:30" x14ac:dyDescent="0.35">
      <c r="B4" s="10" t="s">
        <v>84</v>
      </c>
      <c r="C4" s="10" t="s">
        <v>31</v>
      </c>
      <c r="D4" s="10" t="s">
        <v>85</v>
      </c>
      <c r="E4" s="10" t="s">
        <v>86</v>
      </c>
      <c r="F4" s="10" t="s">
        <v>33</v>
      </c>
      <c r="G4" s="10" t="s">
        <v>37</v>
      </c>
      <c r="H4" s="10" t="s">
        <v>11</v>
      </c>
      <c r="I4" s="10" t="s">
        <v>76</v>
      </c>
      <c r="J4" s="10" t="s">
        <v>72</v>
      </c>
      <c r="K4" s="10" t="s">
        <v>73</v>
      </c>
      <c r="L4" s="10" t="s">
        <v>12</v>
      </c>
      <c r="M4" s="10" t="s">
        <v>46</v>
      </c>
      <c r="N4" s="10" t="s">
        <v>32</v>
      </c>
      <c r="O4" s="10" t="s">
        <v>47</v>
      </c>
      <c r="P4" s="10" t="s">
        <v>48</v>
      </c>
      <c r="Q4" s="10" t="s">
        <v>13</v>
      </c>
      <c r="R4" s="10" t="s">
        <v>7</v>
      </c>
      <c r="S4" s="10" t="s">
        <v>8</v>
      </c>
      <c r="T4" s="10" t="s">
        <v>9</v>
      </c>
      <c r="U4" s="10" t="s">
        <v>87</v>
      </c>
      <c r="AD4" s="6" t="str" cm="1">
        <f t="array" ref="AD4:AD10">_xlfn.UNIQUE(INDEX(_xlfn._xlws.FILTER(ChargeLinks[],(ChargeLinks[charge_type]="Tariff")*(ChargeLinks[Charge_resolution]="PT1H")),,13))</f>
        <v>tariff-hourly-1--0000000000800--3000000000000--consumption--800--non_profiled</v>
      </c>
    </row>
    <row r="5" spans="2:30" x14ac:dyDescent="0.35">
      <c r="B5" s="15" t="str">
        <f>IF(OutPut[[#This Row],[time]]="","",'Config and arguments'!C$2)</f>
        <v>0b15a420-9fc8-409a-a169-fbd49479d718</v>
      </c>
      <c r="C5" s="15" t="str">
        <f>IF(OutPut[[#This Row],[time]]="","",'Config and arguments'!C$5)</f>
        <v>wholesale_fixing</v>
      </c>
      <c r="D5" s="15" t="str">
        <f>IF(OutPut[[#This Row],[time]]="","",'Config and arguments'!C$6)</f>
        <v>2024-01-01 23:00:00</v>
      </c>
      <c r="E5" s="15" t="str">
        <f>IF(OutPut[[#This Row],[time]]="","","IGNORED")</f>
        <v>IGNORED</v>
      </c>
      <c r="F5" s="15" t="str">
        <f>IF(OutPut[[#This Row],[time]]="","",G$3)</f>
        <v>800</v>
      </c>
      <c r="G5" s="15" t="str">
        <f>IF(OutPut[[#This Row],[time]]="","",$E$3)</f>
        <v>4000000000000</v>
      </c>
      <c r="H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" s="15" t="str">
        <f>IF(OutPut[[#This Row],[time]]="","","kWh")</f>
        <v>kWh</v>
      </c>
      <c r="J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" s="15" t="str">
        <f>'Config and arguments'!AB3</f>
        <v>2023-01-31 23:00:00</v>
      </c>
      <c r="L5" s="15" t="str">
        <f>IF(OutPut[[#This Row],[time]]="","","PT1H")</f>
        <v>PT1H</v>
      </c>
      <c r="M5" s="15" t="str">
        <f>IF(OutPut[[#This Row],[time]]="","",$F$3)</f>
        <v>production</v>
      </c>
      <c r="N5" s="16" t="str">
        <f>IF(OutPut[[#This Row],[time]]="","",IF($H$3="","",$H$3))</f>
        <v/>
      </c>
      <c r="O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" s="16" t="str">
        <f>IFERROR(SUBSTITUTE(SUBSTITUTE(OutPut[[#This Row],[price]],".",",")*SUBSTITUTE(OutPut[[#This Row],[quantity]],".",","),",","."),"")</f>
        <v/>
      </c>
      <c r="Q5" s="15" t="str">
        <f>IF(OutPut[[#This Row],[time]]="","",VLOOKUP(C$3,ChargePriceInformationPeriods[],5,FALSE))</f>
        <v>false</v>
      </c>
      <c r="R5" s="15" t="str">
        <f>IF(OutPut[[#This Row],[time]]="","",$C$3)</f>
        <v>tariff-hourly-2</v>
      </c>
      <c r="S5" s="15" t="str">
        <f>IF(OutPut[[#This Row],[time]]="","","tariff")</f>
        <v>tariff</v>
      </c>
      <c r="T5" s="15" t="str">
        <f>IF(OutPut[[#This Row],[time]]="","",$D$3)</f>
        <v>0000000000800</v>
      </c>
      <c r="U5" s="15" t="str">
        <f>IF(OutPut[[#This Row],[time]]="","","amount_per_charge")</f>
        <v>amount_per_charge</v>
      </c>
      <c r="AD5" s="6" t="str">
        <v>tariff-hourly-1--0000000000800--1000000000000--consumption--800--flex</v>
      </c>
    </row>
    <row r="6" spans="2:30" x14ac:dyDescent="0.35">
      <c r="B6" s="15" t="str">
        <f>IF(OutPut[[#This Row],[time]]="","",'Config and arguments'!C$2)</f>
        <v>0b15a420-9fc8-409a-a169-fbd49479d718</v>
      </c>
      <c r="C6" s="15" t="str">
        <f>IF(OutPut[[#This Row],[time]]="","",'Config and arguments'!C$5)</f>
        <v>wholesale_fixing</v>
      </c>
      <c r="D6" s="15" t="str">
        <f>IF(OutPut[[#This Row],[time]]="","",'Config and arguments'!C$6)</f>
        <v>2024-01-01 23:00:00</v>
      </c>
      <c r="E6" s="15" t="str">
        <f>IF(OutPut[[#This Row],[time]]="","","IGNORED")</f>
        <v>IGNORED</v>
      </c>
      <c r="F6" s="15" t="str">
        <f>IF(OutPut[[#This Row],[time]]="","",G$3)</f>
        <v>800</v>
      </c>
      <c r="G6" s="15" t="str">
        <f>IF(OutPut[[#This Row],[time]]="","",$E$3)</f>
        <v>4000000000000</v>
      </c>
      <c r="H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" s="15" t="str">
        <f>IF(OutPut[[#This Row],[time]]="","","kWh")</f>
        <v>kWh</v>
      </c>
      <c r="J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" s="15" t="str">
        <f>'Config and arguments'!AB4</f>
        <v>2023-02-01 00:00:00</v>
      </c>
      <c r="L6" s="15" t="str">
        <f>IF(OutPut[[#This Row],[time]]="","","PT1H")</f>
        <v>PT1H</v>
      </c>
      <c r="M6" s="15" t="str">
        <f>IF(OutPut[[#This Row],[time]]="","",$F$3)</f>
        <v>production</v>
      </c>
      <c r="N6" s="16" t="str">
        <f>IF(OutPut[[#This Row],[time]]="","",IF($H$3="","",$H$3))</f>
        <v/>
      </c>
      <c r="O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" s="16" t="str">
        <f>IFERROR(SUBSTITUTE(SUBSTITUTE(OutPut[[#This Row],[price]],".",",")*SUBSTITUTE(OutPut[[#This Row],[quantity]],".",","),",","."),"")</f>
        <v/>
      </c>
      <c r="Q6" s="15" t="str">
        <f>IF(OutPut[[#This Row],[time]]="","",VLOOKUP(C$3,ChargePriceInformationPeriods[],5,FALSE))</f>
        <v>false</v>
      </c>
      <c r="R6" s="15" t="str">
        <f>IF(OutPut[[#This Row],[time]]="","",$C$3)</f>
        <v>tariff-hourly-2</v>
      </c>
      <c r="S6" s="15" t="str">
        <f>IF(OutPut[[#This Row],[time]]="","","tariff")</f>
        <v>tariff</v>
      </c>
      <c r="T6" s="15" t="str">
        <f>IF(OutPut[[#This Row],[time]]="","",$D$3)</f>
        <v>0000000000800</v>
      </c>
      <c r="U6" s="15" t="str">
        <f>IF(OutPut[[#This Row],[time]]="","","amount_per_charge")</f>
        <v>amount_per_charge</v>
      </c>
      <c r="AD6" s="6" t="str">
        <v>tariff-hourly-2--0000000000800--1000000000000--consumption_from_grid--800</v>
      </c>
    </row>
    <row r="7" spans="2:30" x14ac:dyDescent="0.35">
      <c r="B7" s="15" t="str">
        <f>IF(OutPut[[#This Row],[time]]="","",'Config and arguments'!C$2)</f>
        <v>0b15a420-9fc8-409a-a169-fbd49479d718</v>
      </c>
      <c r="C7" s="15" t="str">
        <f>IF(OutPut[[#This Row],[time]]="","",'Config and arguments'!C$5)</f>
        <v>wholesale_fixing</v>
      </c>
      <c r="D7" s="15" t="str">
        <f>IF(OutPut[[#This Row],[time]]="","",'Config and arguments'!C$6)</f>
        <v>2024-01-01 23:00:00</v>
      </c>
      <c r="E7" s="15" t="str">
        <f>IF(OutPut[[#This Row],[time]]="","","IGNORED")</f>
        <v>IGNORED</v>
      </c>
      <c r="F7" s="15" t="str">
        <f>IF(OutPut[[#This Row],[time]]="","",G$3)</f>
        <v>800</v>
      </c>
      <c r="G7" s="15" t="str">
        <f>IF(OutPut[[#This Row],[time]]="","",$E$3)</f>
        <v>4000000000000</v>
      </c>
      <c r="H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" s="15" t="str">
        <f>IF(OutPut[[#This Row],[time]]="","","kWh")</f>
        <v>kWh</v>
      </c>
      <c r="J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" s="15" t="str">
        <f>'Config and arguments'!AB5</f>
        <v>2023-02-01 01:00:00</v>
      </c>
      <c r="L7" s="15" t="str">
        <f>IF(OutPut[[#This Row],[time]]="","","PT1H")</f>
        <v>PT1H</v>
      </c>
      <c r="M7" s="15" t="str">
        <f>IF(OutPut[[#This Row],[time]]="","",$F$3)</f>
        <v>production</v>
      </c>
      <c r="N7" s="16" t="str">
        <f>IF(OutPut[[#This Row],[time]]="","",IF($H$3="","",$H$3))</f>
        <v/>
      </c>
      <c r="O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" s="16" t="str">
        <f>IFERROR(SUBSTITUTE(SUBSTITUTE(OutPut[[#This Row],[price]],".",",")*SUBSTITUTE(OutPut[[#This Row],[quantity]],".",","),",","."),"")</f>
        <v/>
      </c>
      <c r="Q7" s="15" t="str">
        <f>IF(OutPut[[#This Row],[time]]="","",VLOOKUP(C$3,ChargePriceInformationPeriods[],5,FALSE))</f>
        <v>false</v>
      </c>
      <c r="R7" s="15" t="str">
        <f>IF(OutPut[[#This Row],[time]]="","",$C$3)</f>
        <v>tariff-hourly-2</v>
      </c>
      <c r="S7" s="15" t="str">
        <f>IF(OutPut[[#This Row],[time]]="","","tariff")</f>
        <v>tariff</v>
      </c>
      <c r="T7" s="15" t="str">
        <f>IF(OutPut[[#This Row],[time]]="","",$D$3)</f>
        <v>0000000000800</v>
      </c>
      <c r="U7" s="15" t="str">
        <f>IF(OutPut[[#This Row],[time]]="","","amount_per_charge")</f>
        <v>amount_per_charge</v>
      </c>
      <c r="AD7" s="6" t="str">
        <v>tariff-hourly-2--0000000000800--4000000000000--production--800</v>
      </c>
    </row>
    <row r="8" spans="2:30" x14ac:dyDescent="0.35">
      <c r="B8" s="15" t="str">
        <f>IF(OutPut[[#This Row],[time]]="","",'Config and arguments'!C$2)</f>
        <v>0b15a420-9fc8-409a-a169-fbd49479d718</v>
      </c>
      <c r="C8" s="15" t="str">
        <f>IF(OutPut[[#This Row],[time]]="","",'Config and arguments'!C$5)</f>
        <v>wholesale_fixing</v>
      </c>
      <c r="D8" s="15" t="str">
        <f>IF(OutPut[[#This Row],[time]]="","",'Config and arguments'!C$6)</f>
        <v>2024-01-01 23:00:00</v>
      </c>
      <c r="E8" s="15" t="str">
        <f>IF(OutPut[[#This Row],[time]]="","","IGNORED")</f>
        <v>IGNORED</v>
      </c>
      <c r="F8" s="15" t="str">
        <f>IF(OutPut[[#This Row],[time]]="","",G$3)</f>
        <v>800</v>
      </c>
      <c r="G8" s="15" t="str">
        <f>IF(OutPut[[#This Row],[time]]="","",$E$3)</f>
        <v>4000000000000</v>
      </c>
      <c r="H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8" s="15" t="str">
        <f>IF(OutPut[[#This Row],[time]]="","","kWh")</f>
        <v>kWh</v>
      </c>
      <c r="J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8" s="15" t="str">
        <f>'Config and arguments'!AB6</f>
        <v>2023-02-01 02:00:00</v>
      </c>
      <c r="L8" s="15" t="str">
        <f>IF(OutPut[[#This Row],[time]]="","","PT1H")</f>
        <v>PT1H</v>
      </c>
      <c r="M8" s="15" t="str">
        <f>IF(OutPut[[#This Row],[time]]="","",$F$3)</f>
        <v>production</v>
      </c>
      <c r="N8" s="16" t="str">
        <f>IF(OutPut[[#This Row],[time]]="","",IF($H$3="","",$H$3))</f>
        <v/>
      </c>
      <c r="O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" s="16" t="str">
        <f>IFERROR(SUBSTITUTE(SUBSTITUTE(OutPut[[#This Row],[price]],".",",")*SUBSTITUTE(OutPut[[#This Row],[quantity]],".",","),",","."),"")</f>
        <v/>
      </c>
      <c r="Q8" s="15" t="str">
        <f>IF(OutPut[[#This Row],[time]]="","",VLOOKUP(C$3,ChargePriceInformationPeriods[],5,FALSE))</f>
        <v>false</v>
      </c>
      <c r="R8" s="15" t="str">
        <f>IF(OutPut[[#This Row],[time]]="","",$C$3)</f>
        <v>tariff-hourly-2</v>
      </c>
      <c r="S8" s="15" t="str">
        <f>IF(OutPut[[#This Row],[time]]="","","tariff")</f>
        <v>tariff</v>
      </c>
      <c r="T8" s="15" t="str">
        <f>IF(OutPut[[#This Row],[time]]="","",$D$3)</f>
        <v>0000000000800</v>
      </c>
      <c r="U8" s="15" t="str">
        <f>IF(OutPut[[#This Row],[time]]="","","amount_per_charge")</f>
        <v>amount_per_charge</v>
      </c>
      <c r="AD8" s="6" t="str">
        <v>tariff-hourly-2--0000000000800--2000000000000--own_production--800</v>
      </c>
    </row>
    <row r="9" spans="2:30" x14ac:dyDescent="0.35">
      <c r="B9" s="15" t="str">
        <f>IF(OutPut[[#This Row],[time]]="","",'Config and arguments'!C$2)</f>
        <v>0b15a420-9fc8-409a-a169-fbd49479d718</v>
      </c>
      <c r="C9" s="15" t="str">
        <f>IF(OutPut[[#This Row],[time]]="","",'Config and arguments'!C$5)</f>
        <v>wholesale_fixing</v>
      </c>
      <c r="D9" s="15" t="str">
        <f>IF(OutPut[[#This Row],[time]]="","",'Config and arguments'!C$6)</f>
        <v>2024-01-01 23:00:00</v>
      </c>
      <c r="E9" s="15" t="str">
        <f>IF(OutPut[[#This Row],[time]]="","","IGNORED")</f>
        <v>IGNORED</v>
      </c>
      <c r="F9" s="15" t="str">
        <f>IF(OutPut[[#This Row],[time]]="","",G$3)</f>
        <v>800</v>
      </c>
      <c r="G9" s="15" t="str">
        <f>IF(OutPut[[#This Row],[time]]="","",$E$3)</f>
        <v>4000000000000</v>
      </c>
      <c r="H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9" s="15" t="str">
        <f>IF(OutPut[[#This Row],[time]]="","","kWh")</f>
        <v>kWh</v>
      </c>
      <c r="J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9" s="15" t="str">
        <f>'Config and arguments'!AB7</f>
        <v>2023-02-01 03:00:00</v>
      </c>
      <c r="L9" s="15" t="str">
        <f>IF(OutPut[[#This Row],[time]]="","","PT1H")</f>
        <v>PT1H</v>
      </c>
      <c r="M9" s="15" t="str">
        <f>IF(OutPut[[#This Row],[time]]="","",$F$3)</f>
        <v>production</v>
      </c>
      <c r="N9" s="16" t="str">
        <f>IF(OutPut[[#This Row],[time]]="","",IF($H$3="","",$H$3))</f>
        <v/>
      </c>
      <c r="O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" s="16" t="str">
        <f>IFERROR(SUBSTITUTE(SUBSTITUTE(OutPut[[#This Row],[price]],".",",")*SUBSTITUTE(OutPut[[#This Row],[quantity]],".",","),",","."),"")</f>
        <v/>
      </c>
      <c r="Q9" s="15" t="str">
        <f>IF(OutPut[[#This Row],[time]]="","",VLOOKUP(C$3,ChargePriceInformationPeriods[],5,FALSE))</f>
        <v>false</v>
      </c>
      <c r="R9" s="15" t="str">
        <f>IF(OutPut[[#This Row],[time]]="","",$C$3)</f>
        <v>tariff-hourly-2</v>
      </c>
      <c r="S9" s="15" t="str">
        <f>IF(OutPut[[#This Row],[time]]="","","tariff")</f>
        <v>tariff</v>
      </c>
      <c r="T9" s="15" t="str">
        <f>IF(OutPut[[#This Row],[time]]="","",$D$3)</f>
        <v>0000000000800</v>
      </c>
      <c r="U9" s="15" t="str">
        <f>IF(OutPut[[#This Row],[time]]="","","amount_per_charge")</f>
        <v>amount_per_charge</v>
      </c>
      <c r="AD9" s="6" t="str">
        <v>tariff-hourly-3--0000000000800--2000000000000--production--800</v>
      </c>
    </row>
    <row r="10" spans="2:30" x14ac:dyDescent="0.35">
      <c r="B10" s="15" t="str">
        <f>IF(OutPut[[#This Row],[time]]="","",'Config and arguments'!C$2)</f>
        <v>0b15a420-9fc8-409a-a169-fbd49479d718</v>
      </c>
      <c r="C10" s="15" t="str">
        <f>IF(OutPut[[#This Row],[time]]="","",'Config and arguments'!C$5)</f>
        <v>wholesale_fixing</v>
      </c>
      <c r="D10" s="15" t="str">
        <f>IF(OutPut[[#This Row],[time]]="","",'Config and arguments'!C$6)</f>
        <v>2024-01-01 23:00:00</v>
      </c>
      <c r="E10" s="15" t="str">
        <f>IF(OutPut[[#This Row],[time]]="","","IGNORED")</f>
        <v>IGNORED</v>
      </c>
      <c r="F10" s="15" t="str">
        <f>IF(OutPut[[#This Row],[time]]="","",G$3)</f>
        <v>800</v>
      </c>
      <c r="G10" s="15" t="str">
        <f>IF(OutPut[[#This Row],[time]]="","",$E$3)</f>
        <v>4000000000000</v>
      </c>
      <c r="H1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0" s="15" t="str">
        <f>IF(OutPut[[#This Row],[time]]="","","kWh")</f>
        <v>kWh</v>
      </c>
      <c r="J1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0" s="15" t="str">
        <f>'Config and arguments'!AB8</f>
        <v>2023-02-01 04:00:00</v>
      </c>
      <c r="L10" s="15" t="str">
        <f>IF(OutPut[[#This Row],[time]]="","","PT1H")</f>
        <v>PT1H</v>
      </c>
      <c r="M10" s="15" t="str">
        <f>IF(OutPut[[#This Row],[time]]="","",$F$3)</f>
        <v>production</v>
      </c>
      <c r="N10" s="16" t="str">
        <f>IF(OutPut[[#This Row],[time]]="","",IF($H$3="","",$H$3))</f>
        <v/>
      </c>
      <c r="O1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0" s="16" t="str">
        <f>IFERROR(SUBSTITUTE(SUBSTITUTE(OutPut[[#This Row],[price]],".",",")*SUBSTITUTE(OutPut[[#This Row],[quantity]],".",","),",","."),"")</f>
        <v/>
      </c>
      <c r="Q10" s="15" t="str">
        <f>IF(OutPut[[#This Row],[time]]="","",VLOOKUP(C$3,ChargePriceInformationPeriods[],5,FALSE))</f>
        <v>false</v>
      </c>
      <c r="R10" s="15" t="str">
        <f>IF(OutPut[[#This Row],[time]]="","",$C$3)</f>
        <v>tariff-hourly-2</v>
      </c>
      <c r="S10" s="15" t="str">
        <f>IF(OutPut[[#This Row],[time]]="","","tariff")</f>
        <v>tariff</v>
      </c>
      <c r="T10" s="15" t="str">
        <f>IF(OutPut[[#This Row],[time]]="","",$D$3)</f>
        <v>0000000000800</v>
      </c>
      <c r="U10" s="15" t="str">
        <f>IF(OutPut[[#This Row],[time]]="","","amount_per_charge")</f>
        <v>amount_per_charge</v>
      </c>
      <c r="AD10" s="6" t="str">
        <v>tariff-hourly-4-co_is_tax--6660000000666--1000000000000--consumption--800--flex</v>
      </c>
    </row>
    <row r="11" spans="2:30" x14ac:dyDescent="0.35">
      <c r="B11" s="15" t="str">
        <f>IF(OutPut[[#This Row],[time]]="","",'Config and arguments'!C$2)</f>
        <v>0b15a420-9fc8-409a-a169-fbd49479d718</v>
      </c>
      <c r="C11" s="15" t="str">
        <f>IF(OutPut[[#This Row],[time]]="","",'Config and arguments'!C$5)</f>
        <v>wholesale_fixing</v>
      </c>
      <c r="D11" s="15" t="str">
        <f>IF(OutPut[[#This Row],[time]]="","",'Config and arguments'!C$6)</f>
        <v>2024-01-01 23:00:00</v>
      </c>
      <c r="E11" s="15" t="str">
        <f>IF(OutPut[[#This Row],[time]]="","","IGNORED")</f>
        <v>IGNORED</v>
      </c>
      <c r="F11" s="15" t="str">
        <f>IF(OutPut[[#This Row],[time]]="","",G$3)</f>
        <v>800</v>
      </c>
      <c r="G11" s="15" t="str">
        <f>IF(OutPut[[#This Row],[time]]="","",$E$3)</f>
        <v>4000000000000</v>
      </c>
      <c r="H1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1" s="15" t="str">
        <f>IF(OutPut[[#This Row],[time]]="","","kWh")</f>
        <v>kWh</v>
      </c>
      <c r="J1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1" s="15" t="str">
        <f>'Config and arguments'!AB9</f>
        <v>2023-02-01 05:00:00</v>
      </c>
      <c r="L11" s="15" t="str">
        <f>IF(OutPut[[#This Row],[time]]="","","PT1H")</f>
        <v>PT1H</v>
      </c>
      <c r="M11" s="15" t="str">
        <f>IF(OutPut[[#This Row],[time]]="","",$F$3)</f>
        <v>production</v>
      </c>
      <c r="N11" s="16" t="str">
        <f>IF(OutPut[[#This Row],[time]]="","",IF($H$3="","",$H$3))</f>
        <v/>
      </c>
      <c r="O1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1" s="16" t="str">
        <f>IFERROR(SUBSTITUTE(SUBSTITUTE(OutPut[[#This Row],[price]],".",",")*SUBSTITUTE(OutPut[[#This Row],[quantity]],".",","),",","."),"")</f>
        <v/>
      </c>
      <c r="Q11" s="15" t="str">
        <f>IF(OutPut[[#This Row],[time]]="","",VLOOKUP(C$3,ChargePriceInformationPeriods[],5,FALSE))</f>
        <v>false</v>
      </c>
      <c r="R11" s="15" t="str">
        <f>IF(OutPut[[#This Row],[time]]="","",$C$3)</f>
        <v>tariff-hourly-2</v>
      </c>
      <c r="S11" s="15" t="str">
        <f>IF(OutPut[[#This Row],[time]]="","","tariff")</f>
        <v>tariff</v>
      </c>
      <c r="T11" s="15" t="str">
        <f>IF(OutPut[[#This Row],[time]]="","",$D$3)</f>
        <v>0000000000800</v>
      </c>
      <c r="U11" s="15" t="str">
        <f>IF(OutPut[[#This Row],[time]]="","","amount_per_charge")</f>
        <v>amount_per_charge</v>
      </c>
    </row>
    <row r="12" spans="2:30" x14ac:dyDescent="0.35">
      <c r="B12" s="15" t="str">
        <f>IF(OutPut[[#This Row],[time]]="","",'Config and arguments'!C$2)</f>
        <v>0b15a420-9fc8-409a-a169-fbd49479d718</v>
      </c>
      <c r="C12" s="15" t="str">
        <f>IF(OutPut[[#This Row],[time]]="","",'Config and arguments'!C$5)</f>
        <v>wholesale_fixing</v>
      </c>
      <c r="D12" s="15" t="str">
        <f>IF(OutPut[[#This Row],[time]]="","",'Config and arguments'!C$6)</f>
        <v>2024-01-01 23:00:00</v>
      </c>
      <c r="E12" s="15" t="str">
        <f>IF(OutPut[[#This Row],[time]]="","","IGNORED")</f>
        <v>IGNORED</v>
      </c>
      <c r="F12" s="15" t="str">
        <f>IF(OutPut[[#This Row],[time]]="","",G$3)</f>
        <v>800</v>
      </c>
      <c r="G12" s="15" t="str">
        <f>IF(OutPut[[#This Row],[time]]="","",$E$3)</f>
        <v>4000000000000</v>
      </c>
      <c r="H1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2" s="15" t="str">
        <f>IF(OutPut[[#This Row],[time]]="","","kWh")</f>
        <v>kWh</v>
      </c>
      <c r="J1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2" s="15" t="str">
        <f>'Config and arguments'!AB10</f>
        <v>2023-02-01 06:00:00</v>
      </c>
      <c r="L12" s="15" t="str">
        <f>IF(OutPut[[#This Row],[time]]="","","PT1H")</f>
        <v>PT1H</v>
      </c>
      <c r="M12" s="15" t="str">
        <f>IF(OutPut[[#This Row],[time]]="","",$F$3)</f>
        <v>production</v>
      </c>
      <c r="N12" s="16" t="str">
        <f>IF(OutPut[[#This Row],[time]]="","",IF($H$3="","",$H$3))</f>
        <v/>
      </c>
      <c r="O1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2" s="16" t="str">
        <f>IFERROR(SUBSTITUTE(SUBSTITUTE(OutPut[[#This Row],[price]],".",",")*SUBSTITUTE(OutPut[[#This Row],[quantity]],".",","),",","."),"")</f>
        <v/>
      </c>
      <c r="Q12" s="15" t="str">
        <f>IF(OutPut[[#This Row],[time]]="","",VLOOKUP(C$3,ChargePriceInformationPeriods[],5,FALSE))</f>
        <v>false</v>
      </c>
      <c r="R12" s="15" t="str">
        <f>IF(OutPut[[#This Row],[time]]="","",$C$3)</f>
        <v>tariff-hourly-2</v>
      </c>
      <c r="S12" s="15" t="str">
        <f>IF(OutPut[[#This Row],[time]]="","","tariff")</f>
        <v>tariff</v>
      </c>
      <c r="T12" s="15" t="str">
        <f>IF(OutPut[[#This Row],[time]]="","",$D$3)</f>
        <v>0000000000800</v>
      </c>
      <c r="U12" s="15" t="str">
        <f>IF(OutPut[[#This Row],[time]]="","","amount_per_charge")</f>
        <v>amount_per_charge</v>
      </c>
    </row>
    <row r="13" spans="2:30" x14ac:dyDescent="0.35">
      <c r="B13" s="15" t="str">
        <f>IF(OutPut[[#This Row],[time]]="","",'Config and arguments'!C$2)</f>
        <v>0b15a420-9fc8-409a-a169-fbd49479d718</v>
      </c>
      <c r="C13" s="15" t="str">
        <f>IF(OutPut[[#This Row],[time]]="","",'Config and arguments'!C$5)</f>
        <v>wholesale_fixing</v>
      </c>
      <c r="D13" s="15" t="str">
        <f>IF(OutPut[[#This Row],[time]]="","",'Config and arguments'!C$6)</f>
        <v>2024-01-01 23:00:00</v>
      </c>
      <c r="E13" s="15" t="str">
        <f>IF(OutPut[[#This Row],[time]]="","","IGNORED")</f>
        <v>IGNORED</v>
      </c>
      <c r="F13" s="15" t="str">
        <f>IF(OutPut[[#This Row],[time]]="","",G$3)</f>
        <v>800</v>
      </c>
      <c r="G13" s="15" t="str">
        <f>IF(OutPut[[#This Row],[time]]="","",$E$3)</f>
        <v>4000000000000</v>
      </c>
      <c r="H1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3" s="15" t="str">
        <f>IF(OutPut[[#This Row],[time]]="","","kWh")</f>
        <v>kWh</v>
      </c>
      <c r="J1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3" s="15" t="str">
        <f>'Config and arguments'!AB11</f>
        <v>2023-02-01 07:00:00</v>
      </c>
      <c r="L13" s="15" t="str">
        <f>IF(OutPut[[#This Row],[time]]="","","PT1H")</f>
        <v>PT1H</v>
      </c>
      <c r="M13" s="15" t="str">
        <f>IF(OutPut[[#This Row],[time]]="","",$F$3)</f>
        <v>production</v>
      </c>
      <c r="N13" s="16" t="str">
        <f>IF(OutPut[[#This Row],[time]]="","",IF($H$3="","",$H$3))</f>
        <v/>
      </c>
      <c r="O1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3" s="16" t="str">
        <f>IFERROR(SUBSTITUTE(SUBSTITUTE(OutPut[[#This Row],[price]],".",",")*SUBSTITUTE(OutPut[[#This Row],[quantity]],".",","),",","."),"")</f>
        <v/>
      </c>
      <c r="Q13" s="15" t="str">
        <f>IF(OutPut[[#This Row],[time]]="","",VLOOKUP(C$3,ChargePriceInformationPeriods[],5,FALSE))</f>
        <v>false</v>
      </c>
      <c r="R13" s="15" t="str">
        <f>IF(OutPut[[#This Row],[time]]="","",$C$3)</f>
        <v>tariff-hourly-2</v>
      </c>
      <c r="S13" s="15" t="str">
        <f>IF(OutPut[[#This Row],[time]]="","","tariff")</f>
        <v>tariff</v>
      </c>
      <c r="T13" s="15" t="str">
        <f>IF(OutPut[[#This Row],[time]]="","",$D$3)</f>
        <v>0000000000800</v>
      </c>
      <c r="U13" s="15" t="str">
        <f>IF(OutPut[[#This Row],[time]]="","","amount_per_charge")</f>
        <v>amount_per_charge</v>
      </c>
    </row>
    <row r="14" spans="2:30" x14ac:dyDescent="0.35">
      <c r="B14" s="15" t="str">
        <f>IF(OutPut[[#This Row],[time]]="","",'Config and arguments'!C$2)</f>
        <v>0b15a420-9fc8-409a-a169-fbd49479d718</v>
      </c>
      <c r="C14" s="15" t="str">
        <f>IF(OutPut[[#This Row],[time]]="","",'Config and arguments'!C$5)</f>
        <v>wholesale_fixing</v>
      </c>
      <c r="D14" s="15" t="str">
        <f>IF(OutPut[[#This Row],[time]]="","",'Config and arguments'!C$6)</f>
        <v>2024-01-01 23:00:00</v>
      </c>
      <c r="E14" s="15" t="str">
        <f>IF(OutPut[[#This Row],[time]]="","","IGNORED")</f>
        <v>IGNORED</v>
      </c>
      <c r="F14" s="15" t="str">
        <f>IF(OutPut[[#This Row],[time]]="","",G$3)</f>
        <v>800</v>
      </c>
      <c r="G14" s="15" t="str">
        <f>IF(OutPut[[#This Row],[time]]="","",$E$3)</f>
        <v>4000000000000</v>
      </c>
      <c r="H1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4" s="15" t="str">
        <f>IF(OutPut[[#This Row],[time]]="","","kWh")</f>
        <v>kWh</v>
      </c>
      <c r="J1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4" s="15" t="str">
        <f>'Config and arguments'!AB12</f>
        <v>2023-02-01 08:00:00</v>
      </c>
      <c r="L14" s="15" t="str">
        <f>IF(OutPut[[#This Row],[time]]="","","PT1H")</f>
        <v>PT1H</v>
      </c>
      <c r="M14" s="15" t="str">
        <f>IF(OutPut[[#This Row],[time]]="","",$F$3)</f>
        <v>production</v>
      </c>
      <c r="N14" s="16" t="str">
        <f>IF(OutPut[[#This Row],[time]]="","",IF($H$3="","",$H$3))</f>
        <v/>
      </c>
      <c r="O1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4" s="16" t="str">
        <f>IFERROR(SUBSTITUTE(SUBSTITUTE(OutPut[[#This Row],[price]],".",",")*SUBSTITUTE(OutPut[[#This Row],[quantity]],".",","),",","."),"")</f>
        <v/>
      </c>
      <c r="Q14" s="15" t="str">
        <f>IF(OutPut[[#This Row],[time]]="","",VLOOKUP(C$3,ChargePriceInformationPeriods[],5,FALSE))</f>
        <v>false</v>
      </c>
      <c r="R14" s="15" t="str">
        <f>IF(OutPut[[#This Row],[time]]="","",$C$3)</f>
        <v>tariff-hourly-2</v>
      </c>
      <c r="S14" s="15" t="str">
        <f>IF(OutPut[[#This Row],[time]]="","","tariff")</f>
        <v>tariff</v>
      </c>
      <c r="T14" s="15" t="str">
        <f>IF(OutPut[[#This Row],[time]]="","",$D$3)</f>
        <v>0000000000800</v>
      </c>
      <c r="U14" s="15" t="str">
        <f>IF(OutPut[[#This Row],[time]]="","","amount_per_charge")</f>
        <v>amount_per_charge</v>
      </c>
    </row>
    <row r="15" spans="2:30" x14ac:dyDescent="0.35">
      <c r="B15" s="15" t="str">
        <f>IF(OutPut[[#This Row],[time]]="","",'Config and arguments'!C$2)</f>
        <v>0b15a420-9fc8-409a-a169-fbd49479d718</v>
      </c>
      <c r="C15" s="15" t="str">
        <f>IF(OutPut[[#This Row],[time]]="","",'Config and arguments'!C$5)</f>
        <v>wholesale_fixing</v>
      </c>
      <c r="D15" s="15" t="str">
        <f>IF(OutPut[[#This Row],[time]]="","",'Config and arguments'!C$6)</f>
        <v>2024-01-01 23:00:00</v>
      </c>
      <c r="E15" s="15" t="str">
        <f>IF(OutPut[[#This Row],[time]]="","","IGNORED")</f>
        <v>IGNORED</v>
      </c>
      <c r="F15" s="15" t="str">
        <f>IF(OutPut[[#This Row],[time]]="","",G$3)</f>
        <v>800</v>
      </c>
      <c r="G15" s="15" t="str">
        <f>IF(OutPut[[#This Row],[time]]="","",$E$3)</f>
        <v>4000000000000</v>
      </c>
      <c r="H1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5" s="15" t="str">
        <f>IF(OutPut[[#This Row],[time]]="","","kWh")</f>
        <v>kWh</v>
      </c>
      <c r="J1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5" s="15" t="str">
        <f>'Config and arguments'!AB13</f>
        <v>2023-02-01 09:00:00</v>
      </c>
      <c r="L15" s="15" t="str">
        <f>IF(OutPut[[#This Row],[time]]="","","PT1H")</f>
        <v>PT1H</v>
      </c>
      <c r="M15" s="15" t="str">
        <f>IF(OutPut[[#This Row],[time]]="","",$F$3)</f>
        <v>production</v>
      </c>
      <c r="N15" s="16" t="str">
        <f>IF(OutPut[[#This Row],[time]]="","",IF($H$3="","",$H$3))</f>
        <v/>
      </c>
      <c r="O1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5" s="16" t="str">
        <f>IFERROR(SUBSTITUTE(SUBSTITUTE(OutPut[[#This Row],[price]],".",",")*SUBSTITUTE(OutPut[[#This Row],[quantity]],".",","),",","."),"")</f>
        <v/>
      </c>
      <c r="Q15" s="15" t="str">
        <f>IF(OutPut[[#This Row],[time]]="","",VLOOKUP(C$3,ChargePriceInformationPeriods[],5,FALSE))</f>
        <v>false</v>
      </c>
      <c r="R15" s="15" t="str">
        <f>IF(OutPut[[#This Row],[time]]="","",$C$3)</f>
        <v>tariff-hourly-2</v>
      </c>
      <c r="S15" s="15" t="str">
        <f>IF(OutPut[[#This Row],[time]]="","","tariff")</f>
        <v>tariff</v>
      </c>
      <c r="T15" s="15" t="str">
        <f>IF(OutPut[[#This Row],[time]]="","",$D$3)</f>
        <v>0000000000800</v>
      </c>
      <c r="U15" s="15" t="str">
        <f>IF(OutPut[[#This Row],[time]]="","","amount_per_charge")</f>
        <v>amount_per_charge</v>
      </c>
    </row>
    <row r="16" spans="2:30" x14ac:dyDescent="0.35">
      <c r="B16" s="15" t="str">
        <f>IF(OutPut[[#This Row],[time]]="","",'Config and arguments'!C$2)</f>
        <v>0b15a420-9fc8-409a-a169-fbd49479d718</v>
      </c>
      <c r="C16" s="15" t="str">
        <f>IF(OutPut[[#This Row],[time]]="","",'Config and arguments'!C$5)</f>
        <v>wholesale_fixing</v>
      </c>
      <c r="D16" s="15" t="str">
        <f>IF(OutPut[[#This Row],[time]]="","",'Config and arguments'!C$6)</f>
        <v>2024-01-01 23:00:00</v>
      </c>
      <c r="E16" s="15" t="str">
        <f>IF(OutPut[[#This Row],[time]]="","","IGNORED")</f>
        <v>IGNORED</v>
      </c>
      <c r="F16" s="15" t="str">
        <f>IF(OutPut[[#This Row],[time]]="","",G$3)</f>
        <v>800</v>
      </c>
      <c r="G16" s="15" t="str">
        <f>IF(OutPut[[#This Row],[time]]="","",$E$3)</f>
        <v>4000000000000</v>
      </c>
      <c r="H1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6" s="15" t="str">
        <f>IF(OutPut[[#This Row],[time]]="","","kWh")</f>
        <v>kWh</v>
      </c>
      <c r="J1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6" s="15" t="str">
        <f>'Config and arguments'!AB14</f>
        <v>2023-02-01 10:00:00</v>
      </c>
      <c r="L16" s="15" t="str">
        <f>IF(OutPut[[#This Row],[time]]="","","PT1H")</f>
        <v>PT1H</v>
      </c>
      <c r="M16" s="15" t="str">
        <f>IF(OutPut[[#This Row],[time]]="","",$F$3)</f>
        <v>production</v>
      </c>
      <c r="N16" s="16" t="str">
        <f>IF(OutPut[[#This Row],[time]]="","",IF($H$3="","",$H$3))</f>
        <v/>
      </c>
      <c r="O1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6" s="16" t="str">
        <f>IFERROR(SUBSTITUTE(SUBSTITUTE(OutPut[[#This Row],[price]],".",",")*SUBSTITUTE(OutPut[[#This Row],[quantity]],".",","),",","."),"")</f>
        <v/>
      </c>
      <c r="Q16" s="15" t="str">
        <f>IF(OutPut[[#This Row],[time]]="","",VLOOKUP(C$3,ChargePriceInformationPeriods[],5,FALSE))</f>
        <v>false</v>
      </c>
      <c r="R16" s="15" t="str">
        <f>IF(OutPut[[#This Row],[time]]="","",$C$3)</f>
        <v>tariff-hourly-2</v>
      </c>
      <c r="S16" s="15" t="str">
        <f>IF(OutPut[[#This Row],[time]]="","","tariff")</f>
        <v>tariff</v>
      </c>
      <c r="T16" s="15" t="str">
        <f>IF(OutPut[[#This Row],[time]]="","",$D$3)</f>
        <v>0000000000800</v>
      </c>
      <c r="U16" s="15" t="str">
        <f>IF(OutPut[[#This Row],[time]]="","","amount_per_charge")</f>
        <v>amount_per_charge</v>
      </c>
    </row>
    <row r="17" spans="2:28" x14ac:dyDescent="0.35">
      <c r="B17" s="15" t="str">
        <f>IF(OutPut[[#This Row],[time]]="","",'Config and arguments'!C$2)</f>
        <v>0b15a420-9fc8-409a-a169-fbd49479d718</v>
      </c>
      <c r="C17" s="15" t="str">
        <f>IF(OutPut[[#This Row],[time]]="","",'Config and arguments'!C$5)</f>
        <v>wholesale_fixing</v>
      </c>
      <c r="D17" s="15" t="str">
        <f>IF(OutPut[[#This Row],[time]]="","",'Config and arguments'!C$6)</f>
        <v>2024-01-01 23:00:00</v>
      </c>
      <c r="E17" s="15" t="str">
        <f>IF(OutPut[[#This Row],[time]]="","","IGNORED")</f>
        <v>IGNORED</v>
      </c>
      <c r="F17" s="15" t="str">
        <f>IF(OutPut[[#This Row],[time]]="","",G$3)</f>
        <v>800</v>
      </c>
      <c r="G17" s="15" t="str">
        <f>IF(OutPut[[#This Row],[time]]="","",$E$3)</f>
        <v>4000000000000</v>
      </c>
      <c r="H1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7" s="15" t="str">
        <f>IF(OutPut[[#This Row],[time]]="","","kWh")</f>
        <v>kWh</v>
      </c>
      <c r="J1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7" s="15" t="str">
        <f>'Config and arguments'!AB15</f>
        <v>2023-02-01 11:00:00</v>
      </c>
      <c r="L17" s="15" t="str">
        <f>IF(OutPut[[#This Row],[time]]="","","PT1H")</f>
        <v>PT1H</v>
      </c>
      <c r="M17" s="15" t="str">
        <f>IF(OutPut[[#This Row],[time]]="","",$F$3)</f>
        <v>production</v>
      </c>
      <c r="N17" s="16" t="str">
        <f>IF(OutPut[[#This Row],[time]]="","",IF($H$3="","",$H$3))</f>
        <v/>
      </c>
      <c r="O1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7" s="16" t="str">
        <f>IFERROR(SUBSTITUTE(SUBSTITUTE(OutPut[[#This Row],[price]],".",",")*SUBSTITUTE(OutPut[[#This Row],[quantity]],".",","),",","."),"")</f>
        <v/>
      </c>
      <c r="Q17" s="15" t="str">
        <f>IF(OutPut[[#This Row],[time]]="","",VLOOKUP(C$3,ChargePriceInformationPeriods[],5,FALSE))</f>
        <v>false</v>
      </c>
      <c r="R17" s="15" t="str">
        <f>IF(OutPut[[#This Row],[time]]="","",$C$3)</f>
        <v>tariff-hourly-2</v>
      </c>
      <c r="S17" s="15" t="str">
        <f>IF(OutPut[[#This Row],[time]]="","","tariff")</f>
        <v>tariff</v>
      </c>
      <c r="T17" s="15" t="str">
        <f>IF(OutPut[[#This Row],[time]]="","",$D$3)</f>
        <v>0000000000800</v>
      </c>
      <c r="U17" s="15" t="str">
        <f>IF(OutPut[[#This Row],[time]]="","","amount_per_charge")</f>
        <v>amount_per_charge</v>
      </c>
    </row>
    <row r="18" spans="2:28" x14ac:dyDescent="0.35">
      <c r="B18" s="15" t="str">
        <f>IF(OutPut[[#This Row],[time]]="","",'Config and arguments'!C$2)</f>
        <v>0b15a420-9fc8-409a-a169-fbd49479d718</v>
      </c>
      <c r="C18" s="15" t="str">
        <f>IF(OutPut[[#This Row],[time]]="","",'Config and arguments'!C$5)</f>
        <v>wholesale_fixing</v>
      </c>
      <c r="D18" s="15" t="str">
        <f>IF(OutPut[[#This Row],[time]]="","",'Config and arguments'!C$6)</f>
        <v>2024-01-01 23:00:00</v>
      </c>
      <c r="E18" s="15" t="str">
        <f>IF(OutPut[[#This Row],[time]]="","","IGNORED")</f>
        <v>IGNORED</v>
      </c>
      <c r="F18" s="15" t="str">
        <f>IF(OutPut[[#This Row],[time]]="","",G$3)</f>
        <v>800</v>
      </c>
      <c r="G18" s="15" t="str">
        <f>IF(OutPut[[#This Row],[time]]="","",$E$3)</f>
        <v>4000000000000</v>
      </c>
      <c r="H1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8" s="15" t="str">
        <f>IF(OutPut[[#This Row],[time]]="","","kWh")</f>
        <v>kWh</v>
      </c>
      <c r="J1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8" s="15" t="str">
        <f>'Config and arguments'!AB16</f>
        <v>2023-02-01 12:00:00</v>
      </c>
      <c r="L18" s="15" t="str">
        <f>IF(OutPut[[#This Row],[time]]="","","PT1H")</f>
        <v>PT1H</v>
      </c>
      <c r="M18" s="15" t="str">
        <f>IF(OutPut[[#This Row],[time]]="","",$F$3)</f>
        <v>production</v>
      </c>
      <c r="N18" s="16" t="str">
        <f>IF(OutPut[[#This Row],[time]]="","",IF($H$3="","",$H$3))</f>
        <v/>
      </c>
      <c r="O1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8" s="16" t="str">
        <f>IFERROR(SUBSTITUTE(SUBSTITUTE(OutPut[[#This Row],[price]],".",",")*SUBSTITUTE(OutPut[[#This Row],[quantity]],".",","),",","."),"")</f>
        <v/>
      </c>
      <c r="Q18" s="15" t="str">
        <f>IF(OutPut[[#This Row],[time]]="","",VLOOKUP(C$3,ChargePriceInformationPeriods[],5,FALSE))</f>
        <v>false</v>
      </c>
      <c r="R18" s="15" t="str">
        <f>IF(OutPut[[#This Row],[time]]="","",$C$3)</f>
        <v>tariff-hourly-2</v>
      </c>
      <c r="S18" s="15" t="str">
        <f>IF(OutPut[[#This Row],[time]]="","","tariff")</f>
        <v>tariff</v>
      </c>
      <c r="T18" s="15" t="str">
        <f>IF(OutPut[[#This Row],[time]]="","",$D$3)</f>
        <v>0000000000800</v>
      </c>
      <c r="U18" s="15" t="str">
        <f>IF(OutPut[[#This Row],[time]]="","","amount_per_charge")</f>
        <v>amount_per_charge</v>
      </c>
    </row>
    <row r="19" spans="2:28" x14ac:dyDescent="0.35">
      <c r="B19" s="15" t="str">
        <f>IF(OutPut[[#This Row],[time]]="","",'Config and arguments'!C$2)</f>
        <v>0b15a420-9fc8-409a-a169-fbd49479d718</v>
      </c>
      <c r="C19" s="15" t="str">
        <f>IF(OutPut[[#This Row],[time]]="","",'Config and arguments'!C$5)</f>
        <v>wholesale_fixing</v>
      </c>
      <c r="D19" s="15" t="str">
        <f>IF(OutPut[[#This Row],[time]]="","",'Config and arguments'!C$6)</f>
        <v>2024-01-01 23:00:00</v>
      </c>
      <c r="E19" s="15" t="str">
        <f>IF(OutPut[[#This Row],[time]]="","","IGNORED")</f>
        <v>IGNORED</v>
      </c>
      <c r="F19" s="15" t="str">
        <f>IF(OutPut[[#This Row],[time]]="","",G$3)</f>
        <v>800</v>
      </c>
      <c r="G19" s="15" t="str">
        <f>IF(OutPut[[#This Row],[time]]="","",$E$3)</f>
        <v>4000000000000</v>
      </c>
      <c r="H1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9" s="15" t="str">
        <f>IF(OutPut[[#This Row],[time]]="","","kWh")</f>
        <v>kWh</v>
      </c>
      <c r="J1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9" s="15" t="str">
        <f>'Config and arguments'!AB17</f>
        <v>2023-02-01 13:00:00</v>
      </c>
      <c r="L19" s="15" t="str">
        <f>IF(OutPut[[#This Row],[time]]="","","PT1H")</f>
        <v>PT1H</v>
      </c>
      <c r="M19" s="15" t="str">
        <f>IF(OutPut[[#This Row],[time]]="","",$F$3)</f>
        <v>production</v>
      </c>
      <c r="N19" s="16" t="str">
        <f>IF(OutPut[[#This Row],[time]]="","",IF($H$3="","",$H$3))</f>
        <v/>
      </c>
      <c r="O1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9" s="16" t="str">
        <f>IFERROR(SUBSTITUTE(SUBSTITUTE(OutPut[[#This Row],[price]],".",",")*SUBSTITUTE(OutPut[[#This Row],[quantity]],".",","),",","."),"")</f>
        <v/>
      </c>
      <c r="Q19" s="15" t="str">
        <f>IF(OutPut[[#This Row],[time]]="","",VLOOKUP(C$3,ChargePriceInformationPeriods[],5,FALSE))</f>
        <v>false</v>
      </c>
      <c r="R19" s="15" t="str">
        <f>IF(OutPut[[#This Row],[time]]="","",$C$3)</f>
        <v>tariff-hourly-2</v>
      </c>
      <c r="S19" s="15" t="str">
        <f>IF(OutPut[[#This Row],[time]]="","","tariff")</f>
        <v>tariff</v>
      </c>
      <c r="T19" s="15" t="str">
        <f>IF(OutPut[[#This Row],[time]]="","",$D$3)</f>
        <v>0000000000800</v>
      </c>
      <c r="U19" s="15" t="str">
        <f>IF(OutPut[[#This Row],[time]]="","","amount_per_charge")</f>
        <v>amount_per_charge</v>
      </c>
    </row>
    <row r="20" spans="2:28" x14ac:dyDescent="0.35">
      <c r="B20" s="15" t="str">
        <f>IF(OutPut[[#This Row],[time]]="","",'Config and arguments'!C$2)</f>
        <v>0b15a420-9fc8-409a-a169-fbd49479d718</v>
      </c>
      <c r="C20" s="15" t="str">
        <f>IF(OutPut[[#This Row],[time]]="","",'Config and arguments'!C$5)</f>
        <v>wholesale_fixing</v>
      </c>
      <c r="D20" s="15" t="str">
        <f>IF(OutPut[[#This Row],[time]]="","",'Config and arguments'!C$6)</f>
        <v>2024-01-01 23:00:00</v>
      </c>
      <c r="E20" s="15" t="str">
        <f>IF(OutPut[[#This Row],[time]]="","","IGNORED")</f>
        <v>IGNORED</v>
      </c>
      <c r="F20" s="15" t="str">
        <f>IF(OutPut[[#This Row],[time]]="","",G$3)</f>
        <v>800</v>
      </c>
      <c r="G20" s="15" t="str">
        <f>IF(OutPut[[#This Row],[time]]="","",$E$3)</f>
        <v>4000000000000</v>
      </c>
      <c r="H2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0" s="15" t="str">
        <f>IF(OutPut[[#This Row],[time]]="","","kWh")</f>
        <v>kWh</v>
      </c>
      <c r="J2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0" s="15" t="str">
        <f>'Config and arguments'!AB18</f>
        <v>2023-02-01 14:00:00</v>
      </c>
      <c r="L20" s="15" t="str">
        <f>IF(OutPut[[#This Row],[time]]="","","PT1H")</f>
        <v>PT1H</v>
      </c>
      <c r="M20" s="15" t="str">
        <f>IF(OutPut[[#This Row],[time]]="","",$F$3)</f>
        <v>production</v>
      </c>
      <c r="N20" s="16" t="str">
        <f>IF(OutPut[[#This Row],[time]]="","",IF($H$3="","",$H$3))</f>
        <v/>
      </c>
      <c r="O2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0" s="16" t="str">
        <f>IFERROR(SUBSTITUTE(SUBSTITUTE(OutPut[[#This Row],[price]],".",",")*SUBSTITUTE(OutPut[[#This Row],[quantity]],".",","),",","."),"")</f>
        <v/>
      </c>
      <c r="Q20" s="15" t="str">
        <f>IF(OutPut[[#This Row],[time]]="","",VLOOKUP(C$3,ChargePriceInformationPeriods[],5,FALSE))</f>
        <v>false</v>
      </c>
      <c r="R20" s="15" t="str">
        <f>IF(OutPut[[#This Row],[time]]="","",$C$3)</f>
        <v>tariff-hourly-2</v>
      </c>
      <c r="S20" s="15" t="str">
        <f>IF(OutPut[[#This Row],[time]]="","","tariff")</f>
        <v>tariff</v>
      </c>
      <c r="T20" s="15" t="str">
        <f>IF(OutPut[[#This Row],[time]]="","",$D$3)</f>
        <v>0000000000800</v>
      </c>
      <c r="U20" s="15" t="str">
        <f>IF(OutPut[[#This Row],[time]]="","","amount_per_charge")</f>
        <v>amount_per_charge</v>
      </c>
    </row>
    <row r="21" spans="2:28" x14ac:dyDescent="0.35">
      <c r="B21" s="15" t="str">
        <f>IF(OutPut[[#This Row],[time]]="","",'Config and arguments'!C$2)</f>
        <v>0b15a420-9fc8-409a-a169-fbd49479d718</v>
      </c>
      <c r="C21" s="15" t="str">
        <f>IF(OutPut[[#This Row],[time]]="","",'Config and arguments'!C$5)</f>
        <v>wholesale_fixing</v>
      </c>
      <c r="D21" s="15" t="str">
        <f>IF(OutPut[[#This Row],[time]]="","",'Config and arguments'!C$6)</f>
        <v>2024-01-01 23:00:00</v>
      </c>
      <c r="E21" s="15" t="str">
        <f>IF(OutPut[[#This Row],[time]]="","","IGNORED")</f>
        <v>IGNORED</v>
      </c>
      <c r="F21" s="15" t="str">
        <f>IF(OutPut[[#This Row],[time]]="","",G$3)</f>
        <v>800</v>
      </c>
      <c r="G21" s="15" t="str">
        <f>IF(OutPut[[#This Row],[time]]="","",$E$3)</f>
        <v>4000000000000</v>
      </c>
      <c r="H2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1" s="15" t="str">
        <f>IF(OutPut[[#This Row],[time]]="","","kWh")</f>
        <v>kWh</v>
      </c>
      <c r="J2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1" s="15" t="str">
        <f>'Config and arguments'!AB19</f>
        <v>2023-02-01 15:00:00</v>
      </c>
      <c r="L21" s="15" t="str">
        <f>IF(OutPut[[#This Row],[time]]="","","PT1H")</f>
        <v>PT1H</v>
      </c>
      <c r="M21" s="15" t="str">
        <f>IF(OutPut[[#This Row],[time]]="","",$F$3)</f>
        <v>production</v>
      </c>
      <c r="N21" s="16" t="str">
        <f>IF(OutPut[[#This Row],[time]]="","",IF($H$3="","",$H$3))</f>
        <v/>
      </c>
      <c r="O2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1" s="16" t="str">
        <f>IFERROR(SUBSTITUTE(SUBSTITUTE(OutPut[[#This Row],[price]],".",",")*SUBSTITUTE(OutPut[[#This Row],[quantity]],".",","),",","."),"")</f>
        <v/>
      </c>
      <c r="Q21" s="15" t="str">
        <f>IF(OutPut[[#This Row],[time]]="","",VLOOKUP(C$3,ChargePriceInformationPeriods[],5,FALSE))</f>
        <v>false</v>
      </c>
      <c r="R21" s="15" t="str">
        <f>IF(OutPut[[#This Row],[time]]="","",$C$3)</f>
        <v>tariff-hourly-2</v>
      </c>
      <c r="S21" s="15" t="str">
        <f>IF(OutPut[[#This Row],[time]]="","","tariff")</f>
        <v>tariff</v>
      </c>
      <c r="T21" s="15" t="str">
        <f>IF(OutPut[[#This Row],[time]]="","",$D$3)</f>
        <v>0000000000800</v>
      </c>
      <c r="U21" s="15" t="str">
        <f>IF(OutPut[[#This Row],[time]]="","","amount_per_charge")</f>
        <v>amount_per_charge</v>
      </c>
    </row>
    <row r="22" spans="2:28" x14ac:dyDescent="0.35">
      <c r="B22" s="15" t="str">
        <f>IF(OutPut[[#This Row],[time]]="","",'Config and arguments'!C$2)</f>
        <v>0b15a420-9fc8-409a-a169-fbd49479d718</v>
      </c>
      <c r="C22" s="15" t="str">
        <f>IF(OutPut[[#This Row],[time]]="","",'Config and arguments'!C$5)</f>
        <v>wholesale_fixing</v>
      </c>
      <c r="D22" s="15" t="str">
        <f>IF(OutPut[[#This Row],[time]]="","",'Config and arguments'!C$6)</f>
        <v>2024-01-01 23:00:00</v>
      </c>
      <c r="E22" s="15" t="str">
        <f>IF(OutPut[[#This Row],[time]]="","","IGNORED")</f>
        <v>IGNORED</v>
      </c>
      <c r="F22" s="15" t="str">
        <f>IF(OutPut[[#This Row],[time]]="","",G$3)</f>
        <v>800</v>
      </c>
      <c r="G22" s="15" t="str">
        <f>IF(OutPut[[#This Row],[time]]="","",$E$3)</f>
        <v>4000000000000</v>
      </c>
      <c r="H2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2" s="15" t="str">
        <f>IF(OutPut[[#This Row],[time]]="","","kWh")</f>
        <v>kWh</v>
      </c>
      <c r="J2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2" s="15" t="str">
        <f>'Config and arguments'!AB20</f>
        <v>2023-02-01 16:00:00</v>
      </c>
      <c r="L22" s="15" t="str">
        <f>IF(OutPut[[#This Row],[time]]="","","PT1H")</f>
        <v>PT1H</v>
      </c>
      <c r="M22" s="15" t="str">
        <f>IF(OutPut[[#This Row],[time]]="","",$F$3)</f>
        <v>production</v>
      </c>
      <c r="N22" s="16" t="str">
        <f>IF(OutPut[[#This Row],[time]]="","",IF($H$3="","",$H$3))</f>
        <v/>
      </c>
      <c r="O2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2" s="16" t="str">
        <f>IFERROR(SUBSTITUTE(SUBSTITUTE(OutPut[[#This Row],[price]],".",",")*SUBSTITUTE(OutPut[[#This Row],[quantity]],".",","),",","."),"")</f>
        <v/>
      </c>
      <c r="Q22" s="15" t="str">
        <f>IF(OutPut[[#This Row],[time]]="","",VLOOKUP(C$3,ChargePriceInformationPeriods[],5,FALSE))</f>
        <v>false</v>
      </c>
      <c r="R22" s="15" t="str">
        <f>IF(OutPut[[#This Row],[time]]="","",$C$3)</f>
        <v>tariff-hourly-2</v>
      </c>
      <c r="S22" s="15" t="str">
        <f>IF(OutPut[[#This Row],[time]]="","","tariff")</f>
        <v>tariff</v>
      </c>
      <c r="T22" s="15" t="str">
        <f>IF(OutPut[[#This Row],[time]]="","",$D$3)</f>
        <v>0000000000800</v>
      </c>
      <c r="U22" s="15" t="str">
        <f>IF(OutPut[[#This Row],[time]]="","","amount_per_charge")</f>
        <v>amount_per_charge</v>
      </c>
    </row>
    <row r="23" spans="2:28" x14ac:dyDescent="0.35">
      <c r="B23" s="15" t="str">
        <f>IF(OutPut[[#This Row],[time]]="","",'Config and arguments'!C$2)</f>
        <v>0b15a420-9fc8-409a-a169-fbd49479d718</v>
      </c>
      <c r="C23" s="15" t="str">
        <f>IF(OutPut[[#This Row],[time]]="","",'Config and arguments'!C$5)</f>
        <v>wholesale_fixing</v>
      </c>
      <c r="D23" s="15" t="str">
        <f>IF(OutPut[[#This Row],[time]]="","",'Config and arguments'!C$6)</f>
        <v>2024-01-01 23:00:00</v>
      </c>
      <c r="E23" s="15" t="str">
        <f>IF(OutPut[[#This Row],[time]]="","","IGNORED")</f>
        <v>IGNORED</v>
      </c>
      <c r="F23" s="15" t="str">
        <f>IF(OutPut[[#This Row],[time]]="","",G$3)</f>
        <v>800</v>
      </c>
      <c r="G23" s="15" t="str">
        <f>IF(OutPut[[#This Row],[time]]="","",$E$3)</f>
        <v>4000000000000</v>
      </c>
      <c r="H2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3" s="15" t="str">
        <f>IF(OutPut[[#This Row],[time]]="","","kWh")</f>
        <v>kWh</v>
      </c>
      <c r="J2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3" s="15" t="str">
        <f>'Config and arguments'!AB21</f>
        <v>2023-02-01 17:00:00</v>
      </c>
      <c r="L23" s="15" t="str">
        <f>IF(OutPut[[#This Row],[time]]="","","PT1H")</f>
        <v>PT1H</v>
      </c>
      <c r="M23" s="15" t="str">
        <f>IF(OutPut[[#This Row],[time]]="","",$F$3)</f>
        <v>production</v>
      </c>
      <c r="N23" s="16" t="str">
        <f>IF(OutPut[[#This Row],[time]]="","",IF($H$3="","",$H$3))</f>
        <v/>
      </c>
      <c r="O2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3" s="16" t="str">
        <f>IFERROR(SUBSTITUTE(SUBSTITUTE(OutPut[[#This Row],[price]],".",",")*SUBSTITUTE(OutPut[[#This Row],[quantity]],".",","),",","."),"")</f>
        <v/>
      </c>
      <c r="Q23" s="15" t="str">
        <f>IF(OutPut[[#This Row],[time]]="","",VLOOKUP(C$3,ChargePriceInformationPeriods[],5,FALSE))</f>
        <v>false</v>
      </c>
      <c r="R23" s="15" t="str">
        <f>IF(OutPut[[#This Row],[time]]="","",$C$3)</f>
        <v>tariff-hourly-2</v>
      </c>
      <c r="S23" s="15" t="str">
        <f>IF(OutPut[[#This Row],[time]]="","","tariff")</f>
        <v>tariff</v>
      </c>
      <c r="T23" s="15" t="str">
        <f>IF(OutPut[[#This Row],[time]]="","",$D$3)</f>
        <v>0000000000800</v>
      </c>
      <c r="U23" s="15" t="str">
        <f>IF(OutPut[[#This Row],[time]]="","","amount_per_charge")</f>
        <v>amount_per_charge</v>
      </c>
    </row>
    <row r="24" spans="2:28" x14ac:dyDescent="0.35">
      <c r="B24" s="15" t="str">
        <f>IF(OutPut[[#This Row],[time]]="","",'Config and arguments'!C$2)</f>
        <v>0b15a420-9fc8-409a-a169-fbd49479d718</v>
      </c>
      <c r="C24" s="15" t="str">
        <f>IF(OutPut[[#This Row],[time]]="","",'Config and arguments'!C$5)</f>
        <v>wholesale_fixing</v>
      </c>
      <c r="D24" s="15" t="str">
        <f>IF(OutPut[[#This Row],[time]]="","",'Config and arguments'!C$6)</f>
        <v>2024-01-01 23:00:00</v>
      </c>
      <c r="E24" s="15" t="str">
        <f>IF(OutPut[[#This Row],[time]]="","","IGNORED")</f>
        <v>IGNORED</v>
      </c>
      <c r="F24" s="15" t="str">
        <f>IF(OutPut[[#This Row],[time]]="","",G$3)</f>
        <v>800</v>
      </c>
      <c r="G24" s="15" t="str">
        <f>IF(OutPut[[#This Row],[time]]="","",$E$3)</f>
        <v>4000000000000</v>
      </c>
      <c r="H2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4" s="15" t="str">
        <f>IF(OutPut[[#This Row],[time]]="","","kWh")</f>
        <v>kWh</v>
      </c>
      <c r="J2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4" s="15" t="str">
        <f>'Config and arguments'!AB22</f>
        <v>2023-02-01 18:00:00</v>
      </c>
      <c r="L24" s="15" t="str">
        <f>IF(OutPut[[#This Row],[time]]="","","PT1H")</f>
        <v>PT1H</v>
      </c>
      <c r="M24" s="15" t="str">
        <f>IF(OutPut[[#This Row],[time]]="","",$F$3)</f>
        <v>production</v>
      </c>
      <c r="N24" s="16" t="str">
        <f>IF(OutPut[[#This Row],[time]]="","",IF($H$3="","",$H$3))</f>
        <v/>
      </c>
      <c r="O2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4" s="16" t="str">
        <f>IFERROR(SUBSTITUTE(SUBSTITUTE(OutPut[[#This Row],[price]],".",",")*SUBSTITUTE(OutPut[[#This Row],[quantity]],".",","),",","."),"")</f>
        <v/>
      </c>
      <c r="Q24" s="15" t="str">
        <f>IF(OutPut[[#This Row],[time]]="","",VLOOKUP(C$3,ChargePriceInformationPeriods[],5,FALSE))</f>
        <v>false</v>
      </c>
      <c r="R24" s="15" t="str">
        <f>IF(OutPut[[#This Row],[time]]="","",$C$3)</f>
        <v>tariff-hourly-2</v>
      </c>
      <c r="S24" s="15" t="str">
        <f>IF(OutPut[[#This Row],[time]]="","","tariff")</f>
        <v>tariff</v>
      </c>
      <c r="T24" s="15" t="str">
        <f>IF(OutPut[[#This Row],[time]]="","",$D$3)</f>
        <v>0000000000800</v>
      </c>
      <c r="U24" s="15" t="str">
        <f>IF(OutPut[[#This Row],[time]]="","","amount_per_charge")</f>
        <v>amount_per_charge</v>
      </c>
    </row>
    <row r="25" spans="2:28" x14ac:dyDescent="0.35">
      <c r="B25" s="15" t="str">
        <f>IF(OutPut[[#This Row],[time]]="","",'Config and arguments'!C$2)</f>
        <v>0b15a420-9fc8-409a-a169-fbd49479d718</v>
      </c>
      <c r="C25" s="15" t="str">
        <f>IF(OutPut[[#This Row],[time]]="","",'Config and arguments'!C$5)</f>
        <v>wholesale_fixing</v>
      </c>
      <c r="D25" s="15" t="str">
        <f>IF(OutPut[[#This Row],[time]]="","",'Config and arguments'!C$6)</f>
        <v>2024-01-01 23:00:00</v>
      </c>
      <c r="E25" s="15" t="str">
        <f>IF(OutPut[[#This Row],[time]]="","","IGNORED")</f>
        <v>IGNORED</v>
      </c>
      <c r="F25" s="15" t="str">
        <f>IF(OutPut[[#This Row],[time]]="","",G$3)</f>
        <v>800</v>
      </c>
      <c r="G25" s="15" t="str">
        <f>IF(OutPut[[#This Row],[time]]="","",$E$3)</f>
        <v>4000000000000</v>
      </c>
      <c r="H2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5" s="15" t="str">
        <f>IF(OutPut[[#This Row],[time]]="","","kWh")</f>
        <v>kWh</v>
      </c>
      <c r="J2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5" s="15" t="str">
        <f>'Config and arguments'!AB23</f>
        <v>2023-02-01 19:00:00</v>
      </c>
      <c r="L25" s="15" t="str">
        <f>IF(OutPut[[#This Row],[time]]="","","PT1H")</f>
        <v>PT1H</v>
      </c>
      <c r="M25" s="15" t="str">
        <f>IF(OutPut[[#This Row],[time]]="","",$F$3)</f>
        <v>production</v>
      </c>
      <c r="N25" s="16" t="str">
        <f>IF(OutPut[[#This Row],[time]]="","",IF($H$3="","",$H$3))</f>
        <v/>
      </c>
      <c r="O2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5" s="16" t="str">
        <f>IFERROR(SUBSTITUTE(SUBSTITUTE(OutPut[[#This Row],[price]],".",",")*SUBSTITUTE(OutPut[[#This Row],[quantity]],".",","),",","."),"")</f>
        <v/>
      </c>
      <c r="Q25" s="15" t="str">
        <f>IF(OutPut[[#This Row],[time]]="","",VLOOKUP(C$3,ChargePriceInformationPeriods[],5,FALSE))</f>
        <v>false</v>
      </c>
      <c r="R25" s="15" t="str">
        <f>IF(OutPut[[#This Row],[time]]="","",$C$3)</f>
        <v>tariff-hourly-2</v>
      </c>
      <c r="S25" s="15" t="str">
        <f>IF(OutPut[[#This Row],[time]]="","","tariff")</f>
        <v>tariff</v>
      </c>
      <c r="T25" s="15" t="str">
        <f>IF(OutPut[[#This Row],[time]]="","",$D$3)</f>
        <v>0000000000800</v>
      </c>
      <c r="U25" s="15" t="str">
        <f>IF(OutPut[[#This Row],[time]]="","","amount_per_charge")</f>
        <v>amount_per_charge</v>
      </c>
    </row>
    <row r="26" spans="2:28" x14ac:dyDescent="0.35">
      <c r="B26" s="15" t="str">
        <f>IF(OutPut[[#This Row],[time]]="","",'Config and arguments'!C$2)</f>
        <v>0b15a420-9fc8-409a-a169-fbd49479d718</v>
      </c>
      <c r="C26" s="15" t="str">
        <f>IF(OutPut[[#This Row],[time]]="","",'Config and arguments'!C$5)</f>
        <v>wholesale_fixing</v>
      </c>
      <c r="D26" s="15" t="str">
        <f>IF(OutPut[[#This Row],[time]]="","",'Config and arguments'!C$6)</f>
        <v>2024-01-01 23:00:00</v>
      </c>
      <c r="E26" s="15" t="str">
        <f>IF(OutPut[[#This Row],[time]]="","","IGNORED")</f>
        <v>IGNORED</v>
      </c>
      <c r="F26" s="15" t="str">
        <f>IF(OutPut[[#This Row],[time]]="","",G$3)</f>
        <v>800</v>
      </c>
      <c r="G26" s="15" t="str">
        <f>IF(OutPut[[#This Row],[time]]="","",$E$3)</f>
        <v>4000000000000</v>
      </c>
      <c r="H2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6" s="15" t="str">
        <f>IF(OutPut[[#This Row],[time]]="","","kWh")</f>
        <v>kWh</v>
      </c>
      <c r="J2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6" s="15" t="str">
        <f>'Config and arguments'!AB24</f>
        <v>2023-02-01 20:00:00</v>
      </c>
      <c r="L26" s="15" t="str">
        <f>IF(OutPut[[#This Row],[time]]="","","PT1H")</f>
        <v>PT1H</v>
      </c>
      <c r="M26" s="15" t="str">
        <f>IF(OutPut[[#This Row],[time]]="","",$F$3)</f>
        <v>production</v>
      </c>
      <c r="N26" s="16" t="str">
        <f>IF(OutPut[[#This Row],[time]]="","",IF($H$3="","",$H$3))</f>
        <v/>
      </c>
      <c r="O2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6" s="16" t="str">
        <f>IFERROR(SUBSTITUTE(SUBSTITUTE(OutPut[[#This Row],[price]],".",",")*SUBSTITUTE(OutPut[[#This Row],[quantity]],".",","),",","."),"")</f>
        <v/>
      </c>
      <c r="Q26" s="15" t="str">
        <f>IF(OutPut[[#This Row],[time]]="","",VLOOKUP(C$3,ChargePriceInformationPeriods[],5,FALSE))</f>
        <v>false</v>
      </c>
      <c r="R26" s="15" t="str">
        <f>IF(OutPut[[#This Row],[time]]="","",$C$3)</f>
        <v>tariff-hourly-2</v>
      </c>
      <c r="S26" s="15" t="str">
        <f>IF(OutPut[[#This Row],[time]]="","","tariff")</f>
        <v>tariff</v>
      </c>
      <c r="T26" s="15" t="str">
        <f>IF(OutPut[[#This Row],[time]]="","",$D$3)</f>
        <v>0000000000800</v>
      </c>
      <c r="U26" s="15" t="str">
        <f>IF(OutPut[[#This Row],[time]]="","","amount_per_charge")</f>
        <v>amount_per_charge</v>
      </c>
    </row>
    <row r="27" spans="2:28" x14ac:dyDescent="0.35">
      <c r="B27" s="15" t="str">
        <f>IF(OutPut[[#This Row],[time]]="","",'Config and arguments'!C$2)</f>
        <v>0b15a420-9fc8-409a-a169-fbd49479d718</v>
      </c>
      <c r="C27" s="15" t="str">
        <f>IF(OutPut[[#This Row],[time]]="","",'Config and arguments'!C$5)</f>
        <v>wholesale_fixing</v>
      </c>
      <c r="D27" s="15" t="str">
        <f>IF(OutPut[[#This Row],[time]]="","",'Config and arguments'!C$6)</f>
        <v>2024-01-01 23:00:00</v>
      </c>
      <c r="E27" s="15" t="str">
        <f>IF(OutPut[[#This Row],[time]]="","","IGNORED")</f>
        <v>IGNORED</v>
      </c>
      <c r="F27" s="15" t="str">
        <f>IF(OutPut[[#This Row],[time]]="","",G$3)</f>
        <v>800</v>
      </c>
      <c r="G27" s="15" t="str">
        <f>IF(OutPut[[#This Row],[time]]="","",$E$3)</f>
        <v>4000000000000</v>
      </c>
      <c r="H2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7" s="15" t="str">
        <f>IF(OutPut[[#This Row],[time]]="","","kWh")</f>
        <v>kWh</v>
      </c>
      <c r="J2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7" s="15" t="str">
        <f>'Config and arguments'!AB25</f>
        <v>2023-02-01 21:00:00</v>
      </c>
      <c r="L27" s="15" t="str">
        <f>IF(OutPut[[#This Row],[time]]="","","PT1H")</f>
        <v>PT1H</v>
      </c>
      <c r="M27" s="15" t="str">
        <f>IF(OutPut[[#This Row],[time]]="","",$F$3)</f>
        <v>production</v>
      </c>
      <c r="N27" s="16" t="str">
        <f>IF(OutPut[[#This Row],[time]]="","",IF($H$3="","",$H$3))</f>
        <v/>
      </c>
      <c r="O2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7" s="16" t="str">
        <f>IFERROR(SUBSTITUTE(SUBSTITUTE(OutPut[[#This Row],[price]],".",",")*SUBSTITUTE(OutPut[[#This Row],[quantity]],".",","),",","."),"")</f>
        <v/>
      </c>
      <c r="Q27" s="15" t="str">
        <f>IF(OutPut[[#This Row],[time]]="","",VLOOKUP(C$3,ChargePriceInformationPeriods[],5,FALSE))</f>
        <v>false</v>
      </c>
      <c r="R27" s="15" t="str">
        <f>IF(OutPut[[#This Row],[time]]="","",$C$3)</f>
        <v>tariff-hourly-2</v>
      </c>
      <c r="S27" s="15" t="str">
        <f>IF(OutPut[[#This Row],[time]]="","","tariff")</f>
        <v>tariff</v>
      </c>
      <c r="T27" s="15" t="str">
        <f>IF(OutPut[[#This Row],[time]]="","",$D$3)</f>
        <v>0000000000800</v>
      </c>
      <c r="U27" s="15" t="str">
        <f>IF(OutPut[[#This Row],[time]]="","","amount_per_charge")</f>
        <v>amount_per_charge</v>
      </c>
    </row>
    <row r="28" spans="2:28" x14ac:dyDescent="0.35">
      <c r="B28" s="15" t="str">
        <f>IF(OutPut[[#This Row],[time]]="","",'Config and arguments'!C$2)</f>
        <v>0b15a420-9fc8-409a-a169-fbd49479d718</v>
      </c>
      <c r="C28" s="15" t="str">
        <f>IF(OutPut[[#This Row],[time]]="","",'Config and arguments'!C$5)</f>
        <v>wholesale_fixing</v>
      </c>
      <c r="D28" s="15" t="str">
        <f>IF(OutPut[[#This Row],[time]]="","",'Config and arguments'!C$6)</f>
        <v>2024-01-01 23:00:00</v>
      </c>
      <c r="E28" s="15" t="str">
        <f>IF(OutPut[[#This Row],[time]]="","","IGNORED")</f>
        <v>IGNORED</v>
      </c>
      <c r="F28" s="15" t="str">
        <f>IF(OutPut[[#This Row],[time]]="","",G$3)</f>
        <v>800</v>
      </c>
      <c r="G28" s="15" t="str">
        <f>IF(OutPut[[#This Row],[time]]="","",$E$3)</f>
        <v>4000000000000</v>
      </c>
      <c r="H2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8" s="15" t="str">
        <f>IF(OutPut[[#This Row],[time]]="","","kWh")</f>
        <v>kWh</v>
      </c>
      <c r="J2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8" s="15" t="str">
        <f>'Config and arguments'!AB26</f>
        <v>2023-02-01 22:00:00</v>
      </c>
      <c r="L28" s="15" t="str">
        <f>IF(OutPut[[#This Row],[time]]="","","PT1H")</f>
        <v>PT1H</v>
      </c>
      <c r="M28" s="15" t="str">
        <f>IF(OutPut[[#This Row],[time]]="","",$F$3)</f>
        <v>production</v>
      </c>
      <c r="N28" s="16" t="str">
        <f>IF(OutPut[[#This Row],[time]]="","",IF($H$3="","",$H$3))</f>
        <v/>
      </c>
      <c r="O2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8" s="16" t="str">
        <f>IFERROR(SUBSTITUTE(SUBSTITUTE(OutPut[[#This Row],[price]],".",",")*SUBSTITUTE(OutPut[[#This Row],[quantity]],".",","),",","."),"")</f>
        <v/>
      </c>
      <c r="Q28" s="15" t="str">
        <f>IF(OutPut[[#This Row],[time]]="","",VLOOKUP(C$3,ChargePriceInformationPeriods[],5,FALSE))</f>
        <v>false</v>
      </c>
      <c r="R28" s="15" t="str">
        <f>IF(OutPut[[#This Row],[time]]="","",$C$3)</f>
        <v>tariff-hourly-2</v>
      </c>
      <c r="S28" s="15" t="str">
        <f>IF(OutPut[[#This Row],[time]]="","","tariff")</f>
        <v>tariff</v>
      </c>
      <c r="T28" s="15" t="str">
        <f>IF(OutPut[[#This Row],[time]]="","",$D$3)</f>
        <v>0000000000800</v>
      </c>
      <c r="U28" s="15" t="str">
        <f>IF(OutPut[[#This Row],[time]]="","","amount_per_charge")</f>
        <v>amount_per_charge</v>
      </c>
    </row>
    <row r="29" spans="2:28" x14ac:dyDescent="0.35">
      <c r="B29" s="15" t="str">
        <f>IF(OutPut[[#This Row],[time]]="","",'Config and arguments'!C$2)</f>
        <v>0b15a420-9fc8-409a-a169-fbd49479d718</v>
      </c>
      <c r="C29" s="15" t="str">
        <f>IF(OutPut[[#This Row],[time]]="","",'Config and arguments'!C$5)</f>
        <v>wholesale_fixing</v>
      </c>
      <c r="D29" s="15" t="str">
        <f>IF(OutPut[[#This Row],[time]]="","",'Config and arguments'!C$6)</f>
        <v>2024-01-01 23:00:00</v>
      </c>
      <c r="E29" s="15" t="str">
        <f>IF(OutPut[[#This Row],[time]]="","","IGNORED")</f>
        <v>IGNORED</v>
      </c>
      <c r="F29" s="15" t="str">
        <f>IF(OutPut[[#This Row],[time]]="","",G$3)</f>
        <v>800</v>
      </c>
      <c r="G29" s="15" t="str">
        <f>IF(OutPut[[#This Row],[time]]="","",$E$3)</f>
        <v>4000000000000</v>
      </c>
      <c r="H2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9" s="15" t="str">
        <f>IF(OutPut[[#This Row],[time]]="","","kWh")</f>
        <v>kWh</v>
      </c>
      <c r="J2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9" s="15" t="str">
        <f>'Config and arguments'!AB27</f>
        <v>2023-02-01 23:00:00</v>
      </c>
      <c r="L29" s="15" t="str">
        <f>IF(OutPut[[#This Row],[time]]="","","PT1H")</f>
        <v>PT1H</v>
      </c>
      <c r="M29" s="15" t="str">
        <f>IF(OutPut[[#This Row],[time]]="","",$F$3)</f>
        <v>production</v>
      </c>
      <c r="N29" s="16" t="str">
        <f>IF(OutPut[[#This Row],[time]]="","",IF($H$3="","",$H$3))</f>
        <v/>
      </c>
      <c r="O2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9" s="16" t="str">
        <f>IFERROR(SUBSTITUTE(SUBSTITUTE(OutPut[[#This Row],[price]],".",",")*SUBSTITUTE(OutPut[[#This Row],[quantity]],".",","),",","."),"")</f>
        <v/>
      </c>
      <c r="Q29" s="15" t="str">
        <f>IF(OutPut[[#This Row],[time]]="","",VLOOKUP(C$3,ChargePriceInformationPeriods[],5,FALSE))</f>
        <v>false</v>
      </c>
      <c r="R29" s="15" t="str">
        <f>IF(OutPut[[#This Row],[time]]="","",$C$3)</f>
        <v>tariff-hourly-2</v>
      </c>
      <c r="S29" s="15" t="str">
        <f>IF(OutPut[[#This Row],[time]]="","","tariff")</f>
        <v>tariff</v>
      </c>
      <c r="T29" s="15" t="str">
        <f>IF(OutPut[[#This Row],[time]]="","",$D$3)</f>
        <v>0000000000800</v>
      </c>
      <c r="U29" s="15" t="str">
        <f>IF(OutPut[[#This Row],[time]]="","","amount_per_charge")</f>
        <v>amount_per_charge</v>
      </c>
    </row>
    <row r="30" spans="2:28" x14ac:dyDescent="0.35">
      <c r="B30" s="15" t="str">
        <f>IF(OutPut[[#This Row],[time]]="","",'Config and arguments'!C$2)</f>
        <v>0b15a420-9fc8-409a-a169-fbd49479d718</v>
      </c>
      <c r="C30" s="15" t="str">
        <f>IF(OutPut[[#This Row],[time]]="","",'Config and arguments'!C$5)</f>
        <v>wholesale_fixing</v>
      </c>
      <c r="D30" s="15" t="str">
        <f>IF(OutPut[[#This Row],[time]]="","",'Config and arguments'!C$6)</f>
        <v>2024-01-01 23:00:00</v>
      </c>
      <c r="E30" s="15" t="str">
        <f>IF(OutPut[[#This Row],[time]]="","","IGNORED")</f>
        <v>IGNORED</v>
      </c>
      <c r="F30" s="15" t="str">
        <f>IF(OutPut[[#This Row],[time]]="","",G$3)</f>
        <v>800</v>
      </c>
      <c r="G30" s="15" t="str">
        <f>IF(OutPut[[#This Row],[time]]="","",$E$3)</f>
        <v>4000000000000</v>
      </c>
      <c r="H3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0" s="15" t="str">
        <f>IF(OutPut[[#This Row],[time]]="","","kWh")</f>
        <v>kWh</v>
      </c>
      <c r="J3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0" s="15" t="str">
        <f>'Config and arguments'!AB28</f>
        <v>2023-02-02 00:00:00</v>
      </c>
      <c r="L30" s="15" t="str">
        <f>IF(OutPut[[#This Row],[time]]="","","PT1H")</f>
        <v>PT1H</v>
      </c>
      <c r="M30" s="15" t="str">
        <f>IF(OutPut[[#This Row],[time]]="","",$F$3)</f>
        <v>production</v>
      </c>
      <c r="N30" s="16" t="str">
        <f>IF(OutPut[[#This Row],[time]]="","",IF($H$3="","",$H$3))</f>
        <v/>
      </c>
      <c r="O3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0" s="16" t="str">
        <f>IFERROR(SUBSTITUTE(SUBSTITUTE(OutPut[[#This Row],[price]],".",",")*SUBSTITUTE(OutPut[[#This Row],[quantity]],".",","),",","."),"")</f>
        <v/>
      </c>
      <c r="Q30" s="15" t="str">
        <f>IF(OutPut[[#This Row],[time]]="","",VLOOKUP(C$3,ChargePriceInformationPeriods[],5,FALSE))</f>
        <v>false</v>
      </c>
      <c r="R30" s="15" t="str">
        <f>IF(OutPut[[#This Row],[time]]="","",$C$3)</f>
        <v>tariff-hourly-2</v>
      </c>
      <c r="S30" s="15" t="str">
        <f>IF(OutPut[[#This Row],[time]]="","","tariff")</f>
        <v>tariff</v>
      </c>
      <c r="T30" s="15" t="str">
        <f>IF(OutPut[[#This Row],[time]]="","",$D$3)</f>
        <v>0000000000800</v>
      </c>
      <c r="U30" s="15" t="str">
        <f>IF(OutPut[[#This Row],[time]]="","","amount_per_charge")</f>
        <v>amount_per_charge</v>
      </c>
      <c r="V30" s="9"/>
      <c r="Y30" s="9"/>
      <c r="AB30" s="9"/>
    </row>
    <row r="31" spans="2:28" x14ac:dyDescent="0.35">
      <c r="B31" s="15" t="str">
        <f>IF(OutPut[[#This Row],[time]]="","",'Config and arguments'!C$2)</f>
        <v>0b15a420-9fc8-409a-a169-fbd49479d718</v>
      </c>
      <c r="C31" s="15" t="str">
        <f>IF(OutPut[[#This Row],[time]]="","",'Config and arguments'!C$5)</f>
        <v>wholesale_fixing</v>
      </c>
      <c r="D31" s="15" t="str">
        <f>IF(OutPut[[#This Row],[time]]="","",'Config and arguments'!C$6)</f>
        <v>2024-01-01 23:00:00</v>
      </c>
      <c r="E31" s="15" t="str">
        <f>IF(OutPut[[#This Row],[time]]="","","IGNORED")</f>
        <v>IGNORED</v>
      </c>
      <c r="F31" s="15" t="str">
        <f>IF(OutPut[[#This Row],[time]]="","",G$3)</f>
        <v>800</v>
      </c>
      <c r="G31" s="15" t="str">
        <f>IF(OutPut[[#This Row],[time]]="","",$E$3)</f>
        <v>4000000000000</v>
      </c>
      <c r="H3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1" s="15" t="str">
        <f>IF(OutPut[[#This Row],[time]]="","","kWh")</f>
        <v>kWh</v>
      </c>
      <c r="J3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1" s="15" t="str">
        <f>'Config and arguments'!AB29</f>
        <v>2023-02-02 01:00:00</v>
      </c>
      <c r="L31" s="15" t="str">
        <f>IF(OutPut[[#This Row],[time]]="","","PT1H")</f>
        <v>PT1H</v>
      </c>
      <c r="M31" s="15" t="str">
        <f>IF(OutPut[[#This Row],[time]]="","",$F$3)</f>
        <v>production</v>
      </c>
      <c r="N31" s="16" t="str">
        <f>IF(OutPut[[#This Row],[time]]="","",IF($H$3="","",$H$3))</f>
        <v/>
      </c>
      <c r="O3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1" s="16" t="str">
        <f>IFERROR(SUBSTITUTE(SUBSTITUTE(OutPut[[#This Row],[price]],".",",")*SUBSTITUTE(OutPut[[#This Row],[quantity]],".",","),",","."),"")</f>
        <v/>
      </c>
      <c r="Q31" s="15" t="str">
        <f>IF(OutPut[[#This Row],[time]]="","",VLOOKUP(C$3,ChargePriceInformationPeriods[],5,FALSE))</f>
        <v>false</v>
      </c>
      <c r="R31" s="15" t="str">
        <f>IF(OutPut[[#This Row],[time]]="","",$C$3)</f>
        <v>tariff-hourly-2</v>
      </c>
      <c r="S31" s="15" t="str">
        <f>IF(OutPut[[#This Row],[time]]="","","tariff")</f>
        <v>tariff</v>
      </c>
      <c r="T31" s="15" t="str">
        <f>IF(OutPut[[#This Row],[time]]="","",$D$3)</f>
        <v>0000000000800</v>
      </c>
      <c r="U31" s="15" t="str">
        <f>IF(OutPut[[#This Row],[time]]="","","amount_per_charge")</f>
        <v>amount_per_charge</v>
      </c>
      <c r="V31" s="9"/>
      <c r="Y31" s="9"/>
      <c r="AB31" s="9"/>
    </row>
    <row r="32" spans="2:28" x14ac:dyDescent="0.35">
      <c r="B32" s="15" t="str">
        <f>IF(OutPut[[#This Row],[time]]="","",'Config and arguments'!C$2)</f>
        <v>0b15a420-9fc8-409a-a169-fbd49479d718</v>
      </c>
      <c r="C32" s="15" t="str">
        <f>IF(OutPut[[#This Row],[time]]="","",'Config and arguments'!C$5)</f>
        <v>wholesale_fixing</v>
      </c>
      <c r="D32" s="15" t="str">
        <f>IF(OutPut[[#This Row],[time]]="","",'Config and arguments'!C$6)</f>
        <v>2024-01-01 23:00:00</v>
      </c>
      <c r="E32" s="15" t="str">
        <f>IF(OutPut[[#This Row],[time]]="","","IGNORED")</f>
        <v>IGNORED</v>
      </c>
      <c r="F32" s="15" t="str">
        <f>IF(OutPut[[#This Row],[time]]="","",G$3)</f>
        <v>800</v>
      </c>
      <c r="G32" s="15" t="str">
        <f>IF(OutPut[[#This Row],[time]]="","",$E$3)</f>
        <v>4000000000000</v>
      </c>
      <c r="H3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2" s="15" t="str">
        <f>IF(OutPut[[#This Row],[time]]="","","kWh")</f>
        <v>kWh</v>
      </c>
      <c r="J3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2" s="15" t="str">
        <f>'Config and arguments'!AB30</f>
        <v>2023-02-02 02:00:00</v>
      </c>
      <c r="L32" s="15" t="str">
        <f>IF(OutPut[[#This Row],[time]]="","","PT1H")</f>
        <v>PT1H</v>
      </c>
      <c r="M32" s="15" t="str">
        <f>IF(OutPut[[#This Row],[time]]="","",$F$3)</f>
        <v>production</v>
      </c>
      <c r="N32" s="16" t="str">
        <f>IF(OutPut[[#This Row],[time]]="","",IF($H$3="","",$H$3))</f>
        <v/>
      </c>
      <c r="O3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2" s="16" t="str">
        <f>IFERROR(SUBSTITUTE(SUBSTITUTE(OutPut[[#This Row],[price]],".",",")*SUBSTITUTE(OutPut[[#This Row],[quantity]],".",","),",","."),"")</f>
        <v/>
      </c>
      <c r="Q32" s="15" t="str">
        <f>IF(OutPut[[#This Row],[time]]="","",VLOOKUP(C$3,ChargePriceInformationPeriods[],5,FALSE))</f>
        <v>false</v>
      </c>
      <c r="R32" s="15" t="str">
        <f>IF(OutPut[[#This Row],[time]]="","",$C$3)</f>
        <v>tariff-hourly-2</v>
      </c>
      <c r="S32" s="15" t="str">
        <f>IF(OutPut[[#This Row],[time]]="","","tariff")</f>
        <v>tariff</v>
      </c>
      <c r="T32" s="15" t="str">
        <f>IF(OutPut[[#This Row],[time]]="","",$D$3)</f>
        <v>0000000000800</v>
      </c>
      <c r="U32" s="15" t="str">
        <f>IF(OutPut[[#This Row],[time]]="","","amount_per_charge")</f>
        <v>amount_per_charge</v>
      </c>
      <c r="Y32" s="9"/>
      <c r="AB32" s="9"/>
    </row>
    <row r="33" spans="2:28" x14ac:dyDescent="0.35">
      <c r="B33" s="15" t="str">
        <f>IF(OutPut[[#This Row],[time]]="","",'Config and arguments'!C$2)</f>
        <v>0b15a420-9fc8-409a-a169-fbd49479d718</v>
      </c>
      <c r="C33" s="15" t="str">
        <f>IF(OutPut[[#This Row],[time]]="","",'Config and arguments'!C$5)</f>
        <v>wholesale_fixing</v>
      </c>
      <c r="D33" s="15" t="str">
        <f>IF(OutPut[[#This Row],[time]]="","",'Config and arguments'!C$6)</f>
        <v>2024-01-01 23:00:00</v>
      </c>
      <c r="E33" s="15" t="str">
        <f>IF(OutPut[[#This Row],[time]]="","","IGNORED")</f>
        <v>IGNORED</v>
      </c>
      <c r="F33" s="15" t="str">
        <f>IF(OutPut[[#This Row],[time]]="","",G$3)</f>
        <v>800</v>
      </c>
      <c r="G33" s="15" t="str">
        <f>IF(OutPut[[#This Row],[time]]="","",$E$3)</f>
        <v>4000000000000</v>
      </c>
      <c r="H3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3" s="15" t="str">
        <f>IF(OutPut[[#This Row],[time]]="","","kWh")</f>
        <v>kWh</v>
      </c>
      <c r="J3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3" s="15" t="str">
        <f>'Config and arguments'!AB31</f>
        <v>2023-02-02 03:00:00</v>
      </c>
      <c r="L33" s="15" t="str">
        <f>IF(OutPut[[#This Row],[time]]="","","PT1H")</f>
        <v>PT1H</v>
      </c>
      <c r="M33" s="15" t="str">
        <f>IF(OutPut[[#This Row],[time]]="","",$F$3)</f>
        <v>production</v>
      </c>
      <c r="N33" s="16" t="str">
        <f>IF(OutPut[[#This Row],[time]]="","",IF($H$3="","",$H$3))</f>
        <v/>
      </c>
      <c r="O3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3" s="16" t="str">
        <f>IFERROR(SUBSTITUTE(SUBSTITUTE(OutPut[[#This Row],[price]],".",",")*SUBSTITUTE(OutPut[[#This Row],[quantity]],".",","),",","."),"")</f>
        <v/>
      </c>
      <c r="Q33" s="15" t="str">
        <f>IF(OutPut[[#This Row],[time]]="","",VLOOKUP(C$3,ChargePriceInformationPeriods[],5,FALSE))</f>
        <v>false</v>
      </c>
      <c r="R33" s="15" t="str">
        <f>IF(OutPut[[#This Row],[time]]="","",$C$3)</f>
        <v>tariff-hourly-2</v>
      </c>
      <c r="S33" s="15" t="str">
        <f>IF(OutPut[[#This Row],[time]]="","","tariff")</f>
        <v>tariff</v>
      </c>
      <c r="T33" s="15" t="str">
        <f>IF(OutPut[[#This Row],[time]]="","",$D$3)</f>
        <v>0000000000800</v>
      </c>
      <c r="U33" s="15" t="str">
        <f>IF(OutPut[[#This Row],[time]]="","","amount_per_charge")</f>
        <v>amount_per_charge</v>
      </c>
      <c r="Y33" s="9"/>
      <c r="AB33" s="9"/>
    </row>
    <row r="34" spans="2:28" x14ac:dyDescent="0.35">
      <c r="B34" s="15" t="str">
        <f>IF(OutPut[[#This Row],[time]]="","",'Config and arguments'!C$2)</f>
        <v>0b15a420-9fc8-409a-a169-fbd49479d718</v>
      </c>
      <c r="C34" s="15" t="str">
        <f>IF(OutPut[[#This Row],[time]]="","",'Config and arguments'!C$5)</f>
        <v>wholesale_fixing</v>
      </c>
      <c r="D34" s="15" t="str">
        <f>IF(OutPut[[#This Row],[time]]="","",'Config and arguments'!C$6)</f>
        <v>2024-01-01 23:00:00</v>
      </c>
      <c r="E34" s="15" t="str">
        <f>IF(OutPut[[#This Row],[time]]="","","IGNORED")</f>
        <v>IGNORED</v>
      </c>
      <c r="F34" s="15" t="str">
        <f>IF(OutPut[[#This Row],[time]]="","",G$3)</f>
        <v>800</v>
      </c>
      <c r="G34" s="15" t="str">
        <f>IF(OutPut[[#This Row],[time]]="","",$E$3)</f>
        <v>4000000000000</v>
      </c>
      <c r="H3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4" s="15" t="str">
        <f>IF(OutPut[[#This Row],[time]]="","","kWh")</f>
        <v>kWh</v>
      </c>
      <c r="J3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4" s="15" t="str">
        <f>'Config and arguments'!AB32</f>
        <v>2023-02-02 04:00:00</v>
      </c>
      <c r="L34" s="15" t="str">
        <f>IF(OutPut[[#This Row],[time]]="","","PT1H")</f>
        <v>PT1H</v>
      </c>
      <c r="M34" s="15" t="str">
        <f>IF(OutPut[[#This Row],[time]]="","",$F$3)</f>
        <v>production</v>
      </c>
      <c r="N34" s="16" t="str">
        <f>IF(OutPut[[#This Row],[time]]="","",IF($H$3="","",$H$3))</f>
        <v/>
      </c>
      <c r="O3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4" s="16" t="str">
        <f>IFERROR(SUBSTITUTE(SUBSTITUTE(OutPut[[#This Row],[price]],".",",")*SUBSTITUTE(OutPut[[#This Row],[quantity]],".",","),",","."),"")</f>
        <v/>
      </c>
      <c r="Q34" s="15" t="str">
        <f>IF(OutPut[[#This Row],[time]]="","",VLOOKUP(C$3,ChargePriceInformationPeriods[],5,FALSE))</f>
        <v>false</v>
      </c>
      <c r="R34" s="15" t="str">
        <f>IF(OutPut[[#This Row],[time]]="","",$C$3)</f>
        <v>tariff-hourly-2</v>
      </c>
      <c r="S34" s="15" t="str">
        <f>IF(OutPut[[#This Row],[time]]="","","tariff")</f>
        <v>tariff</v>
      </c>
      <c r="T34" s="15" t="str">
        <f>IF(OutPut[[#This Row],[time]]="","",$D$3)</f>
        <v>0000000000800</v>
      </c>
      <c r="U34" s="15" t="str">
        <f>IF(OutPut[[#This Row],[time]]="","","amount_per_charge")</f>
        <v>amount_per_charge</v>
      </c>
      <c r="Y34" s="9"/>
      <c r="AB34" s="9"/>
    </row>
    <row r="35" spans="2:28" x14ac:dyDescent="0.35">
      <c r="B35" s="15" t="str">
        <f>IF(OutPut[[#This Row],[time]]="","",'Config and arguments'!C$2)</f>
        <v>0b15a420-9fc8-409a-a169-fbd49479d718</v>
      </c>
      <c r="C35" s="15" t="str">
        <f>IF(OutPut[[#This Row],[time]]="","",'Config and arguments'!C$5)</f>
        <v>wholesale_fixing</v>
      </c>
      <c r="D35" s="15" t="str">
        <f>IF(OutPut[[#This Row],[time]]="","",'Config and arguments'!C$6)</f>
        <v>2024-01-01 23:00:00</v>
      </c>
      <c r="E35" s="15" t="str">
        <f>IF(OutPut[[#This Row],[time]]="","","IGNORED")</f>
        <v>IGNORED</v>
      </c>
      <c r="F35" s="15" t="str">
        <f>IF(OutPut[[#This Row],[time]]="","",G$3)</f>
        <v>800</v>
      </c>
      <c r="G35" s="15" t="str">
        <f>IF(OutPut[[#This Row],[time]]="","",$E$3)</f>
        <v>4000000000000</v>
      </c>
      <c r="H3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5" s="15" t="str">
        <f>IF(OutPut[[#This Row],[time]]="","","kWh")</f>
        <v>kWh</v>
      </c>
      <c r="J3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5" s="15" t="str">
        <f>'Config and arguments'!AB33</f>
        <v>2023-02-02 05:00:00</v>
      </c>
      <c r="L35" s="15" t="str">
        <f>IF(OutPut[[#This Row],[time]]="","","PT1H")</f>
        <v>PT1H</v>
      </c>
      <c r="M35" s="15" t="str">
        <f>IF(OutPut[[#This Row],[time]]="","",$F$3)</f>
        <v>production</v>
      </c>
      <c r="N35" s="16" t="str">
        <f>IF(OutPut[[#This Row],[time]]="","",IF($H$3="","",$H$3))</f>
        <v/>
      </c>
      <c r="O3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5" s="16" t="str">
        <f>IFERROR(SUBSTITUTE(SUBSTITUTE(OutPut[[#This Row],[price]],".",",")*SUBSTITUTE(OutPut[[#This Row],[quantity]],".",","),",","."),"")</f>
        <v/>
      </c>
      <c r="Q35" s="15" t="str">
        <f>IF(OutPut[[#This Row],[time]]="","",VLOOKUP(C$3,ChargePriceInformationPeriods[],5,FALSE))</f>
        <v>false</v>
      </c>
      <c r="R35" s="15" t="str">
        <f>IF(OutPut[[#This Row],[time]]="","",$C$3)</f>
        <v>tariff-hourly-2</v>
      </c>
      <c r="S35" s="15" t="str">
        <f>IF(OutPut[[#This Row],[time]]="","","tariff")</f>
        <v>tariff</v>
      </c>
      <c r="T35" s="15" t="str">
        <f>IF(OutPut[[#This Row],[time]]="","",$D$3)</f>
        <v>0000000000800</v>
      </c>
      <c r="U35" s="15" t="str">
        <f>IF(OutPut[[#This Row],[time]]="","","amount_per_charge")</f>
        <v>amount_per_charge</v>
      </c>
      <c r="Y35" s="9"/>
      <c r="AB35" s="9"/>
    </row>
    <row r="36" spans="2:28" x14ac:dyDescent="0.35">
      <c r="B36" s="15" t="str">
        <f>IF(OutPut[[#This Row],[time]]="","",'Config and arguments'!C$2)</f>
        <v>0b15a420-9fc8-409a-a169-fbd49479d718</v>
      </c>
      <c r="C36" s="15" t="str">
        <f>IF(OutPut[[#This Row],[time]]="","",'Config and arguments'!C$5)</f>
        <v>wholesale_fixing</v>
      </c>
      <c r="D36" s="15" t="str">
        <f>IF(OutPut[[#This Row],[time]]="","",'Config and arguments'!C$6)</f>
        <v>2024-01-01 23:00:00</v>
      </c>
      <c r="E36" s="15" t="str">
        <f>IF(OutPut[[#This Row],[time]]="","","IGNORED")</f>
        <v>IGNORED</v>
      </c>
      <c r="F36" s="15" t="str">
        <f>IF(OutPut[[#This Row],[time]]="","",G$3)</f>
        <v>800</v>
      </c>
      <c r="G36" s="15" t="str">
        <f>IF(OutPut[[#This Row],[time]]="","",$E$3)</f>
        <v>4000000000000</v>
      </c>
      <c r="H3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6" s="15" t="str">
        <f>IF(OutPut[[#This Row],[time]]="","","kWh")</f>
        <v>kWh</v>
      </c>
      <c r="J3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6" s="15" t="str">
        <f>'Config and arguments'!AB34</f>
        <v>2023-02-02 06:00:00</v>
      </c>
      <c r="L36" s="15" t="str">
        <f>IF(OutPut[[#This Row],[time]]="","","PT1H")</f>
        <v>PT1H</v>
      </c>
      <c r="M36" s="15" t="str">
        <f>IF(OutPut[[#This Row],[time]]="","",$F$3)</f>
        <v>production</v>
      </c>
      <c r="N36" s="16" t="str">
        <f>IF(OutPut[[#This Row],[time]]="","",IF($H$3="","",$H$3))</f>
        <v/>
      </c>
      <c r="O3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6" s="16" t="str">
        <f>IFERROR(SUBSTITUTE(SUBSTITUTE(OutPut[[#This Row],[price]],".",",")*SUBSTITUTE(OutPut[[#This Row],[quantity]],".",","),",","."),"")</f>
        <v/>
      </c>
      <c r="Q36" s="15" t="str">
        <f>IF(OutPut[[#This Row],[time]]="","",VLOOKUP(C$3,ChargePriceInformationPeriods[],5,FALSE))</f>
        <v>false</v>
      </c>
      <c r="R36" s="15" t="str">
        <f>IF(OutPut[[#This Row],[time]]="","",$C$3)</f>
        <v>tariff-hourly-2</v>
      </c>
      <c r="S36" s="15" t="str">
        <f>IF(OutPut[[#This Row],[time]]="","","tariff")</f>
        <v>tariff</v>
      </c>
      <c r="T36" s="15" t="str">
        <f>IF(OutPut[[#This Row],[time]]="","",$D$3)</f>
        <v>0000000000800</v>
      </c>
      <c r="U36" s="15" t="str">
        <f>IF(OutPut[[#This Row],[time]]="","","amount_per_charge")</f>
        <v>amount_per_charge</v>
      </c>
      <c r="Y36" s="9"/>
      <c r="AB36" s="9"/>
    </row>
    <row r="37" spans="2:28" x14ac:dyDescent="0.35">
      <c r="B37" s="15" t="str">
        <f>IF(OutPut[[#This Row],[time]]="","",'Config and arguments'!C$2)</f>
        <v>0b15a420-9fc8-409a-a169-fbd49479d718</v>
      </c>
      <c r="C37" s="15" t="str">
        <f>IF(OutPut[[#This Row],[time]]="","",'Config and arguments'!C$5)</f>
        <v>wholesale_fixing</v>
      </c>
      <c r="D37" s="15" t="str">
        <f>IF(OutPut[[#This Row],[time]]="","",'Config and arguments'!C$6)</f>
        <v>2024-01-01 23:00:00</v>
      </c>
      <c r="E37" s="15" t="str">
        <f>IF(OutPut[[#This Row],[time]]="","","IGNORED")</f>
        <v>IGNORED</v>
      </c>
      <c r="F37" s="15" t="str">
        <f>IF(OutPut[[#This Row],[time]]="","",G$3)</f>
        <v>800</v>
      </c>
      <c r="G37" s="15" t="str">
        <f>IF(OutPut[[#This Row],[time]]="","",$E$3)</f>
        <v>4000000000000</v>
      </c>
      <c r="H3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7" s="15" t="str">
        <f>IF(OutPut[[#This Row],[time]]="","","kWh")</f>
        <v>kWh</v>
      </c>
      <c r="J3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7" s="15" t="str">
        <f>'Config and arguments'!AB35</f>
        <v>2023-02-02 07:00:00</v>
      </c>
      <c r="L37" s="15" t="str">
        <f>IF(OutPut[[#This Row],[time]]="","","PT1H")</f>
        <v>PT1H</v>
      </c>
      <c r="M37" s="15" t="str">
        <f>IF(OutPut[[#This Row],[time]]="","",$F$3)</f>
        <v>production</v>
      </c>
      <c r="N37" s="16" t="str">
        <f>IF(OutPut[[#This Row],[time]]="","",IF($H$3="","",$H$3))</f>
        <v/>
      </c>
      <c r="O3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7" s="16" t="str">
        <f>IFERROR(SUBSTITUTE(SUBSTITUTE(OutPut[[#This Row],[price]],".",",")*SUBSTITUTE(OutPut[[#This Row],[quantity]],".",","),",","."),"")</f>
        <v/>
      </c>
      <c r="Q37" s="15" t="str">
        <f>IF(OutPut[[#This Row],[time]]="","",VLOOKUP(C$3,ChargePriceInformationPeriods[],5,FALSE))</f>
        <v>false</v>
      </c>
      <c r="R37" s="15" t="str">
        <f>IF(OutPut[[#This Row],[time]]="","",$C$3)</f>
        <v>tariff-hourly-2</v>
      </c>
      <c r="S37" s="15" t="str">
        <f>IF(OutPut[[#This Row],[time]]="","","tariff")</f>
        <v>tariff</v>
      </c>
      <c r="T37" s="15" t="str">
        <f>IF(OutPut[[#This Row],[time]]="","",$D$3)</f>
        <v>0000000000800</v>
      </c>
      <c r="U37" s="15" t="str">
        <f>IF(OutPut[[#This Row],[time]]="","","amount_per_charge")</f>
        <v>amount_per_charge</v>
      </c>
      <c r="Y37" s="9"/>
      <c r="AB37" s="9"/>
    </row>
    <row r="38" spans="2:28" x14ac:dyDescent="0.35">
      <c r="B38" s="15" t="str">
        <f>IF(OutPut[[#This Row],[time]]="","",'Config and arguments'!C$2)</f>
        <v>0b15a420-9fc8-409a-a169-fbd49479d718</v>
      </c>
      <c r="C38" s="15" t="str">
        <f>IF(OutPut[[#This Row],[time]]="","",'Config and arguments'!C$5)</f>
        <v>wholesale_fixing</v>
      </c>
      <c r="D38" s="15" t="str">
        <f>IF(OutPut[[#This Row],[time]]="","",'Config and arguments'!C$6)</f>
        <v>2024-01-01 23:00:00</v>
      </c>
      <c r="E38" s="15" t="str">
        <f>IF(OutPut[[#This Row],[time]]="","","IGNORED")</f>
        <v>IGNORED</v>
      </c>
      <c r="F38" s="15" t="str">
        <f>IF(OutPut[[#This Row],[time]]="","",G$3)</f>
        <v>800</v>
      </c>
      <c r="G38" s="15" t="str">
        <f>IF(OutPut[[#This Row],[time]]="","",$E$3)</f>
        <v>4000000000000</v>
      </c>
      <c r="H3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8" s="15" t="str">
        <f>IF(OutPut[[#This Row],[time]]="","","kWh")</f>
        <v>kWh</v>
      </c>
      <c r="J3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8" s="15" t="str">
        <f>'Config and arguments'!AB36</f>
        <v>2023-02-02 08:00:00</v>
      </c>
      <c r="L38" s="15" t="str">
        <f>IF(OutPut[[#This Row],[time]]="","","PT1H")</f>
        <v>PT1H</v>
      </c>
      <c r="M38" s="15" t="str">
        <f>IF(OutPut[[#This Row],[time]]="","",$F$3)</f>
        <v>production</v>
      </c>
      <c r="N38" s="16" t="str">
        <f>IF(OutPut[[#This Row],[time]]="","",IF($H$3="","",$H$3))</f>
        <v/>
      </c>
      <c r="O3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8" s="16" t="str">
        <f>IFERROR(SUBSTITUTE(SUBSTITUTE(OutPut[[#This Row],[price]],".",",")*SUBSTITUTE(OutPut[[#This Row],[quantity]],".",","),",","."),"")</f>
        <v/>
      </c>
      <c r="Q38" s="15" t="str">
        <f>IF(OutPut[[#This Row],[time]]="","",VLOOKUP(C$3,ChargePriceInformationPeriods[],5,FALSE))</f>
        <v>false</v>
      </c>
      <c r="R38" s="15" t="str">
        <f>IF(OutPut[[#This Row],[time]]="","",$C$3)</f>
        <v>tariff-hourly-2</v>
      </c>
      <c r="S38" s="15" t="str">
        <f>IF(OutPut[[#This Row],[time]]="","","tariff")</f>
        <v>tariff</v>
      </c>
      <c r="T38" s="15" t="str">
        <f>IF(OutPut[[#This Row],[time]]="","",$D$3)</f>
        <v>0000000000800</v>
      </c>
      <c r="U38" s="15" t="str">
        <f>IF(OutPut[[#This Row],[time]]="","","amount_per_charge")</f>
        <v>amount_per_charge</v>
      </c>
      <c r="Y38" s="9"/>
      <c r="AB38" s="9"/>
    </row>
    <row r="39" spans="2:28" x14ac:dyDescent="0.35">
      <c r="B39" s="15" t="str">
        <f>IF(OutPut[[#This Row],[time]]="","",'Config and arguments'!C$2)</f>
        <v>0b15a420-9fc8-409a-a169-fbd49479d718</v>
      </c>
      <c r="C39" s="15" t="str">
        <f>IF(OutPut[[#This Row],[time]]="","",'Config and arguments'!C$5)</f>
        <v>wholesale_fixing</v>
      </c>
      <c r="D39" s="15" t="str">
        <f>IF(OutPut[[#This Row],[time]]="","",'Config and arguments'!C$6)</f>
        <v>2024-01-01 23:00:00</v>
      </c>
      <c r="E39" s="15" t="str">
        <f>IF(OutPut[[#This Row],[time]]="","","IGNORED")</f>
        <v>IGNORED</v>
      </c>
      <c r="F39" s="15" t="str">
        <f>IF(OutPut[[#This Row],[time]]="","",G$3)</f>
        <v>800</v>
      </c>
      <c r="G39" s="15" t="str">
        <f>IF(OutPut[[#This Row],[time]]="","",$E$3)</f>
        <v>4000000000000</v>
      </c>
      <c r="H3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9" s="15" t="str">
        <f>IF(OutPut[[#This Row],[time]]="","","kWh")</f>
        <v>kWh</v>
      </c>
      <c r="J3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9" s="15" t="str">
        <f>'Config and arguments'!AB37</f>
        <v>2023-02-02 09:00:00</v>
      </c>
      <c r="L39" s="15" t="str">
        <f>IF(OutPut[[#This Row],[time]]="","","PT1H")</f>
        <v>PT1H</v>
      </c>
      <c r="M39" s="15" t="str">
        <f>IF(OutPut[[#This Row],[time]]="","",$F$3)</f>
        <v>production</v>
      </c>
      <c r="N39" s="16" t="str">
        <f>IF(OutPut[[#This Row],[time]]="","",IF($H$3="","",$H$3))</f>
        <v/>
      </c>
      <c r="O3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9" s="16" t="str">
        <f>IFERROR(SUBSTITUTE(SUBSTITUTE(OutPut[[#This Row],[price]],".",",")*SUBSTITUTE(OutPut[[#This Row],[quantity]],".",","),",","."),"")</f>
        <v/>
      </c>
      <c r="Q39" s="15" t="str">
        <f>IF(OutPut[[#This Row],[time]]="","",VLOOKUP(C$3,ChargePriceInformationPeriods[],5,FALSE))</f>
        <v>false</v>
      </c>
      <c r="R39" s="15" t="str">
        <f>IF(OutPut[[#This Row],[time]]="","",$C$3)</f>
        <v>tariff-hourly-2</v>
      </c>
      <c r="S39" s="15" t="str">
        <f>IF(OutPut[[#This Row],[time]]="","","tariff")</f>
        <v>tariff</v>
      </c>
      <c r="T39" s="15" t="str">
        <f>IF(OutPut[[#This Row],[time]]="","",$D$3)</f>
        <v>0000000000800</v>
      </c>
      <c r="U39" s="15" t="str">
        <f>IF(OutPut[[#This Row],[time]]="","","amount_per_charge")</f>
        <v>amount_per_charge</v>
      </c>
      <c r="Y39" s="9"/>
      <c r="AB39" s="9"/>
    </row>
    <row r="40" spans="2:28" x14ac:dyDescent="0.35">
      <c r="B40" s="15" t="str">
        <f>IF(OutPut[[#This Row],[time]]="","",'Config and arguments'!C$2)</f>
        <v>0b15a420-9fc8-409a-a169-fbd49479d718</v>
      </c>
      <c r="C40" s="15" t="str">
        <f>IF(OutPut[[#This Row],[time]]="","",'Config and arguments'!C$5)</f>
        <v>wholesale_fixing</v>
      </c>
      <c r="D40" s="15" t="str">
        <f>IF(OutPut[[#This Row],[time]]="","",'Config and arguments'!C$6)</f>
        <v>2024-01-01 23:00:00</v>
      </c>
      <c r="E40" s="15" t="str">
        <f>IF(OutPut[[#This Row],[time]]="","","IGNORED")</f>
        <v>IGNORED</v>
      </c>
      <c r="F40" s="15" t="str">
        <f>IF(OutPut[[#This Row],[time]]="","",G$3)</f>
        <v>800</v>
      </c>
      <c r="G40" s="15" t="str">
        <f>IF(OutPut[[#This Row],[time]]="","",$E$3)</f>
        <v>4000000000000</v>
      </c>
      <c r="H4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0" s="15" t="str">
        <f>IF(OutPut[[#This Row],[time]]="","","kWh")</f>
        <v>kWh</v>
      </c>
      <c r="J4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0" s="15" t="str">
        <f>'Config and arguments'!AB38</f>
        <v>2023-02-02 10:00:00</v>
      </c>
      <c r="L40" s="15" t="str">
        <f>IF(OutPut[[#This Row],[time]]="","","PT1H")</f>
        <v>PT1H</v>
      </c>
      <c r="M40" s="15" t="str">
        <f>IF(OutPut[[#This Row],[time]]="","",$F$3)</f>
        <v>production</v>
      </c>
      <c r="N40" s="16" t="str">
        <f>IF(OutPut[[#This Row],[time]]="","",IF($H$3="","",$H$3))</f>
        <v/>
      </c>
      <c r="O4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0" s="16" t="str">
        <f>IFERROR(SUBSTITUTE(SUBSTITUTE(OutPut[[#This Row],[price]],".",",")*SUBSTITUTE(OutPut[[#This Row],[quantity]],".",","),",","."),"")</f>
        <v/>
      </c>
      <c r="Q40" s="15" t="str">
        <f>IF(OutPut[[#This Row],[time]]="","",VLOOKUP(C$3,ChargePriceInformationPeriods[],5,FALSE))</f>
        <v>false</v>
      </c>
      <c r="R40" s="15" t="str">
        <f>IF(OutPut[[#This Row],[time]]="","",$C$3)</f>
        <v>tariff-hourly-2</v>
      </c>
      <c r="S40" s="15" t="str">
        <f>IF(OutPut[[#This Row],[time]]="","","tariff")</f>
        <v>tariff</v>
      </c>
      <c r="T40" s="15" t="str">
        <f>IF(OutPut[[#This Row],[time]]="","",$D$3)</f>
        <v>0000000000800</v>
      </c>
      <c r="U40" s="15" t="str">
        <f>IF(OutPut[[#This Row],[time]]="","","amount_per_charge")</f>
        <v>amount_per_charge</v>
      </c>
      <c r="Y40" s="9"/>
      <c r="AB40" s="9"/>
    </row>
    <row r="41" spans="2:28" x14ac:dyDescent="0.35">
      <c r="B41" s="15" t="str">
        <f>IF(OutPut[[#This Row],[time]]="","",'Config and arguments'!C$2)</f>
        <v>0b15a420-9fc8-409a-a169-fbd49479d718</v>
      </c>
      <c r="C41" s="15" t="str">
        <f>IF(OutPut[[#This Row],[time]]="","",'Config and arguments'!C$5)</f>
        <v>wholesale_fixing</v>
      </c>
      <c r="D41" s="15" t="str">
        <f>IF(OutPut[[#This Row],[time]]="","",'Config and arguments'!C$6)</f>
        <v>2024-01-01 23:00:00</v>
      </c>
      <c r="E41" s="15" t="str">
        <f>IF(OutPut[[#This Row],[time]]="","","IGNORED")</f>
        <v>IGNORED</v>
      </c>
      <c r="F41" s="15" t="str">
        <f>IF(OutPut[[#This Row],[time]]="","",G$3)</f>
        <v>800</v>
      </c>
      <c r="G41" s="15" t="str">
        <f>IF(OutPut[[#This Row],[time]]="","",$E$3)</f>
        <v>4000000000000</v>
      </c>
      <c r="H4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1" s="15" t="str">
        <f>IF(OutPut[[#This Row],[time]]="","","kWh")</f>
        <v>kWh</v>
      </c>
      <c r="J4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1" s="15" t="str">
        <f>'Config and arguments'!AB39</f>
        <v>2023-02-02 11:00:00</v>
      </c>
      <c r="L41" s="15" t="str">
        <f>IF(OutPut[[#This Row],[time]]="","","PT1H")</f>
        <v>PT1H</v>
      </c>
      <c r="M41" s="15" t="str">
        <f>IF(OutPut[[#This Row],[time]]="","",$F$3)</f>
        <v>production</v>
      </c>
      <c r="N41" s="16" t="str">
        <f>IF(OutPut[[#This Row],[time]]="","",IF($H$3="","",$H$3))</f>
        <v/>
      </c>
      <c r="O4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1" s="16" t="str">
        <f>IFERROR(SUBSTITUTE(SUBSTITUTE(OutPut[[#This Row],[price]],".",",")*SUBSTITUTE(OutPut[[#This Row],[quantity]],".",","),",","."),"")</f>
        <v/>
      </c>
      <c r="Q41" s="15" t="str">
        <f>IF(OutPut[[#This Row],[time]]="","",VLOOKUP(C$3,ChargePriceInformationPeriods[],5,FALSE))</f>
        <v>false</v>
      </c>
      <c r="R41" s="15" t="str">
        <f>IF(OutPut[[#This Row],[time]]="","",$C$3)</f>
        <v>tariff-hourly-2</v>
      </c>
      <c r="S41" s="15" t="str">
        <f>IF(OutPut[[#This Row],[time]]="","","tariff")</f>
        <v>tariff</v>
      </c>
      <c r="T41" s="15" t="str">
        <f>IF(OutPut[[#This Row],[time]]="","",$D$3)</f>
        <v>0000000000800</v>
      </c>
      <c r="U41" s="15" t="str">
        <f>IF(OutPut[[#This Row],[time]]="","","amount_per_charge")</f>
        <v>amount_per_charge</v>
      </c>
      <c r="Y41" s="9"/>
      <c r="AB41" s="9"/>
    </row>
    <row r="42" spans="2:28" x14ac:dyDescent="0.35">
      <c r="B42" s="15" t="str">
        <f>IF(OutPut[[#This Row],[time]]="","",'Config and arguments'!C$2)</f>
        <v>0b15a420-9fc8-409a-a169-fbd49479d718</v>
      </c>
      <c r="C42" s="15" t="str">
        <f>IF(OutPut[[#This Row],[time]]="","",'Config and arguments'!C$5)</f>
        <v>wholesale_fixing</v>
      </c>
      <c r="D42" s="15" t="str">
        <f>IF(OutPut[[#This Row],[time]]="","",'Config and arguments'!C$6)</f>
        <v>2024-01-01 23:00:00</v>
      </c>
      <c r="E42" s="15" t="str">
        <f>IF(OutPut[[#This Row],[time]]="","","IGNORED")</f>
        <v>IGNORED</v>
      </c>
      <c r="F42" s="15" t="str">
        <f>IF(OutPut[[#This Row],[time]]="","",G$3)</f>
        <v>800</v>
      </c>
      <c r="G42" s="15" t="str">
        <f>IF(OutPut[[#This Row],[time]]="","",$E$3)</f>
        <v>4000000000000</v>
      </c>
      <c r="H4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2" s="15" t="str">
        <f>IF(OutPut[[#This Row],[time]]="","","kWh")</f>
        <v>kWh</v>
      </c>
      <c r="J4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2" s="15" t="str">
        <f>'Config and arguments'!AB40</f>
        <v>2023-02-02 12:00:00</v>
      </c>
      <c r="L42" s="15" t="str">
        <f>IF(OutPut[[#This Row],[time]]="","","PT1H")</f>
        <v>PT1H</v>
      </c>
      <c r="M42" s="15" t="str">
        <f>IF(OutPut[[#This Row],[time]]="","",$F$3)</f>
        <v>production</v>
      </c>
      <c r="N42" s="16" t="str">
        <f>IF(OutPut[[#This Row],[time]]="","",IF($H$3="","",$H$3))</f>
        <v/>
      </c>
      <c r="O4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2" s="16" t="str">
        <f>IFERROR(SUBSTITUTE(SUBSTITUTE(OutPut[[#This Row],[price]],".",",")*SUBSTITUTE(OutPut[[#This Row],[quantity]],".",","),",","."),"")</f>
        <v/>
      </c>
      <c r="Q42" s="15" t="str">
        <f>IF(OutPut[[#This Row],[time]]="","",VLOOKUP(C$3,ChargePriceInformationPeriods[],5,FALSE))</f>
        <v>false</v>
      </c>
      <c r="R42" s="15" t="str">
        <f>IF(OutPut[[#This Row],[time]]="","",$C$3)</f>
        <v>tariff-hourly-2</v>
      </c>
      <c r="S42" s="15" t="str">
        <f>IF(OutPut[[#This Row],[time]]="","","tariff")</f>
        <v>tariff</v>
      </c>
      <c r="T42" s="15" t="str">
        <f>IF(OutPut[[#This Row],[time]]="","",$D$3)</f>
        <v>0000000000800</v>
      </c>
      <c r="U42" s="15" t="str">
        <f>IF(OutPut[[#This Row],[time]]="","","amount_per_charge")</f>
        <v>amount_per_charge</v>
      </c>
      <c r="Y42" s="9"/>
      <c r="AB42" s="9"/>
    </row>
    <row r="43" spans="2:28" x14ac:dyDescent="0.35">
      <c r="B43" s="15" t="str">
        <f>IF(OutPut[[#This Row],[time]]="","",'Config and arguments'!C$2)</f>
        <v>0b15a420-9fc8-409a-a169-fbd49479d718</v>
      </c>
      <c r="C43" s="15" t="str">
        <f>IF(OutPut[[#This Row],[time]]="","",'Config and arguments'!C$5)</f>
        <v>wholesale_fixing</v>
      </c>
      <c r="D43" s="15" t="str">
        <f>IF(OutPut[[#This Row],[time]]="","",'Config and arguments'!C$6)</f>
        <v>2024-01-01 23:00:00</v>
      </c>
      <c r="E43" s="15" t="str">
        <f>IF(OutPut[[#This Row],[time]]="","","IGNORED")</f>
        <v>IGNORED</v>
      </c>
      <c r="F43" s="15" t="str">
        <f>IF(OutPut[[#This Row],[time]]="","",G$3)</f>
        <v>800</v>
      </c>
      <c r="G43" s="15" t="str">
        <f>IF(OutPut[[#This Row],[time]]="","",$E$3)</f>
        <v>4000000000000</v>
      </c>
      <c r="H4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3" s="15" t="str">
        <f>IF(OutPut[[#This Row],[time]]="","","kWh")</f>
        <v>kWh</v>
      </c>
      <c r="J4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3" s="15" t="str">
        <f>'Config and arguments'!AB41</f>
        <v>2023-02-02 13:00:00</v>
      </c>
      <c r="L43" s="15" t="str">
        <f>IF(OutPut[[#This Row],[time]]="","","PT1H")</f>
        <v>PT1H</v>
      </c>
      <c r="M43" s="15" t="str">
        <f>IF(OutPut[[#This Row],[time]]="","",$F$3)</f>
        <v>production</v>
      </c>
      <c r="N43" s="16" t="str">
        <f>IF(OutPut[[#This Row],[time]]="","",IF($H$3="","",$H$3))</f>
        <v/>
      </c>
      <c r="O4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3" s="16" t="str">
        <f>IFERROR(SUBSTITUTE(SUBSTITUTE(OutPut[[#This Row],[price]],".",",")*SUBSTITUTE(OutPut[[#This Row],[quantity]],".",","),",","."),"")</f>
        <v/>
      </c>
      <c r="Q43" s="15" t="str">
        <f>IF(OutPut[[#This Row],[time]]="","",VLOOKUP(C$3,ChargePriceInformationPeriods[],5,FALSE))</f>
        <v>false</v>
      </c>
      <c r="R43" s="15" t="str">
        <f>IF(OutPut[[#This Row],[time]]="","",$C$3)</f>
        <v>tariff-hourly-2</v>
      </c>
      <c r="S43" s="15" t="str">
        <f>IF(OutPut[[#This Row],[time]]="","","tariff")</f>
        <v>tariff</v>
      </c>
      <c r="T43" s="15" t="str">
        <f>IF(OutPut[[#This Row],[time]]="","",$D$3)</f>
        <v>0000000000800</v>
      </c>
      <c r="U43" s="15" t="str">
        <f>IF(OutPut[[#This Row],[time]]="","","amount_per_charge")</f>
        <v>amount_per_charge</v>
      </c>
      <c r="Y43" s="9"/>
      <c r="AB43" s="9"/>
    </row>
    <row r="44" spans="2:28" x14ac:dyDescent="0.35">
      <c r="B44" s="15" t="str">
        <f>IF(OutPut[[#This Row],[time]]="","",'Config and arguments'!C$2)</f>
        <v>0b15a420-9fc8-409a-a169-fbd49479d718</v>
      </c>
      <c r="C44" s="15" t="str">
        <f>IF(OutPut[[#This Row],[time]]="","",'Config and arguments'!C$5)</f>
        <v>wholesale_fixing</v>
      </c>
      <c r="D44" s="15" t="str">
        <f>IF(OutPut[[#This Row],[time]]="","",'Config and arguments'!C$6)</f>
        <v>2024-01-01 23:00:00</v>
      </c>
      <c r="E44" s="15" t="str">
        <f>IF(OutPut[[#This Row],[time]]="","","IGNORED")</f>
        <v>IGNORED</v>
      </c>
      <c r="F44" s="15" t="str">
        <f>IF(OutPut[[#This Row],[time]]="","",G$3)</f>
        <v>800</v>
      </c>
      <c r="G44" s="15" t="str">
        <f>IF(OutPut[[#This Row],[time]]="","",$E$3)</f>
        <v>4000000000000</v>
      </c>
      <c r="H4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4" s="15" t="str">
        <f>IF(OutPut[[#This Row],[time]]="","","kWh")</f>
        <v>kWh</v>
      </c>
      <c r="J4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4" s="15" t="str">
        <f>'Config and arguments'!AB42</f>
        <v>2023-02-02 14:00:00</v>
      </c>
      <c r="L44" s="15" t="str">
        <f>IF(OutPut[[#This Row],[time]]="","","PT1H")</f>
        <v>PT1H</v>
      </c>
      <c r="M44" s="15" t="str">
        <f>IF(OutPut[[#This Row],[time]]="","",$F$3)</f>
        <v>production</v>
      </c>
      <c r="N44" s="16" t="str">
        <f>IF(OutPut[[#This Row],[time]]="","",IF($H$3="","",$H$3))</f>
        <v/>
      </c>
      <c r="O4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4" s="16" t="str">
        <f>IFERROR(SUBSTITUTE(SUBSTITUTE(OutPut[[#This Row],[price]],".",",")*SUBSTITUTE(OutPut[[#This Row],[quantity]],".",","),",","."),"")</f>
        <v/>
      </c>
      <c r="Q44" s="15" t="str">
        <f>IF(OutPut[[#This Row],[time]]="","",VLOOKUP(C$3,ChargePriceInformationPeriods[],5,FALSE))</f>
        <v>false</v>
      </c>
      <c r="R44" s="15" t="str">
        <f>IF(OutPut[[#This Row],[time]]="","",$C$3)</f>
        <v>tariff-hourly-2</v>
      </c>
      <c r="S44" s="15" t="str">
        <f>IF(OutPut[[#This Row],[time]]="","","tariff")</f>
        <v>tariff</v>
      </c>
      <c r="T44" s="15" t="str">
        <f>IF(OutPut[[#This Row],[time]]="","",$D$3)</f>
        <v>0000000000800</v>
      </c>
      <c r="U44" s="15" t="str">
        <f>IF(OutPut[[#This Row],[time]]="","","amount_per_charge")</f>
        <v>amount_per_charge</v>
      </c>
      <c r="Y44" s="9"/>
      <c r="AB44" s="9"/>
    </row>
    <row r="45" spans="2:28" x14ac:dyDescent="0.35">
      <c r="B45" s="15" t="str">
        <f>IF(OutPut[[#This Row],[time]]="","",'Config and arguments'!C$2)</f>
        <v>0b15a420-9fc8-409a-a169-fbd49479d718</v>
      </c>
      <c r="C45" s="15" t="str">
        <f>IF(OutPut[[#This Row],[time]]="","",'Config and arguments'!C$5)</f>
        <v>wholesale_fixing</v>
      </c>
      <c r="D45" s="15" t="str">
        <f>IF(OutPut[[#This Row],[time]]="","",'Config and arguments'!C$6)</f>
        <v>2024-01-01 23:00:00</v>
      </c>
      <c r="E45" s="15" t="str">
        <f>IF(OutPut[[#This Row],[time]]="","","IGNORED")</f>
        <v>IGNORED</v>
      </c>
      <c r="F45" s="15" t="str">
        <f>IF(OutPut[[#This Row],[time]]="","",G$3)</f>
        <v>800</v>
      </c>
      <c r="G45" s="15" t="str">
        <f>IF(OutPut[[#This Row],[time]]="","",$E$3)</f>
        <v>4000000000000</v>
      </c>
      <c r="H4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5" s="15" t="str">
        <f>IF(OutPut[[#This Row],[time]]="","","kWh")</f>
        <v>kWh</v>
      </c>
      <c r="J4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5" s="15" t="str">
        <f>'Config and arguments'!AB43</f>
        <v>2023-02-02 15:00:00</v>
      </c>
      <c r="L45" s="15" t="str">
        <f>IF(OutPut[[#This Row],[time]]="","","PT1H")</f>
        <v>PT1H</v>
      </c>
      <c r="M45" s="15" t="str">
        <f>IF(OutPut[[#This Row],[time]]="","",$F$3)</f>
        <v>production</v>
      </c>
      <c r="N45" s="16" t="str">
        <f>IF(OutPut[[#This Row],[time]]="","",IF($H$3="","",$H$3))</f>
        <v/>
      </c>
      <c r="O4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5" s="16" t="str">
        <f>IFERROR(SUBSTITUTE(SUBSTITUTE(OutPut[[#This Row],[price]],".",",")*SUBSTITUTE(OutPut[[#This Row],[quantity]],".",","),",","."),"")</f>
        <v/>
      </c>
      <c r="Q45" s="15" t="str">
        <f>IF(OutPut[[#This Row],[time]]="","",VLOOKUP(C$3,ChargePriceInformationPeriods[],5,FALSE))</f>
        <v>false</v>
      </c>
      <c r="R45" s="15" t="str">
        <f>IF(OutPut[[#This Row],[time]]="","",$C$3)</f>
        <v>tariff-hourly-2</v>
      </c>
      <c r="S45" s="15" t="str">
        <f>IF(OutPut[[#This Row],[time]]="","","tariff")</f>
        <v>tariff</v>
      </c>
      <c r="T45" s="15" t="str">
        <f>IF(OutPut[[#This Row],[time]]="","",$D$3)</f>
        <v>0000000000800</v>
      </c>
      <c r="U45" s="15" t="str">
        <f>IF(OutPut[[#This Row],[time]]="","","amount_per_charge")</f>
        <v>amount_per_charge</v>
      </c>
      <c r="Y45" s="9"/>
      <c r="AB45" s="9"/>
    </row>
    <row r="46" spans="2:28" x14ac:dyDescent="0.35">
      <c r="B46" s="15" t="str">
        <f>IF(OutPut[[#This Row],[time]]="","",'Config and arguments'!C$2)</f>
        <v>0b15a420-9fc8-409a-a169-fbd49479d718</v>
      </c>
      <c r="C46" s="15" t="str">
        <f>IF(OutPut[[#This Row],[time]]="","",'Config and arguments'!C$5)</f>
        <v>wholesale_fixing</v>
      </c>
      <c r="D46" s="15" t="str">
        <f>IF(OutPut[[#This Row],[time]]="","",'Config and arguments'!C$6)</f>
        <v>2024-01-01 23:00:00</v>
      </c>
      <c r="E46" s="15" t="str">
        <f>IF(OutPut[[#This Row],[time]]="","","IGNORED")</f>
        <v>IGNORED</v>
      </c>
      <c r="F46" s="15" t="str">
        <f>IF(OutPut[[#This Row],[time]]="","",G$3)</f>
        <v>800</v>
      </c>
      <c r="G46" s="15" t="str">
        <f>IF(OutPut[[#This Row],[time]]="","",$E$3)</f>
        <v>4000000000000</v>
      </c>
      <c r="H4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6" s="15" t="str">
        <f>IF(OutPut[[#This Row],[time]]="","","kWh")</f>
        <v>kWh</v>
      </c>
      <c r="J4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6" s="15" t="str">
        <f>'Config and arguments'!AB44</f>
        <v>2023-02-02 16:00:00</v>
      </c>
      <c r="L46" s="15" t="str">
        <f>IF(OutPut[[#This Row],[time]]="","","PT1H")</f>
        <v>PT1H</v>
      </c>
      <c r="M46" s="15" t="str">
        <f>IF(OutPut[[#This Row],[time]]="","",$F$3)</f>
        <v>production</v>
      </c>
      <c r="N46" s="16" t="str">
        <f>IF(OutPut[[#This Row],[time]]="","",IF($H$3="","",$H$3))</f>
        <v/>
      </c>
      <c r="O4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6" s="16" t="str">
        <f>IFERROR(SUBSTITUTE(SUBSTITUTE(OutPut[[#This Row],[price]],".",",")*SUBSTITUTE(OutPut[[#This Row],[quantity]],".",","),",","."),"")</f>
        <v/>
      </c>
      <c r="Q46" s="15" t="str">
        <f>IF(OutPut[[#This Row],[time]]="","",VLOOKUP(C$3,ChargePriceInformationPeriods[],5,FALSE))</f>
        <v>false</v>
      </c>
      <c r="R46" s="15" t="str">
        <f>IF(OutPut[[#This Row],[time]]="","",$C$3)</f>
        <v>tariff-hourly-2</v>
      </c>
      <c r="S46" s="15" t="str">
        <f>IF(OutPut[[#This Row],[time]]="","","tariff")</f>
        <v>tariff</v>
      </c>
      <c r="T46" s="15" t="str">
        <f>IF(OutPut[[#This Row],[time]]="","",$D$3)</f>
        <v>0000000000800</v>
      </c>
      <c r="U46" s="15" t="str">
        <f>IF(OutPut[[#This Row],[time]]="","","amount_per_charge")</f>
        <v>amount_per_charge</v>
      </c>
      <c r="Y46" s="9"/>
      <c r="AB46" s="9"/>
    </row>
    <row r="47" spans="2:28" x14ac:dyDescent="0.35">
      <c r="B47" s="15" t="str">
        <f>IF(OutPut[[#This Row],[time]]="","",'Config and arguments'!C$2)</f>
        <v>0b15a420-9fc8-409a-a169-fbd49479d718</v>
      </c>
      <c r="C47" s="15" t="str">
        <f>IF(OutPut[[#This Row],[time]]="","",'Config and arguments'!C$5)</f>
        <v>wholesale_fixing</v>
      </c>
      <c r="D47" s="15" t="str">
        <f>IF(OutPut[[#This Row],[time]]="","",'Config and arguments'!C$6)</f>
        <v>2024-01-01 23:00:00</v>
      </c>
      <c r="E47" s="15" t="str">
        <f>IF(OutPut[[#This Row],[time]]="","","IGNORED")</f>
        <v>IGNORED</v>
      </c>
      <c r="F47" s="15" t="str">
        <f>IF(OutPut[[#This Row],[time]]="","",G$3)</f>
        <v>800</v>
      </c>
      <c r="G47" s="15" t="str">
        <f>IF(OutPut[[#This Row],[time]]="","",$E$3)</f>
        <v>4000000000000</v>
      </c>
      <c r="H4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7" s="15" t="str">
        <f>IF(OutPut[[#This Row],[time]]="","","kWh")</f>
        <v>kWh</v>
      </c>
      <c r="J4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7" s="15" t="str">
        <f>'Config and arguments'!AB45</f>
        <v>2023-02-02 17:00:00</v>
      </c>
      <c r="L47" s="15" t="str">
        <f>IF(OutPut[[#This Row],[time]]="","","PT1H")</f>
        <v>PT1H</v>
      </c>
      <c r="M47" s="15" t="str">
        <f>IF(OutPut[[#This Row],[time]]="","",$F$3)</f>
        <v>production</v>
      </c>
      <c r="N47" s="16" t="str">
        <f>IF(OutPut[[#This Row],[time]]="","",IF($H$3="","",$H$3))</f>
        <v/>
      </c>
      <c r="O4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7" s="16" t="str">
        <f>IFERROR(SUBSTITUTE(SUBSTITUTE(OutPut[[#This Row],[price]],".",",")*SUBSTITUTE(OutPut[[#This Row],[quantity]],".",","),",","."),"")</f>
        <v/>
      </c>
      <c r="Q47" s="15" t="str">
        <f>IF(OutPut[[#This Row],[time]]="","",VLOOKUP(C$3,ChargePriceInformationPeriods[],5,FALSE))</f>
        <v>false</v>
      </c>
      <c r="R47" s="15" t="str">
        <f>IF(OutPut[[#This Row],[time]]="","",$C$3)</f>
        <v>tariff-hourly-2</v>
      </c>
      <c r="S47" s="15" t="str">
        <f>IF(OutPut[[#This Row],[time]]="","","tariff")</f>
        <v>tariff</v>
      </c>
      <c r="T47" s="15" t="str">
        <f>IF(OutPut[[#This Row],[time]]="","",$D$3)</f>
        <v>0000000000800</v>
      </c>
      <c r="U47" s="15" t="str">
        <f>IF(OutPut[[#This Row],[time]]="","","amount_per_charge")</f>
        <v>amount_per_charge</v>
      </c>
      <c r="Y47" s="9"/>
      <c r="AB47" s="9"/>
    </row>
    <row r="48" spans="2:28" x14ac:dyDescent="0.35">
      <c r="B48" s="15" t="str">
        <f>IF(OutPut[[#This Row],[time]]="","",'Config and arguments'!C$2)</f>
        <v>0b15a420-9fc8-409a-a169-fbd49479d718</v>
      </c>
      <c r="C48" s="15" t="str">
        <f>IF(OutPut[[#This Row],[time]]="","",'Config and arguments'!C$5)</f>
        <v>wholesale_fixing</v>
      </c>
      <c r="D48" s="15" t="str">
        <f>IF(OutPut[[#This Row],[time]]="","",'Config and arguments'!C$6)</f>
        <v>2024-01-01 23:00:00</v>
      </c>
      <c r="E48" s="15" t="str">
        <f>IF(OutPut[[#This Row],[time]]="","","IGNORED")</f>
        <v>IGNORED</v>
      </c>
      <c r="F48" s="15" t="str">
        <f>IF(OutPut[[#This Row],[time]]="","",G$3)</f>
        <v>800</v>
      </c>
      <c r="G48" s="15" t="str">
        <f>IF(OutPut[[#This Row],[time]]="","",$E$3)</f>
        <v>4000000000000</v>
      </c>
      <c r="H4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8" s="15" t="str">
        <f>IF(OutPut[[#This Row],[time]]="","","kWh")</f>
        <v>kWh</v>
      </c>
      <c r="J4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8" s="15" t="str">
        <f>'Config and arguments'!AB46</f>
        <v>2023-02-02 18:00:00</v>
      </c>
      <c r="L48" s="15" t="str">
        <f>IF(OutPut[[#This Row],[time]]="","","PT1H")</f>
        <v>PT1H</v>
      </c>
      <c r="M48" s="15" t="str">
        <f>IF(OutPut[[#This Row],[time]]="","",$F$3)</f>
        <v>production</v>
      </c>
      <c r="N48" s="16" t="str">
        <f>IF(OutPut[[#This Row],[time]]="","",IF($H$3="","",$H$3))</f>
        <v/>
      </c>
      <c r="O4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8" s="16" t="str">
        <f>IFERROR(SUBSTITUTE(SUBSTITUTE(OutPut[[#This Row],[price]],".",",")*SUBSTITUTE(OutPut[[#This Row],[quantity]],".",","),",","."),"")</f>
        <v/>
      </c>
      <c r="Q48" s="15" t="str">
        <f>IF(OutPut[[#This Row],[time]]="","",VLOOKUP(C$3,ChargePriceInformationPeriods[],5,FALSE))</f>
        <v>false</v>
      </c>
      <c r="R48" s="15" t="str">
        <f>IF(OutPut[[#This Row],[time]]="","",$C$3)</f>
        <v>tariff-hourly-2</v>
      </c>
      <c r="S48" s="15" t="str">
        <f>IF(OutPut[[#This Row],[time]]="","","tariff")</f>
        <v>tariff</v>
      </c>
      <c r="T48" s="15" t="str">
        <f>IF(OutPut[[#This Row],[time]]="","",$D$3)</f>
        <v>0000000000800</v>
      </c>
      <c r="U48" s="15" t="str">
        <f>IF(OutPut[[#This Row],[time]]="","","amount_per_charge")</f>
        <v>amount_per_charge</v>
      </c>
      <c r="Y48" s="9"/>
      <c r="AB48" s="9"/>
    </row>
    <row r="49" spans="2:28" x14ac:dyDescent="0.35">
      <c r="B49" s="15" t="str">
        <f>IF(OutPut[[#This Row],[time]]="","",'Config and arguments'!C$2)</f>
        <v>0b15a420-9fc8-409a-a169-fbd49479d718</v>
      </c>
      <c r="C49" s="15" t="str">
        <f>IF(OutPut[[#This Row],[time]]="","",'Config and arguments'!C$5)</f>
        <v>wholesale_fixing</v>
      </c>
      <c r="D49" s="15" t="str">
        <f>IF(OutPut[[#This Row],[time]]="","",'Config and arguments'!C$6)</f>
        <v>2024-01-01 23:00:00</v>
      </c>
      <c r="E49" s="15" t="str">
        <f>IF(OutPut[[#This Row],[time]]="","","IGNORED")</f>
        <v>IGNORED</v>
      </c>
      <c r="F49" s="15" t="str">
        <f>IF(OutPut[[#This Row],[time]]="","",G$3)</f>
        <v>800</v>
      </c>
      <c r="G49" s="15" t="str">
        <f>IF(OutPut[[#This Row],[time]]="","",$E$3)</f>
        <v>4000000000000</v>
      </c>
      <c r="H4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9" s="15" t="str">
        <f>IF(OutPut[[#This Row],[time]]="","","kWh")</f>
        <v>kWh</v>
      </c>
      <c r="J4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9" s="15" t="str">
        <f>'Config and arguments'!AB47</f>
        <v>2023-02-02 19:00:00</v>
      </c>
      <c r="L49" s="15" t="str">
        <f>IF(OutPut[[#This Row],[time]]="","","PT1H")</f>
        <v>PT1H</v>
      </c>
      <c r="M49" s="15" t="str">
        <f>IF(OutPut[[#This Row],[time]]="","",$F$3)</f>
        <v>production</v>
      </c>
      <c r="N49" s="16" t="str">
        <f>IF(OutPut[[#This Row],[time]]="","",IF($H$3="","",$H$3))</f>
        <v/>
      </c>
      <c r="O4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9" s="16" t="str">
        <f>IFERROR(SUBSTITUTE(SUBSTITUTE(OutPut[[#This Row],[price]],".",",")*SUBSTITUTE(OutPut[[#This Row],[quantity]],".",","),",","."),"")</f>
        <v/>
      </c>
      <c r="Q49" s="15" t="str">
        <f>IF(OutPut[[#This Row],[time]]="","",VLOOKUP(C$3,ChargePriceInformationPeriods[],5,FALSE))</f>
        <v>false</v>
      </c>
      <c r="R49" s="15" t="str">
        <f>IF(OutPut[[#This Row],[time]]="","",$C$3)</f>
        <v>tariff-hourly-2</v>
      </c>
      <c r="S49" s="15" t="str">
        <f>IF(OutPut[[#This Row],[time]]="","","tariff")</f>
        <v>tariff</v>
      </c>
      <c r="T49" s="15" t="str">
        <f>IF(OutPut[[#This Row],[time]]="","",$D$3)</f>
        <v>0000000000800</v>
      </c>
      <c r="U49" s="15" t="str">
        <f>IF(OutPut[[#This Row],[time]]="","","amount_per_charge")</f>
        <v>amount_per_charge</v>
      </c>
      <c r="Y49" s="9"/>
      <c r="AB49" s="9"/>
    </row>
    <row r="50" spans="2:28" x14ac:dyDescent="0.35">
      <c r="B50" s="15" t="str">
        <f>IF(OutPut[[#This Row],[time]]="","",'Config and arguments'!C$2)</f>
        <v>0b15a420-9fc8-409a-a169-fbd49479d718</v>
      </c>
      <c r="C50" s="15" t="str">
        <f>IF(OutPut[[#This Row],[time]]="","",'Config and arguments'!C$5)</f>
        <v>wholesale_fixing</v>
      </c>
      <c r="D50" s="15" t="str">
        <f>IF(OutPut[[#This Row],[time]]="","",'Config and arguments'!C$6)</f>
        <v>2024-01-01 23:00:00</v>
      </c>
      <c r="E50" s="15" t="str">
        <f>IF(OutPut[[#This Row],[time]]="","","IGNORED")</f>
        <v>IGNORED</v>
      </c>
      <c r="F50" s="15" t="str">
        <f>IF(OutPut[[#This Row],[time]]="","",G$3)</f>
        <v>800</v>
      </c>
      <c r="G50" s="15" t="str">
        <f>IF(OutPut[[#This Row],[time]]="","",$E$3)</f>
        <v>4000000000000</v>
      </c>
      <c r="H5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0" s="15" t="str">
        <f>IF(OutPut[[#This Row],[time]]="","","kWh")</f>
        <v>kWh</v>
      </c>
      <c r="J5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0" s="15" t="str">
        <f>'Config and arguments'!AB48</f>
        <v>2023-02-02 20:00:00</v>
      </c>
      <c r="L50" s="15" t="str">
        <f>IF(OutPut[[#This Row],[time]]="","","PT1H")</f>
        <v>PT1H</v>
      </c>
      <c r="M50" s="15" t="str">
        <f>IF(OutPut[[#This Row],[time]]="","",$F$3)</f>
        <v>production</v>
      </c>
      <c r="N50" s="16" t="str">
        <f>IF(OutPut[[#This Row],[time]]="","",IF($H$3="","",$H$3))</f>
        <v/>
      </c>
      <c r="O5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0" s="16" t="str">
        <f>IFERROR(SUBSTITUTE(SUBSTITUTE(OutPut[[#This Row],[price]],".",",")*SUBSTITUTE(OutPut[[#This Row],[quantity]],".",","),",","."),"")</f>
        <v/>
      </c>
      <c r="Q50" s="15" t="str">
        <f>IF(OutPut[[#This Row],[time]]="","",VLOOKUP(C$3,ChargePriceInformationPeriods[],5,FALSE))</f>
        <v>false</v>
      </c>
      <c r="R50" s="15" t="str">
        <f>IF(OutPut[[#This Row],[time]]="","",$C$3)</f>
        <v>tariff-hourly-2</v>
      </c>
      <c r="S50" s="15" t="str">
        <f>IF(OutPut[[#This Row],[time]]="","","tariff")</f>
        <v>tariff</v>
      </c>
      <c r="T50" s="15" t="str">
        <f>IF(OutPut[[#This Row],[time]]="","",$D$3)</f>
        <v>0000000000800</v>
      </c>
      <c r="U50" s="15" t="str">
        <f>IF(OutPut[[#This Row],[time]]="","","amount_per_charge")</f>
        <v>amount_per_charge</v>
      </c>
      <c r="Y50" s="9"/>
      <c r="AB50" s="9"/>
    </row>
    <row r="51" spans="2:28" x14ac:dyDescent="0.35">
      <c r="B51" s="15" t="str">
        <f>IF(OutPut[[#This Row],[time]]="","",'Config and arguments'!C$2)</f>
        <v>0b15a420-9fc8-409a-a169-fbd49479d718</v>
      </c>
      <c r="C51" s="15" t="str">
        <f>IF(OutPut[[#This Row],[time]]="","",'Config and arguments'!C$5)</f>
        <v>wholesale_fixing</v>
      </c>
      <c r="D51" s="15" t="str">
        <f>IF(OutPut[[#This Row],[time]]="","",'Config and arguments'!C$6)</f>
        <v>2024-01-01 23:00:00</v>
      </c>
      <c r="E51" s="15" t="str">
        <f>IF(OutPut[[#This Row],[time]]="","","IGNORED")</f>
        <v>IGNORED</v>
      </c>
      <c r="F51" s="15" t="str">
        <f>IF(OutPut[[#This Row],[time]]="","",G$3)</f>
        <v>800</v>
      </c>
      <c r="G51" s="15" t="str">
        <f>IF(OutPut[[#This Row],[time]]="","",$E$3)</f>
        <v>4000000000000</v>
      </c>
      <c r="H5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1" s="15" t="str">
        <f>IF(OutPut[[#This Row],[time]]="","","kWh")</f>
        <v>kWh</v>
      </c>
      <c r="J5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1" s="15" t="str">
        <f>'Config and arguments'!AB49</f>
        <v>2023-02-02 21:00:00</v>
      </c>
      <c r="L51" s="15" t="str">
        <f>IF(OutPut[[#This Row],[time]]="","","PT1H")</f>
        <v>PT1H</v>
      </c>
      <c r="M51" s="15" t="str">
        <f>IF(OutPut[[#This Row],[time]]="","",$F$3)</f>
        <v>production</v>
      </c>
      <c r="N51" s="16" t="str">
        <f>IF(OutPut[[#This Row],[time]]="","",IF($H$3="","",$H$3))</f>
        <v/>
      </c>
      <c r="O5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1" s="16" t="str">
        <f>IFERROR(SUBSTITUTE(SUBSTITUTE(OutPut[[#This Row],[price]],".",",")*SUBSTITUTE(OutPut[[#This Row],[quantity]],".",","),",","."),"")</f>
        <v/>
      </c>
      <c r="Q51" s="15" t="str">
        <f>IF(OutPut[[#This Row],[time]]="","",VLOOKUP(C$3,ChargePriceInformationPeriods[],5,FALSE))</f>
        <v>false</v>
      </c>
      <c r="R51" s="15" t="str">
        <f>IF(OutPut[[#This Row],[time]]="","",$C$3)</f>
        <v>tariff-hourly-2</v>
      </c>
      <c r="S51" s="15" t="str">
        <f>IF(OutPut[[#This Row],[time]]="","","tariff")</f>
        <v>tariff</v>
      </c>
      <c r="T51" s="15" t="str">
        <f>IF(OutPut[[#This Row],[time]]="","",$D$3)</f>
        <v>0000000000800</v>
      </c>
      <c r="U51" s="15" t="str">
        <f>IF(OutPut[[#This Row],[time]]="","","amount_per_charge")</f>
        <v>amount_per_charge</v>
      </c>
      <c r="Y51" s="9"/>
      <c r="AB51" s="9"/>
    </row>
    <row r="52" spans="2:28" x14ac:dyDescent="0.35">
      <c r="B52" s="15" t="str">
        <f>IF(OutPut[[#This Row],[time]]="","",'Config and arguments'!C$2)</f>
        <v>0b15a420-9fc8-409a-a169-fbd49479d718</v>
      </c>
      <c r="C52" s="15" t="str">
        <f>IF(OutPut[[#This Row],[time]]="","",'Config and arguments'!C$5)</f>
        <v>wholesale_fixing</v>
      </c>
      <c r="D52" s="15" t="str">
        <f>IF(OutPut[[#This Row],[time]]="","",'Config and arguments'!C$6)</f>
        <v>2024-01-01 23:00:00</v>
      </c>
      <c r="E52" s="15" t="str">
        <f>IF(OutPut[[#This Row],[time]]="","","IGNORED")</f>
        <v>IGNORED</v>
      </c>
      <c r="F52" s="15" t="str">
        <f>IF(OutPut[[#This Row],[time]]="","",G$3)</f>
        <v>800</v>
      </c>
      <c r="G52" s="15" t="str">
        <f>IF(OutPut[[#This Row],[time]]="","",$E$3)</f>
        <v>4000000000000</v>
      </c>
      <c r="H5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2" s="15" t="str">
        <f>IF(OutPut[[#This Row],[time]]="","","kWh")</f>
        <v>kWh</v>
      </c>
      <c r="J5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2" s="15" t="str">
        <f>'Config and arguments'!AB50</f>
        <v>2023-02-02 22:00:00</v>
      </c>
      <c r="L52" s="15" t="str">
        <f>IF(OutPut[[#This Row],[time]]="","","PT1H")</f>
        <v>PT1H</v>
      </c>
      <c r="M52" s="15" t="str">
        <f>IF(OutPut[[#This Row],[time]]="","",$F$3)</f>
        <v>production</v>
      </c>
      <c r="N52" s="16" t="str">
        <f>IF(OutPut[[#This Row],[time]]="","",IF($H$3="","",$H$3))</f>
        <v/>
      </c>
      <c r="O5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2" s="16" t="str">
        <f>IFERROR(SUBSTITUTE(SUBSTITUTE(OutPut[[#This Row],[price]],".",",")*SUBSTITUTE(OutPut[[#This Row],[quantity]],".",","),",","."),"")</f>
        <v/>
      </c>
      <c r="Q52" s="15" t="str">
        <f>IF(OutPut[[#This Row],[time]]="","",VLOOKUP(C$3,ChargePriceInformationPeriods[],5,FALSE))</f>
        <v>false</v>
      </c>
      <c r="R52" s="15" t="str">
        <f>IF(OutPut[[#This Row],[time]]="","",$C$3)</f>
        <v>tariff-hourly-2</v>
      </c>
      <c r="S52" s="15" t="str">
        <f>IF(OutPut[[#This Row],[time]]="","","tariff")</f>
        <v>tariff</v>
      </c>
      <c r="T52" s="15" t="str">
        <f>IF(OutPut[[#This Row],[time]]="","",$D$3)</f>
        <v>0000000000800</v>
      </c>
      <c r="U52" s="15" t="str">
        <f>IF(OutPut[[#This Row],[time]]="","","amount_per_charge")</f>
        <v>amount_per_charge</v>
      </c>
      <c r="Y52" s="9"/>
      <c r="AB52" s="9"/>
    </row>
    <row r="53" spans="2:28" x14ac:dyDescent="0.35">
      <c r="B53" s="15" t="str">
        <f>IF(OutPut[[#This Row],[time]]="","",'Config and arguments'!C$2)</f>
        <v>0b15a420-9fc8-409a-a169-fbd49479d718</v>
      </c>
      <c r="C53" s="15" t="str">
        <f>IF(OutPut[[#This Row],[time]]="","",'Config and arguments'!C$5)</f>
        <v>wholesale_fixing</v>
      </c>
      <c r="D53" s="15" t="str">
        <f>IF(OutPut[[#This Row],[time]]="","",'Config and arguments'!C$6)</f>
        <v>2024-01-01 23:00:00</v>
      </c>
      <c r="E53" s="15" t="str">
        <f>IF(OutPut[[#This Row],[time]]="","","IGNORED")</f>
        <v>IGNORED</v>
      </c>
      <c r="F53" s="15" t="str">
        <f>IF(OutPut[[#This Row],[time]]="","",G$3)</f>
        <v>800</v>
      </c>
      <c r="G53" s="15" t="str">
        <f>IF(OutPut[[#This Row],[time]]="","",$E$3)</f>
        <v>4000000000000</v>
      </c>
      <c r="H5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3" s="15" t="str">
        <f>IF(OutPut[[#This Row],[time]]="","","kWh")</f>
        <v>kWh</v>
      </c>
      <c r="J5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3" s="15" t="str">
        <f>'Config and arguments'!AB51</f>
        <v>2023-02-02 23:00:00</v>
      </c>
      <c r="L53" s="15" t="str">
        <f>IF(OutPut[[#This Row],[time]]="","","PT1H")</f>
        <v>PT1H</v>
      </c>
      <c r="M53" s="15" t="str">
        <f>IF(OutPut[[#This Row],[time]]="","",$F$3)</f>
        <v>production</v>
      </c>
      <c r="N53" s="16" t="str">
        <f>IF(OutPut[[#This Row],[time]]="","",IF($H$3="","",$H$3))</f>
        <v/>
      </c>
      <c r="O5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3" s="16" t="str">
        <f>IFERROR(SUBSTITUTE(SUBSTITUTE(OutPut[[#This Row],[price]],".",",")*SUBSTITUTE(OutPut[[#This Row],[quantity]],".",","),",","."),"")</f>
        <v/>
      </c>
      <c r="Q53" s="15" t="str">
        <f>IF(OutPut[[#This Row],[time]]="","",VLOOKUP(C$3,ChargePriceInformationPeriods[],5,FALSE))</f>
        <v>false</v>
      </c>
      <c r="R53" s="15" t="str">
        <f>IF(OutPut[[#This Row],[time]]="","",$C$3)</f>
        <v>tariff-hourly-2</v>
      </c>
      <c r="S53" s="15" t="str">
        <f>IF(OutPut[[#This Row],[time]]="","","tariff")</f>
        <v>tariff</v>
      </c>
      <c r="T53" s="15" t="str">
        <f>IF(OutPut[[#This Row],[time]]="","",$D$3)</f>
        <v>0000000000800</v>
      </c>
      <c r="U53" s="15" t="str">
        <f>IF(OutPut[[#This Row],[time]]="","","amount_per_charge")</f>
        <v>amount_per_charge</v>
      </c>
      <c r="Y53" s="9"/>
      <c r="AB53" s="9"/>
    </row>
    <row r="54" spans="2:28" x14ac:dyDescent="0.35">
      <c r="B54" s="15" t="str">
        <f>IF(OutPut[[#This Row],[time]]="","",'Config and arguments'!C$2)</f>
        <v>0b15a420-9fc8-409a-a169-fbd49479d718</v>
      </c>
      <c r="C54" s="15" t="str">
        <f>IF(OutPut[[#This Row],[time]]="","",'Config and arguments'!C$5)</f>
        <v>wholesale_fixing</v>
      </c>
      <c r="D54" s="15" t="str">
        <f>IF(OutPut[[#This Row],[time]]="","",'Config and arguments'!C$6)</f>
        <v>2024-01-01 23:00:00</v>
      </c>
      <c r="E54" s="15" t="str">
        <f>IF(OutPut[[#This Row],[time]]="","","IGNORED")</f>
        <v>IGNORED</v>
      </c>
      <c r="F54" s="15" t="str">
        <f>IF(OutPut[[#This Row],[time]]="","",G$3)</f>
        <v>800</v>
      </c>
      <c r="G54" s="15" t="str">
        <f>IF(OutPut[[#This Row],[time]]="","",$E$3)</f>
        <v>4000000000000</v>
      </c>
      <c r="H5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4" s="15" t="str">
        <f>IF(OutPut[[#This Row],[time]]="","","kWh")</f>
        <v>kWh</v>
      </c>
      <c r="J5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4" s="15" t="str">
        <f>'Config and arguments'!AB52</f>
        <v>2023-02-03 00:00:00</v>
      </c>
      <c r="L54" s="15" t="str">
        <f>IF(OutPut[[#This Row],[time]]="","","PT1H")</f>
        <v>PT1H</v>
      </c>
      <c r="M54" s="15" t="str">
        <f>IF(OutPut[[#This Row],[time]]="","",$F$3)</f>
        <v>production</v>
      </c>
      <c r="N54" s="16" t="str">
        <f>IF(OutPut[[#This Row],[time]]="","",IF($H$3="","",$H$3))</f>
        <v/>
      </c>
      <c r="O5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4" s="16" t="str">
        <f>IFERROR(SUBSTITUTE(SUBSTITUTE(OutPut[[#This Row],[price]],".",",")*SUBSTITUTE(OutPut[[#This Row],[quantity]],".",","),",","."),"")</f>
        <v/>
      </c>
      <c r="Q54" s="15" t="str">
        <f>IF(OutPut[[#This Row],[time]]="","",VLOOKUP(C$3,ChargePriceInformationPeriods[],5,FALSE))</f>
        <v>false</v>
      </c>
      <c r="R54" s="15" t="str">
        <f>IF(OutPut[[#This Row],[time]]="","",$C$3)</f>
        <v>tariff-hourly-2</v>
      </c>
      <c r="S54" s="15" t="str">
        <f>IF(OutPut[[#This Row],[time]]="","","tariff")</f>
        <v>tariff</v>
      </c>
      <c r="T54" s="15" t="str">
        <f>IF(OutPut[[#This Row],[time]]="","",$D$3)</f>
        <v>0000000000800</v>
      </c>
      <c r="U54" s="15" t="str">
        <f>IF(OutPut[[#This Row],[time]]="","","amount_per_charge")</f>
        <v>amount_per_charge</v>
      </c>
      <c r="Y54" s="9"/>
      <c r="AB54" s="9"/>
    </row>
    <row r="55" spans="2:28" x14ac:dyDescent="0.35">
      <c r="B55" s="15" t="str">
        <f>IF(OutPut[[#This Row],[time]]="","",'Config and arguments'!C$2)</f>
        <v>0b15a420-9fc8-409a-a169-fbd49479d718</v>
      </c>
      <c r="C55" s="15" t="str">
        <f>IF(OutPut[[#This Row],[time]]="","",'Config and arguments'!C$5)</f>
        <v>wholesale_fixing</v>
      </c>
      <c r="D55" s="15" t="str">
        <f>IF(OutPut[[#This Row],[time]]="","",'Config and arguments'!C$6)</f>
        <v>2024-01-01 23:00:00</v>
      </c>
      <c r="E55" s="15" t="str">
        <f>IF(OutPut[[#This Row],[time]]="","","IGNORED")</f>
        <v>IGNORED</v>
      </c>
      <c r="F55" s="15" t="str">
        <f>IF(OutPut[[#This Row],[time]]="","",G$3)</f>
        <v>800</v>
      </c>
      <c r="G55" s="15" t="str">
        <f>IF(OutPut[[#This Row],[time]]="","",$E$3)</f>
        <v>4000000000000</v>
      </c>
      <c r="H5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5" s="15" t="str">
        <f>IF(OutPut[[#This Row],[time]]="","","kWh")</f>
        <v>kWh</v>
      </c>
      <c r="J5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5" s="15" t="str">
        <f>'Config and arguments'!AB53</f>
        <v>2023-02-03 01:00:00</v>
      </c>
      <c r="L55" s="15" t="str">
        <f>IF(OutPut[[#This Row],[time]]="","","PT1H")</f>
        <v>PT1H</v>
      </c>
      <c r="M55" s="15" t="str">
        <f>IF(OutPut[[#This Row],[time]]="","",$F$3)</f>
        <v>production</v>
      </c>
      <c r="N55" s="16" t="str">
        <f>IF(OutPut[[#This Row],[time]]="","",IF($H$3="","",$H$3))</f>
        <v/>
      </c>
      <c r="O5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5" s="16" t="str">
        <f>IFERROR(SUBSTITUTE(SUBSTITUTE(OutPut[[#This Row],[price]],".",",")*SUBSTITUTE(OutPut[[#This Row],[quantity]],".",","),",","."),"")</f>
        <v/>
      </c>
      <c r="Q55" s="15" t="str">
        <f>IF(OutPut[[#This Row],[time]]="","",VLOOKUP(C$3,ChargePriceInformationPeriods[],5,FALSE))</f>
        <v>false</v>
      </c>
      <c r="R55" s="15" t="str">
        <f>IF(OutPut[[#This Row],[time]]="","",$C$3)</f>
        <v>tariff-hourly-2</v>
      </c>
      <c r="S55" s="15" t="str">
        <f>IF(OutPut[[#This Row],[time]]="","","tariff")</f>
        <v>tariff</v>
      </c>
      <c r="T55" s="15" t="str">
        <f>IF(OutPut[[#This Row],[time]]="","",$D$3)</f>
        <v>0000000000800</v>
      </c>
      <c r="U55" s="15" t="str">
        <f>IF(OutPut[[#This Row],[time]]="","","amount_per_charge")</f>
        <v>amount_per_charge</v>
      </c>
      <c r="Y55" s="9"/>
      <c r="AB55" s="9"/>
    </row>
    <row r="56" spans="2:28" x14ac:dyDescent="0.35">
      <c r="B56" s="15" t="str">
        <f>IF(OutPut[[#This Row],[time]]="","",'Config and arguments'!C$2)</f>
        <v>0b15a420-9fc8-409a-a169-fbd49479d718</v>
      </c>
      <c r="C56" s="15" t="str">
        <f>IF(OutPut[[#This Row],[time]]="","",'Config and arguments'!C$5)</f>
        <v>wholesale_fixing</v>
      </c>
      <c r="D56" s="15" t="str">
        <f>IF(OutPut[[#This Row],[time]]="","",'Config and arguments'!C$6)</f>
        <v>2024-01-01 23:00:00</v>
      </c>
      <c r="E56" s="15" t="str">
        <f>IF(OutPut[[#This Row],[time]]="","","IGNORED")</f>
        <v>IGNORED</v>
      </c>
      <c r="F56" s="15" t="str">
        <f>IF(OutPut[[#This Row],[time]]="","",G$3)</f>
        <v>800</v>
      </c>
      <c r="G56" s="15" t="str">
        <f>IF(OutPut[[#This Row],[time]]="","",$E$3)</f>
        <v>4000000000000</v>
      </c>
      <c r="H5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6" s="15" t="str">
        <f>IF(OutPut[[#This Row],[time]]="","","kWh")</f>
        <v>kWh</v>
      </c>
      <c r="J5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6" s="15" t="str">
        <f>'Config and arguments'!AB54</f>
        <v>2023-02-03 02:00:00</v>
      </c>
      <c r="L56" s="15" t="str">
        <f>IF(OutPut[[#This Row],[time]]="","","PT1H")</f>
        <v>PT1H</v>
      </c>
      <c r="M56" s="15" t="str">
        <f>IF(OutPut[[#This Row],[time]]="","",$F$3)</f>
        <v>production</v>
      </c>
      <c r="N56" s="16" t="str">
        <f>IF(OutPut[[#This Row],[time]]="","",IF($H$3="","",$H$3))</f>
        <v/>
      </c>
      <c r="O5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>10</v>
      </c>
      <c r="P56" s="16" t="str">
        <f>IFERROR(SUBSTITUTE(SUBSTITUTE(OutPut[[#This Row],[price]],".",",")*SUBSTITUTE(OutPut[[#This Row],[quantity]],".",","),",","."),"")</f>
        <v>0</v>
      </c>
      <c r="Q56" s="15" t="str">
        <f>IF(OutPut[[#This Row],[time]]="","",VLOOKUP(C$3,ChargePriceInformationPeriods[],5,FALSE))</f>
        <v>false</v>
      </c>
      <c r="R56" s="15" t="str">
        <f>IF(OutPut[[#This Row],[time]]="","",$C$3)</f>
        <v>tariff-hourly-2</v>
      </c>
      <c r="S56" s="15" t="str">
        <f>IF(OutPut[[#This Row],[time]]="","","tariff")</f>
        <v>tariff</v>
      </c>
      <c r="T56" s="15" t="str">
        <f>IF(OutPut[[#This Row],[time]]="","",$D$3)</f>
        <v>0000000000800</v>
      </c>
      <c r="U56" s="15" t="str">
        <f>IF(OutPut[[#This Row],[time]]="","","amount_per_charge")</f>
        <v>amount_per_charge</v>
      </c>
      <c r="Y56" s="9"/>
      <c r="AB56" s="9"/>
    </row>
    <row r="57" spans="2:28" x14ac:dyDescent="0.35">
      <c r="B57" s="15" t="str">
        <f>IF(OutPut[[#This Row],[time]]="","",'Config and arguments'!C$2)</f>
        <v>0b15a420-9fc8-409a-a169-fbd49479d718</v>
      </c>
      <c r="C57" s="15" t="str">
        <f>IF(OutPut[[#This Row],[time]]="","",'Config and arguments'!C$5)</f>
        <v>wholesale_fixing</v>
      </c>
      <c r="D57" s="15" t="str">
        <f>IF(OutPut[[#This Row],[time]]="","",'Config and arguments'!C$6)</f>
        <v>2024-01-01 23:00:00</v>
      </c>
      <c r="E57" s="15" t="str">
        <f>IF(OutPut[[#This Row],[time]]="","","IGNORED")</f>
        <v>IGNORED</v>
      </c>
      <c r="F57" s="15" t="str">
        <f>IF(OutPut[[#This Row],[time]]="","",G$3)</f>
        <v>800</v>
      </c>
      <c r="G57" s="15" t="str">
        <f>IF(OutPut[[#This Row],[time]]="","",$E$3)</f>
        <v>4000000000000</v>
      </c>
      <c r="H5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7" s="15" t="str">
        <f>IF(OutPut[[#This Row],[time]]="","","kWh")</f>
        <v>kWh</v>
      </c>
      <c r="J5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7" s="15" t="str">
        <f>'Config and arguments'!AB55</f>
        <v>2023-02-03 03:00:00</v>
      </c>
      <c r="L57" s="15" t="str">
        <f>IF(OutPut[[#This Row],[time]]="","","PT1H")</f>
        <v>PT1H</v>
      </c>
      <c r="M57" s="15" t="str">
        <f>IF(OutPut[[#This Row],[time]]="","",$F$3)</f>
        <v>production</v>
      </c>
      <c r="N57" s="16" t="str">
        <f>IF(OutPut[[#This Row],[time]]="","",IF($H$3="","",$H$3))</f>
        <v/>
      </c>
      <c r="O5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7" s="16" t="str">
        <f>IFERROR(SUBSTITUTE(SUBSTITUTE(OutPut[[#This Row],[price]],".",",")*SUBSTITUTE(OutPut[[#This Row],[quantity]],".",","),",","."),"")</f>
        <v/>
      </c>
      <c r="Q57" s="15" t="str">
        <f>IF(OutPut[[#This Row],[time]]="","",VLOOKUP(C$3,ChargePriceInformationPeriods[],5,FALSE))</f>
        <v>false</v>
      </c>
      <c r="R57" s="15" t="str">
        <f>IF(OutPut[[#This Row],[time]]="","",$C$3)</f>
        <v>tariff-hourly-2</v>
      </c>
      <c r="S57" s="15" t="str">
        <f>IF(OutPut[[#This Row],[time]]="","","tariff")</f>
        <v>tariff</v>
      </c>
      <c r="T57" s="15" t="str">
        <f>IF(OutPut[[#This Row],[time]]="","",$D$3)</f>
        <v>0000000000800</v>
      </c>
      <c r="U57" s="15" t="str">
        <f>IF(OutPut[[#This Row],[time]]="","","amount_per_charge")</f>
        <v>amount_per_charge</v>
      </c>
      <c r="Y57" s="9"/>
      <c r="AB57" s="9"/>
    </row>
    <row r="58" spans="2:28" x14ac:dyDescent="0.35">
      <c r="B58" s="15" t="str">
        <f>IF(OutPut[[#This Row],[time]]="","",'Config and arguments'!C$2)</f>
        <v>0b15a420-9fc8-409a-a169-fbd49479d718</v>
      </c>
      <c r="C58" s="15" t="str">
        <f>IF(OutPut[[#This Row],[time]]="","",'Config and arguments'!C$5)</f>
        <v>wholesale_fixing</v>
      </c>
      <c r="D58" s="15" t="str">
        <f>IF(OutPut[[#This Row],[time]]="","",'Config and arguments'!C$6)</f>
        <v>2024-01-01 23:00:00</v>
      </c>
      <c r="E58" s="15" t="str">
        <f>IF(OutPut[[#This Row],[time]]="","","IGNORED")</f>
        <v>IGNORED</v>
      </c>
      <c r="F58" s="15" t="str">
        <f>IF(OutPut[[#This Row],[time]]="","",G$3)</f>
        <v>800</v>
      </c>
      <c r="G58" s="15" t="str">
        <f>IF(OutPut[[#This Row],[time]]="","",$E$3)</f>
        <v>4000000000000</v>
      </c>
      <c r="H5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8" s="15" t="str">
        <f>IF(OutPut[[#This Row],[time]]="","","kWh")</f>
        <v>kWh</v>
      </c>
      <c r="J5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8" s="15" t="str">
        <f>'Config and arguments'!AB56</f>
        <v>2023-02-03 04:00:00</v>
      </c>
      <c r="L58" s="15" t="str">
        <f>IF(OutPut[[#This Row],[time]]="","","PT1H")</f>
        <v>PT1H</v>
      </c>
      <c r="M58" s="15" t="str">
        <f>IF(OutPut[[#This Row],[time]]="","",$F$3)</f>
        <v>production</v>
      </c>
      <c r="N58" s="16" t="str">
        <f>IF(OutPut[[#This Row],[time]]="","",IF($H$3="","",$H$3))</f>
        <v/>
      </c>
      <c r="O5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8" s="16" t="str">
        <f>IFERROR(SUBSTITUTE(SUBSTITUTE(OutPut[[#This Row],[price]],".",",")*SUBSTITUTE(OutPut[[#This Row],[quantity]],".",","),",","."),"")</f>
        <v/>
      </c>
      <c r="Q58" s="15" t="str">
        <f>IF(OutPut[[#This Row],[time]]="","",VLOOKUP(C$3,ChargePriceInformationPeriods[],5,FALSE))</f>
        <v>false</v>
      </c>
      <c r="R58" s="15" t="str">
        <f>IF(OutPut[[#This Row],[time]]="","",$C$3)</f>
        <v>tariff-hourly-2</v>
      </c>
      <c r="S58" s="15" t="str">
        <f>IF(OutPut[[#This Row],[time]]="","","tariff")</f>
        <v>tariff</v>
      </c>
      <c r="T58" s="15" t="str">
        <f>IF(OutPut[[#This Row],[time]]="","",$D$3)</f>
        <v>0000000000800</v>
      </c>
      <c r="U58" s="15" t="str">
        <f>IF(OutPut[[#This Row],[time]]="","","amount_per_charge")</f>
        <v>amount_per_charge</v>
      </c>
      <c r="V58" s="9"/>
      <c r="W58" s="9"/>
      <c r="X58" s="9"/>
      <c r="Y58" s="9"/>
      <c r="AB58" s="9"/>
    </row>
    <row r="59" spans="2:28" x14ac:dyDescent="0.35">
      <c r="B59" s="15" t="str">
        <f>IF(OutPut[[#This Row],[time]]="","",'Config and arguments'!C$2)</f>
        <v>0b15a420-9fc8-409a-a169-fbd49479d718</v>
      </c>
      <c r="C59" s="15" t="str">
        <f>IF(OutPut[[#This Row],[time]]="","",'Config and arguments'!C$5)</f>
        <v>wholesale_fixing</v>
      </c>
      <c r="D59" s="15" t="str">
        <f>IF(OutPut[[#This Row],[time]]="","",'Config and arguments'!C$6)</f>
        <v>2024-01-01 23:00:00</v>
      </c>
      <c r="E59" s="15" t="str">
        <f>IF(OutPut[[#This Row],[time]]="","","IGNORED")</f>
        <v>IGNORED</v>
      </c>
      <c r="F59" s="15" t="str">
        <f>IF(OutPut[[#This Row],[time]]="","",G$3)</f>
        <v>800</v>
      </c>
      <c r="G59" s="15" t="str">
        <f>IF(OutPut[[#This Row],[time]]="","",$E$3)</f>
        <v>4000000000000</v>
      </c>
      <c r="H5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9" s="15" t="str">
        <f>IF(OutPut[[#This Row],[time]]="","","kWh")</f>
        <v>kWh</v>
      </c>
      <c r="J5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9" s="15" t="str">
        <f>'Config and arguments'!AB57</f>
        <v>2023-02-03 05:00:00</v>
      </c>
      <c r="L59" s="15" t="str">
        <f>IF(OutPut[[#This Row],[time]]="","","PT1H")</f>
        <v>PT1H</v>
      </c>
      <c r="M59" s="15" t="str">
        <f>IF(OutPut[[#This Row],[time]]="","",$F$3)</f>
        <v>production</v>
      </c>
      <c r="N59" s="16" t="str">
        <f>IF(OutPut[[#This Row],[time]]="","",IF($H$3="","",$H$3))</f>
        <v/>
      </c>
      <c r="O5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9" s="16" t="str">
        <f>IFERROR(SUBSTITUTE(SUBSTITUTE(OutPut[[#This Row],[price]],".",",")*SUBSTITUTE(OutPut[[#This Row],[quantity]],".",","),",","."),"")</f>
        <v/>
      </c>
      <c r="Q59" s="15" t="str">
        <f>IF(OutPut[[#This Row],[time]]="","",VLOOKUP(C$3,ChargePriceInformationPeriods[],5,FALSE))</f>
        <v>false</v>
      </c>
      <c r="R59" s="15" t="str">
        <f>IF(OutPut[[#This Row],[time]]="","",$C$3)</f>
        <v>tariff-hourly-2</v>
      </c>
      <c r="S59" s="15" t="str">
        <f>IF(OutPut[[#This Row],[time]]="","","tariff")</f>
        <v>tariff</v>
      </c>
      <c r="T59" s="15" t="str">
        <f>IF(OutPut[[#This Row],[time]]="","",$D$3)</f>
        <v>0000000000800</v>
      </c>
      <c r="U59" s="15" t="str">
        <f>IF(OutPut[[#This Row],[time]]="","","amount_per_charge")</f>
        <v>amount_per_charge</v>
      </c>
      <c r="V59" s="9"/>
      <c r="W59" s="9"/>
      <c r="X59" s="9"/>
      <c r="Y59" s="9"/>
      <c r="Z59" s="9"/>
      <c r="AA59" s="9"/>
      <c r="AB59" s="9"/>
    </row>
    <row r="60" spans="2:28" x14ac:dyDescent="0.35">
      <c r="B60" s="15" t="str">
        <f>IF(OutPut[[#This Row],[time]]="","",'Config and arguments'!C$2)</f>
        <v>0b15a420-9fc8-409a-a169-fbd49479d718</v>
      </c>
      <c r="C60" s="15" t="str">
        <f>IF(OutPut[[#This Row],[time]]="","",'Config and arguments'!C$5)</f>
        <v>wholesale_fixing</v>
      </c>
      <c r="D60" s="15" t="str">
        <f>IF(OutPut[[#This Row],[time]]="","",'Config and arguments'!C$6)</f>
        <v>2024-01-01 23:00:00</v>
      </c>
      <c r="E60" s="15" t="str">
        <f>IF(OutPut[[#This Row],[time]]="","","IGNORED")</f>
        <v>IGNORED</v>
      </c>
      <c r="F60" s="15" t="str">
        <f>IF(OutPut[[#This Row],[time]]="","",G$3)</f>
        <v>800</v>
      </c>
      <c r="G60" s="15" t="str">
        <f>IF(OutPut[[#This Row],[time]]="","",$E$3)</f>
        <v>4000000000000</v>
      </c>
      <c r="H6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0" s="15" t="str">
        <f>IF(OutPut[[#This Row],[time]]="","","kWh")</f>
        <v>kWh</v>
      </c>
      <c r="J6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0" s="15" t="str">
        <f>'Config and arguments'!AB58</f>
        <v>2023-02-03 06:00:00</v>
      </c>
      <c r="L60" s="15" t="str">
        <f>IF(OutPut[[#This Row],[time]]="","","PT1H")</f>
        <v>PT1H</v>
      </c>
      <c r="M60" s="15" t="str">
        <f>IF(OutPut[[#This Row],[time]]="","",$F$3)</f>
        <v>production</v>
      </c>
      <c r="N60" s="16" t="str">
        <f>IF(OutPut[[#This Row],[time]]="","",IF($H$3="","",$H$3))</f>
        <v/>
      </c>
      <c r="O6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0" s="16" t="str">
        <f>IFERROR(SUBSTITUTE(SUBSTITUTE(OutPut[[#This Row],[price]],".",",")*SUBSTITUTE(OutPut[[#This Row],[quantity]],".",","),",","."),"")</f>
        <v/>
      </c>
      <c r="Q60" s="15" t="str">
        <f>IF(OutPut[[#This Row],[time]]="","",VLOOKUP(C$3,ChargePriceInformationPeriods[],5,FALSE))</f>
        <v>false</v>
      </c>
      <c r="R60" s="15" t="str">
        <f>IF(OutPut[[#This Row],[time]]="","",$C$3)</f>
        <v>tariff-hourly-2</v>
      </c>
      <c r="S60" s="15" t="str">
        <f>IF(OutPut[[#This Row],[time]]="","","tariff")</f>
        <v>tariff</v>
      </c>
      <c r="T60" s="15" t="str">
        <f>IF(OutPut[[#This Row],[time]]="","",$D$3)</f>
        <v>0000000000800</v>
      </c>
      <c r="U60" s="15" t="str">
        <f>IF(OutPut[[#This Row],[time]]="","","amount_per_charge")</f>
        <v>amount_per_charge</v>
      </c>
      <c r="V60" s="9"/>
      <c r="W60" s="9"/>
      <c r="X60" s="9"/>
      <c r="Y60" s="9"/>
      <c r="Z60" s="9"/>
      <c r="AA60" s="9"/>
      <c r="AB60" s="9"/>
    </row>
    <row r="61" spans="2:28" x14ac:dyDescent="0.35">
      <c r="B61" s="15" t="str">
        <f>IF(OutPut[[#This Row],[time]]="","",'Config and arguments'!C$2)</f>
        <v>0b15a420-9fc8-409a-a169-fbd49479d718</v>
      </c>
      <c r="C61" s="15" t="str">
        <f>IF(OutPut[[#This Row],[time]]="","",'Config and arguments'!C$5)</f>
        <v>wholesale_fixing</v>
      </c>
      <c r="D61" s="15" t="str">
        <f>IF(OutPut[[#This Row],[time]]="","",'Config and arguments'!C$6)</f>
        <v>2024-01-01 23:00:00</v>
      </c>
      <c r="E61" s="15" t="str">
        <f>IF(OutPut[[#This Row],[time]]="","","IGNORED")</f>
        <v>IGNORED</v>
      </c>
      <c r="F61" s="15" t="str">
        <f>IF(OutPut[[#This Row],[time]]="","",G$3)</f>
        <v>800</v>
      </c>
      <c r="G61" s="15" t="str">
        <f>IF(OutPut[[#This Row],[time]]="","",$E$3)</f>
        <v>4000000000000</v>
      </c>
      <c r="H6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1" s="15" t="str">
        <f>IF(OutPut[[#This Row],[time]]="","","kWh")</f>
        <v>kWh</v>
      </c>
      <c r="J6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1" s="15" t="str">
        <f>'Config and arguments'!AB59</f>
        <v>2023-02-03 07:00:00</v>
      </c>
      <c r="L61" s="15" t="str">
        <f>IF(OutPut[[#This Row],[time]]="","","PT1H")</f>
        <v>PT1H</v>
      </c>
      <c r="M61" s="15" t="str">
        <f>IF(OutPut[[#This Row],[time]]="","",$F$3)</f>
        <v>production</v>
      </c>
      <c r="N61" s="16" t="str">
        <f>IF(OutPut[[#This Row],[time]]="","",IF($H$3="","",$H$3))</f>
        <v/>
      </c>
      <c r="O6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1" s="16" t="str">
        <f>IFERROR(SUBSTITUTE(SUBSTITUTE(OutPut[[#This Row],[price]],".",",")*SUBSTITUTE(OutPut[[#This Row],[quantity]],".",","),",","."),"")</f>
        <v/>
      </c>
      <c r="Q61" s="15" t="str">
        <f>IF(OutPut[[#This Row],[time]]="","",VLOOKUP(C$3,ChargePriceInformationPeriods[],5,FALSE))</f>
        <v>false</v>
      </c>
      <c r="R61" s="15" t="str">
        <f>IF(OutPut[[#This Row],[time]]="","",$C$3)</f>
        <v>tariff-hourly-2</v>
      </c>
      <c r="S61" s="15" t="str">
        <f>IF(OutPut[[#This Row],[time]]="","","tariff")</f>
        <v>tariff</v>
      </c>
      <c r="T61" s="15" t="str">
        <f>IF(OutPut[[#This Row],[time]]="","",$D$3)</f>
        <v>0000000000800</v>
      </c>
      <c r="U61" s="15" t="str">
        <f>IF(OutPut[[#This Row],[time]]="","","amount_per_charge")</f>
        <v>amount_per_charge</v>
      </c>
      <c r="V61" s="9"/>
      <c r="W61" s="9"/>
      <c r="X61" s="9"/>
      <c r="Y61" s="9"/>
      <c r="Z61" s="9"/>
      <c r="AA61" s="9"/>
      <c r="AB61" s="9"/>
    </row>
    <row r="62" spans="2:28" x14ac:dyDescent="0.35">
      <c r="B62" s="15" t="str">
        <f>IF(OutPut[[#This Row],[time]]="","",'Config and arguments'!C$2)</f>
        <v>0b15a420-9fc8-409a-a169-fbd49479d718</v>
      </c>
      <c r="C62" s="15" t="str">
        <f>IF(OutPut[[#This Row],[time]]="","",'Config and arguments'!C$5)</f>
        <v>wholesale_fixing</v>
      </c>
      <c r="D62" s="15" t="str">
        <f>IF(OutPut[[#This Row],[time]]="","",'Config and arguments'!C$6)</f>
        <v>2024-01-01 23:00:00</v>
      </c>
      <c r="E62" s="15" t="str">
        <f>IF(OutPut[[#This Row],[time]]="","","IGNORED")</f>
        <v>IGNORED</v>
      </c>
      <c r="F62" s="15" t="str">
        <f>IF(OutPut[[#This Row],[time]]="","",G$3)</f>
        <v>800</v>
      </c>
      <c r="G62" s="15" t="str">
        <f>IF(OutPut[[#This Row],[time]]="","",$E$3)</f>
        <v>4000000000000</v>
      </c>
      <c r="H6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2" s="15" t="str">
        <f>IF(OutPut[[#This Row],[time]]="","","kWh")</f>
        <v>kWh</v>
      </c>
      <c r="J6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2" s="15" t="str">
        <f>'Config and arguments'!AB60</f>
        <v>2023-02-03 08:00:00</v>
      </c>
      <c r="L62" s="15" t="str">
        <f>IF(OutPut[[#This Row],[time]]="","","PT1H")</f>
        <v>PT1H</v>
      </c>
      <c r="M62" s="15" t="str">
        <f>IF(OutPut[[#This Row],[time]]="","",$F$3)</f>
        <v>production</v>
      </c>
      <c r="N62" s="16" t="str">
        <f>IF(OutPut[[#This Row],[time]]="","",IF($H$3="","",$H$3))</f>
        <v/>
      </c>
      <c r="O6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2" s="16" t="str">
        <f>IFERROR(SUBSTITUTE(SUBSTITUTE(OutPut[[#This Row],[price]],".",",")*SUBSTITUTE(OutPut[[#This Row],[quantity]],".",","),",","."),"")</f>
        <v/>
      </c>
      <c r="Q62" s="15" t="str">
        <f>IF(OutPut[[#This Row],[time]]="","",VLOOKUP(C$3,ChargePriceInformationPeriods[],5,FALSE))</f>
        <v>false</v>
      </c>
      <c r="R62" s="15" t="str">
        <f>IF(OutPut[[#This Row],[time]]="","",$C$3)</f>
        <v>tariff-hourly-2</v>
      </c>
      <c r="S62" s="15" t="str">
        <f>IF(OutPut[[#This Row],[time]]="","","tariff")</f>
        <v>tariff</v>
      </c>
      <c r="T62" s="15" t="str">
        <f>IF(OutPut[[#This Row],[time]]="","",$D$3)</f>
        <v>0000000000800</v>
      </c>
      <c r="U62" s="15" t="str">
        <f>IF(OutPut[[#This Row],[time]]="","","amount_per_charge")</f>
        <v>amount_per_charge</v>
      </c>
      <c r="V62" s="9"/>
      <c r="W62" s="9"/>
      <c r="X62" s="9"/>
      <c r="Y62" s="9"/>
      <c r="Z62" s="9"/>
      <c r="AA62" s="9"/>
      <c r="AB62" s="9"/>
    </row>
    <row r="63" spans="2:28" x14ac:dyDescent="0.35">
      <c r="B63" s="15" t="str">
        <f>IF(OutPut[[#This Row],[time]]="","",'Config and arguments'!C$2)</f>
        <v>0b15a420-9fc8-409a-a169-fbd49479d718</v>
      </c>
      <c r="C63" s="15" t="str">
        <f>IF(OutPut[[#This Row],[time]]="","",'Config and arguments'!C$5)</f>
        <v>wholesale_fixing</v>
      </c>
      <c r="D63" s="15" t="str">
        <f>IF(OutPut[[#This Row],[time]]="","",'Config and arguments'!C$6)</f>
        <v>2024-01-01 23:00:00</v>
      </c>
      <c r="E63" s="15" t="str">
        <f>IF(OutPut[[#This Row],[time]]="","","IGNORED")</f>
        <v>IGNORED</v>
      </c>
      <c r="F63" s="15" t="str">
        <f>IF(OutPut[[#This Row],[time]]="","",G$3)</f>
        <v>800</v>
      </c>
      <c r="G63" s="15" t="str">
        <f>IF(OutPut[[#This Row],[time]]="","",$E$3)</f>
        <v>4000000000000</v>
      </c>
      <c r="H6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3" s="15" t="str">
        <f>IF(OutPut[[#This Row],[time]]="","","kWh")</f>
        <v>kWh</v>
      </c>
      <c r="J6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3" s="15" t="str">
        <f>'Config and arguments'!AB61</f>
        <v>2023-02-03 09:00:00</v>
      </c>
      <c r="L63" s="15" t="str">
        <f>IF(OutPut[[#This Row],[time]]="","","PT1H")</f>
        <v>PT1H</v>
      </c>
      <c r="M63" s="15" t="str">
        <f>IF(OutPut[[#This Row],[time]]="","",$F$3)</f>
        <v>production</v>
      </c>
      <c r="N63" s="16" t="str">
        <f>IF(OutPut[[#This Row],[time]]="","",IF($H$3="","",$H$3))</f>
        <v/>
      </c>
      <c r="O6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3" s="16" t="str">
        <f>IFERROR(SUBSTITUTE(SUBSTITUTE(OutPut[[#This Row],[price]],".",",")*SUBSTITUTE(OutPut[[#This Row],[quantity]],".",","),",","."),"")</f>
        <v/>
      </c>
      <c r="Q63" s="15" t="str">
        <f>IF(OutPut[[#This Row],[time]]="","",VLOOKUP(C$3,ChargePriceInformationPeriods[],5,FALSE))</f>
        <v>false</v>
      </c>
      <c r="R63" s="15" t="str">
        <f>IF(OutPut[[#This Row],[time]]="","",$C$3)</f>
        <v>tariff-hourly-2</v>
      </c>
      <c r="S63" s="15" t="str">
        <f>IF(OutPut[[#This Row],[time]]="","","tariff")</f>
        <v>tariff</v>
      </c>
      <c r="T63" s="15" t="str">
        <f>IF(OutPut[[#This Row],[time]]="","",$D$3)</f>
        <v>0000000000800</v>
      </c>
      <c r="U63" s="15" t="str">
        <f>IF(OutPut[[#This Row],[time]]="","","amount_per_charge")</f>
        <v>amount_per_charge</v>
      </c>
      <c r="V63" s="9"/>
      <c r="W63" s="9"/>
      <c r="X63" s="9"/>
      <c r="Y63" s="9"/>
      <c r="Z63" s="9"/>
      <c r="AA63" s="9"/>
      <c r="AB63" s="9"/>
    </row>
    <row r="64" spans="2:28" x14ac:dyDescent="0.35">
      <c r="B64" s="15" t="str">
        <f>IF(OutPut[[#This Row],[time]]="","",'Config and arguments'!C$2)</f>
        <v>0b15a420-9fc8-409a-a169-fbd49479d718</v>
      </c>
      <c r="C64" s="15" t="str">
        <f>IF(OutPut[[#This Row],[time]]="","",'Config and arguments'!C$5)</f>
        <v>wholesale_fixing</v>
      </c>
      <c r="D64" s="15" t="str">
        <f>IF(OutPut[[#This Row],[time]]="","",'Config and arguments'!C$6)</f>
        <v>2024-01-01 23:00:00</v>
      </c>
      <c r="E64" s="15" t="str">
        <f>IF(OutPut[[#This Row],[time]]="","","IGNORED")</f>
        <v>IGNORED</v>
      </c>
      <c r="F64" s="15" t="str">
        <f>IF(OutPut[[#This Row],[time]]="","",G$3)</f>
        <v>800</v>
      </c>
      <c r="G64" s="15" t="str">
        <f>IF(OutPut[[#This Row],[time]]="","",$E$3)</f>
        <v>4000000000000</v>
      </c>
      <c r="H6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4" s="15" t="str">
        <f>IF(OutPut[[#This Row],[time]]="","","kWh")</f>
        <v>kWh</v>
      </c>
      <c r="J6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4" s="15" t="str">
        <f>'Config and arguments'!AB62</f>
        <v>2023-02-03 10:00:00</v>
      </c>
      <c r="L64" s="15" t="str">
        <f>IF(OutPut[[#This Row],[time]]="","","PT1H")</f>
        <v>PT1H</v>
      </c>
      <c r="M64" s="15" t="str">
        <f>IF(OutPut[[#This Row],[time]]="","",$F$3)</f>
        <v>production</v>
      </c>
      <c r="N64" s="16" t="str">
        <f>IF(OutPut[[#This Row],[time]]="","",IF($H$3="","",$H$3))</f>
        <v/>
      </c>
      <c r="O6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4" s="16" t="str">
        <f>IFERROR(SUBSTITUTE(SUBSTITUTE(OutPut[[#This Row],[price]],".",",")*SUBSTITUTE(OutPut[[#This Row],[quantity]],".",","),",","."),"")</f>
        <v/>
      </c>
      <c r="Q64" s="15" t="str">
        <f>IF(OutPut[[#This Row],[time]]="","",VLOOKUP(C$3,ChargePriceInformationPeriods[],5,FALSE))</f>
        <v>false</v>
      </c>
      <c r="R64" s="15" t="str">
        <f>IF(OutPut[[#This Row],[time]]="","",$C$3)</f>
        <v>tariff-hourly-2</v>
      </c>
      <c r="S64" s="15" t="str">
        <f>IF(OutPut[[#This Row],[time]]="","","tariff")</f>
        <v>tariff</v>
      </c>
      <c r="T64" s="15" t="str">
        <f>IF(OutPut[[#This Row],[time]]="","",$D$3)</f>
        <v>0000000000800</v>
      </c>
      <c r="U64" s="15" t="str">
        <f>IF(OutPut[[#This Row],[time]]="","","amount_per_charge")</f>
        <v>amount_per_charge</v>
      </c>
      <c r="V64" s="9"/>
      <c r="W64" s="9"/>
      <c r="X64" s="9"/>
      <c r="Y64" s="9"/>
      <c r="Z64" s="9"/>
      <c r="AA64" s="9"/>
      <c r="AB64" s="9"/>
    </row>
    <row r="65" spans="2:28" x14ac:dyDescent="0.35">
      <c r="B65" s="15" t="str">
        <f>IF(OutPut[[#This Row],[time]]="","",'Config and arguments'!C$2)</f>
        <v>0b15a420-9fc8-409a-a169-fbd49479d718</v>
      </c>
      <c r="C65" s="15" t="str">
        <f>IF(OutPut[[#This Row],[time]]="","",'Config and arguments'!C$5)</f>
        <v>wholesale_fixing</v>
      </c>
      <c r="D65" s="15" t="str">
        <f>IF(OutPut[[#This Row],[time]]="","",'Config and arguments'!C$6)</f>
        <v>2024-01-01 23:00:00</v>
      </c>
      <c r="E65" s="15" t="str">
        <f>IF(OutPut[[#This Row],[time]]="","","IGNORED")</f>
        <v>IGNORED</v>
      </c>
      <c r="F65" s="15" t="str">
        <f>IF(OutPut[[#This Row],[time]]="","",G$3)</f>
        <v>800</v>
      </c>
      <c r="G65" s="15" t="str">
        <f>IF(OutPut[[#This Row],[time]]="","",$E$3)</f>
        <v>4000000000000</v>
      </c>
      <c r="H6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5" s="15" t="str">
        <f>IF(OutPut[[#This Row],[time]]="","","kWh")</f>
        <v>kWh</v>
      </c>
      <c r="J6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5" s="15" t="str">
        <f>'Config and arguments'!AB63</f>
        <v>2023-02-03 11:00:00</v>
      </c>
      <c r="L65" s="15" t="str">
        <f>IF(OutPut[[#This Row],[time]]="","","PT1H")</f>
        <v>PT1H</v>
      </c>
      <c r="M65" s="15" t="str">
        <f>IF(OutPut[[#This Row],[time]]="","",$F$3)</f>
        <v>production</v>
      </c>
      <c r="N65" s="16" t="str">
        <f>IF(OutPut[[#This Row],[time]]="","",IF($H$3="","",$H$3))</f>
        <v/>
      </c>
      <c r="O6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5" s="16" t="str">
        <f>IFERROR(SUBSTITUTE(SUBSTITUTE(OutPut[[#This Row],[price]],".",",")*SUBSTITUTE(OutPut[[#This Row],[quantity]],".",","),",","."),"")</f>
        <v/>
      </c>
      <c r="Q65" s="15" t="str">
        <f>IF(OutPut[[#This Row],[time]]="","",VLOOKUP(C$3,ChargePriceInformationPeriods[],5,FALSE))</f>
        <v>false</v>
      </c>
      <c r="R65" s="15" t="str">
        <f>IF(OutPut[[#This Row],[time]]="","",$C$3)</f>
        <v>tariff-hourly-2</v>
      </c>
      <c r="S65" s="15" t="str">
        <f>IF(OutPut[[#This Row],[time]]="","","tariff")</f>
        <v>tariff</v>
      </c>
      <c r="T65" s="15" t="str">
        <f>IF(OutPut[[#This Row],[time]]="","",$D$3)</f>
        <v>0000000000800</v>
      </c>
      <c r="U65" s="15" t="str">
        <f>IF(OutPut[[#This Row],[time]]="","","amount_per_charge")</f>
        <v>amount_per_charge</v>
      </c>
      <c r="V65" s="9"/>
      <c r="W65" s="9"/>
      <c r="X65" s="9"/>
      <c r="Y65" s="9"/>
      <c r="Z65" s="9"/>
      <c r="AA65" s="9"/>
      <c r="AB65" s="9"/>
    </row>
    <row r="66" spans="2:28" x14ac:dyDescent="0.35">
      <c r="B66" s="15" t="str">
        <f>IF(OutPut[[#This Row],[time]]="","",'Config and arguments'!C$2)</f>
        <v>0b15a420-9fc8-409a-a169-fbd49479d718</v>
      </c>
      <c r="C66" s="15" t="str">
        <f>IF(OutPut[[#This Row],[time]]="","",'Config and arguments'!C$5)</f>
        <v>wholesale_fixing</v>
      </c>
      <c r="D66" s="15" t="str">
        <f>IF(OutPut[[#This Row],[time]]="","",'Config and arguments'!C$6)</f>
        <v>2024-01-01 23:00:00</v>
      </c>
      <c r="E66" s="15" t="str">
        <f>IF(OutPut[[#This Row],[time]]="","","IGNORED")</f>
        <v>IGNORED</v>
      </c>
      <c r="F66" s="15" t="str">
        <f>IF(OutPut[[#This Row],[time]]="","",G$3)</f>
        <v>800</v>
      </c>
      <c r="G66" s="15" t="str">
        <f>IF(OutPut[[#This Row],[time]]="","",$E$3)</f>
        <v>4000000000000</v>
      </c>
      <c r="H6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6" s="15" t="str">
        <f>IF(OutPut[[#This Row],[time]]="","","kWh")</f>
        <v>kWh</v>
      </c>
      <c r="J6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6" s="15" t="str">
        <f>'Config and arguments'!AB64</f>
        <v>2023-02-03 12:00:00</v>
      </c>
      <c r="L66" s="15" t="str">
        <f>IF(OutPut[[#This Row],[time]]="","","PT1H")</f>
        <v>PT1H</v>
      </c>
      <c r="M66" s="15" t="str">
        <f>IF(OutPut[[#This Row],[time]]="","",$F$3)</f>
        <v>production</v>
      </c>
      <c r="N66" s="16" t="str">
        <f>IF(OutPut[[#This Row],[time]]="","",IF($H$3="","",$H$3))</f>
        <v/>
      </c>
      <c r="O6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6" s="16" t="str">
        <f>IFERROR(SUBSTITUTE(SUBSTITUTE(OutPut[[#This Row],[price]],".",",")*SUBSTITUTE(OutPut[[#This Row],[quantity]],".",","),",","."),"")</f>
        <v/>
      </c>
      <c r="Q66" s="15" t="str">
        <f>IF(OutPut[[#This Row],[time]]="","",VLOOKUP(C$3,ChargePriceInformationPeriods[],5,FALSE))</f>
        <v>false</v>
      </c>
      <c r="R66" s="15" t="str">
        <f>IF(OutPut[[#This Row],[time]]="","",$C$3)</f>
        <v>tariff-hourly-2</v>
      </c>
      <c r="S66" s="15" t="str">
        <f>IF(OutPut[[#This Row],[time]]="","","tariff")</f>
        <v>tariff</v>
      </c>
      <c r="T66" s="15" t="str">
        <f>IF(OutPut[[#This Row],[time]]="","",$D$3)</f>
        <v>0000000000800</v>
      </c>
      <c r="U66" s="15" t="str">
        <f>IF(OutPut[[#This Row],[time]]="","","amount_per_charge")</f>
        <v>amount_per_charge</v>
      </c>
      <c r="V66" s="9"/>
      <c r="W66" s="9"/>
      <c r="X66" s="9"/>
      <c r="Y66" s="9"/>
      <c r="Z66" s="9"/>
      <c r="AA66" s="9"/>
      <c r="AB66" s="9"/>
    </row>
    <row r="67" spans="2:28" x14ac:dyDescent="0.35">
      <c r="B67" s="15" t="str">
        <f>IF(OutPut[[#This Row],[time]]="","",'Config and arguments'!C$2)</f>
        <v>0b15a420-9fc8-409a-a169-fbd49479d718</v>
      </c>
      <c r="C67" s="15" t="str">
        <f>IF(OutPut[[#This Row],[time]]="","",'Config and arguments'!C$5)</f>
        <v>wholesale_fixing</v>
      </c>
      <c r="D67" s="15" t="str">
        <f>IF(OutPut[[#This Row],[time]]="","",'Config and arguments'!C$6)</f>
        <v>2024-01-01 23:00:00</v>
      </c>
      <c r="E67" s="15" t="str">
        <f>IF(OutPut[[#This Row],[time]]="","","IGNORED")</f>
        <v>IGNORED</v>
      </c>
      <c r="F67" s="15" t="str">
        <f>IF(OutPut[[#This Row],[time]]="","",G$3)</f>
        <v>800</v>
      </c>
      <c r="G67" s="15" t="str">
        <f>IF(OutPut[[#This Row],[time]]="","",$E$3)</f>
        <v>4000000000000</v>
      </c>
      <c r="H6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7" s="15" t="str">
        <f>IF(OutPut[[#This Row],[time]]="","","kWh")</f>
        <v>kWh</v>
      </c>
      <c r="J6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7" s="15" t="str">
        <f>'Config and arguments'!AB65</f>
        <v>2023-02-03 13:00:00</v>
      </c>
      <c r="L67" s="15" t="str">
        <f>IF(OutPut[[#This Row],[time]]="","","PT1H")</f>
        <v>PT1H</v>
      </c>
      <c r="M67" s="15" t="str">
        <f>IF(OutPut[[#This Row],[time]]="","",$F$3)</f>
        <v>production</v>
      </c>
      <c r="N67" s="16" t="str">
        <f>IF(OutPut[[#This Row],[time]]="","",IF($H$3="","",$H$3))</f>
        <v/>
      </c>
      <c r="O6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7" s="16" t="str">
        <f>IFERROR(SUBSTITUTE(SUBSTITUTE(OutPut[[#This Row],[price]],".",",")*SUBSTITUTE(OutPut[[#This Row],[quantity]],".",","),",","."),"")</f>
        <v/>
      </c>
      <c r="Q67" s="15" t="str">
        <f>IF(OutPut[[#This Row],[time]]="","",VLOOKUP(C$3,ChargePriceInformationPeriods[],5,FALSE))</f>
        <v>false</v>
      </c>
      <c r="R67" s="15" t="str">
        <f>IF(OutPut[[#This Row],[time]]="","",$C$3)</f>
        <v>tariff-hourly-2</v>
      </c>
      <c r="S67" s="15" t="str">
        <f>IF(OutPut[[#This Row],[time]]="","","tariff")</f>
        <v>tariff</v>
      </c>
      <c r="T67" s="15" t="str">
        <f>IF(OutPut[[#This Row],[time]]="","",$D$3)</f>
        <v>0000000000800</v>
      </c>
      <c r="U67" s="15" t="str">
        <f>IF(OutPut[[#This Row],[time]]="","","amount_per_charge")</f>
        <v>amount_per_charge</v>
      </c>
      <c r="V67" s="9"/>
      <c r="W67" s="9"/>
      <c r="X67" s="9"/>
      <c r="Y67" s="9"/>
      <c r="Z67" s="9"/>
      <c r="AA67" s="9"/>
      <c r="AB67" s="9"/>
    </row>
    <row r="68" spans="2:28" x14ac:dyDescent="0.35">
      <c r="B68" s="15" t="str">
        <f>IF(OutPut[[#This Row],[time]]="","",'Config and arguments'!C$2)</f>
        <v>0b15a420-9fc8-409a-a169-fbd49479d718</v>
      </c>
      <c r="C68" s="15" t="str">
        <f>IF(OutPut[[#This Row],[time]]="","",'Config and arguments'!C$5)</f>
        <v>wholesale_fixing</v>
      </c>
      <c r="D68" s="15" t="str">
        <f>IF(OutPut[[#This Row],[time]]="","",'Config and arguments'!C$6)</f>
        <v>2024-01-01 23:00:00</v>
      </c>
      <c r="E68" s="15" t="str">
        <f>IF(OutPut[[#This Row],[time]]="","","IGNORED")</f>
        <v>IGNORED</v>
      </c>
      <c r="F68" s="15" t="str">
        <f>IF(OutPut[[#This Row],[time]]="","",G$3)</f>
        <v>800</v>
      </c>
      <c r="G68" s="15" t="str">
        <f>IF(OutPut[[#This Row],[time]]="","",$E$3)</f>
        <v>4000000000000</v>
      </c>
      <c r="H6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8" s="15" t="str">
        <f>IF(OutPut[[#This Row],[time]]="","","kWh")</f>
        <v>kWh</v>
      </c>
      <c r="J6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8" s="15" t="str">
        <f>'Config and arguments'!AB66</f>
        <v>2023-02-03 14:00:00</v>
      </c>
      <c r="L68" s="15" t="str">
        <f>IF(OutPut[[#This Row],[time]]="","","PT1H")</f>
        <v>PT1H</v>
      </c>
      <c r="M68" s="15" t="str">
        <f>IF(OutPut[[#This Row],[time]]="","",$F$3)</f>
        <v>production</v>
      </c>
      <c r="N68" s="16" t="str">
        <f>IF(OutPut[[#This Row],[time]]="","",IF($H$3="","",$H$3))</f>
        <v/>
      </c>
      <c r="O6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8" s="16" t="str">
        <f>IFERROR(SUBSTITUTE(SUBSTITUTE(OutPut[[#This Row],[price]],".",",")*SUBSTITUTE(OutPut[[#This Row],[quantity]],".",","),",","."),"")</f>
        <v/>
      </c>
      <c r="Q68" s="15" t="str">
        <f>IF(OutPut[[#This Row],[time]]="","",VLOOKUP(C$3,ChargePriceInformationPeriods[],5,FALSE))</f>
        <v>false</v>
      </c>
      <c r="R68" s="15" t="str">
        <f>IF(OutPut[[#This Row],[time]]="","",$C$3)</f>
        <v>tariff-hourly-2</v>
      </c>
      <c r="S68" s="15" t="str">
        <f>IF(OutPut[[#This Row],[time]]="","","tariff")</f>
        <v>tariff</v>
      </c>
      <c r="T68" s="15" t="str">
        <f>IF(OutPut[[#This Row],[time]]="","",$D$3)</f>
        <v>0000000000800</v>
      </c>
      <c r="U68" s="15" t="str">
        <f>IF(OutPut[[#This Row],[time]]="","","amount_per_charge")</f>
        <v>amount_per_charge</v>
      </c>
    </row>
    <row r="69" spans="2:28" x14ac:dyDescent="0.35">
      <c r="B69" s="15" t="str">
        <f>IF(OutPut[[#This Row],[time]]="","",'Config and arguments'!C$2)</f>
        <v>0b15a420-9fc8-409a-a169-fbd49479d718</v>
      </c>
      <c r="C69" s="15" t="str">
        <f>IF(OutPut[[#This Row],[time]]="","",'Config and arguments'!C$5)</f>
        <v>wholesale_fixing</v>
      </c>
      <c r="D69" s="15" t="str">
        <f>IF(OutPut[[#This Row],[time]]="","",'Config and arguments'!C$6)</f>
        <v>2024-01-01 23:00:00</v>
      </c>
      <c r="E69" s="15" t="str">
        <f>IF(OutPut[[#This Row],[time]]="","","IGNORED")</f>
        <v>IGNORED</v>
      </c>
      <c r="F69" s="15" t="str">
        <f>IF(OutPut[[#This Row],[time]]="","",G$3)</f>
        <v>800</v>
      </c>
      <c r="G69" s="15" t="str">
        <f>IF(OutPut[[#This Row],[time]]="","",$E$3)</f>
        <v>4000000000000</v>
      </c>
      <c r="H6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9" s="15" t="str">
        <f>IF(OutPut[[#This Row],[time]]="","","kWh")</f>
        <v>kWh</v>
      </c>
      <c r="J6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9" s="15" t="str">
        <f>'Config and arguments'!AB67</f>
        <v>2023-02-03 15:00:00</v>
      </c>
      <c r="L69" s="15" t="str">
        <f>IF(OutPut[[#This Row],[time]]="","","PT1H")</f>
        <v>PT1H</v>
      </c>
      <c r="M69" s="15" t="str">
        <f>IF(OutPut[[#This Row],[time]]="","",$F$3)</f>
        <v>production</v>
      </c>
      <c r="N69" s="16" t="str">
        <f>IF(OutPut[[#This Row],[time]]="","",IF($H$3="","",$H$3))</f>
        <v/>
      </c>
      <c r="O6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9" s="16" t="str">
        <f>IFERROR(SUBSTITUTE(SUBSTITUTE(OutPut[[#This Row],[price]],".",",")*SUBSTITUTE(OutPut[[#This Row],[quantity]],".",","),",","."),"")</f>
        <v/>
      </c>
      <c r="Q69" s="15" t="str">
        <f>IF(OutPut[[#This Row],[time]]="","",VLOOKUP(C$3,ChargePriceInformationPeriods[],5,FALSE))</f>
        <v>false</v>
      </c>
      <c r="R69" s="15" t="str">
        <f>IF(OutPut[[#This Row],[time]]="","",$C$3)</f>
        <v>tariff-hourly-2</v>
      </c>
      <c r="S69" s="15" t="str">
        <f>IF(OutPut[[#This Row],[time]]="","","tariff")</f>
        <v>tariff</v>
      </c>
      <c r="T69" s="15" t="str">
        <f>IF(OutPut[[#This Row],[time]]="","",$D$3)</f>
        <v>0000000000800</v>
      </c>
      <c r="U69" s="15" t="str">
        <f>IF(OutPut[[#This Row],[time]]="","","amount_per_charge")</f>
        <v>amount_per_charge</v>
      </c>
    </row>
    <row r="70" spans="2:28" x14ac:dyDescent="0.35">
      <c r="B70" s="15" t="str">
        <f>IF(OutPut[[#This Row],[time]]="","",'Config and arguments'!C$2)</f>
        <v>0b15a420-9fc8-409a-a169-fbd49479d718</v>
      </c>
      <c r="C70" s="15" t="str">
        <f>IF(OutPut[[#This Row],[time]]="","",'Config and arguments'!C$5)</f>
        <v>wholesale_fixing</v>
      </c>
      <c r="D70" s="15" t="str">
        <f>IF(OutPut[[#This Row],[time]]="","",'Config and arguments'!C$6)</f>
        <v>2024-01-01 23:00:00</v>
      </c>
      <c r="E70" s="15" t="str">
        <f>IF(OutPut[[#This Row],[time]]="","","IGNORED")</f>
        <v>IGNORED</v>
      </c>
      <c r="F70" s="15" t="str">
        <f>IF(OutPut[[#This Row],[time]]="","",G$3)</f>
        <v>800</v>
      </c>
      <c r="G70" s="15" t="str">
        <f>IF(OutPut[[#This Row],[time]]="","",$E$3)</f>
        <v>4000000000000</v>
      </c>
      <c r="H7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0" s="15" t="str">
        <f>IF(OutPut[[#This Row],[time]]="","","kWh")</f>
        <v>kWh</v>
      </c>
      <c r="J7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0" s="15" t="str">
        <f>'Config and arguments'!AB68</f>
        <v>2023-02-03 16:00:00</v>
      </c>
      <c r="L70" s="15" t="str">
        <f>IF(OutPut[[#This Row],[time]]="","","PT1H")</f>
        <v>PT1H</v>
      </c>
      <c r="M70" s="15" t="str">
        <f>IF(OutPut[[#This Row],[time]]="","",$F$3)</f>
        <v>production</v>
      </c>
      <c r="N70" s="16" t="str">
        <f>IF(OutPut[[#This Row],[time]]="","",IF($H$3="","",$H$3))</f>
        <v/>
      </c>
      <c r="O7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0" s="16" t="str">
        <f>IFERROR(SUBSTITUTE(SUBSTITUTE(OutPut[[#This Row],[price]],".",",")*SUBSTITUTE(OutPut[[#This Row],[quantity]],".",","),",","."),"")</f>
        <v/>
      </c>
      <c r="Q70" s="15" t="str">
        <f>IF(OutPut[[#This Row],[time]]="","",VLOOKUP(C$3,ChargePriceInformationPeriods[],5,FALSE))</f>
        <v>false</v>
      </c>
      <c r="R70" s="15" t="str">
        <f>IF(OutPut[[#This Row],[time]]="","",$C$3)</f>
        <v>tariff-hourly-2</v>
      </c>
      <c r="S70" s="15" t="str">
        <f>IF(OutPut[[#This Row],[time]]="","","tariff")</f>
        <v>tariff</v>
      </c>
      <c r="T70" s="15" t="str">
        <f>IF(OutPut[[#This Row],[time]]="","",$D$3)</f>
        <v>0000000000800</v>
      </c>
      <c r="U70" s="15" t="str">
        <f>IF(OutPut[[#This Row],[time]]="","","amount_per_charge")</f>
        <v>amount_per_charge</v>
      </c>
    </row>
    <row r="71" spans="2:28" x14ac:dyDescent="0.35">
      <c r="B71" s="15" t="str">
        <f>IF(OutPut[[#This Row],[time]]="","",'Config and arguments'!C$2)</f>
        <v>0b15a420-9fc8-409a-a169-fbd49479d718</v>
      </c>
      <c r="C71" s="15" t="str">
        <f>IF(OutPut[[#This Row],[time]]="","",'Config and arguments'!C$5)</f>
        <v>wholesale_fixing</v>
      </c>
      <c r="D71" s="15" t="str">
        <f>IF(OutPut[[#This Row],[time]]="","",'Config and arguments'!C$6)</f>
        <v>2024-01-01 23:00:00</v>
      </c>
      <c r="E71" s="15" t="str">
        <f>IF(OutPut[[#This Row],[time]]="","","IGNORED")</f>
        <v>IGNORED</v>
      </c>
      <c r="F71" s="15" t="str">
        <f>IF(OutPut[[#This Row],[time]]="","",G$3)</f>
        <v>800</v>
      </c>
      <c r="G71" s="15" t="str">
        <f>IF(OutPut[[#This Row],[time]]="","",$E$3)</f>
        <v>4000000000000</v>
      </c>
      <c r="H7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1" s="15" t="str">
        <f>IF(OutPut[[#This Row],[time]]="","","kWh")</f>
        <v>kWh</v>
      </c>
      <c r="J7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1" s="15" t="str">
        <f>'Config and arguments'!AB69</f>
        <v>2023-02-03 17:00:00</v>
      </c>
      <c r="L71" s="15" t="str">
        <f>IF(OutPut[[#This Row],[time]]="","","PT1H")</f>
        <v>PT1H</v>
      </c>
      <c r="M71" s="15" t="str">
        <f>IF(OutPut[[#This Row],[time]]="","",$F$3)</f>
        <v>production</v>
      </c>
      <c r="N71" s="16" t="str">
        <f>IF(OutPut[[#This Row],[time]]="","",IF($H$3="","",$H$3))</f>
        <v/>
      </c>
      <c r="O7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1" s="16" t="str">
        <f>IFERROR(SUBSTITUTE(SUBSTITUTE(OutPut[[#This Row],[price]],".",",")*SUBSTITUTE(OutPut[[#This Row],[quantity]],".",","),",","."),"")</f>
        <v/>
      </c>
      <c r="Q71" s="15" t="str">
        <f>IF(OutPut[[#This Row],[time]]="","",VLOOKUP(C$3,ChargePriceInformationPeriods[],5,FALSE))</f>
        <v>false</v>
      </c>
      <c r="R71" s="15" t="str">
        <f>IF(OutPut[[#This Row],[time]]="","",$C$3)</f>
        <v>tariff-hourly-2</v>
      </c>
      <c r="S71" s="15" t="str">
        <f>IF(OutPut[[#This Row],[time]]="","","tariff")</f>
        <v>tariff</v>
      </c>
      <c r="T71" s="15" t="str">
        <f>IF(OutPut[[#This Row],[time]]="","",$D$3)</f>
        <v>0000000000800</v>
      </c>
      <c r="U71" s="15" t="str">
        <f>IF(OutPut[[#This Row],[time]]="","","amount_per_charge")</f>
        <v>amount_per_charge</v>
      </c>
    </row>
    <row r="72" spans="2:28" x14ac:dyDescent="0.35">
      <c r="B72" s="15" t="str">
        <f>IF(OutPut[[#This Row],[time]]="","",'Config and arguments'!C$2)</f>
        <v>0b15a420-9fc8-409a-a169-fbd49479d718</v>
      </c>
      <c r="C72" s="15" t="str">
        <f>IF(OutPut[[#This Row],[time]]="","",'Config and arguments'!C$5)</f>
        <v>wholesale_fixing</v>
      </c>
      <c r="D72" s="15" t="str">
        <f>IF(OutPut[[#This Row],[time]]="","",'Config and arguments'!C$6)</f>
        <v>2024-01-01 23:00:00</v>
      </c>
      <c r="E72" s="15" t="str">
        <f>IF(OutPut[[#This Row],[time]]="","","IGNORED")</f>
        <v>IGNORED</v>
      </c>
      <c r="F72" s="15" t="str">
        <f>IF(OutPut[[#This Row],[time]]="","",G$3)</f>
        <v>800</v>
      </c>
      <c r="G72" s="15" t="str">
        <f>IF(OutPut[[#This Row],[time]]="","",$E$3)</f>
        <v>4000000000000</v>
      </c>
      <c r="H7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2" s="15" t="str">
        <f>IF(OutPut[[#This Row],[time]]="","","kWh")</f>
        <v>kWh</v>
      </c>
      <c r="J7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2" s="15" t="str">
        <f>'Config and arguments'!AB70</f>
        <v>2023-02-03 18:00:00</v>
      </c>
      <c r="L72" s="15" t="str">
        <f>IF(OutPut[[#This Row],[time]]="","","PT1H")</f>
        <v>PT1H</v>
      </c>
      <c r="M72" s="15" t="str">
        <f>IF(OutPut[[#This Row],[time]]="","",$F$3)</f>
        <v>production</v>
      </c>
      <c r="N72" s="16" t="str">
        <f>IF(OutPut[[#This Row],[time]]="","",IF($H$3="","",$H$3))</f>
        <v/>
      </c>
      <c r="O7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2" s="16" t="str">
        <f>IFERROR(SUBSTITUTE(SUBSTITUTE(OutPut[[#This Row],[price]],".",",")*SUBSTITUTE(OutPut[[#This Row],[quantity]],".",","),",","."),"")</f>
        <v/>
      </c>
      <c r="Q72" s="15" t="str">
        <f>IF(OutPut[[#This Row],[time]]="","",VLOOKUP(C$3,ChargePriceInformationPeriods[],5,FALSE))</f>
        <v>false</v>
      </c>
      <c r="R72" s="15" t="str">
        <f>IF(OutPut[[#This Row],[time]]="","",$C$3)</f>
        <v>tariff-hourly-2</v>
      </c>
      <c r="S72" s="15" t="str">
        <f>IF(OutPut[[#This Row],[time]]="","","tariff")</f>
        <v>tariff</v>
      </c>
      <c r="T72" s="15" t="str">
        <f>IF(OutPut[[#This Row],[time]]="","",$D$3)</f>
        <v>0000000000800</v>
      </c>
      <c r="U72" s="15" t="str">
        <f>IF(OutPut[[#This Row],[time]]="","","amount_per_charge")</f>
        <v>amount_per_charge</v>
      </c>
    </row>
    <row r="73" spans="2:28" x14ac:dyDescent="0.35">
      <c r="B73" s="15" t="str">
        <f>IF(OutPut[[#This Row],[time]]="","",'Config and arguments'!C$2)</f>
        <v>0b15a420-9fc8-409a-a169-fbd49479d718</v>
      </c>
      <c r="C73" s="15" t="str">
        <f>IF(OutPut[[#This Row],[time]]="","",'Config and arguments'!C$5)</f>
        <v>wholesale_fixing</v>
      </c>
      <c r="D73" s="15" t="str">
        <f>IF(OutPut[[#This Row],[time]]="","",'Config and arguments'!C$6)</f>
        <v>2024-01-01 23:00:00</v>
      </c>
      <c r="E73" s="15" t="str">
        <f>IF(OutPut[[#This Row],[time]]="","","IGNORED")</f>
        <v>IGNORED</v>
      </c>
      <c r="F73" s="15" t="str">
        <f>IF(OutPut[[#This Row],[time]]="","",G$3)</f>
        <v>800</v>
      </c>
      <c r="G73" s="15" t="str">
        <f>IF(OutPut[[#This Row],[time]]="","",$E$3)</f>
        <v>4000000000000</v>
      </c>
      <c r="H7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3" s="15" t="str">
        <f>IF(OutPut[[#This Row],[time]]="","","kWh")</f>
        <v>kWh</v>
      </c>
      <c r="J7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3" s="15" t="str">
        <f>'Config and arguments'!AB71</f>
        <v>2023-02-03 19:00:00</v>
      </c>
      <c r="L73" s="15" t="str">
        <f>IF(OutPut[[#This Row],[time]]="","","PT1H")</f>
        <v>PT1H</v>
      </c>
      <c r="M73" s="15" t="str">
        <f>IF(OutPut[[#This Row],[time]]="","",$F$3)</f>
        <v>production</v>
      </c>
      <c r="N73" s="16" t="str">
        <f>IF(OutPut[[#This Row],[time]]="","",IF($H$3="","",$H$3))</f>
        <v/>
      </c>
      <c r="O7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3" s="16" t="str">
        <f>IFERROR(SUBSTITUTE(SUBSTITUTE(OutPut[[#This Row],[price]],".",",")*SUBSTITUTE(OutPut[[#This Row],[quantity]],".",","),",","."),"")</f>
        <v/>
      </c>
      <c r="Q73" s="15" t="str">
        <f>IF(OutPut[[#This Row],[time]]="","",VLOOKUP(C$3,ChargePriceInformationPeriods[],5,FALSE))</f>
        <v>false</v>
      </c>
      <c r="R73" s="15" t="str">
        <f>IF(OutPut[[#This Row],[time]]="","",$C$3)</f>
        <v>tariff-hourly-2</v>
      </c>
      <c r="S73" s="15" t="str">
        <f>IF(OutPut[[#This Row],[time]]="","","tariff")</f>
        <v>tariff</v>
      </c>
      <c r="T73" s="15" t="str">
        <f>IF(OutPut[[#This Row],[time]]="","",$D$3)</f>
        <v>0000000000800</v>
      </c>
      <c r="U73" s="15" t="str">
        <f>IF(OutPut[[#This Row],[time]]="","","amount_per_charge")</f>
        <v>amount_per_charge</v>
      </c>
    </row>
    <row r="74" spans="2:28" x14ac:dyDescent="0.35">
      <c r="B74" s="15" t="str">
        <f>IF(OutPut[[#This Row],[time]]="","",'Config and arguments'!C$2)</f>
        <v>0b15a420-9fc8-409a-a169-fbd49479d718</v>
      </c>
      <c r="C74" s="15" t="str">
        <f>IF(OutPut[[#This Row],[time]]="","",'Config and arguments'!C$5)</f>
        <v>wholesale_fixing</v>
      </c>
      <c r="D74" s="15" t="str">
        <f>IF(OutPut[[#This Row],[time]]="","",'Config and arguments'!C$6)</f>
        <v>2024-01-01 23:00:00</v>
      </c>
      <c r="E74" s="15" t="str">
        <f>IF(OutPut[[#This Row],[time]]="","","IGNORED")</f>
        <v>IGNORED</v>
      </c>
      <c r="F74" s="15" t="str">
        <f>IF(OutPut[[#This Row],[time]]="","",G$3)</f>
        <v>800</v>
      </c>
      <c r="G74" s="15" t="str">
        <f>IF(OutPut[[#This Row],[time]]="","",$E$3)</f>
        <v>4000000000000</v>
      </c>
      <c r="H7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4" s="15" t="str">
        <f>IF(OutPut[[#This Row],[time]]="","","kWh")</f>
        <v>kWh</v>
      </c>
      <c r="J7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4" s="15" t="str">
        <f>'Config and arguments'!AB72</f>
        <v>2023-02-03 20:00:00</v>
      </c>
      <c r="L74" s="15" t="str">
        <f>IF(OutPut[[#This Row],[time]]="","","PT1H")</f>
        <v>PT1H</v>
      </c>
      <c r="M74" s="15" t="str">
        <f>IF(OutPut[[#This Row],[time]]="","",$F$3)</f>
        <v>production</v>
      </c>
      <c r="N74" s="16" t="str">
        <f>IF(OutPut[[#This Row],[time]]="","",IF($H$3="","",$H$3))</f>
        <v/>
      </c>
      <c r="O7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4" s="16" t="str">
        <f>IFERROR(SUBSTITUTE(SUBSTITUTE(OutPut[[#This Row],[price]],".",",")*SUBSTITUTE(OutPut[[#This Row],[quantity]],".",","),",","."),"")</f>
        <v/>
      </c>
      <c r="Q74" s="15" t="str">
        <f>IF(OutPut[[#This Row],[time]]="","",VLOOKUP(C$3,ChargePriceInformationPeriods[],5,FALSE))</f>
        <v>false</v>
      </c>
      <c r="R74" s="15" t="str">
        <f>IF(OutPut[[#This Row],[time]]="","",$C$3)</f>
        <v>tariff-hourly-2</v>
      </c>
      <c r="S74" s="15" t="str">
        <f>IF(OutPut[[#This Row],[time]]="","","tariff")</f>
        <v>tariff</v>
      </c>
      <c r="T74" s="15" t="str">
        <f>IF(OutPut[[#This Row],[time]]="","",$D$3)</f>
        <v>0000000000800</v>
      </c>
      <c r="U74" s="15" t="str">
        <f>IF(OutPut[[#This Row],[time]]="","","amount_per_charge")</f>
        <v>amount_per_charge</v>
      </c>
    </row>
    <row r="75" spans="2:28" x14ac:dyDescent="0.35">
      <c r="B75" s="15" t="str">
        <f>IF(OutPut[[#This Row],[time]]="","",'Config and arguments'!C$2)</f>
        <v>0b15a420-9fc8-409a-a169-fbd49479d718</v>
      </c>
      <c r="C75" s="15" t="str">
        <f>IF(OutPut[[#This Row],[time]]="","",'Config and arguments'!C$5)</f>
        <v>wholesale_fixing</v>
      </c>
      <c r="D75" s="15" t="str">
        <f>IF(OutPut[[#This Row],[time]]="","",'Config and arguments'!C$6)</f>
        <v>2024-01-01 23:00:00</v>
      </c>
      <c r="E75" s="15" t="str">
        <f>IF(OutPut[[#This Row],[time]]="","","IGNORED")</f>
        <v>IGNORED</v>
      </c>
      <c r="F75" s="15" t="str">
        <f>IF(OutPut[[#This Row],[time]]="","",G$3)</f>
        <v>800</v>
      </c>
      <c r="G75" s="15" t="str">
        <f>IF(OutPut[[#This Row],[time]]="","",$E$3)</f>
        <v>4000000000000</v>
      </c>
      <c r="H7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5" s="15" t="str">
        <f>IF(OutPut[[#This Row],[time]]="","","kWh")</f>
        <v>kWh</v>
      </c>
      <c r="J7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5" s="15" t="str">
        <f>'Config and arguments'!AB73</f>
        <v>2023-02-03 21:00:00</v>
      </c>
      <c r="L75" s="15" t="str">
        <f>IF(OutPut[[#This Row],[time]]="","","PT1H")</f>
        <v>PT1H</v>
      </c>
      <c r="M75" s="15" t="str">
        <f>IF(OutPut[[#This Row],[time]]="","",$F$3)</f>
        <v>production</v>
      </c>
      <c r="N75" s="16" t="str">
        <f>IF(OutPut[[#This Row],[time]]="","",IF($H$3="","",$H$3))</f>
        <v/>
      </c>
      <c r="O7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5" s="16" t="str">
        <f>IFERROR(SUBSTITUTE(SUBSTITUTE(OutPut[[#This Row],[price]],".",",")*SUBSTITUTE(OutPut[[#This Row],[quantity]],".",","),",","."),"")</f>
        <v/>
      </c>
      <c r="Q75" s="15" t="str">
        <f>IF(OutPut[[#This Row],[time]]="","",VLOOKUP(C$3,ChargePriceInformationPeriods[],5,FALSE))</f>
        <v>false</v>
      </c>
      <c r="R75" s="15" t="str">
        <f>IF(OutPut[[#This Row],[time]]="","",$C$3)</f>
        <v>tariff-hourly-2</v>
      </c>
      <c r="S75" s="15" t="str">
        <f>IF(OutPut[[#This Row],[time]]="","","tariff")</f>
        <v>tariff</v>
      </c>
      <c r="T75" s="15" t="str">
        <f>IF(OutPut[[#This Row],[time]]="","",$D$3)</f>
        <v>0000000000800</v>
      </c>
      <c r="U75" s="15" t="str">
        <f>IF(OutPut[[#This Row],[time]]="","","amount_per_charge")</f>
        <v>amount_per_charge</v>
      </c>
    </row>
    <row r="76" spans="2:28" x14ac:dyDescent="0.35">
      <c r="B76" s="15" t="str">
        <f>IF(OutPut[[#This Row],[time]]="","",'Config and arguments'!C$2)</f>
        <v>0b15a420-9fc8-409a-a169-fbd49479d718</v>
      </c>
      <c r="C76" s="15" t="str">
        <f>IF(OutPut[[#This Row],[time]]="","",'Config and arguments'!C$5)</f>
        <v>wholesale_fixing</v>
      </c>
      <c r="D76" s="15" t="str">
        <f>IF(OutPut[[#This Row],[time]]="","",'Config and arguments'!C$6)</f>
        <v>2024-01-01 23:00:00</v>
      </c>
      <c r="E76" s="15" t="str">
        <f>IF(OutPut[[#This Row],[time]]="","","IGNORED")</f>
        <v>IGNORED</v>
      </c>
      <c r="F76" s="15" t="str">
        <f>IF(OutPut[[#This Row],[time]]="","",G$3)</f>
        <v>800</v>
      </c>
      <c r="G76" s="15" t="str">
        <f>IF(OutPut[[#This Row],[time]]="","",$E$3)</f>
        <v>4000000000000</v>
      </c>
      <c r="H7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6" s="15" t="str">
        <f>IF(OutPut[[#This Row],[time]]="","","kWh")</f>
        <v>kWh</v>
      </c>
      <c r="J7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6" s="15" t="str">
        <f>'Config and arguments'!AB74</f>
        <v>2023-02-03 22:00:00</v>
      </c>
      <c r="L76" s="15" t="str">
        <f>IF(OutPut[[#This Row],[time]]="","","PT1H")</f>
        <v>PT1H</v>
      </c>
      <c r="M76" s="15" t="str">
        <f>IF(OutPut[[#This Row],[time]]="","",$F$3)</f>
        <v>production</v>
      </c>
      <c r="N76" s="16" t="str">
        <f>IF(OutPut[[#This Row],[time]]="","",IF($H$3="","",$H$3))</f>
        <v/>
      </c>
      <c r="O7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6" s="16" t="str">
        <f>IFERROR(SUBSTITUTE(SUBSTITUTE(OutPut[[#This Row],[price]],".",",")*SUBSTITUTE(OutPut[[#This Row],[quantity]],".",","),",","."),"")</f>
        <v/>
      </c>
      <c r="Q76" s="15" t="str">
        <f>IF(OutPut[[#This Row],[time]]="","",VLOOKUP(C$3,ChargePriceInformationPeriods[],5,FALSE))</f>
        <v>false</v>
      </c>
      <c r="R76" s="15" t="str">
        <f>IF(OutPut[[#This Row],[time]]="","",$C$3)</f>
        <v>tariff-hourly-2</v>
      </c>
      <c r="S76" s="15" t="str">
        <f>IF(OutPut[[#This Row],[time]]="","","tariff")</f>
        <v>tariff</v>
      </c>
      <c r="T76" s="15" t="str">
        <f>IF(OutPut[[#This Row],[time]]="","",$D$3)</f>
        <v>0000000000800</v>
      </c>
      <c r="U76" s="15" t="str">
        <f>IF(OutPut[[#This Row],[time]]="","","amount_per_charge")</f>
        <v>amount_per_charge</v>
      </c>
    </row>
    <row r="77" spans="2:28" x14ac:dyDescent="0.35">
      <c r="B77" s="15" t="str">
        <f>IF(OutPut[[#This Row],[time]]="","",'Config and arguments'!C$2)</f>
        <v/>
      </c>
      <c r="C77" s="15" t="str">
        <f>IF(OutPut[[#This Row],[time]]="","",'Config and arguments'!C$5)</f>
        <v/>
      </c>
      <c r="D77" s="15" t="str">
        <f>IF(OutPut[[#This Row],[time]]="","",'Config and arguments'!C$6)</f>
        <v/>
      </c>
      <c r="E77" s="15" t="str">
        <f>IF(OutPut[[#This Row],[time]]="","","IGNORED")</f>
        <v/>
      </c>
      <c r="F77" s="15" t="str">
        <f>IF(OutPut[[#This Row],[time]]="","",G$3)</f>
        <v/>
      </c>
      <c r="G77" s="15" t="str">
        <f>IF(OutPut[[#This Row],[time]]="","",$E$3)</f>
        <v/>
      </c>
      <c r="H7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77" s="15" t="str">
        <f>IF(OutPut[[#This Row],[time]]="","","kWh")</f>
        <v/>
      </c>
      <c r="J7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77" s="15" t="str">
        <f>'Config and arguments'!AB75</f>
        <v/>
      </c>
      <c r="L77" s="15" t="str">
        <f>IF(OutPut[[#This Row],[time]]="","","PT1H")</f>
        <v/>
      </c>
      <c r="M77" s="15" t="str">
        <f>IF(OutPut[[#This Row],[time]]="","",$F$3)</f>
        <v/>
      </c>
      <c r="N77" s="16" t="str">
        <f>IF(OutPut[[#This Row],[time]]="","",IF($H$3="","",$H$3))</f>
        <v/>
      </c>
      <c r="O7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7" s="16" t="str">
        <f>IFERROR(SUBSTITUTE(SUBSTITUTE(OutPut[[#This Row],[price]],".",",")*SUBSTITUTE(OutPut[[#This Row],[quantity]],".",","),",","."),"")</f>
        <v/>
      </c>
      <c r="Q77" s="15" t="str">
        <f>IF(OutPut[[#This Row],[time]]="","",VLOOKUP(C$3,ChargePriceInformationPeriods[],5,FALSE))</f>
        <v/>
      </c>
      <c r="R77" s="15" t="str">
        <f>IF(OutPut[[#This Row],[time]]="","",$C$3)</f>
        <v/>
      </c>
      <c r="S77" s="15" t="str">
        <f>IF(OutPut[[#This Row],[time]]="","","tariff")</f>
        <v/>
      </c>
      <c r="T77" s="15" t="str">
        <f>IF(OutPut[[#This Row],[time]]="","",$D$3)</f>
        <v/>
      </c>
      <c r="U77" s="15" t="str">
        <f>IF(OutPut[[#This Row],[time]]="","","amount_per_charge")</f>
        <v/>
      </c>
    </row>
    <row r="78" spans="2:28" x14ac:dyDescent="0.35">
      <c r="B78" s="15" t="str">
        <f>IF(OutPut[[#This Row],[time]]="","",'Config and arguments'!C$2)</f>
        <v/>
      </c>
      <c r="C78" s="15" t="str">
        <f>IF(OutPut[[#This Row],[time]]="","",'Config and arguments'!C$5)</f>
        <v/>
      </c>
      <c r="D78" s="15" t="str">
        <f>IF(OutPut[[#This Row],[time]]="","",'Config and arguments'!C$6)</f>
        <v/>
      </c>
      <c r="E78" s="15" t="str">
        <f>IF(OutPut[[#This Row],[time]]="","","IGNORED")</f>
        <v/>
      </c>
      <c r="F78" s="15" t="str">
        <f>IF(OutPut[[#This Row],[time]]="","",G$3)</f>
        <v/>
      </c>
      <c r="G78" s="15" t="str">
        <f>IF(OutPut[[#This Row],[time]]="","",$E$3)</f>
        <v/>
      </c>
      <c r="H7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78" s="15" t="str">
        <f>IF(OutPut[[#This Row],[time]]="","","kWh")</f>
        <v/>
      </c>
      <c r="J7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78" s="15" t="str">
        <f>'Config and arguments'!AB76</f>
        <v/>
      </c>
      <c r="L78" s="15" t="str">
        <f>IF(OutPut[[#This Row],[time]]="","","PT1H")</f>
        <v/>
      </c>
      <c r="M78" s="15" t="str">
        <f>IF(OutPut[[#This Row],[time]]="","",$F$3)</f>
        <v/>
      </c>
      <c r="N78" s="16" t="str">
        <f>IF(OutPut[[#This Row],[time]]="","",IF($H$3="","",$H$3))</f>
        <v/>
      </c>
      <c r="O7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8" s="16" t="str">
        <f>IFERROR(SUBSTITUTE(SUBSTITUTE(OutPut[[#This Row],[price]],".",",")*SUBSTITUTE(OutPut[[#This Row],[quantity]],".",","),",","."),"")</f>
        <v/>
      </c>
      <c r="Q78" s="15" t="str">
        <f>IF(OutPut[[#This Row],[time]]="","",VLOOKUP(C$3,ChargePriceInformationPeriods[],5,FALSE))</f>
        <v/>
      </c>
      <c r="R78" s="15" t="str">
        <f>IF(OutPut[[#This Row],[time]]="","",$C$3)</f>
        <v/>
      </c>
      <c r="S78" s="15" t="str">
        <f>IF(OutPut[[#This Row],[time]]="","","tariff")</f>
        <v/>
      </c>
      <c r="T78" s="15" t="str">
        <f>IF(OutPut[[#This Row],[time]]="","",$D$3)</f>
        <v/>
      </c>
      <c r="U78" s="15" t="str">
        <f>IF(OutPut[[#This Row],[time]]="","","amount_per_charge")</f>
        <v/>
      </c>
    </row>
    <row r="79" spans="2:28" x14ac:dyDescent="0.35">
      <c r="B79" s="15" t="str">
        <f>IF(OutPut[[#This Row],[time]]="","",'Config and arguments'!C$2)</f>
        <v/>
      </c>
      <c r="C79" s="15" t="str">
        <f>IF(OutPut[[#This Row],[time]]="","",'Config and arguments'!C$5)</f>
        <v/>
      </c>
      <c r="D79" s="15" t="str">
        <f>IF(OutPut[[#This Row],[time]]="","",'Config and arguments'!C$6)</f>
        <v/>
      </c>
      <c r="E79" s="15" t="str">
        <f>IF(OutPut[[#This Row],[time]]="","","IGNORED")</f>
        <v/>
      </c>
      <c r="F79" s="15" t="str">
        <f>IF(OutPut[[#This Row],[time]]="","",G$3)</f>
        <v/>
      </c>
      <c r="G79" s="15" t="str">
        <f>IF(OutPut[[#This Row],[time]]="","",$E$3)</f>
        <v/>
      </c>
      <c r="H7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79" s="15" t="str">
        <f>IF(OutPut[[#This Row],[time]]="","","kWh")</f>
        <v/>
      </c>
      <c r="J7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79" s="15" t="str">
        <f>'Config and arguments'!AB77</f>
        <v/>
      </c>
      <c r="L79" s="15" t="str">
        <f>IF(OutPut[[#This Row],[time]]="","","PT1H")</f>
        <v/>
      </c>
      <c r="M79" s="15" t="str">
        <f>IF(OutPut[[#This Row],[time]]="","",$F$3)</f>
        <v/>
      </c>
      <c r="N79" s="16" t="str">
        <f>IF(OutPut[[#This Row],[time]]="","",IF($H$3="","",$H$3))</f>
        <v/>
      </c>
      <c r="O7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9" s="16" t="str">
        <f>IFERROR(SUBSTITUTE(SUBSTITUTE(OutPut[[#This Row],[price]],".",",")*SUBSTITUTE(OutPut[[#This Row],[quantity]],".",","),",","."),"")</f>
        <v/>
      </c>
      <c r="Q79" s="15" t="str">
        <f>IF(OutPut[[#This Row],[time]]="","",VLOOKUP(C$3,ChargePriceInformationPeriods[],5,FALSE))</f>
        <v/>
      </c>
      <c r="R79" s="15" t="str">
        <f>IF(OutPut[[#This Row],[time]]="","",$C$3)</f>
        <v/>
      </c>
      <c r="S79" s="15" t="str">
        <f>IF(OutPut[[#This Row],[time]]="","","tariff")</f>
        <v/>
      </c>
      <c r="T79" s="15" t="str">
        <f>IF(OutPut[[#This Row],[time]]="","",$D$3)</f>
        <v/>
      </c>
      <c r="U79" s="15" t="str">
        <f>IF(OutPut[[#This Row],[time]]="","","amount_per_charge")</f>
        <v/>
      </c>
    </row>
    <row r="80" spans="2:28" x14ac:dyDescent="0.35">
      <c r="B80" s="15" t="str">
        <f>IF(OutPut[[#This Row],[time]]="","",'Config and arguments'!C$2)</f>
        <v/>
      </c>
      <c r="C80" s="15" t="str">
        <f>IF(OutPut[[#This Row],[time]]="","",'Config and arguments'!C$5)</f>
        <v/>
      </c>
      <c r="D80" s="15" t="str">
        <f>IF(OutPut[[#This Row],[time]]="","",'Config and arguments'!C$6)</f>
        <v/>
      </c>
      <c r="E80" s="15" t="str">
        <f>IF(OutPut[[#This Row],[time]]="","","IGNORED")</f>
        <v/>
      </c>
      <c r="F80" s="15" t="str">
        <f>IF(OutPut[[#This Row],[time]]="","",G$3)</f>
        <v/>
      </c>
      <c r="G80" s="15" t="str">
        <f>IF(OutPut[[#This Row],[time]]="","",$E$3)</f>
        <v/>
      </c>
      <c r="H8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0" s="15" t="str">
        <f>IF(OutPut[[#This Row],[time]]="","","kWh")</f>
        <v/>
      </c>
      <c r="J8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0" s="15" t="str">
        <f>'Config and arguments'!AB78</f>
        <v/>
      </c>
      <c r="L80" s="15" t="str">
        <f>IF(OutPut[[#This Row],[time]]="","","PT1H")</f>
        <v/>
      </c>
      <c r="M80" s="15" t="str">
        <f>IF(OutPut[[#This Row],[time]]="","",$F$3)</f>
        <v/>
      </c>
      <c r="N80" s="16" t="str">
        <f>IF(OutPut[[#This Row],[time]]="","",IF($H$3="","",$H$3))</f>
        <v/>
      </c>
      <c r="O8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0" s="16" t="str">
        <f>IFERROR(SUBSTITUTE(SUBSTITUTE(OutPut[[#This Row],[price]],".",",")*SUBSTITUTE(OutPut[[#This Row],[quantity]],".",","),",","."),"")</f>
        <v/>
      </c>
      <c r="Q80" s="15" t="str">
        <f>IF(OutPut[[#This Row],[time]]="","",VLOOKUP(C$3,ChargePriceInformationPeriods[],5,FALSE))</f>
        <v/>
      </c>
      <c r="R80" s="15" t="str">
        <f>IF(OutPut[[#This Row],[time]]="","",$C$3)</f>
        <v/>
      </c>
      <c r="S80" s="15" t="str">
        <f>IF(OutPut[[#This Row],[time]]="","","tariff")</f>
        <v/>
      </c>
      <c r="T80" s="15" t="str">
        <f>IF(OutPut[[#This Row],[time]]="","",$D$3)</f>
        <v/>
      </c>
      <c r="U80" s="15" t="str">
        <f>IF(OutPut[[#This Row],[time]]="","","amount_per_charge")</f>
        <v/>
      </c>
    </row>
    <row r="81" spans="2:21" x14ac:dyDescent="0.35">
      <c r="B81" s="15" t="str">
        <f>IF(OutPut[[#This Row],[time]]="","",'Config and arguments'!C$2)</f>
        <v/>
      </c>
      <c r="C81" s="15" t="str">
        <f>IF(OutPut[[#This Row],[time]]="","",'Config and arguments'!C$5)</f>
        <v/>
      </c>
      <c r="D81" s="15" t="str">
        <f>IF(OutPut[[#This Row],[time]]="","",'Config and arguments'!C$6)</f>
        <v/>
      </c>
      <c r="E81" s="15" t="str">
        <f>IF(OutPut[[#This Row],[time]]="","","IGNORED")</f>
        <v/>
      </c>
      <c r="F81" s="15" t="str">
        <f>IF(OutPut[[#This Row],[time]]="","",G$3)</f>
        <v/>
      </c>
      <c r="G81" s="15" t="str">
        <f>IF(OutPut[[#This Row],[time]]="","",$E$3)</f>
        <v/>
      </c>
      <c r="H8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1" s="15" t="str">
        <f>IF(OutPut[[#This Row],[time]]="","","kWh")</f>
        <v/>
      </c>
      <c r="J8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1" s="15" t="str">
        <f>'Config and arguments'!AB79</f>
        <v/>
      </c>
      <c r="L81" s="15" t="str">
        <f>IF(OutPut[[#This Row],[time]]="","","PT1H")</f>
        <v/>
      </c>
      <c r="M81" s="15" t="str">
        <f>IF(OutPut[[#This Row],[time]]="","",$F$3)</f>
        <v/>
      </c>
      <c r="N81" s="16" t="str">
        <f>IF(OutPut[[#This Row],[time]]="","",IF($H$3="","",$H$3))</f>
        <v/>
      </c>
      <c r="O8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1" s="16" t="str">
        <f>IFERROR(SUBSTITUTE(SUBSTITUTE(OutPut[[#This Row],[price]],".",",")*SUBSTITUTE(OutPut[[#This Row],[quantity]],".",","),",","."),"")</f>
        <v/>
      </c>
      <c r="Q81" s="15" t="str">
        <f>IF(OutPut[[#This Row],[time]]="","",VLOOKUP(C$3,ChargePriceInformationPeriods[],5,FALSE))</f>
        <v/>
      </c>
      <c r="R81" s="15" t="str">
        <f>IF(OutPut[[#This Row],[time]]="","",$C$3)</f>
        <v/>
      </c>
      <c r="S81" s="15" t="str">
        <f>IF(OutPut[[#This Row],[time]]="","","tariff")</f>
        <v/>
      </c>
      <c r="T81" s="15" t="str">
        <f>IF(OutPut[[#This Row],[time]]="","",$D$3)</f>
        <v/>
      </c>
      <c r="U81" s="15" t="str">
        <f>IF(OutPut[[#This Row],[time]]="","","amount_per_charge")</f>
        <v/>
      </c>
    </row>
    <row r="82" spans="2:21" x14ac:dyDescent="0.35">
      <c r="B82" s="15" t="str">
        <f>IF(OutPut[[#This Row],[time]]="","",'Config and arguments'!C$2)</f>
        <v/>
      </c>
      <c r="C82" s="15" t="str">
        <f>IF(OutPut[[#This Row],[time]]="","",'Config and arguments'!C$5)</f>
        <v/>
      </c>
      <c r="D82" s="15" t="str">
        <f>IF(OutPut[[#This Row],[time]]="","",'Config and arguments'!C$6)</f>
        <v/>
      </c>
      <c r="E82" s="15" t="str">
        <f>IF(OutPut[[#This Row],[time]]="","","IGNORED")</f>
        <v/>
      </c>
      <c r="F82" s="15" t="str">
        <f>IF(OutPut[[#This Row],[time]]="","",G$3)</f>
        <v/>
      </c>
      <c r="G82" s="15" t="str">
        <f>IF(OutPut[[#This Row],[time]]="","",$E$3)</f>
        <v/>
      </c>
      <c r="H8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2" s="15" t="str">
        <f>IF(OutPut[[#This Row],[time]]="","","kWh")</f>
        <v/>
      </c>
      <c r="J8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2" s="15" t="str">
        <f>'Config and arguments'!AB80</f>
        <v/>
      </c>
      <c r="L82" s="15" t="str">
        <f>IF(OutPut[[#This Row],[time]]="","","PT1H")</f>
        <v/>
      </c>
      <c r="M82" s="15" t="str">
        <f>IF(OutPut[[#This Row],[time]]="","",$F$3)</f>
        <v/>
      </c>
      <c r="N82" s="16" t="str">
        <f>IF(OutPut[[#This Row],[time]]="","",IF($H$3="","",$H$3))</f>
        <v/>
      </c>
      <c r="O8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2" s="16" t="str">
        <f>IFERROR(SUBSTITUTE(SUBSTITUTE(OutPut[[#This Row],[price]],".",",")*SUBSTITUTE(OutPut[[#This Row],[quantity]],".",","),",","."),"")</f>
        <v/>
      </c>
      <c r="Q82" s="15" t="str">
        <f>IF(OutPut[[#This Row],[time]]="","",VLOOKUP(C$3,ChargePriceInformationPeriods[],5,FALSE))</f>
        <v/>
      </c>
      <c r="R82" s="15" t="str">
        <f>IF(OutPut[[#This Row],[time]]="","",$C$3)</f>
        <v/>
      </c>
      <c r="S82" s="15" t="str">
        <f>IF(OutPut[[#This Row],[time]]="","","tariff")</f>
        <v/>
      </c>
      <c r="T82" s="15" t="str">
        <f>IF(OutPut[[#This Row],[time]]="","",$D$3)</f>
        <v/>
      </c>
      <c r="U82" s="15" t="str">
        <f>IF(OutPut[[#This Row],[time]]="","","amount_per_charge")</f>
        <v/>
      </c>
    </row>
    <row r="83" spans="2:21" x14ac:dyDescent="0.35">
      <c r="B83" s="15" t="str">
        <f>IF(OutPut[[#This Row],[time]]="","",'Config and arguments'!C$2)</f>
        <v/>
      </c>
      <c r="C83" s="15" t="str">
        <f>IF(OutPut[[#This Row],[time]]="","",'Config and arguments'!C$5)</f>
        <v/>
      </c>
      <c r="D83" s="15" t="str">
        <f>IF(OutPut[[#This Row],[time]]="","",'Config and arguments'!C$6)</f>
        <v/>
      </c>
      <c r="E83" s="15" t="str">
        <f>IF(OutPut[[#This Row],[time]]="","","IGNORED")</f>
        <v/>
      </c>
      <c r="F83" s="15" t="str">
        <f>IF(OutPut[[#This Row],[time]]="","",G$3)</f>
        <v/>
      </c>
      <c r="G83" s="15" t="str">
        <f>IF(OutPut[[#This Row],[time]]="","",$E$3)</f>
        <v/>
      </c>
      <c r="H8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3" s="15" t="str">
        <f>IF(OutPut[[#This Row],[time]]="","","kWh")</f>
        <v/>
      </c>
      <c r="J8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3" s="15" t="str">
        <f>'Config and arguments'!AB81</f>
        <v/>
      </c>
      <c r="L83" s="15" t="str">
        <f>IF(OutPut[[#This Row],[time]]="","","PT1H")</f>
        <v/>
      </c>
      <c r="M83" s="15" t="str">
        <f>IF(OutPut[[#This Row],[time]]="","",$F$3)</f>
        <v/>
      </c>
      <c r="N83" s="16" t="str">
        <f>IF(OutPut[[#This Row],[time]]="","",IF($H$3="","",$H$3))</f>
        <v/>
      </c>
      <c r="O8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3" s="16" t="str">
        <f>IFERROR(SUBSTITUTE(SUBSTITUTE(OutPut[[#This Row],[price]],".",",")*SUBSTITUTE(OutPut[[#This Row],[quantity]],".",","),",","."),"")</f>
        <v/>
      </c>
      <c r="Q83" s="15" t="str">
        <f>IF(OutPut[[#This Row],[time]]="","",VLOOKUP(C$3,ChargePriceInformationPeriods[],5,FALSE))</f>
        <v/>
      </c>
      <c r="R83" s="15" t="str">
        <f>IF(OutPut[[#This Row],[time]]="","",$C$3)</f>
        <v/>
      </c>
      <c r="S83" s="15" t="str">
        <f>IF(OutPut[[#This Row],[time]]="","","tariff")</f>
        <v/>
      </c>
      <c r="T83" s="15" t="str">
        <f>IF(OutPut[[#This Row],[time]]="","",$D$3)</f>
        <v/>
      </c>
      <c r="U83" s="15" t="str">
        <f>IF(OutPut[[#This Row],[time]]="","","amount_per_charge")</f>
        <v/>
      </c>
    </row>
    <row r="84" spans="2:21" x14ac:dyDescent="0.35">
      <c r="B84" s="15" t="str">
        <f>IF(OutPut[[#This Row],[time]]="","",'Config and arguments'!C$2)</f>
        <v/>
      </c>
      <c r="C84" s="15" t="str">
        <f>IF(OutPut[[#This Row],[time]]="","",'Config and arguments'!C$5)</f>
        <v/>
      </c>
      <c r="D84" s="15" t="str">
        <f>IF(OutPut[[#This Row],[time]]="","",'Config and arguments'!C$6)</f>
        <v/>
      </c>
      <c r="E84" s="15" t="str">
        <f>IF(OutPut[[#This Row],[time]]="","","IGNORED")</f>
        <v/>
      </c>
      <c r="F84" s="15" t="str">
        <f>IF(OutPut[[#This Row],[time]]="","",G$3)</f>
        <v/>
      </c>
      <c r="G84" s="15" t="str">
        <f>IF(OutPut[[#This Row],[time]]="","",$E$3)</f>
        <v/>
      </c>
      <c r="H8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4" s="15" t="str">
        <f>IF(OutPut[[#This Row],[time]]="","","kWh")</f>
        <v/>
      </c>
      <c r="J8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4" s="15" t="str">
        <f>'Config and arguments'!AB82</f>
        <v/>
      </c>
      <c r="L84" s="15" t="str">
        <f>IF(OutPut[[#This Row],[time]]="","","PT1H")</f>
        <v/>
      </c>
      <c r="M84" s="15" t="str">
        <f>IF(OutPut[[#This Row],[time]]="","",$F$3)</f>
        <v/>
      </c>
      <c r="N84" s="16" t="str">
        <f>IF(OutPut[[#This Row],[time]]="","",IF($H$3="","",$H$3))</f>
        <v/>
      </c>
      <c r="O8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4" s="16" t="str">
        <f>IFERROR(SUBSTITUTE(SUBSTITUTE(OutPut[[#This Row],[price]],".",",")*SUBSTITUTE(OutPut[[#This Row],[quantity]],".",","),",","."),"")</f>
        <v/>
      </c>
      <c r="Q84" s="15" t="str">
        <f>IF(OutPut[[#This Row],[time]]="","",VLOOKUP(C$3,ChargePriceInformationPeriods[],5,FALSE))</f>
        <v/>
      </c>
      <c r="R84" s="15" t="str">
        <f>IF(OutPut[[#This Row],[time]]="","",$C$3)</f>
        <v/>
      </c>
      <c r="S84" s="15" t="str">
        <f>IF(OutPut[[#This Row],[time]]="","","tariff")</f>
        <v/>
      </c>
      <c r="T84" s="15" t="str">
        <f>IF(OutPut[[#This Row],[time]]="","",$D$3)</f>
        <v/>
      </c>
      <c r="U84" s="15" t="str">
        <f>IF(OutPut[[#This Row],[time]]="","","amount_per_charge")</f>
        <v/>
      </c>
    </row>
    <row r="85" spans="2:21" x14ac:dyDescent="0.35">
      <c r="B85" s="15" t="str">
        <f>IF(OutPut[[#This Row],[time]]="","",'Config and arguments'!C$2)</f>
        <v/>
      </c>
      <c r="C85" s="15" t="str">
        <f>IF(OutPut[[#This Row],[time]]="","",'Config and arguments'!C$5)</f>
        <v/>
      </c>
      <c r="D85" s="15" t="str">
        <f>IF(OutPut[[#This Row],[time]]="","",'Config and arguments'!C$6)</f>
        <v/>
      </c>
      <c r="E85" s="15" t="str">
        <f>IF(OutPut[[#This Row],[time]]="","","IGNORED")</f>
        <v/>
      </c>
      <c r="F85" s="15" t="str">
        <f>IF(OutPut[[#This Row],[time]]="","",G$3)</f>
        <v/>
      </c>
      <c r="G85" s="15" t="str">
        <f>IF(OutPut[[#This Row],[time]]="","",$E$3)</f>
        <v/>
      </c>
      <c r="H8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5" s="15" t="str">
        <f>IF(OutPut[[#This Row],[time]]="","","kWh")</f>
        <v/>
      </c>
      <c r="J8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5" s="15" t="str">
        <f>'Config and arguments'!AB83</f>
        <v/>
      </c>
      <c r="L85" s="15" t="str">
        <f>IF(OutPut[[#This Row],[time]]="","","PT1H")</f>
        <v/>
      </c>
      <c r="M85" s="15" t="str">
        <f>IF(OutPut[[#This Row],[time]]="","",$F$3)</f>
        <v/>
      </c>
      <c r="N85" s="16" t="str">
        <f>IF(OutPut[[#This Row],[time]]="","",IF($H$3="","",$H$3))</f>
        <v/>
      </c>
      <c r="O8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5" s="16" t="str">
        <f>IFERROR(SUBSTITUTE(SUBSTITUTE(OutPut[[#This Row],[price]],".",",")*SUBSTITUTE(OutPut[[#This Row],[quantity]],".",","),",","."),"")</f>
        <v/>
      </c>
      <c r="Q85" s="15" t="str">
        <f>IF(OutPut[[#This Row],[time]]="","",VLOOKUP(C$3,ChargePriceInformationPeriods[],5,FALSE))</f>
        <v/>
      </c>
      <c r="R85" s="15" t="str">
        <f>IF(OutPut[[#This Row],[time]]="","",$C$3)</f>
        <v/>
      </c>
      <c r="S85" s="15" t="str">
        <f>IF(OutPut[[#This Row],[time]]="","","tariff")</f>
        <v/>
      </c>
      <c r="T85" s="15" t="str">
        <f>IF(OutPut[[#This Row],[time]]="","",$D$3)</f>
        <v/>
      </c>
      <c r="U85" s="15" t="str">
        <f>IF(OutPut[[#This Row],[time]]="","","amount_per_charge")</f>
        <v/>
      </c>
    </row>
    <row r="86" spans="2:21" x14ac:dyDescent="0.35">
      <c r="B86" s="15" t="str">
        <f>IF(OutPut[[#This Row],[time]]="","",'Config and arguments'!C$2)</f>
        <v/>
      </c>
      <c r="C86" s="15" t="str">
        <f>IF(OutPut[[#This Row],[time]]="","",'Config and arguments'!C$5)</f>
        <v/>
      </c>
      <c r="D86" s="15" t="str">
        <f>IF(OutPut[[#This Row],[time]]="","",'Config and arguments'!C$6)</f>
        <v/>
      </c>
      <c r="E86" s="15" t="str">
        <f>IF(OutPut[[#This Row],[time]]="","","IGNORED")</f>
        <v/>
      </c>
      <c r="F86" s="15" t="str">
        <f>IF(OutPut[[#This Row],[time]]="","",G$3)</f>
        <v/>
      </c>
      <c r="G86" s="15" t="str">
        <f>IF(OutPut[[#This Row],[time]]="","",$E$3)</f>
        <v/>
      </c>
      <c r="H8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6" s="15" t="str">
        <f>IF(OutPut[[#This Row],[time]]="","","kWh")</f>
        <v/>
      </c>
      <c r="J8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6" s="15" t="str">
        <f>'Config and arguments'!AB84</f>
        <v/>
      </c>
      <c r="L86" s="15" t="str">
        <f>IF(OutPut[[#This Row],[time]]="","","PT1H")</f>
        <v/>
      </c>
      <c r="M86" s="15" t="str">
        <f>IF(OutPut[[#This Row],[time]]="","",$F$3)</f>
        <v/>
      </c>
      <c r="N86" s="16" t="str">
        <f>IF(OutPut[[#This Row],[time]]="","",IF($H$3="","",$H$3))</f>
        <v/>
      </c>
      <c r="O8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6" s="16" t="str">
        <f>IFERROR(SUBSTITUTE(SUBSTITUTE(OutPut[[#This Row],[price]],".",",")*SUBSTITUTE(OutPut[[#This Row],[quantity]],".",","),",","."),"")</f>
        <v/>
      </c>
      <c r="Q86" s="15" t="str">
        <f>IF(OutPut[[#This Row],[time]]="","",VLOOKUP(C$3,ChargePriceInformationPeriods[],5,FALSE))</f>
        <v/>
      </c>
      <c r="R86" s="15" t="str">
        <f>IF(OutPut[[#This Row],[time]]="","",$C$3)</f>
        <v/>
      </c>
      <c r="S86" s="15" t="str">
        <f>IF(OutPut[[#This Row],[time]]="","","tariff")</f>
        <v/>
      </c>
      <c r="T86" s="15" t="str">
        <f>IF(OutPut[[#This Row],[time]]="","",$D$3)</f>
        <v/>
      </c>
      <c r="U86" s="15" t="str">
        <f>IF(OutPut[[#This Row],[time]]="","","amount_per_charge")</f>
        <v/>
      </c>
    </row>
    <row r="87" spans="2:21" x14ac:dyDescent="0.35">
      <c r="B87" s="15" t="str">
        <f>IF(OutPut[[#This Row],[time]]="","",'Config and arguments'!C$2)</f>
        <v/>
      </c>
      <c r="C87" s="15" t="str">
        <f>IF(OutPut[[#This Row],[time]]="","",'Config and arguments'!C$5)</f>
        <v/>
      </c>
      <c r="D87" s="15" t="str">
        <f>IF(OutPut[[#This Row],[time]]="","",'Config and arguments'!C$6)</f>
        <v/>
      </c>
      <c r="E87" s="15" t="str">
        <f>IF(OutPut[[#This Row],[time]]="","","IGNORED")</f>
        <v/>
      </c>
      <c r="F87" s="15" t="str">
        <f>IF(OutPut[[#This Row],[time]]="","",G$3)</f>
        <v/>
      </c>
      <c r="G87" s="15" t="str">
        <f>IF(OutPut[[#This Row],[time]]="","",$E$3)</f>
        <v/>
      </c>
      <c r="H8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7" s="15" t="str">
        <f>IF(OutPut[[#This Row],[time]]="","","kWh")</f>
        <v/>
      </c>
      <c r="J8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7" s="15" t="str">
        <f>'Config and arguments'!AB85</f>
        <v/>
      </c>
      <c r="L87" s="15" t="str">
        <f>IF(OutPut[[#This Row],[time]]="","","PT1H")</f>
        <v/>
      </c>
      <c r="M87" s="15" t="str">
        <f>IF(OutPut[[#This Row],[time]]="","",$F$3)</f>
        <v/>
      </c>
      <c r="N87" s="16" t="str">
        <f>IF(OutPut[[#This Row],[time]]="","",IF($H$3="","",$H$3))</f>
        <v/>
      </c>
      <c r="O8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7" s="16" t="str">
        <f>IFERROR(SUBSTITUTE(SUBSTITUTE(OutPut[[#This Row],[price]],".",",")*SUBSTITUTE(OutPut[[#This Row],[quantity]],".",","),",","."),"")</f>
        <v/>
      </c>
      <c r="Q87" s="15" t="str">
        <f>IF(OutPut[[#This Row],[time]]="","",VLOOKUP(C$3,ChargePriceInformationPeriods[],5,FALSE))</f>
        <v/>
      </c>
      <c r="R87" s="15" t="str">
        <f>IF(OutPut[[#This Row],[time]]="","",$C$3)</f>
        <v/>
      </c>
      <c r="S87" s="15" t="str">
        <f>IF(OutPut[[#This Row],[time]]="","","tariff")</f>
        <v/>
      </c>
      <c r="T87" s="15" t="str">
        <f>IF(OutPut[[#This Row],[time]]="","",$D$3)</f>
        <v/>
      </c>
      <c r="U87" s="15" t="str">
        <f>IF(OutPut[[#This Row],[time]]="","","amount_per_charge")</f>
        <v/>
      </c>
    </row>
    <row r="88" spans="2:21" x14ac:dyDescent="0.35">
      <c r="B88" s="15" t="str">
        <f>IF(OutPut[[#This Row],[time]]="","",'Config and arguments'!C$2)</f>
        <v/>
      </c>
      <c r="C88" s="15" t="str">
        <f>IF(OutPut[[#This Row],[time]]="","",'Config and arguments'!C$5)</f>
        <v/>
      </c>
      <c r="D88" s="15" t="str">
        <f>IF(OutPut[[#This Row],[time]]="","",'Config and arguments'!C$6)</f>
        <v/>
      </c>
      <c r="E88" s="15" t="str">
        <f>IF(OutPut[[#This Row],[time]]="","","IGNORED")</f>
        <v/>
      </c>
      <c r="F88" s="15" t="str">
        <f>IF(OutPut[[#This Row],[time]]="","",G$3)</f>
        <v/>
      </c>
      <c r="G88" s="15" t="str">
        <f>IF(OutPut[[#This Row],[time]]="","",$E$3)</f>
        <v/>
      </c>
      <c r="H8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8" s="15" t="str">
        <f>IF(OutPut[[#This Row],[time]]="","","kWh")</f>
        <v/>
      </c>
      <c r="J8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8" s="15" t="str">
        <f>'Config and arguments'!AB86</f>
        <v/>
      </c>
      <c r="L88" s="15" t="str">
        <f>IF(OutPut[[#This Row],[time]]="","","PT1H")</f>
        <v/>
      </c>
      <c r="M88" s="15" t="str">
        <f>IF(OutPut[[#This Row],[time]]="","",$F$3)</f>
        <v/>
      </c>
      <c r="N88" s="16" t="str">
        <f>IF(OutPut[[#This Row],[time]]="","",IF($H$3="","",$H$3))</f>
        <v/>
      </c>
      <c r="O8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8" s="16" t="str">
        <f>IFERROR(SUBSTITUTE(SUBSTITUTE(OutPut[[#This Row],[price]],".",",")*SUBSTITUTE(OutPut[[#This Row],[quantity]],".",","),",","."),"")</f>
        <v/>
      </c>
      <c r="Q88" s="15" t="str">
        <f>IF(OutPut[[#This Row],[time]]="","",VLOOKUP(C$3,ChargePriceInformationPeriods[],5,FALSE))</f>
        <v/>
      </c>
      <c r="R88" s="15" t="str">
        <f>IF(OutPut[[#This Row],[time]]="","",$C$3)</f>
        <v/>
      </c>
      <c r="S88" s="15" t="str">
        <f>IF(OutPut[[#This Row],[time]]="","","tariff")</f>
        <v/>
      </c>
      <c r="T88" s="15" t="str">
        <f>IF(OutPut[[#This Row],[time]]="","",$D$3)</f>
        <v/>
      </c>
      <c r="U88" s="15" t="str">
        <f>IF(OutPut[[#This Row],[time]]="","","amount_per_charge")</f>
        <v/>
      </c>
    </row>
    <row r="89" spans="2:21" x14ac:dyDescent="0.35">
      <c r="B89" s="15" t="str">
        <f>IF(OutPut[[#This Row],[time]]="","",'Config and arguments'!C$2)</f>
        <v/>
      </c>
      <c r="C89" s="15" t="str">
        <f>IF(OutPut[[#This Row],[time]]="","",'Config and arguments'!C$5)</f>
        <v/>
      </c>
      <c r="D89" s="15" t="str">
        <f>IF(OutPut[[#This Row],[time]]="","",'Config and arguments'!C$6)</f>
        <v/>
      </c>
      <c r="E89" s="15" t="str">
        <f>IF(OutPut[[#This Row],[time]]="","","IGNORED")</f>
        <v/>
      </c>
      <c r="F89" s="15" t="str">
        <f>IF(OutPut[[#This Row],[time]]="","",G$3)</f>
        <v/>
      </c>
      <c r="G89" s="15" t="str">
        <f>IF(OutPut[[#This Row],[time]]="","",$E$3)</f>
        <v/>
      </c>
      <c r="H8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9" s="15" t="str">
        <f>IF(OutPut[[#This Row],[time]]="","","kWh")</f>
        <v/>
      </c>
      <c r="J8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9" s="15" t="str">
        <f>'Config and arguments'!AB87</f>
        <v/>
      </c>
      <c r="L89" s="15" t="str">
        <f>IF(OutPut[[#This Row],[time]]="","","PT1H")</f>
        <v/>
      </c>
      <c r="M89" s="15" t="str">
        <f>IF(OutPut[[#This Row],[time]]="","",$F$3)</f>
        <v/>
      </c>
      <c r="N89" s="16" t="str">
        <f>IF(OutPut[[#This Row],[time]]="","",IF($H$3="","",$H$3))</f>
        <v/>
      </c>
      <c r="O8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9" s="16" t="str">
        <f>IFERROR(SUBSTITUTE(SUBSTITUTE(OutPut[[#This Row],[price]],".",",")*SUBSTITUTE(OutPut[[#This Row],[quantity]],".",","),",","."),"")</f>
        <v/>
      </c>
      <c r="Q89" s="15" t="str">
        <f>IF(OutPut[[#This Row],[time]]="","",VLOOKUP(C$3,ChargePriceInformationPeriods[],5,FALSE))</f>
        <v/>
      </c>
      <c r="R89" s="15" t="str">
        <f>IF(OutPut[[#This Row],[time]]="","",$C$3)</f>
        <v/>
      </c>
      <c r="S89" s="15" t="str">
        <f>IF(OutPut[[#This Row],[time]]="","","tariff")</f>
        <v/>
      </c>
      <c r="T89" s="15" t="str">
        <f>IF(OutPut[[#This Row],[time]]="","",$D$3)</f>
        <v/>
      </c>
      <c r="U89" s="15" t="str">
        <f>IF(OutPut[[#This Row],[time]]="","","amount_per_charge")</f>
        <v/>
      </c>
    </row>
    <row r="90" spans="2:21" x14ac:dyDescent="0.35">
      <c r="B90" s="15" t="str">
        <f>IF(OutPut[[#This Row],[time]]="","",'Config and arguments'!C$2)</f>
        <v/>
      </c>
      <c r="C90" s="15" t="str">
        <f>IF(OutPut[[#This Row],[time]]="","",'Config and arguments'!C$5)</f>
        <v/>
      </c>
      <c r="D90" s="15" t="str">
        <f>IF(OutPut[[#This Row],[time]]="","",'Config and arguments'!C$6)</f>
        <v/>
      </c>
      <c r="E90" s="15" t="str">
        <f>IF(OutPut[[#This Row],[time]]="","","IGNORED")</f>
        <v/>
      </c>
      <c r="F90" s="15" t="str">
        <f>IF(OutPut[[#This Row],[time]]="","",G$3)</f>
        <v/>
      </c>
      <c r="G90" s="15" t="str">
        <f>IF(OutPut[[#This Row],[time]]="","",$E$3)</f>
        <v/>
      </c>
      <c r="H9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0" s="15" t="str">
        <f>IF(OutPut[[#This Row],[time]]="","","kWh")</f>
        <v/>
      </c>
      <c r="J9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0" s="15" t="str">
        <f>'Config and arguments'!AB88</f>
        <v/>
      </c>
      <c r="L90" s="15" t="str">
        <f>IF(OutPut[[#This Row],[time]]="","","PT1H")</f>
        <v/>
      </c>
      <c r="M90" s="15" t="str">
        <f>IF(OutPut[[#This Row],[time]]="","",$F$3)</f>
        <v/>
      </c>
      <c r="N90" s="16" t="str">
        <f>IF(OutPut[[#This Row],[time]]="","",IF($H$3="","",$H$3))</f>
        <v/>
      </c>
      <c r="O9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0" s="16" t="str">
        <f>IFERROR(SUBSTITUTE(SUBSTITUTE(OutPut[[#This Row],[price]],".",",")*SUBSTITUTE(OutPut[[#This Row],[quantity]],".",","),",","."),"")</f>
        <v/>
      </c>
      <c r="Q90" s="15" t="str">
        <f>IF(OutPut[[#This Row],[time]]="","",VLOOKUP(C$3,ChargePriceInformationPeriods[],5,FALSE))</f>
        <v/>
      </c>
      <c r="R90" s="15" t="str">
        <f>IF(OutPut[[#This Row],[time]]="","",$C$3)</f>
        <v/>
      </c>
      <c r="S90" s="15" t="str">
        <f>IF(OutPut[[#This Row],[time]]="","","tariff")</f>
        <v/>
      </c>
      <c r="T90" s="15" t="str">
        <f>IF(OutPut[[#This Row],[time]]="","",$D$3)</f>
        <v/>
      </c>
      <c r="U90" s="15" t="str">
        <f>IF(OutPut[[#This Row],[time]]="","","amount_per_charge")</f>
        <v/>
      </c>
    </row>
    <row r="91" spans="2:21" x14ac:dyDescent="0.35">
      <c r="B91" s="15" t="str">
        <f>IF(OutPut[[#This Row],[time]]="","",'Config and arguments'!C$2)</f>
        <v/>
      </c>
      <c r="C91" s="15" t="str">
        <f>IF(OutPut[[#This Row],[time]]="","",'Config and arguments'!C$5)</f>
        <v/>
      </c>
      <c r="D91" s="15" t="str">
        <f>IF(OutPut[[#This Row],[time]]="","",'Config and arguments'!C$6)</f>
        <v/>
      </c>
      <c r="E91" s="15" t="str">
        <f>IF(OutPut[[#This Row],[time]]="","","IGNORED")</f>
        <v/>
      </c>
      <c r="F91" s="15" t="str">
        <f>IF(OutPut[[#This Row],[time]]="","",G$3)</f>
        <v/>
      </c>
      <c r="G91" s="15" t="str">
        <f>IF(OutPut[[#This Row],[time]]="","",$E$3)</f>
        <v/>
      </c>
      <c r="H9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1" s="15" t="str">
        <f>IF(OutPut[[#This Row],[time]]="","","kWh")</f>
        <v/>
      </c>
      <c r="J9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1" s="15" t="str">
        <f>'Config and arguments'!AB89</f>
        <v/>
      </c>
      <c r="L91" s="15" t="str">
        <f>IF(OutPut[[#This Row],[time]]="","","PT1H")</f>
        <v/>
      </c>
      <c r="M91" s="15" t="str">
        <f>IF(OutPut[[#This Row],[time]]="","",$F$3)</f>
        <v/>
      </c>
      <c r="N91" s="16" t="str">
        <f>IF(OutPut[[#This Row],[time]]="","",IF($H$3="","",$H$3))</f>
        <v/>
      </c>
      <c r="O9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1" s="16" t="str">
        <f>IFERROR(SUBSTITUTE(SUBSTITUTE(OutPut[[#This Row],[price]],".",",")*SUBSTITUTE(OutPut[[#This Row],[quantity]],".",","),",","."),"")</f>
        <v/>
      </c>
      <c r="Q91" s="15" t="str">
        <f>IF(OutPut[[#This Row],[time]]="","",VLOOKUP(C$3,ChargePriceInformationPeriods[],5,FALSE))</f>
        <v/>
      </c>
      <c r="R91" s="15" t="str">
        <f>IF(OutPut[[#This Row],[time]]="","",$C$3)</f>
        <v/>
      </c>
      <c r="S91" s="15" t="str">
        <f>IF(OutPut[[#This Row],[time]]="","","tariff")</f>
        <v/>
      </c>
      <c r="T91" s="15" t="str">
        <f>IF(OutPut[[#This Row],[time]]="","",$D$3)</f>
        <v/>
      </c>
      <c r="U91" s="15" t="str">
        <f>IF(OutPut[[#This Row],[time]]="","","amount_per_charge")</f>
        <v/>
      </c>
    </row>
    <row r="92" spans="2:21" x14ac:dyDescent="0.35">
      <c r="B92" s="15" t="str">
        <f>IF(OutPut[[#This Row],[time]]="","",'Config and arguments'!C$2)</f>
        <v/>
      </c>
      <c r="C92" s="15" t="str">
        <f>IF(OutPut[[#This Row],[time]]="","",'Config and arguments'!C$5)</f>
        <v/>
      </c>
      <c r="D92" s="15" t="str">
        <f>IF(OutPut[[#This Row],[time]]="","",'Config and arguments'!C$6)</f>
        <v/>
      </c>
      <c r="E92" s="15" t="str">
        <f>IF(OutPut[[#This Row],[time]]="","","IGNORED")</f>
        <v/>
      </c>
      <c r="F92" s="15" t="str">
        <f>IF(OutPut[[#This Row],[time]]="","",G$3)</f>
        <v/>
      </c>
      <c r="G92" s="15" t="str">
        <f>IF(OutPut[[#This Row],[time]]="","",$E$3)</f>
        <v/>
      </c>
      <c r="H9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2" s="15" t="str">
        <f>IF(OutPut[[#This Row],[time]]="","","kWh")</f>
        <v/>
      </c>
      <c r="J9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2" s="15" t="str">
        <f>'Config and arguments'!AB90</f>
        <v/>
      </c>
      <c r="L92" s="15" t="str">
        <f>IF(OutPut[[#This Row],[time]]="","","PT1H")</f>
        <v/>
      </c>
      <c r="M92" s="15" t="str">
        <f>IF(OutPut[[#This Row],[time]]="","",$F$3)</f>
        <v/>
      </c>
      <c r="N92" s="16" t="str">
        <f>IF(OutPut[[#This Row],[time]]="","",IF($H$3="","",$H$3))</f>
        <v/>
      </c>
      <c r="O9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2" s="16" t="str">
        <f>IFERROR(SUBSTITUTE(SUBSTITUTE(OutPut[[#This Row],[price]],".",",")*SUBSTITUTE(OutPut[[#This Row],[quantity]],".",","),",","."),"")</f>
        <v/>
      </c>
      <c r="Q92" s="15" t="str">
        <f>IF(OutPut[[#This Row],[time]]="","",VLOOKUP(C$3,ChargePriceInformationPeriods[],5,FALSE))</f>
        <v/>
      </c>
      <c r="R92" s="15" t="str">
        <f>IF(OutPut[[#This Row],[time]]="","",$C$3)</f>
        <v/>
      </c>
      <c r="S92" s="15" t="str">
        <f>IF(OutPut[[#This Row],[time]]="","","tariff")</f>
        <v/>
      </c>
      <c r="T92" s="15" t="str">
        <f>IF(OutPut[[#This Row],[time]]="","",$D$3)</f>
        <v/>
      </c>
      <c r="U92" s="15" t="str">
        <f>IF(OutPut[[#This Row],[time]]="","","amount_per_charge")</f>
        <v/>
      </c>
    </row>
    <row r="93" spans="2:21" x14ac:dyDescent="0.35">
      <c r="B93" s="15" t="str">
        <f>IF(OutPut[[#This Row],[time]]="","",'Config and arguments'!C$2)</f>
        <v/>
      </c>
      <c r="C93" s="15" t="str">
        <f>IF(OutPut[[#This Row],[time]]="","",'Config and arguments'!C$5)</f>
        <v/>
      </c>
      <c r="D93" s="15" t="str">
        <f>IF(OutPut[[#This Row],[time]]="","",'Config and arguments'!C$6)</f>
        <v/>
      </c>
      <c r="E93" s="15" t="str">
        <f>IF(OutPut[[#This Row],[time]]="","","IGNORED")</f>
        <v/>
      </c>
      <c r="F93" s="15" t="str">
        <f>IF(OutPut[[#This Row],[time]]="","",G$3)</f>
        <v/>
      </c>
      <c r="G93" s="15" t="str">
        <f>IF(OutPut[[#This Row],[time]]="","",$E$3)</f>
        <v/>
      </c>
      <c r="H9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3" s="15" t="str">
        <f>IF(OutPut[[#This Row],[time]]="","","kWh")</f>
        <v/>
      </c>
      <c r="J9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3" s="15" t="str">
        <f>'Config and arguments'!AB91</f>
        <v/>
      </c>
      <c r="L93" s="15" t="str">
        <f>IF(OutPut[[#This Row],[time]]="","","PT1H")</f>
        <v/>
      </c>
      <c r="M93" s="15" t="str">
        <f>IF(OutPut[[#This Row],[time]]="","",$F$3)</f>
        <v/>
      </c>
      <c r="N93" s="16" t="str">
        <f>IF(OutPut[[#This Row],[time]]="","",IF($H$3="","",$H$3))</f>
        <v/>
      </c>
      <c r="O9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3" s="16" t="str">
        <f>IFERROR(SUBSTITUTE(SUBSTITUTE(OutPut[[#This Row],[price]],".",",")*SUBSTITUTE(OutPut[[#This Row],[quantity]],".",","),",","."),"")</f>
        <v/>
      </c>
      <c r="Q93" s="15" t="str">
        <f>IF(OutPut[[#This Row],[time]]="","",VLOOKUP(C$3,ChargePriceInformationPeriods[],5,FALSE))</f>
        <v/>
      </c>
      <c r="R93" s="15" t="str">
        <f>IF(OutPut[[#This Row],[time]]="","",$C$3)</f>
        <v/>
      </c>
      <c r="S93" s="15" t="str">
        <f>IF(OutPut[[#This Row],[time]]="","","tariff")</f>
        <v/>
      </c>
      <c r="T93" s="15" t="str">
        <f>IF(OutPut[[#This Row],[time]]="","",$D$3)</f>
        <v/>
      </c>
      <c r="U93" s="15" t="str">
        <f>IF(OutPut[[#This Row],[time]]="","","amount_per_charge")</f>
        <v/>
      </c>
    </row>
    <row r="94" spans="2:21" x14ac:dyDescent="0.35">
      <c r="B94" s="15" t="str">
        <f>IF(OutPut[[#This Row],[time]]="","",'Config and arguments'!C$2)</f>
        <v/>
      </c>
      <c r="C94" s="15" t="str">
        <f>IF(OutPut[[#This Row],[time]]="","",'Config and arguments'!C$5)</f>
        <v/>
      </c>
      <c r="D94" s="15" t="str">
        <f>IF(OutPut[[#This Row],[time]]="","",'Config and arguments'!C$6)</f>
        <v/>
      </c>
      <c r="E94" s="15" t="str">
        <f>IF(OutPut[[#This Row],[time]]="","","IGNORED")</f>
        <v/>
      </c>
      <c r="F94" s="15" t="str">
        <f>IF(OutPut[[#This Row],[time]]="","",G$3)</f>
        <v/>
      </c>
      <c r="G94" s="15" t="str">
        <f>IF(OutPut[[#This Row],[time]]="","",$E$3)</f>
        <v/>
      </c>
      <c r="H9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4" s="15" t="str">
        <f>IF(OutPut[[#This Row],[time]]="","","kWh")</f>
        <v/>
      </c>
      <c r="J9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4" s="15" t="str">
        <f>'Config and arguments'!AB92</f>
        <v/>
      </c>
      <c r="L94" s="15" t="str">
        <f>IF(OutPut[[#This Row],[time]]="","","PT1H")</f>
        <v/>
      </c>
      <c r="M94" s="15" t="str">
        <f>IF(OutPut[[#This Row],[time]]="","",$F$3)</f>
        <v/>
      </c>
      <c r="N94" s="16" t="str">
        <f>IF(OutPut[[#This Row],[time]]="","",IF($H$3="","",$H$3))</f>
        <v/>
      </c>
      <c r="O9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4" s="16" t="str">
        <f>IFERROR(SUBSTITUTE(SUBSTITUTE(OutPut[[#This Row],[price]],".",",")*SUBSTITUTE(OutPut[[#This Row],[quantity]],".",","),",","."),"")</f>
        <v/>
      </c>
      <c r="Q94" s="15" t="str">
        <f>IF(OutPut[[#This Row],[time]]="","",VLOOKUP(C$3,ChargePriceInformationPeriods[],5,FALSE))</f>
        <v/>
      </c>
      <c r="R94" s="15" t="str">
        <f>IF(OutPut[[#This Row],[time]]="","",$C$3)</f>
        <v/>
      </c>
      <c r="S94" s="15" t="str">
        <f>IF(OutPut[[#This Row],[time]]="","","tariff")</f>
        <v/>
      </c>
      <c r="T94" s="15" t="str">
        <f>IF(OutPut[[#This Row],[time]]="","",$D$3)</f>
        <v/>
      </c>
      <c r="U94" s="15" t="str">
        <f>IF(OutPut[[#This Row],[time]]="","","amount_per_charge")</f>
        <v/>
      </c>
    </row>
    <row r="95" spans="2:21" x14ac:dyDescent="0.35">
      <c r="B95" s="15" t="str">
        <f>IF(OutPut[[#This Row],[time]]="","",'Config and arguments'!C$2)</f>
        <v/>
      </c>
      <c r="C95" s="15" t="str">
        <f>IF(OutPut[[#This Row],[time]]="","",'Config and arguments'!C$5)</f>
        <v/>
      </c>
      <c r="D95" s="15" t="str">
        <f>IF(OutPut[[#This Row],[time]]="","",'Config and arguments'!C$6)</f>
        <v/>
      </c>
      <c r="E95" s="15" t="str">
        <f>IF(OutPut[[#This Row],[time]]="","","IGNORED")</f>
        <v/>
      </c>
      <c r="F95" s="15" t="str">
        <f>IF(OutPut[[#This Row],[time]]="","",G$3)</f>
        <v/>
      </c>
      <c r="G95" s="15" t="str">
        <f>IF(OutPut[[#This Row],[time]]="","",$E$3)</f>
        <v/>
      </c>
      <c r="H9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5" s="15" t="str">
        <f>IF(OutPut[[#This Row],[time]]="","","kWh")</f>
        <v/>
      </c>
      <c r="J9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5" s="15" t="str">
        <f>'Config and arguments'!AB93</f>
        <v/>
      </c>
      <c r="L95" s="15" t="str">
        <f>IF(OutPut[[#This Row],[time]]="","","PT1H")</f>
        <v/>
      </c>
      <c r="M95" s="15" t="str">
        <f>IF(OutPut[[#This Row],[time]]="","",$F$3)</f>
        <v/>
      </c>
      <c r="N95" s="16" t="str">
        <f>IF(OutPut[[#This Row],[time]]="","",IF($H$3="","",$H$3))</f>
        <v/>
      </c>
      <c r="O9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5" s="16" t="str">
        <f>IFERROR(SUBSTITUTE(SUBSTITUTE(OutPut[[#This Row],[price]],".",",")*SUBSTITUTE(OutPut[[#This Row],[quantity]],".",","),",","."),"")</f>
        <v/>
      </c>
      <c r="Q95" s="15" t="str">
        <f>IF(OutPut[[#This Row],[time]]="","",VLOOKUP(C$3,ChargePriceInformationPeriods[],5,FALSE))</f>
        <v/>
      </c>
      <c r="R95" s="15" t="str">
        <f>IF(OutPut[[#This Row],[time]]="","",$C$3)</f>
        <v/>
      </c>
      <c r="S95" s="15" t="str">
        <f>IF(OutPut[[#This Row],[time]]="","","tariff")</f>
        <v/>
      </c>
      <c r="T95" s="15" t="str">
        <f>IF(OutPut[[#This Row],[time]]="","",$D$3)</f>
        <v/>
      </c>
      <c r="U95" s="15" t="str">
        <f>IF(OutPut[[#This Row],[time]]="","","amount_per_charge")</f>
        <v/>
      </c>
    </row>
    <row r="96" spans="2:21" x14ac:dyDescent="0.35">
      <c r="B96" s="15" t="str">
        <f>IF(OutPut[[#This Row],[time]]="","",'Config and arguments'!C$2)</f>
        <v/>
      </c>
      <c r="C96" s="15" t="str">
        <f>IF(OutPut[[#This Row],[time]]="","",'Config and arguments'!C$5)</f>
        <v/>
      </c>
      <c r="D96" s="15" t="str">
        <f>IF(OutPut[[#This Row],[time]]="","",'Config and arguments'!C$6)</f>
        <v/>
      </c>
      <c r="E96" s="15" t="str">
        <f>IF(OutPut[[#This Row],[time]]="","","IGNORED")</f>
        <v/>
      </c>
      <c r="F96" s="15" t="str">
        <f>IF(OutPut[[#This Row],[time]]="","",G$3)</f>
        <v/>
      </c>
      <c r="G96" s="15" t="str">
        <f>IF(OutPut[[#This Row],[time]]="","",$E$3)</f>
        <v/>
      </c>
      <c r="H9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6" s="15" t="str">
        <f>IF(OutPut[[#This Row],[time]]="","","kWh")</f>
        <v/>
      </c>
      <c r="J9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6" s="15" t="str">
        <f>'Config and arguments'!AB94</f>
        <v/>
      </c>
      <c r="L96" s="15" t="str">
        <f>IF(OutPut[[#This Row],[time]]="","","PT1H")</f>
        <v/>
      </c>
      <c r="M96" s="15" t="str">
        <f>IF(OutPut[[#This Row],[time]]="","",$F$3)</f>
        <v/>
      </c>
      <c r="N96" s="16" t="str">
        <f>IF(OutPut[[#This Row],[time]]="","",IF($H$3="","",$H$3))</f>
        <v/>
      </c>
      <c r="O9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6" s="16" t="str">
        <f>IFERROR(SUBSTITUTE(SUBSTITUTE(OutPut[[#This Row],[price]],".",",")*SUBSTITUTE(OutPut[[#This Row],[quantity]],".",","),",","."),"")</f>
        <v/>
      </c>
      <c r="Q96" s="15" t="str">
        <f>IF(OutPut[[#This Row],[time]]="","",VLOOKUP(C$3,ChargePriceInformationPeriods[],5,FALSE))</f>
        <v/>
      </c>
      <c r="R96" s="15" t="str">
        <f>IF(OutPut[[#This Row],[time]]="","",$C$3)</f>
        <v/>
      </c>
      <c r="S96" s="15" t="str">
        <f>IF(OutPut[[#This Row],[time]]="","","tariff")</f>
        <v/>
      </c>
      <c r="T96" s="15" t="str">
        <f>IF(OutPut[[#This Row],[time]]="","",$D$3)</f>
        <v/>
      </c>
      <c r="U96" s="15" t="str">
        <f>IF(OutPut[[#This Row],[time]]="","","amount_per_charge")</f>
        <v/>
      </c>
    </row>
    <row r="97" spans="2:21" x14ac:dyDescent="0.35">
      <c r="B97" s="15" t="str">
        <f>IF(OutPut[[#This Row],[time]]="","",'Config and arguments'!C$2)</f>
        <v/>
      </c>
      <c r="C97" s="15" t="str">
        <f>IF(OutPut[[#This Row],[time]]="","",'Config and arguments'!C$5)</f>
        <v/>
      </c>
      <c r="D97" s="15" t="str">
        <f>IF(OutPut[[#This Row],[time]]="","",'Config and arguments'!C$6)</f>
        <v/>
      </c>
      <c r="E97" s="15" t="str">
        <f>IF(OutPut[[#This Row],[time]]="","","IGNORED")</f>
        <v/>
      </c>
      <c r="F97" s="15" t="str">
        <f>IF(OutPut[[#This Row],[time]]="","",G$3)</f>
        <v/>
      </c>
      <c r="G97" s="15" t="str">
        <f>IF(OutPut[[#This Row],[time]]="","",$E$3)</f>
        <v/>
      </c>
      <c r="H9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7" s="15" t="str">
        <f>IF(OutPut[[#This Row],[time]]="","","kWh")</f>
        <v/>
      </c>
      <c r="J9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7" s="15" t="str">
        <f>'Config and arguments'!AB95</f>
        <v/>
      </c>
      <c r="L97" s="15" t="str">
        <f>IF(OutPut[[#This Row],[time]]="","","PT1H")</f>
        <v/>
      </c>
      <c r="M97" s="15" t="str">
        <f>IF(OutPut[[#This Row],[time]]="","",$F$3)</f>
        <v/>
      </c>
      <c r="N97" s="16" t="str">
        <f>IF(OutPut[[#This Row],[time]]="","",IF($H$3="","",$H$3))</f>
        <v/>
      </c>
      <c r="O9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7" s="16" t="str">
        <f>IFERROR(SUBSTITUTE(SUBSTITUTE(OutPut[[#This Row],[price]],".",",")*SUBSTITUTE(OutPut[[#This Row],[quantity]],".",","),",","."),"")</f>
        <v/>
      </c>
      <c r="Q97" s="15" t="str">
        <f>IF(OutPut[[#This Row],[time]]="","",VLOOKUP(C$3,ChargePriceInformationPeriods[],5,FALSE))</f>
        <v/>
      </c>
      <c r="R97" s="15" t="str">
        <f>IF(OutPut[[#This Row],[time]]="","",$C$3)</f>
        <v/>
      </c>
      <c r="S97" s="15" t="str">
        <f>IF(OutPut[[#This Row],[time]]="","","tariff")</f>
        <v/>
      </c>
      <c r="T97" s="15" t="str">
        <f>IF(OutPut[[#This Row],[time]]="","",$D$3)</f>
        <v/>
      </c>
      <c r="U97" s="15" t="str">
        <f>IF(OutPut[[#This Row],[time]]="","","amount_per_charge")</f>
        <v/>
      </c>
    </row>
    <row r="98" spans="2:21" x14ac:dyDescent="0.35">
      <c r="B98" s="15" t="str">
        <f>IF(OutPut[[#This Row],[time]]="","",'Config and arguments'!C$2)</f>
        <v/>
      </c>
      <c r="C98" s="15" t="str">
        <f>IF(OutPut[[#This Row],[time]]="","",'Config and arguments'!C$5)</f>
        <v/>
      </c>
      <c r="D98" s="15" t="str">
        <f>IF(OutPut[[#This Row],[time]]="","",'Config and arguments'!C$6)</f>
        <v/>
      </c>
      <c r="E98" s="15" t="str">
        <f>IF(OutPut[[#This Row],[time]]="","","IGNORED")</f>
        <v/>
      </c>
      <c r="F98" s="15" t="str">
        <f>IF(OutPut[[#This Row],[time]]="","",G$3)</f>
        <v/>
      </c>
      <c r="G98" s="15" t="str">
        <f>IF(OutPut[[#This Row],[time]]="","",$E$3)</f>
        <v/>
      </c>
      <c r="H9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8" s="15" t="str">
        <f>IF(OutPut[[#This Row],[time]]="","","kWh")</f>
        <v/>
      </c>
      <c r="J9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8" s="15" t="str">
        <f>'Config and arguments'!AB96</f>
        <v/>
      </c>
      <c r="L98" s="15" t="str">
        <f>IF(OutPut[[#This Row],[time]]="","","PT1H")</f>
        <v/>
      </c>
      <c r="M98" s="15" t="str">
        <f>IF(OutPut[[#This Row],[time]]="","",$F$3)</f>
        <v/>
      </c>
      <c r="N98" s="16" t="str">
        <f>IF(OutPut[[#This Row],[time]]="","",IF($H$3="","",$H$3))</f>
        <v/>
      </c>
      <c r="O9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8" s="16" t="str">
        <f>IFERROR(SUBSTITUTE(SUBSTITUTE(OutPut[[#This Row],[price]],".",",")*SUBSTITUTE(OutPut[[#This Row],[quantity]],".",","),",","."),"")</f>
        <v/>
      </c>
      <c r="Q98" s="15" t="str">
        <f>IF(OutPut[[#This Row],[time]]="","",VLOOKUP(C$3,ChargePriceInformationPeriods[],5,FALSE))</f>
        <v/>
      </c>
      <c r="R98" s="15" t="str">
        <f>IF(OutPut[[#This Row],[time]]="","",$C$3)</f>
        <v/>
      </c>
      <c r="S98" s="15" t="str">
        <f>IF(OutPut[[#This Row],[time]]="","","tariff")</f>
        <v/>
      </c>
      <c r="T98" s="15" t="str">
        <f>IF(OutPut[[#This Row],[time]]="","",$D$3)</f>
        <v/>
      </c>
      <c r="U98" s="15" t="str">
        <f>IF(OutPut[[#This Row],[time]]="","","amount_per_charge")</f>
        <v/>
      </c>
    </row>
    <row r="99" spans="2:21" x14ac:dyDescent="0.35">
      <c r="B99" s="15" t="str">
        <f>IF(OutPut[[#This Row],[time]]="","",'Config and arguments'!C$2)</f>
        <v/>
      </c>
      <c r="C99" s="15" t="str">
        <f>IF(OutPut[[#This Row],[time]]="","",'Config and arguments'!C$5)</f>
        <v/>
      </c>
      <c r="D99" s="15" t="str">
        <f>IF(OutPut[[#This Row],[time]]="","",'Config and arguments'!C$6)</f>
        <v/>
      </c>
      <c r="E99" s="15" t="str">
        <f>IF(OutPut[[#This Row],[time]]="","","IGNORED")</f>
        <v/>
      </c>
      <c r="F99" s="15" t="str">
        <f>IF(OutPut[[#This Row],[time]]="","",G$3)</f>
        <v/>
      </c>
      <c r="G99" s="15" t="str">
        <f>IF(OutPut[[#This Row],[time]]="","",$E$3)</f>
        <v/>
      </c>
      <c r="H9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9" s="15" t="str">
        <f>IF(OutPut[[#This Row],[time]]="","","kWh")</f>
        <v/>
      </c>
      <c r="J9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9" s="15" t="str">
        <f>'Config and arguments'!AB97</f>
        <v/>
      </c>
      <c r="L99" s="15" t="str">
        <f>IF(OutPut[[#This Row],[time]]="","","PT1H")</f>
        <v/>
      </c>
      <c r="M99" s="15" t="str">
        <f>IF(OutPut[[#This Row],[time]]="","",$F$3)</f>
        <v/>
      </c>
      <c r="N99" s="16" t="str">
        <f>IF(OutPut[[#This Row],[time]]="","",IF($H$3="","",$H$3))</f>
        <v/>
      </c>
      <c r="O9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9" s="16" t="str">
        <f>IFERROR(SUBSTITUTE(SUBSTITUTE(OutPut[[#This Row],[price]],".",",")*SUBSTITUTE(OutPut[[#This Row],[quantity]],".",","),",","."),"")</f>
        <v/>
      </c>
      <c r="Q99" s="15" t="str">
        <f>IF(OutPut[[#This Row],[time]]="","",VLOOKUP(C$3,ChargePriceInformationPeriods[],5,FALSE))</f>
        <v/>
      </c>
      <c r="R99" s="15" t="str">
        <f>IF(OutPut[[#This Row],[time]]="","",$C$3)</f>
        <v/>
      </c>
      <c r="S99" s="15" t="str">
        <f>IF(OutPut[[#This Row],[time]]="","","tariff")</f>
        <v/>
      </c>
      <c r="T99" s="15" t="str">
        <f>IF(OutPut[[#This Row],[time]]="","",$D$3)</f>
        <v/>
      </c>
      <c r="U99" s="15" t="str">
        <f>IF(OutPut[[#This Row],[time]]="","","amount_per_charge")</f>
        <v/>
      </c>
    </row>
    <row r="100" spans="2:21" x14ac:dyDescent="0.35">
      <c r="B100" s="15" t="str">
        <f>IF(OutPut[[#This Row],[time]]="","",'Config and arguments'!C$2)</f>
        <v/>
      </c>
      <c r="C100" s="15" t="str">
        <f>IF(OutPut[[#This Row],[time]]="","",'Config and arguments'!C$5)</f>
        <v/>
      </c>
      <c r="D100" s="15" t="str">
        <f>IF(OutPut[[#This Row],[time]]="","",'Config and arguments'!C$6)</f>
        <v/>
      </c>
      <c r="E100" s="15" t="str">
        <f>IF(OutPut[[#This Row],[time]]="","","IGNORED")</f>
        <v/>
      </c>
      <c r="F100" s="15" t="str">
        <f>IF(OutPut[[#This Row],[time]]="","",G$3)</f>
        <v/>
      </c>
      <c r="G100" s="15" t="str">
        <f>IF(OutPut[[#This Row],[time]]="","",$E$3)</f>
        <v/>
      </c>
      <c r="H10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100" s="15" t="str">
        <f>IF(OutPut[[#This Row],[time]]="","","kWh")</f>
        <v/>
      </c>
      <c r="J10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100" s="15" t="str">
        <f>'Config and arguments'!AB98</f>
        <v/>
      </c>
      <c r="L100" s="15" t="str">
        <f>IF(OutPut[[#This Row],[time]]="","","PT1H")</f>
        <v/>
      </c>
      <c r="M100" s="15" t="str">
        <f>IF(OutPut[[#This Row],[time]]="","",$F$3)</f>
        <v/>
      </c>
      <c r="N100" s="16" t="str">
        <f>IF(OutPut[[#This Row],[time]]="","",IF($H$3="","",$H$3))</f>
        <v/>
      </c>
      <c r="O10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00" s="16" t="str">
        <f>IFERROR(SUBSTITUTE(SUBSTITUTE(OutPut[[#This Row],[price]],".",",")*SUBSTITUTE(OutPut[[#This Row],[quantity]],".",","),",","."),"")</f>
        <v/>
      </c>
      <c r="Q100" s="15" t="str">
        <f>IF(OutPut[[#This Row],[time]]="","",VLOOKUP(C$3,ChargePriceInformationPeriods[],5,FALSE))</f>
        <v/>
      </c>
      <c r="R100" s="15" t="str">
        <f>IF(OutPut[[#This Row],[time]]="","",$C$3)</f>
        <v/>
      </c>
      <c r="S100" s="15" t="str">
        <f>IF(OutPut[[#This Row],[time]]="","","tariff")</f>
        <v/>
      </c>
      <c r="T100" s="15" t="str">
        <f>IF(OutPut[[#This Row],[time]]="","",$D$3)</f>
        <v/>
      </c>
      <c r="U100" s="15" t="str">
        <f>IF(OutPut[[#This Row],[time]]="","","amount_per_charge")</f>
        <v/>
      </c>
    </row>
  </sheetData>
  <mergeCells count="1">
    <mergeCell ref="C1:F1"/>
  </mergeCells>
  <phoneticPr fontId="1" type="noConversion"/>
  <dataValidations count="1">
    <dataValidation type="list" allowBlank="1" showInputMessage="1" showErrorMessage="1" sqref="C1" xr:uid="{2E219B63-EF29-459D-A57D-F647F4C2EE29}">
      <formula1>$AD$4:$AD$40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DE9B-2D41-4976-BCEB-AE00C6574AF0}">
  <dimension ref="A1:AC287"/>
  <sheetViews>
    <sheetView topLeftCell="A42" workbookViewId="0">
      <selection activeCell="AA15" sqref="AA15"/>
    </sheetView>
  </sheetViews>
  <sheetFormatPr defaultRowHeight="14.5" x14ac:dyDescent="0.35"/>
  <cols>
    <col min="1" max="1" width="37.7265625" style="3" customWidth="1"/>
    <col min="2" max="2" width="50.453125" style="9" bestFit="1" customWidth="1"/>
    <col min="3" max="3" width="36.26953125" style="3" bestFit="1" customWidth="1"/>
    <col min="4" max="8" width="10.6328125" style="3" customWidth="1"/>
    <col min="9" max="9" width="8.7265625" style="3"/>
    <col min="10" max="10" width="17.7265625" style="3" bestFit="1" customWidth="1"/>
    <col min="11" max="27" width="8.7265625" style="3"/>
    <col min="28" max="28" width="32.6328125" style="6" customWidth="1"/>
    <col min="29" max="29" width="19.36328125" style="6" bestFit="1" customWidth="1"/>
    <col min="30" max="16384" width="8.7265625" style="3"/>
  </cols>
  <sheetData>
    <row r="1" spans="1:29" ht="26" x14ac:dyDescent="0.6">
      <c r="A1" s="23" t="s">
        <v>165</v>
      </c>
      <c r="B1" s="17" t="s">
        <v>119</v>
      </c>
      <c r="C1" s="20">
        <v>800</v>
      </c>
      <c r="D1" s="21">
        <v>111</v>
      </c>
      <c r="E1" s="21"/>
      <c r="F1" s="21"/>
      <c r="G1" s="21"/>
      <c r="H1" s="21"/>
    </row>
    <row r="2" spans="1:29" x14ac:dyDescent="0.35">
      <c r="B2" s="17" t="s">
        <v>164</v>
      </c>
      <c r="C2" s="20" t="s">
        <v>88</v>
      </c>
      <c r="AB2" s="6" t="s">
        <v>157</v>
      </c>
      <c r="AC2" s="6" t="s">
        <v>158</v>
      </c>
    </row>
    <row r="3" spans="1:29" x14ac:dyDescent="0.35">
      <c r="B3" s="17" t="s">
        <v>125</v>
      </c>
      <c r="C3" s="20" t="s">
        <v>127</v>
      </c>
      <c r="H3" s="18"/>
      <c r="AA3" s="3" t="s">
        <v>175</v>
      </c>
      <c r="AB3" s="8" t="str">
        <f>C3</f>
        <v>2023-01-31 23:00:00</v>
      </c>
      <c r="AC3" s="24" t="str">
        <f>LEFT(C3,10)</f>
        <v>2023-01-31</v>
      </c>
    </row>
    <row r="4" spans="1:29" x14ac:dyDescent="0.35">
      <c r="B4" s="17" t="s">
        <v>124</v>
      </c>
      <c r="C4" s="20" t="s">
        <v>128</v>
      </c>
      <c r="H4" s="18"/>
      <c r="AA4" s="3" t="s">
        <v>175</v>
      </c>
      <c r="AB4" s="8" t="str">
        <f t="shared" ref="AB4:AB35" si="0">IF(C$4&gt;TEXT(AB$3+((ROW()-3)/24),"åååå-mm-dd tt:mm:ss"),TEXT(AB$3+((ROW()-3)/24),"åååå-mm-dd tt:mm:ss"),"")</f>
        <v>2023-02-01 00:00:00</v>
      </c>
      <c r="AC4" s="8" t="str">
        <f>IF(C$4&gt;TEXT(AC$3+((ROW()-2)),"åååå-mm-dd"),TEXT(AC$3+((ROW()-3)),"åååå-mm-dd"),"")</f>
        <v>2023-02-01</v>
      </c>
    </row>
    <row r="5" spans="1:29" x14ac:dyDescent="0.35">
      <c r="B5" s="17" t="s">
        <v>122</v>
      </c>
      <c r="C5" s="20" t="s">
        <v>89</v>
      </c>
      <c r="H5" s="18"/>
      <c r="AA5" s="3" t="s">
        <v>175</v>
      </c>
      <c r="AB5" s="8" t="str">
        <f t="shared" si="0"/>
        <v>2023-02-01 01:00:00</v>
      </c>
      <c r="AC5" s="8" t="str">
        <f>IF(C$4&gt;TEXT(AC$3+((ROW()-2)),"åååå-mm-dd"),TEXT(AC$3+((ROW()-3)),"åååå-mm-dd"),"")</f>
        <v>2023-02-02</v>
      </c>
    </row>
    <row r="6" spans="1:29" x14ac:dyDescent="0.35">
      <c r="B6" s="17" t="s">
        <v>123</v>
      </c>
      <c r="C6" s="20" t="s">
        <v>90</v>
      </c>
      <c r="H6" s="18"/>
      <c r="AA6" s="3" t="s">
        <v>175</v>
      </c>
      <c r="AB6" s="8" t="str">
        <f t="shared" si="0"/>
        <v>2023-02-01 02:00:00</v>
      </c>
      <c r="AC6" s="8" t="str">
        <f>IF(C$4&gt;TEXT(AC$3+((ROW()-2)),"åååå-mm-dd"),TEXT(AC$3+((ROW()-3)),"åååå-mm-dd"),"")</f>
        <v/>
      </c>
    </row>
    <row r="7" spans="1:29" x14ac:dyDescent="0.35">
      <c r="B7" s="17" t="s">
        <v>126</v>
      </c>
      <c r="C7" s="20" t="s">
        <v>129</v>
      </c>
      <c r="H7" s="18"/>
      <c r="AA7" s="3" t="s">
        <v>175</v>
      </c>
      <c r="AB7" s="8" t="str">
        <f t="shared" si="0"/>
        <v>2023-02-01 03:00:00</v>
      </c>
      <c r="AC7" s="8"/>
    </row>
    <row r="8" spans="1:29" x14ac:dyDescent="0.35">
      <c r="D8" s="19"/>
      <c r="H8" s="18"/>
      <c r="AA8" s="3" t="s">
        <v>175</v>
      </c>
      <c r="AB8" s="8" t="str">
        <f t="shared" si="0"/>
        <v>2023-02-01 04:00:00</v>
      </c>
      <c r="AC8" s="8" t="str">
        <f>IF(C$4&gt;TEXT(AC$3+((ROW()-3)),"åååå-mm-dd"),TEXT(AC$3+((ROW()-3)),"åååå-mm-dd"),"")</f>
        <v/>
      </c>
    </row>
    <row r="9" spans="1:29" x14ac:dyDescent="0.35">
      <c r="A9" s="10" t="s">
        <v>54</v>
      </c>
      <c r="B9" s="10" t="s">
        <v>130</v>
      </c>
      <c r="D9" s="19"/>
      <c r="H9" s="18"/>
      <c r="AA9" s="3" t="s">
        <v>175</v>
      </c>
      <c r="AB9" s="8" t="str">
        <f t="shared" si="0"/>
        <v>2023-02-01 05:00:00</v>
      </c>
      <c r="AC9" s="8" t="str">
        <f>IF(C$4&gt;TEXT(AC$3+((ROW()-3)),"åååå-mm-dd"),TEXT(AC$3+((ROW()-3)),"åååå-mm-dd"),"")</f>
        <v/>
      </c>
    </row>
    <row r="10" spans="1:29" x14ac:dyDescent="0.35">
      <c r="A10" s="3" t="s">
        <v>18</v>
      </c>
      <c r="B10" s="3" t="s">
        <v>55</v>
      </c>
      <c r="D10" s="19"/>
      <c r="H10" s="18"/>
      <c r="AA10" s="3" t="s">
        <v>175</v>
      </c>
      <c r="AB10" s="8" t="str">
        <f t="shared" si="0"/>
        <v>2023-02-01 06:00:00</v>
      </c>
      <c r="AC10" s="8" t="str">
        <f>IF(C$4&gt;TEXT(AC$3+((ROW()-3)),"åååå-mm-dd"),TEXT(AC$3+((ROW()-3)),"åååå-mm-dd"),"")</f>
        <v/>
      </c>
    </row>
    <row r="11" spans="1:29" x14ac:dyDescent="0.35">
      <c r="A11" s="9" t="s">
        <v>22</v>
      </c>
      <c r="B11" s="9" t="s">
        <v>56</v>
      </c>
      <c r="D11" s="19"/>
      <c r="H11" s="18"/>
      <c r="AA11" s="3" t="s">
        <v>175</v>
      </c>
      <c r="AB11" s="8" t="str">
        <f t="shared" si="0"/>
        <v>2023-02-01 07:00:00</v>
      </c>
    </row>
    <row r="12" spans="1:29" x14ac:dyDescent="0.35">
      <c r="A12" s="9"/>
      <c r="D12" s="19"/>
      <c r="H12" s="18"/>
      <c r="AA12" s="3" t="s">
        <v>175</v>
      </c>
      <c r="AB12" s="8" t="str">
        <f t="shared" si="0"/>
        <v>2023-02-01 08:00:00</v>
      </c>
    </row>
    <row r="13" spans="1:29" x14ac:dyDescent="0.35">
      <c r="A13" s="10" t="s">
        <v>49</v>
      </c>
      <c r="B13" s="10" t="s">
        <v>131</v>
      </c>
      <c r="H13" s="18"/>
      <c r="AA13" s="3" t="s">
        <v>175</v>
      </c>
      <c r="AB13" s="8" t="str">
        <f t="shared" si="0"/>
        <v>2023-02-01 09:00:00</v>
      </c>
    </row>
    <row r="14" spans="1:29" x14ac:dyDescent="0.35">
      <c r="A14" s="22" t="s">
        <v>17</v>
      </c>
      <c r="B14" s="22" t="s">
        <v>50</v>
      </c>
      <c r="H14" s="18"/>
      <c r="AA14" s="3" t="s">
        <v>175</v>
      </c>
      <c r="AB14" s="8" t="str">
        <f t="shared" si="0"/>
        <v>2023-02-01 10:00:00</v>
      </c>
    </row>
    <row r="15" spans="1:29" x14ac:dyDescent="0.35">
      <c r="A15" s="4" t="s">
        <v>20</v>
      </c>
      <c r="B15" s="4" t="s">
        <v>51</v>
      </c>
      <c r="H15" s="18"/>
      <c r="AA15" s="3" t="s">
        <v>175</v>
      </c>
      <c r="AB15" s="8" t="str">
        <f t="shared" si="0"/>
        <v>2023-02-01 11:00:00</v>
      </c>
    </row>
    <row r="16" spans="1:29" x14ac:dyDescent="0.35">
      <c r="A16" s="4" t="s">
        <v>21</v>
      </c>
      <c r="B16" s="4" t="s">
        <v>53</v>
      </c>
      <c r="H16" s="18"/>
      <c r="AA16" s="3" t="s">
        <v>175</v>
      </c>
      <c r="AB16" s="8" t="str">
        <f t="shared" si="0"/>
        <v>2023-02-01 12:00:00</v>
      </c>
    </row>
    <row r="17" spans="1:28" x14ac:dyDescent="0.35">
      <c r="A17" s="4" t="s">
        <v>23</v>
      </c>
      <c r="B17" s="4" t="s">
        <v>52</v>
      </c>
      <c r="H17" s="18"/>
      <c r="AA17" s="3" t="s">
        <v>175</v>
      </c>
      <c r="AB17" s="8" t="str">
        <f t="shared" si="0"/>
        <v>2023-02-01 13:00:00</v>
      </c>
    </row>
    <row r="18" spans="1:28" x14ac:dyDescent="0.35">
      <c r="A18" s="4" t="s">
        <v>24</v>
      </c>
      <c r="B18" s="4" t="s">
        <v>74</v>
      </c>
      <c r="H18" s="18"/>
      <c r="AA18" s="3" t="s">
        <v>175</v>
      </c>
      <c r="AB18" s="8" t="str">
        <f t="shared" si="0"/>
        <v>2023-02-01 14:00:00</v>
      </c>
    </row>
    <row r="19" spans="1:28" x14ac:dyDescent="0.35">
      <c r="A19" s="4"/>
      <c r="B19" s="4"/>
      <c r="H19" s="18"/>
      <c r="AA19" s="3" t="s">
        <v>175</v>
      </c>
      <c r="AB19" s="8" t="str">
        <f t="shared" si="0"/>
        <v>2023-02-01 15:00:00</v>
      </c>
    </row>
    <row r="20" spans="1:28" x14ac:dyDescent="0.35">
      <c r="A20" s="4"/>
      <c r="B20" s="4"/>
      <c r="H20" s="18"/>
      <c r="AA20" s="3" t="s">
        <v>175</v>
      </c>
      <c r="AB20" s="8" t="str">
        <f t="shared" si="0"/>
        <v>2023-02-01 16:00:00</v>
      </c>
    </row>
    <row r="21" spans="1:28" x14ac:dyDescent="0.35">
      <c r="A21" s="4"/>
      <c r="B21" s="4"/>
      <c r="H21" s="18"/>
      <c r="AA21" s="3" t="s">
        <v>175</v>
      </c>
      <c r="AB21" s="8" t="str">
        <f t="shared" si="0"/>
        <v>2023-02-01 17:00:00</v>
      </c>
    </row>
    <row r="22" spans="1:28" x14ac:dyDescent="0.35">
      <c r="A22" s="4"/>
      <c r="B22" s="4"/>
      <c r="H22" s="18"/>
      <c r="AA22" s="3" t="s">
        <v>175</v>
      </c>
      <c r="AB22" s="8" t="str">
        <f t="shared" si="0"/>
        <v>2023-02-01 18:00:00</v>
      </c>
    </row>
    <row r="23" spans="1:28" x14ac:dyDescent="0.35">
      <c r="A23" s="4"/>
      <c r="B23" s="4"/>
      <c r="H23" s="18"/>
      <c r="AA23" s="3" t="s">
        <v>175</v>
      </c>
      <c r="AB23" s="8" t="str">
        <f t="shared" si="0"/>
        <v>2023-02-01 19:00:00</v>
      </c>
    </row>
    <row r="24" spans="1:28" x14ac:dyDescent="0.35">
      <c r="A24" s="4"/>
      <c r="B24" s="4"/>
      <c r="H24" s="18"/>
      <c r="AA24" s="3" t="s">
        <v>175</v>
      </c>
      <c r="AB24" s="8" t="str">
        <f t="shared" si="0"/>
        <v>2023-02-01 20:00:00</v>
      </c>
    </row>
    <row r="25" spans="1:28" x14ac:dyDescent="0.35">
      <c r="A25" s="4"/>
      <c r="B25" s="4"/>
      <c r="H25" s="18"/>
      <c r="AA25" s="3" t="s">
        <v>175</v>
      </c>
      <c r="AB25" s="8" t="str">
        <f t="shared" si="0"/>
        <v>2023-02-01 21:00:00</v>
      </c>
    </row>
    <row r="26" spans="1:28" x14ac:dyDescent="0.35">
      <c r="B26" s="3"/>
      <c r="H26" s="18"/>
      <c r="AA26" s="3" t="s">
        <v>175</v>
      </c>
      <c r="AB26" s="8" t="str">
        <f t="shared" si="0"/>
        <v>2023-02-01 22:00:00</v>
      </c>
    </row>
    <row r="27" spans="1:28" x14ac:dyDescent="0.35">
      <c r="B27" s="3"/>
      <c r="H27" s="18"/>
      <c r="AA27" s="3" t="s">
        <v>176</v>
      </c>
      <c r="AB27" s="8" t="str">
        <f t="shared" si="0"/>
        <v>2023-02-01 23:00:00</v>
      </c>
    </row>
    <row r="28" spans="1:28" x14ac:dyDescent="0.35">
      <c r="A28" s="3" t="s">
        <v>166</v>
      </c>
      <c r="B28" s="3"/>
      <c r="H28" s="18"/>
      <c r="AA28" s="3" t="s">
        <v>176</v>
      </c>
      <c r="AB28" s="8" t="str">
        <f t="shared" si="0"/>
        <v>2023-02-02 00:00:00</v>
      </c>
    </row>
    <row r="29" spans="1:28" x14ac:dyDescent="0.35">
      <c r="A29" s="3" t="s">
        <v>167</v>
      </c>
      <c r="B29" s="3"/>
      <c r="H29" s="18"/>
      <c r="AA29" s="3" t="s">
        <v>176</v>
      </c>
      <c r="AB29" s="8" t="str">
        <f t="shared" si="0"/>
        <v>2023-02-02 01:00:00</v>
      </c>
    </row>
    <row r="30" spans="1:28" x14ac:dyDescent="0.35">
      <c r="A30" s="9" t="s">
        <v>168</v>
      </c>
      <c r="H30" s="18"/>
      <c r="AA30" s="3" t="s">
        <v>176</v>
      </c>
      <c r="AB30" s="8" t="str">
        <f t="shared" si="0"/>
        <v>2023-02-02 02:00:00</v>
      </c>
    </row>
    <row r="31" spans="1:28" x14ac:dyDescent="0.35">
      <c r="A31" s="9" t="s">
        <v>169</v>
      </c>
      <c r="H31" s="18"/>
      <c r="AA31" s="3" t="s">
        <v>176</v>
      </c>
      <c r="AB31" s="8" t="str">
        <f t="shared" si="0"/>
        <v>2023-02-02 03:00:00</v>
      </c>
    </row>
    <row r="32" spans="1:28" x14ac:dyDescent="0.35">
      <c r="A32" s="9"/>
      <c r="H32" s="18"/>
      <c r="AA32" s="3" t="s">
        <v>176</v>
      </c>
      <c r="AB32" s="8" t="str">
        <f t="shared" si="0"/>
        <v>2023-02-02 04:00:00</v>
      </c>
    </row>
    <row r="33" spans="1:28" x14ac:dyDescent="0.35">
      <c r="A33" s="9"/>
      <c r="H33" s="18"/>
      <c r="AA33" s="3" t="s">
        <v>176</v>
      </c>
      <c r="AB33" s="8" t="str">
        <f t="shared" si="0"/>
        <v>2023-02-02 05:00:00</v>
      </c>
    </row>
    <row r="34" spans="1:28" x14ac:dyDescent="0.35">
      <c r="A34" s="9"/>
      <c r="H34" s="18"/>
      <c r="AA34" s="3" t="s">
        <v>176</v>
      </c>
      <c r="AB34" s="8" t="str">
        <f t="shared" si="0"/>
        <v>2023-02-02 06:00:00</v>
      </c>
    </row>
    <row r="35" spans="1:28" x14ac:dyDescent="0.35">
      <c r="A35" s="9"/>
      <c r="H35" s="18"/>
      <c r="AA35" s="3" t="s">
        <v>176</v>
      </c>
      <c r="AB35" s="8" t="str">
        <f t="shared" si="0"/>
        <v>2023-02-02 07:00:00</v>
      </c>
    </row>
    <row r="36" spans="1:28" x14ac:dyDescent="0.35">
      <c r="A36" s="9"/>
      <c r="H36" s="18"/>
      <c r="AA36" s="3" t="s">
        <v>176</v>
      </c>
      <c r="AB36" s="8" t="str">
        <f t="shared" ref="AB36:AB67" si="1">IF(C$4&gt;TEXT(AB$3+((ROW()-3)/24),"åååå-mm-dd tt:mm:ss"),TEXT(AB$3+((ROW()-3)/24),"åååå-mm-dd tt:mm:ss"),"")</f>
        <v>2023-02-02 08:00:00</v>
      </c>
    </row>
    <row r="37" spans="1:28" x14ac:dyDescent="0.35">
      <c r="A37" s="9"/>
      <c r="H37" s="18"/>
      <c r="AA37" s="3" t="s">
        <v>176</v>
      </c>
      <c r="AB37" s="8" t="str">
        <f t="shared" si="1"/>
        <v>2023-02-02 09:00:00</v>
      </c>
    </row>
    <row r="38" spans="1:28" x14ac:dyDescent="0.35">
      <c r="A38" s="9"/>
      <c r="H38" s="18"/>
      <c r="AA38" s="3" t="s">
        <v>176</v>
      </c>
      <c r="AB38" s="8" t="str">
        <f t="shared" si="1"/>
        <v>2023-02-02 10:00:00</v>
      </c>
    </row>
    <row r="39" spans="1:28" x14ac:dyDescent="0.35">
      <c r="A39" s="9"/>
      <c r="H39" s="18"/>
      <c r="AA39" s="3" t="s">
        <v>176</v>
      </c>
      <c r="AB39" s="8" t="str">
        <f t="shared" si="1"/>
        <v>2023-02-02 11:00:00</v>
      </c>
    </row>
    <row r="40" spans="1:28" x14ac:dyDescent="0.35">
      <c r="A40" s="9"/>
      <c r="H40" s="18"/>
      <c r="AA40" s="3" t="s">
        <v>176</v>
      </c>
      <c r="AB40" s="8" t="str">
        <f t="shared" si="1"/>
        <v>2023-02-02 12:00:00</v>
      </c>
    </row>
    <row r="41" spans="1:28" x14ac:dyDescent="0.35">
      <c r="A41" s="9"/>
      <c r="H41" s="18"/>
      <c r="AA41" s="3" t="s">
        <v>176</v>
      </c>
      <c r="AB41" s="8" t="str">
        <f t="shared" si="1"/>
        <v>2023-02-02 13:00:00</v>
      </c>
    </row>
    <row r="42" spans="1:28" x14ac:dyDescent="0.35">
      <c r="A42" s="9"/>
      <c r="H42" s="18"/>
      <c r="AA42" s="3" t="s">
        <v>176</v>
      </c>
      <c r="AB42" s="8" t="str">
        <f t="shared" si="1"/>
        <v>2023-02-02 14:00:00</v>
      </c>
    </row>
    <row r="43" spans="1:28" x14ac:dyDescent="0.35">
      <c r="A43" s="9"/>
      <c r="H43" s="18"/>
      <c r="AA43" s="3" t="s">
        <v>176</v>
      </c>
      <c r="AB43" s="8" t="str">
        <f t="shared" si="1"/>
        <v>2023-02-02 15:00:00</v>
      </c>
    </row>
    <row r="44" spans="1:28" x14ac:dyDescent="0.35">
      <c r="H44" s="18"/>
      <c r="AA44" s="3" t="s">
        <v>176</v>
      </c>
      <c r="AB44" s="8" t="str">
        <f t="shared" si="1"/>
        <v>2023-02-02 16:00:00</v>
      </c>
    </row>
    <row r="45" spans="1:28" x14ac:dyDescent="0.35">
      <c r="H45" s="18"/>
      <c r="AA45" s="3" t="s">
        <v>176</v>
      </c>
      <c r="AB45" s="8" t="str">
        <f t="shared" si="1"/>
        <v>2023-02-02 17:00:00</v>
      </c>
    </row>
    <row r="46" spans="1:28" x14ac:dyDescent="0.35">
      <c r="H46" s="18"/>
      <c r="AA46" s="3" t="s">
        <v>176</v>
      </c>
      <c r="AB46" s="8" t="str">
        <f t="shared" si="1"/>
        <v>2023-02-02 18:00:00</v>
      </c>
    </row>
    <row r="47" spans="1:28" x14ac:dyDescent="0.35">
      <c r="H47" s="18"/>
      <c r="AA47" s="3" t="s">
        <v>176</v>
      </c>
      <c r="AB47" s="8" t="str">
        <f t="shared" si="1"/>
        <v>2023-02-02 19:00:00</v>
      </c>
    </row>
    <row r="48" spans="1:28" x14ac:dyDescent="0.35">
      <c r="H48" s="18"/>
      <c r="AA48" s="3" t="s">
        <v>176</v>
      </c>
      <c r="AB48" s="8" t="str">
        <f t="shared" si="1"/>
        <v>2023-02-02 20:00:00</v>
      </c>
    </row>
    <row r="49" spans="8:28" x14ac:dyDescent="0.35">
      <c r="H49" s="18"/>
      <c r="AA49" s="3" t="s">
        <v>176</v>
      </c>
      <c r="AB49" s="8" t="str">
        <f t="shared" si="1"/>
        <v>2023-02-02 21:00:00</v>
      </c>
    </row>
    <row r="50" spans="8:28" x14ac:dyDescent="0.35">
      <c r="H50" s="18"/>
      <c r="AA50" s="3" t="s">
        <v>176</v>
      </c>
      <c r="AB50" s="8" t="str">
        <f t="shared" si="1"/>
        <v>2023-02-02 22:00:00</v>
      </c>
    </row>
    <row r="51" spans="8:28" x14ac:dyDescent="0.35">
      <c r="H51" s="18"/>
      <c r="AA51" s="3" t="s">
        <v>177</v>
      </c>
      <c r="AB51" s="8" t="str">
        <f t="shared" si="1"/>
        <v>2023-02-02 23:00:00</v>
      </c>
    </row>
    <row r="52" spans="8:28" x14ac:dyDescent="0.35">
      <c r="H52" s="18"/>
      <c r="AA52" s="3" t="s">
        <v>177</v>
      </c>
      <c r="AB52" s="8" t="str">
        <f t="shared" si="1"/>
        <v>2023-02-03 00:00:00</v>
      </c>
    </row>
    <row r="53" spans="8:28" x14ac:dyDescent="0.35">
      <c r="H53" s="18"/>
      <c r="AA53" s="3" t="s">
        <v>177</v>
      </c>
      <c r="AB53" s="8" t="str">
        <f t="shared" si="1"/>
        <v>2023-02-03 01:00:00</v>
      </c>
    </row>
    <row r="54" spans="8:28" x14ac:dyDescent="0.35">
      <c r="H54" s="18"/>
      <c r="AA54" s="3" t="s">
        <v>177</v>
      </c>
      <c r="AB54" s="8" t="str">
        <f t="shared" si="1"/>
        <v>2023-02-03 02:00:00</v>
      </c>
    </row>
    <row r="55" spans="8:28" x14ac:dyDescent="0.35">
      <c r="H55" s="18"/>
      <c r="AA55" s="3" t="s">
        <v>177</v>
      </c>
      <c r="AB55" s="8" t="str">
        <f t="shared" si="1"/>
        <v>2023-02-03 03:00:00</v>
      </c>
    </row>
    <row r="56" spans="8:28" x14ac:dyDescent="0.35">
      <c r="H56" s="18"/>
      <c r="AA56" s="3" t="s">
        <v>177</v>
      </c>
      <c r="AB56" s="8" t="str">
        <f t="shared" si="1"/>
        <v>2023-02-03 04:00:00</v>
      </c>
    </row>
    <row r="57" spans="8:28" x14ac:dyDescent="0.35">
      <c r="H57" s="18"/>
      <c r="AA57" s="3" t="s">
        <v>177</v>
      </c>
      <c r="AB57" s="8" t="str">
        <f t="shared" si="1"/>
        <v>2023-02-03 05:00:00</v>
      </c>
    </row>
    <row r="58" spans="8:28" x14ac:dyDescent="0.35">
      <c r="H58" s="18"/>
      <c r="AA58" s="3" t="s">
        <v>177</v>
      </c>
      <c r="AB58" s="8" t="str">
        <f t="shared" si="1"/>
        <v>2023-02-03 06:00:00</v>
      </c>
    </row>
    <row r="59" spans="8:28" x14ac:dyDescent="0.35">
      <c r="H59" s="18"/>
      <c r="AA59" s="3" t="s">
        <v>177</v>
      </c>
      <c r="AB59" s="8" t="str">
        <f t="shared" si="1"/>
        <v>2023-02-03 07:00:00</v>
      </c>
    </row>
    <row r="60" spans="8:28" x14ac:dyDescent="0.35">
      <c r="H60" s="18"/>
      <c r="AA60" s="3" t="s">
        <v>177</v>
      </c>
      <c r="AB60" s="8" t="str">
        <f t="shared" si="1"/>
        <v>2023-02-03 08:00:00</v>
      </c>
    </row>
    <row r="61" spans="8:28" x14ac:dyDescent="0.35">
      <c r="H61" s="18"/>
      <c r="AA61" s="3" t="s">
        <v>177</v>
      </c>
      <c r="AB61" s="8" t="str">
        <f t="shared" si="1"/>
        <v>2023-02-03 09:00:00</v>
      </c>
    </row>
    <row r="62" spans="8:28" x14ac:dyDescent="0.35">
      <c r="H62" s="18"/>
      <c r="AA62" s="3" t="s">
        <v>177</v>
      </c>
      <c r="AB62" s="8" t="str">
        <f t="shared" si="1"/>
        <v>2023-02-03 10:00:00</v>
      </c>
    </row>
    <row r="63" spans="8:28" x14ac:dyDescent="0.35">
      <c r="H63" s="18"/>
      <c r="AA63" s="3" t="s">
        <v>177</v>
      </c>
      <c r="AB63" s="8" t="str">
        <f t="shared" si="1"/>
        <v>2023-02-03 11:00:00</v>
      </c>
    </row>
    <row r="64" spans="8:28" x14ac:dyDescent="0.35">
      <c r="H64" s="18"/>
      <c r="AA64" s="3" t="s">
        <v>177</v>
      </c>
      <c r="AB64" s="8" t="str">
        <f t="shared" si="1"/>
        <v>2023-02-03 12:00:00</v>
      </c>
    </row>
    <row r="65" spans="8:28" x14ac:dyDescent="0.35">
      <c r="H65" s="18"/>
      <c r="AA65" s="3" t="s">
        <v>177</v>
      </c>
      <c r="AB65" s="8" t="str">
        <f t="shared" si="1"/>
        <v>2023-02-03 13:00:00</v>
      </c>
    </row>
    <row r="66" spans="8:28" x14ac:dyDescent="0.35">
      <c r="H66" s="18"/>
      <c r="AA66" s="3" t="s">
        <v>177</v>
      </c>
      <c r="AB66" s="8" t="str">
        <f t="shared" si="1"/>
        <v>2023-02-03 14:00:00</v>
      </c>
    </row>
    <row r="67" spans="8:28" x14ac:dyDescent="0.35">
      <c r="H67" s="18"/>
      <c r="AA67" s="3" t="s">
        <v>177</v>
      </c>
      <c r="AB67" s="8" t="str">
        <f t="shared" si="1"/>
        <v>2023-02-03 15:00:00</v>
      </c>
    </row>
    <row r="68" spans="8:28" x14ac:dyDescent="0.35">
      <c r="H68" s="18"/>
      <c r="AA68" s="3" t="s">
        <v>177</v>
      </c>
      <c r="AB68" s="8" t="str">
        <f t="shared" ref="AB68:AB98" si="2">IF(C$4&gt;TEXT(AB$3+((ROW()-3)/24),"åååå-mm-dd tt:mm:ss"),TEXT(AB$3+((ROW()-3)/24),"åååå-mm-dd tt:mm:ss"),"")</f>
        <v>2023-02-03 16:00:00</v>
      </c>
    </row>
    <row r="69" spans="8:28" x14ac:dyDescent="0.35">
      <c r="H69" s="18"/>
      <c r="AA69" s="3" t="s">
        <v>177</v>
      </c>
      <c r="AB69" s="8" t="str">
        <f t="shared" si="2"/>
        <v>2023-02-03 17:00:00</v>
      </c>
    </row>
    <row r="70" spans="8:28" x14ac:dyDescent="0.35">
      <c r="H70" s="18"/>
      <c r="AA70" s="3" t="s">
        <v>177</v>
      </c>
      <c r="AB70" s="8" t="str">
        <f t="shared" si="2"/>
        <v>2023-02-03 18:00:00</v>
      </c>
    </row>
    <row r="71" spans="8:28" x14ac:dyDescent="0.35">
      <c r="H71" s="18"/>
      <c r="AA71" s="3" t="s">
        <v>177</v>
      </c>
      <c r="AB71" s="8" t="str">
        <f t="shared" si="2"/>
        <v>2023-02-03 19:00:00</v>
      </c>
    </row>
    <row r="72" spans="8:28" x14ac:dyDescent="0.35">
      <c r="H72" s="18"/>
      <c r="AA72" s="3" t="s">
        <v>177</v>
      </c>
      <c r="AB72" s="8" t="str">
        <f t="shared" si="2"/>
        <v>2023-02-03 20:00:00</v>
      </c>
    </row>
    <row r="73" spans="8:28" x14ac:dyDescent="0.35">
      <c r="H73" s="18"/>
      <c r="AA73" s="3" t="s">
        <v>177</v>
      </c>
      <c r="AB73" s="8" t="str">
        <f t="shared" si="2"/>
        <v>2023-02-03 21:00:00</v>
      </c>
    </row>
    <row r="74" spans="8:28" x14ac:dyDescent="0.35">
      <c r="H74" s="18"/>
      <c r="AA74" s="3" t="s">
        <v>177</v>
      </c>
      <c r="AB74" s="8" t="str">
        <f t="shared" si="2"/>
        <v>2023-02-03 22:00:00</v>
      </c>
    </row>
    <row r="75" spans="8:28" x14ac:dyDescent="0.35">
      <c r="H75" s="18"/>
      <c r="AA75" s="3" t="s">
        <v>178</v>
      </c>
      <c r="AB75" s="8" t="str">
        <f t="shared" si="2"/>
        <v/>
      </c>
    </row>
    <row r="76" spans="8:28" x14ac:dyDescent="0.35">
      <c r="H76" s="18"/>
      <c r="AA76" s="3" t="s">
        <v>178</v>
      </c>
      <c r="AB76" s="8" t="str">
        <f t="shared" si="2"/>
        <v/>
      </c>
    </row>
    <row r="77" spans="8:28" x14ac:dyDescent="0.35">
      <c r="H77" s="18"/>
      <c r="AA77" s="3" t="s">
        <v>178</v>
      </c>
      <c r="AB77" s="8" t="str">
        <f t="shared" si="2"/>
        <v/>
      </c>
    </row>
    <row r="78" spans="8:28" x14ac:dyDescent="0.35">
      <c r="H78" s="18"/>
      <c r="AA78" s="3" t="s">
        <v>178</v>
      </c>
      <c r="AB78" s="8" t="str">
        <f t="shared" si="2"/>
        <v/>
      </c>
    </row>
    <row r="79" spans="8:28" x14ac:dyDescent="0.35">
      <c r="H79" s="18"/>
      <c r="AA79" s="3" t="s">
        <v>178</v>
      </c>
      <c r="AB79" s="8" t="str">
        <f t="shared" si="2"/>
        <v/>
      </c>
    </row>
    <row r="80" spans="8:28" x14ac:dyDescent="0.35">
      <c r="H80" s="18"/>
      <c r="AA80" s="3" t="s">
        <v>178</v>
      </c>
      <c r="AB80" s="8" t="str">
        <f t="shared" si="2"/>
        <v/>
      </c>
    </row>
    <row r="81" spans="8:28" x14ac:dyDescent="0.35">
      <c r="H81" s="18"/>
      <c r="AA81" s="3" t="s">
        <v>178</v>
      </c>
      <c r="AB81" s="8" t="str">
        <f t="shared" si="2"/>
        <v/>
      </c>
    </row>
    <row r="82" spans="8:28" x14ac:dyDescent="0.35">
      <c r="H82" s="18"/>
      <c r="AA82" s="3" t="s">
        <v>178</v>
      </c>
      <c r="AB82" s="8" t="str">
        <f t="shared" si="2"/>
        <v/>
      </c>
    </row>
    <row r="83" spans="8:28" x14ac:dyDescent="0.35">
      <c r="H83" s="18"/>
      <c r="AA83" s="3" t="s">
        <v>178</v>
      </c>
      <c r="AB83" s="8" t="str">
        <f t="shared" si="2"/>
        <v/>
      </c>
    </row>
    <row r="84" spans="8:28" x14ac:dyDescent="0.35">
      <c r="H84" s="18"/>
      <c r="AA84" s="3" t="s">
        <v>178</v>
      </c>
      <c r="AB84" s="8" t="str">
        <f t="shared" si="2"/>
        <v/>
      </c>
    </row>
    <row r="85" spans="8:28" x14ac:dyDescent="0.35">
      <c r="H85" s="18"/>
      <c r="AA85" s="3" t="s">
        <v>178</v>
      </c>
      <c r="AB85" s="8" t="str">
        <f t="shared" si="2"/>
        <v/>
      </c>
    </row>
    <row r="86" spans="8:28" x14ac:dyDescent="0.35">
      <c r="H86" s="18"/>
      <c r="AA86" s="3" t="s">
        <v>178</v>
      </c>
      <c r="AB86" s="8" t="str">
        <f t="shared" si="2"/>
        <v/>
      </c>
    </row>
    <row r="87" spans="8:28" x14ac:dyDescent="0.35">
      <c r="H87" s="18"/>
      <c r="AA87" s="3" t="s">
        <v>178</v>
      </c>
      <c r="AB87" s="8" t="str">
        <f t="shared" si="2"/>
        <v/>
      </c>
    </row>
    <row r="88" spans="8:28" x14ac:dyDescent="0.35">
      <c r="H88" s="18"/>
      <c r="AA88" s="3" t="s">
        <v>178</v>
      </c>
      <c r="AB88" s="8" t="str">
        <f t="shared" si="2"/>
        <v/>
      </c>
    </row>
    <row r="89" spans="8:28" x14ac:dyDescent="0.35">
      <c r="H89" s="18"/>
      <c r="AA89" s="3" t="s">
        <v>178</v>
      </c>
      <c r="AB89" s="8" t="str">
        <f t="shared" si="2"/>
        <v/>
      </c>
    </row>
    <row r="90" spans="8:28" x14ac:dyDescent="0.35">
      <c r="H90" s="18"/>
      <c r="AA90" s="3" t="s">
        <v>178</v>
      </c>
      <c r="AB90" s="8" t="str">
        <f t="shared" si="2"/>
        <v/>
      </c>
    </row>
    <row r="91" spans="8:28" x14ac:dyDescent="0.35">
      <c r="H91" s="18"/>
      <c r="AA91" s="3" t="s">
        <v>178</v>
      </c>
      <c r="AB91" s="8" t="str">
        <f t="shared" si="2"/>
        <v/>
      </c>
    </row>
    <row r="92" spans="8:28" x14ac:dyDescent="0.35">
      <c r="H92" s="18"/>
      <c r="AA92" s="3" t="s">
        <v>178</v>
      </c>
      <c r="AB92" s="8" t="str">
        <f t="shared" si="2"/>
        <v/>
      </c>
    </row>
    <row r="93" spans="8:28" x14ac:dyDescent="0.35">
      <c r="H93" s="18"/>
      <c r="AA93" s="3" t="s">
        <v>178</v>
      </c>
      <c r="AB93" s="8" t="str">
        <f t="shared" si="2"/>
        <v/>
      </c>
    </row>
    <row r="94" spans="8:28" x14ac:dyDescent="0.35">
      <c r="H94" s="18"/>
      <c r="AA94" s="3" t="s">
        <v>178</v>
      </c>
      <c r="AB94" s="8" t="str">
        <f t="shared" si="2"/>
        <v/>
      </c>
    </row>
    <row r="95" spans="8:28" x14ac:dyDescent="0.35">
      <c r="H95" s="18"/>
      <c r="AA95" s="3" t="s">
        <v>178</v>
      </c>
      <c r="AB95" s="8" t="str">
        <f t="shared" si="2"/>
        <v/>
      </c>
    </row>
    <row r="96" spans="8:28" x14ac:dyDescent="0.35">
      <c r="H96" s="18"/>
      <c r="AA96" s="3" t="s">
        <v>178</v>
      </c>
      <c r="AB96" s="8" t="str">
        <f t="shared" si="2"/>
        <v/>
      </c>
    </row>
    <row r="97" spans="8:28" x14ac:dyDescent="0.35">
      <c r="H97" s="18"/>
      <c r="AA97" s="3" t="s">
        <v>178</v>
      </c>
      <c r="AB97" s="8" t="str">
        <f t="shared" si="2"/>
        <v/>
      </c>
    </row>
    <row r="98" spans="8:28" x14ac:dyDescent="0.35">
      <c r="H98" s="18"/>
      <c r="AA98" s="3" t="s">
        <v>178</v>
      </c>
      <c r="AB98" s="8" t="str">
        <f t="shared" si="2"/>
        <v/>
      </c>
    </row>
    <row r="99" spans="8:28" x14ac:dyDescent="0.35">
      <c r="H99" s="18"/>
      <c r="AB99" s="8"/>
    </row>
    <row r="100" spans="8:28" x14ac:dyDescent="0.35">
      <c r="H100" s="18"/>
      <c r="AB100" s="8"/>
    </row>
    <row r="101" spans="8:28" x14ac:dyDescent="0.35">
      <c r="H101" s="18"/>
      <c r="AB101" s="8"/>
    </row>
    <row r="102" spans="8:28" x14ac:dyDescent="0.35">
      <c r="H102" s="18"/>
      <c r="AB102" s="8"/>
    </row>
    <row r="103" spans="8:28" x14ac:dyDescent="0.35">
      <c r="H103" s="18"/>
      <c r="AB103" s="8"/>
    </row>
    <row r="104" spans="8:28" x14ac:dyDescent="0.35">
      <c r="H104" s="18"/>
      <c r="AB104" s="8"/>
    </row>
    <row r="105" spans="8:28" x14ac:dyDescent="0.35">
      <c r="H105" s="18"/>
      <c r="AB105" s="8"/>
    </row>
    <row r="106" spans="8:28" x14ac:dyDescent="0.35">
      <c r="H106" s="18"/>
      <c r="AB106" s="8"/>
    </row>
    <row r="107" spans="8:28" x14ac:dyDescent="0.35">
      <c r="H107" s="18"/>
      <c r="AB107" s="8"/>
    </row>
    <row r="108" spans="8:28" x14ac:dyDescent="0.35">
      <c r="H108" s="18"/>
      <c r="AB108" s="8"/>
    </row>
    <row r="109" spans="8:28" x14ac:dyDescent="0.35">
      <c r="H109" s="18"/>
      <c r="AB109" s="8"/>
    </row>
    <row r="110" spans="8:28" x14ac:dyDescent="0.35">
      <c r="H110" s="18"/>
      <c r="AB110" s="8"/>
    </row>
    <row r="111" spans="8:28" x14ac:dyDescent="0.35">
      <c r="H111" s="18"/>
      <c r="AB111" s="8"/>
    </row>
    <row r="112" spans="8:28" x14ac:dyDescent="0.35">
      <c r="H112" s="18"/>
      <c r="AB112" s="8"/>
    </row>
    <row r="113" spans="8:28" x14ac:dyDescent="0.35">
      <c r="H113" s="18"/>
      <c r="AB113" s="8"/>
    </row>
    <row r="114" spans="8:28" x14ac:dyDescent="0.35">
      <c r="H114" s="18"/>
      <c r="AB114" s="8"/>
    </row>
    <row r="115" spans="8:28" x14ac:dyDescent="0.35">
      <c r="H115" s="18"/>
      <c r="AB115" s="8"/>
    </row>
    <row r="116" spans="8:28" x14ac:dyDescent="0.35">
      <c r="H116" s="18"/>
      <c r="AB116" s="8"/>
    </row>
    <row r="117" spans="8:28" x14ac:dyDescent="0.35">
      <c r="H117" s="18"/>
      <c r="AB117" s="8"/>
    </row>
    <row r="118" spans="8:28" x14ac:dyDescent="0.35">
      <c r="H118" s="18"/>
      <c r="AB118" s="8"/>
    </row>
    <row r="119" spans="8:28" x14ac:dyDescent="0.35">
      <c r="H119" s="18"/>
      <c r="AB119" s="8"/>
    </row>
    <row r="120" spans="8:28" x14ac:dyDescent="0.35">
      <c r="H120" s="18"/>
      <c r="AB120" s="8"/>
    </row>
    <row r="121" spans="8:28" x14ac:dyDescent="0.35">
      <c r="H121" s="18"/>
      <c r="AB121" s="8"/>
    </row>
    <row r="122" spans="8:28" x14ac:dyDescent="0.35">
      <c r="H122" s="18"/>
      <c r="AB122" s="8"/>
    </row>
    <row r="123" spans="8:28" x14ac:dyDescent="0.35">
      <c r="H123" s="18"/>
      <c r="AB123" s="8"/>
    </row>
    <row r="124" spans="8:28" x14ac:dyDescent="0.35">
      <c r="H124" s="18"/>
      <c r="AB124" s="8"/>
    </row>
    <row r="125" spans="8:28" x14ac:dyDescent="0.35">
      <c r="H125" s="18"/>
      <c r="AB125" s="8"/>
    </row>
    <row r="126" spans="8:28" x14ac:dyDescent="0.35">
      <c r="H126" s="18"/>
      <c r="AB126" s="8"/>
    </row>
    <row r="127" spans="8:28" x14ac:dyDescent="0.35">
      <c r="H127" s="18"/>
      <c r="AB127" s="8"/>
    </row>
    <row r="128" spans="8:28" x14ac:dyDescent="0.35">
      <c r="H128" s="18"/>
      <c r="AB128" s="8"/>
    </row>
    <row r="129" spans="8:28" x14ac:dyDescent="0.35">
      <c r="H129" s="18"/>
      <c r="AB129" s="8"/>
    </row>
    <row r="130" spans="8:28" x14ac:dyDescent="0.35">
      <c r="H130" s="18"/>
      <c r="AB130" s="8"/>
    </row>
    <row r="131" spans="8:28" x14ac:dyDescent="0.35">
      <c r="H131" s="18"/>
      <c r="AB131" s="8"/>
    </row>
    <row r="132" spans="8:28" x14ac:dyDescent="0.35">
      <c r="H132" s="18"/>
      <c r="AB132" s="8"/>
    </row>
    <row r="133" spans="8:28" x14ac:dyDescent="0.35">
      <c r="H133" s="18"/>
      <c r="AB133" s="8"/>
    </row>
    <row r="134" spans="8:28" x14ac:dyDescent="0.35">
      <c r="H134" s="18"/>
      <c r="AB134" s="8"/>
    </row>
    <row r="135" spans="8:28" x14ac:dyDescent="0.35">
      <c r="H135" s="18"/>
      <c r="AB135" s="8"/>
    </row>
    <row r="136" spans="8:28" x14ac:dyDescent="0.35">
      <c r="H136" s="18"/>
      <c r="AB136" s="8"/>
    </row>
    <row r="137" spans="8:28" x14ac:dyDescent="0.35">
      <c r="H137" s="18"/>
      <c r="AB137" s="8"/>
    </row>
    <row r="138" spans="8:28" x14ac:dyDescent="0.35">
      <c r="H138" s="18"/>
      <c r="AB138" s="8"/>
    </row>
    <row r="139" spans="8:28" x14ac:dyDescent="0.35">
      <c r="H139" s="18"/>
      <c r="AB139" s="8"/>
    </row>
    <row r="140" spans="8:28" x14ac:dyDescent="0.35">
      <c r="H140" s="18"/>
      <c r="AB140" s="8"/>
    </row>
    <row r="141" spans="8:28" x14ac:dyDescent="0.35">
      <c r="H141" s="18"/>
      <c r="AB141" s="8"/>
    </row>
    <row r="142" spans="8:28" x14ac:dyDescent="0.35">
      <c r="H142" s="18"/>
      <c r="AB142" s="8"/>
    </row>
    <row r="143" spans="8:28" x14ac:dyDescent="0.35">
      <c r="H143" s="18"/>
      <c r="AB143" s="8"/>
    </row>
    <row r="144" spans="8:28" x14ac:dyDescent="0.35">
      <c r="H144" s="18"/>
      <c r="AB144" s="8"/>
    </row>
    <row r="145" spans="8:28" x14ac:dyDescent="0.35">
      <c r="H145" s="18"/>
      <c r="AB145" s="8"/>
    </row>
    <row r="146" spans="8:28" x14ac:dyDescent="0.35">
      <c r="H146" s="18"/>
      <c r="AB146" s="8"/>
    </row>
    <row r="147" spans="8:28" x14ac:dyDescent="0.35">
      <c r="H147" s="18"/>
      <c r="AB147" s="8"/>
    </row>
    <row r="148" spans="8:28" x14ac:dyDescent="0.35">
      <c r="H148" s="18"/>
      <c r="AB148" s="8"/>
    </row>
    <row r="149" spans="8:28" x14ac:dyDescent="0.35">
      <c r="H149" s="18"/>
      <c r="AB149" s="8"/>
    </row>
    <row r="150" spans="8:28" x14ac:dyDescent="0.35">
      <c r="H150" s="18"/>
      <c r="AB150" s="8"/>
    </row>
    <row r="151" spans="8:28" x14ac:dyDescent="0.35">
      <c r="H151" s="18"/>
      <c r="AB151" s="8"/>
    </row>
    <row r="152" spans="8:28" x14ac:dyDescent="0.35">
      <c r="H152" s="18"/>
      <c r="AB152" s="8"/>
    </row>
    <row r="153" spans="8:28" x14ac:dyDescent="0.35">
      <c r="H153" s="18"/>
      <c r="AB153" s="8"/>
    </row>
    <row r="154" spans="8:28" x14ac:dyDescent="0.35">
      <c r="H154" s="18"/>
      <c r="AB154" s="8"/>
    </row>
    <row r="155" spans="8:28" x14ac:dyDescent="0.35">
      <c r="H155" s="18"/>
      <c r="AB155" s="8"/>
    </row>
    <row r="156" spans="8:28" x14ac:dyDescent="0.35">
      <c r="H156" s="18"/>
      <c r="AB156" s="8"/>
    </row>
    <row r="157" spans="8:28" x14ac:dyDescent="0.35">
      <c r="H157" s="18"/>
      <c r="AB157" s="8"/>
    </row>
    <row r="158" spans="8:28" x14ac:dyDescent="0.35">
      <c r="H158" s="18"/>
      <c r="AB158" s="8"/>
    </row>
    <row r="159" spans="8:28" x14ac:dyDescent="0.35">
      <c r="H159" s="18"/>
      <c r="AB159" s="8"/>
    </row>
    <row r="160" spans="8:28" x14ac:dyDescent="0.35">
      <c r="H160" s="18"/>
      <c r="AB160" s="8"/>
    </row>
    <row r="161" spans="8:28" x14ac:dyDescent="0.35">
      <c r="H161" s="18"/>
      <c r="AB161" s="8"/>
    </row>
    <row r="162" spans="8:28" x14ac:dyDescent="0.35">
      <c r="H162" s="18"/>
      <c r="AB162" s="8"/>
    </row>
    <row r="163" spans="8:28" x14ac:dyDescent="0.35">
      <c r="H163" s="18"/>
      <c r="AB163" s="8"/>
    </row>
    <row r="164" spans="8:28" x14ac:dyDescent="0.35">
      <c r="H164" s="18"/>
      <c r="AB164" s="8"/>
    </row>
    <row r="165" spans="8:28" x14ac:dyDescent="0.35">
      <c r="H165" s="18"/>
      <c r="AB165" s="8"/>
    </row>
    <row r="166" spans="8:28" x14ac:dyDescent="0.35">
      <c r="H166" s="18"/>
      <c r="AB166" s="8"/>
    </row>
    <row r="167" spans="8:28" x14ac:dyDescent="0.35">
      <c r="H167" s="18"/>
      <c r="AB167" s="8"/>
    </row>
    <row r="168" spans="8:28" x14ac:dyDescent="0.35">
      <c r="H168" s="18"/>
      <c r="AB168" s="8"/>
    </row>
    <row r="169" spans="8:28" x14ac:dyDescent="0.35">
      <c r="H169" s="18"/>
      <c r="AB169" s="8"/>
    </row>
    <row r="170" spans="8:28" x14ac:dyDescent="0.35">
      <c r="H170" s="18"/>
      <c r="AB170" s="8"/>
    </row>
    <row r="171" spans="8:28" x14ac:dyDescent="0.35">
      <c r="H171" s="18"/>
      <c r="AB171" s="8"/>
    </row>
    <row r="172" spans="8:28" x14ac:dyDescent="0.35">
      <c r="H172" s="18"/>
      <c r="AB172" s="8"/>
    </row>
    <row r="173" spans="8:28" x14ac:dyDescent="0.35">
      <c r="H173" s="18"/>
      <c r="AB173" s="8"/>
    </row>
    <row r="174" spans="8:28" x14ac:dyDescent="0.35">
      <c r="H174" s="18"/>
      <c r="AB174" s="8"/>
    </row>
    <row r="175" spans="8:28" x14ac:dyDescent="0.35">
      <c r="H175" s="18"/>
      <c r="AB175" s="8"/>
    </row>
    <row r="176" spans="8:28" x14ac:dyDescent="0.35">
      <c r="H176" s="18"/>
      <c r="AB176" s="8"/>
    </row>
    <row r="177" spans="8:28" x14ac:dyDescent="0.35">
      <c r="H177" s="18"/>
      <c r="AB177" s="8"/>
    </row>
    <row r="178" spans="8:28" x14ac:dyDescent="0.35">
      <c r="H178" s="18"/>
      <c r="AB178" s="8"/>
    </row>
    <row r="179" spans="8:28" x14ac:dyDescent="0.35">
      <c r="H179" s="18"/>
      <c r="AB179" s="8"/>
    </row>
    <row r="180" spans="8:28" x14ac:dyDescent="0.35">
      <c r="H180" s="18"/>
      <c r="AB180" s="8"/>
    </row>
    <row r="181" spans="8:28" x14ac:dyDescent="0.35">
      <c r="H181" s="18"/>
      <c r="AB181" s="8"/>
    </row>
    <row r="182" spans="8:28" x14ac:dyDescent="0.35">
      <c r="H182" s="18"/>
      <c r="AB182" s="8"/>
    </row>
    <row r="183" spans="8:28" x14ac:dyDescent="0.35">
      <c r="H183" s="18"/>
      <c r="AB183" s="8"/>
    </row>
    <row r="184" spans="8:28" x14ac:dyDescent="0.35">
      <c r="H184" s="18"/>
      <c r="AB184" s="8"/>
    </row>
    <row r="185" spans="8:28" x14ac:dyDescent="0.35">
      <c r="H185" s="18"/>
      <c r="AB185" s="8"/>
    </row>
    <row r="186" spans="8:28" x14ac:dyDescent="0.35">
      <c r="H186" s="18"/>
      <c r="AB186" s="8"/>
    </row>
    <row r="187" spans="8:28" x14ac:dyDescent="0.35">
      <c r="H187" s="18"/>
      <c r="AB187" s="8"/>
    </row>
    <row r="188" spans="8:28" x14ac:dyDescent="0.35">
      <c r="H188" s="18"/>
      <c r="AB188" s="8"/>
    </row>
    <row r="189" spans="8:28" x14ac:dyDescent="0.35">
      <c r="H189" s="18"/>
      <c r="AB189" s="8"/>
    </row>
    <row r="190" spans="8:28" x14ac:dyDescent="0.35">
      <c r="H190" s="18"/>
      <c r="AB190" s="8"/>
    </row>
    <row r="191" spans="8:28" x14ac:dyDescent="0.35">
      <c r="H191" s="18"/>
      <c r="AB191" s="8"/>
    </row>
    <row r="192" spans="8:28" x14ac:dyDescent="0.35">
      <c r="H192" s="18"/>
      <c r="AB192" s="8"/>
    </row>
    <row r="193" spans="8:28" x14ac:dyDescent="0.35">
      <c r="H193" s="18"/>
      <c r="AB193" s="8"/>
    </row>
    <row r="194" spans="8:28" x14ac:dyDescent="0.35">
      <c r="H194" s="18"/>
      <c r="AB194" s="8"/>
    </row>
    <row r="195" spans="8:28" x14ac:dyDescent="0.35">
      <c r="H195" s="18"/>
      <c r="AB195" s="8"/>
    </row>
    <row r="196" spans="8:28" x14ac:dyDescent="0.35">
      <c r="H196" s="18"/>
      <c r="AB196" s="8"/>
    </row>
    <row r="197" spans="8:28" x14ac:dyDescent="0.35">
      <c r="H197" s="18"/>
      <c r="AB197" s="8"/>
    </row>
    <row r="198" spans="8:28" x14ac:dyDescent="0.35">
      <c r="H198" s="18"/>
      <c r="AB198" s="8"/>
    </row>
    <row r="199" spans="8:28" x14ac:dyDescent="0.35">
      <c r="H199" s="18"/>
      <c r="AB199" s="8"/>
    </row>
    <row r="200" spans="8:28" x14ac:dyDescent="0.35">
      <c r="H200" s="18"/>
      <c r="AB200" s="8"/>
    </row>
    <row r="201" spans="8:28" x14ac:dyDescent="0.35">
      <c r="H201" s="18"/>
      <c r="AB201" s="8"/>
    </row>
    <row r="202" spans="8:28" x14ac:dyDescent="0.35">
      <c r="H202" s="18"/>
      <c r="AB202" s="8"/>
    </row>
    <row r="203" spans="8:28" x14ac:dyDescent="0.35">
      <c r="H203" s="18"/>
      <c r="AB203" s="8"/>
    </row>
    <row r="204" spans="8:28" x14ac:dyDescent="0.35">
      <c r="H204" s="18"/>
      <c r="AB204" s="8"/>
    </row>
    <row r="205" spans="8:28" x14ac:dyDescent="0.35">
      <c r="H205" s="18"/>
      <c r="AB205" s="8"/>
    </row>
    <row r="206" spans="8:28" x14ac:dyDescent="0.35">
      <c r="H206" s="18"/>
      <c r="AB206" s="8"/>
    </row>
    <row r="207" spans="8:28" x14ac:dyDescent="0.35">
      <c r="H207" s="18"/>
      <c r="AB207" s="8"/>
    </row>
    <row r="208" spans="8:28" x14ac:dyDescent="0.35">
      <c r="H208" s="18"/>
      <c r="AB208" s="8"/>
    </row>
    <row r="209" spans="8:28" x14ac:dyDescent="0.35">
      <c r="H209" s="18"/>
      <c r="AB209" s="8"/>
    </row>
    <row r="210" spans="8:28" x14ac:dyDescent="0.35">
      <c r="H210" s="18"/>
      <c r="AB210" s="8"/>
    </row>
    <row r="211" spans="8:28" x14ac:dyDescent="0.35">
      <c r="H211" s="18"/>
      <c r="AB211" s="8"/>
    </row>
    <row r="212" spans="8:28" x14ac:dyDescent="0.35">
      <c r="H212" s="18"/>
      <c r="AB212" s="8"/>
    </row>
    <row r="213" spans="8:28" x14ac:dyDescent="0.35">
      <c r="H213" s="18"/>
      <c r="AB213" s="8"/>
    </row>
    <row r="214" spans="8:28" x14ac:dyDescent="0.35">
      <c r="H214" s="18"/>
      <c r="AB214" s="8"/>
    </row>
    <row r="215" spans="8:28" x14ac:dyDescent="0.35">
      <c r="H215" s="18"/>
      <c r="AB215" s="8"/>
    </row>
    <row r="216" spans="8:28" x14ac:dyDescent="0.35">
      <c r="H216" s="18"/>
      <c r="AB216" s="8"/>
    </row>
    <row r="217" spans="8:28" x14ac:dyDescent="0.35">
      <c r="H217" s="18"/>
      <c r="AB217" s="8"/>
    </row>
    <row r="218" spans="8:28" x14ac:dyDescent="0.35">
      <c r="H218" s="18"/>
      <c r="AB218" s="8"/>
    </row>
    <row r="219" spans="8:28" x14ac:dyDescent="0.35">
      <c r="H219" s="18"/>
      <c r="AB219" s="8"/>
    </row>
    <row r="220" spans="8:28" x14ac:dyDescent="0.35">
      <c r="H220" s="18"/>
      <c r="AB220" s="8"/>
    </row>
    <row r="221" spans="8:28" x14ac:dyDescent="0.35">
      <c r="H221" s="18"/>
      <c r="AB221" s="8"/>
    </row>
    <row r="222" spans="8:28" x14ac:dyDescent="0.35">
      <c r="H222" s="18"/>
      <c r="AB222" s="8"/>
    </row>
    <row r="223" spans="8:28" x14ac:dyDescent="0.35">
      <c r="H223" s="18"/>
      <c r="AB223" s="8"/>
    </row>
    <row r="224" spans="8:28" x14ac:dyDescent="0.35">
      <c r="H224" s="18"/>
      <c r="AB224" s="8"/>
    </row>
    <row r="225" spans="8:28" x14ac:dyDescent="0.35">
      <c r="H225" s="18"/>
      <c r="AB225" s="8"/>
    </row>
    <row r="226" spans="8:28" x14ac:dyDescent="0.35">
      <c r="H226" s="18"/>
      <c r="AB226" s="8"/>
    </row>
    <row r="227" spans="8:28" x14ac:dyDescent="0.35">
      <c r="H227" s="18"/>
      <c r="AB227" s="8"/>
    </row>
    <row r="228" spans="8:28" x14ac:dyDescent="0.35">
      <c r="H228" s="18"/>
      <c r="AB228" s="8"/>
    </row>
    <row r="229" spans="8:28" x14ac:dyDescent="0.35">
      <c r="H229" s="18"/>
      <c r="AB229" s="8"/>
    </row>
    <row r="230" spans="8:28" x14ac:dyDescent="0.35">
      <c r="H230" s="18"/>
      <c r="AB230" s="8"/>
    </row>
    <row r="231" spans="8:28" x14ac:dyDescent="0.35">
      <c r="H231" s="18"/>
      <c r="AB231" s="8"/>
    </row>
    <row r="232" spans="8:28" x14ac:dyDescent="0.35">
      <c r="H232" s="18"/>
      <c r="AB232" s="8"/>
    </row>
    <row r="233" spans="8:28" x14ac:dyDescent="0.35">
      <c r="H233" s="18"/>
      <c r="AB233" s="8"/>
    </row>
    <row r="234" spans="8:28" x14ac:dyDescent="0.35">
      <c r="H234" s="18"/>
      <c r="AB234" s="8"/>
    </row>
    <row r="235" spans="8:28" x14ac:dyDescent="0.35">
      <c r="H235" s="18"/>
      <c r="AB235" s="8"/>
    </row>
    <row r="236" spans="8:28" x14ac:dyDescent="0.35">
      <c r="H236" s="18"/>
      <c r="AB236" s="8"/>
    </row>
    <row r="237" spans="8:28" x14ac:dyDescent="0.35">
      <c r="H237" s="18"/>
      <c r="AB237" s="8"/>
    </row>
    <row r="238" spans="8:28" x14ac:dyDescent="0.35">
      <c r="H238" s="18"/>
      <c r="AB238" s="8"/>
    </row>
    <row r="239" spans="8:28" x14ac:dyDescent="0.35">
      <c r="H239" s="18"/>
      <c r="AB239" s="8"/>
    </row>
    <row r="240" spans="8:28" x14ac:dyDescent="0.35">
      <c r="H240" s="18"/>
      <c r="AB240" s="8"/>
    </row>
    <row r="241" spans="8:28" x14ac:dyDescent="0.35">
      <c r="H241" s="18"/>
      <c r="AB241" s="8"/>
    </row>
    <row r="242" spans="8:28" x14ac:dyDescent="0.35">
      <c r="H242" s="18"/>
      <c r="AB242" s="8"/>
    </row>
    <row r="243" spans="8:28" x14ac:dyDescent="0.35">
      <c r="H243" s="18"/>
      <c r="AB243" s="8"/>
    </row>
    <row r="244" spans="8:28" x14ac:dyDescent="0.35">
      <c r="H244" s="18"/>
      <c r="AB244" s="8"/>
    </row>
    <row r="245" spans="8:28" x14ac:dyDescent="0.35">
      <c r="AB245" s="8"/>
    </row>
    <row r="246" spans="8:28" x14ac:dyDescent="0.35">
      <c r="AB246" s="8"/>
    </row>
    <row r="247" spans="8:28" x14ac:dyDescent="0.35">
      <c r="AB247" s="8"/>
    </row>
    <row r="248" spans="8:28" x14ac:dyDescent="0.35">
      <c r="AB248" s="8"/>
    </row>
    <row r="249" spans="8:28" x14ac:dyDescent="0.35">
      <c r="AB249" s="8"/>
    </row>
    <row r="250" spans="8:28" x14ac:dyDescent="0.35">
      <c r="AB250" s="8"/>
    </row>
    <row r="251" spans="8:28" x14ac:dyDescent="0.35">
      <c r="AB251" s="8"/>
    </row>
    <row r="252" spans="8:28" x14ac:dyDescent="0.35">
      <c r="AB252" s="8"/>
    </row>
    <row r="253" spans="8:28" x14ac:dyDescent="0.35">
      <c r="AB253" s="8"/>
    </row>
    <row r="254" spans="8:28" x14ac:dyDescent="0.35">
      <c r="AB254" s="8"/>
    </row>
    <row r="255" spans="8:28" x14ac:dyDescent="0.35">
      <c r="AB255" s="8"/>
    </row>
    <row r="256" spans="8:28" x14ac:dyDescent="0.35">
      <c r="AB256" s="8"/>
    </row>
    <row r="257" spans="28:28" x14ac:dyDescent="0.35">
      <c r="AB257" s="8"/>
    </row>
    <row r="258" spans="28:28" x14ac:dyDescent="0.35">
      <c r="AB258" s="8"/>
    </row>
    <row r="259" spans="28:28" x14ac:dyDescent="0.35">
      <c r="AB259" s="8"/>
    </row>
    <row r="260" spans="28:28" x14ac:dyDescent="0.35">
      <c r="AB260" s="8"/>
    </row>
    <row r="261" spans="28:28" x14ac:dyDescent="0.35">
      <c r="AB261" s="8"/>
    </row>
    <row r="262" spans="28:28" x14ac:dyDescent="0.35">
      <c r="AB262" s="8"/>
    </row>
    <row r="263" spans="28:28" x14ac:dyDescent="0.35">
      <c r="AB263" s="8"/>
    </row>
    <row r="264" spans="28:28" x14ac:dyDescent="0.35">
      <c r="AB264" s="8"/>
    </row>
    <row r="265" spans="28:28" x14ac:dyDescent="0.35">
      <c r="AB265" s="8"/>
    </row>
    <row r="266" spans="28:28" x14ac:dyDescent="0.35">
      <c r="AB266" s="8"/>
    </row>
    <row r="267" spans="28:28" x14ac:dyDescent="0.35">
      <c r="AB267" s="8"/>
    </row>
    <row r="268" spans="28:28" x14ac:dyDescent="0.35">
      <c r="AB268" s="8"/>
    </row>
    <row r="269" spans="28:28" x14ac:dyDescent="0.35">
      <c r="AB269" s="8"/>
    </row>
    <row r="270" spans="28:28" x14ac:dyDescent="0.35">
      <c r="AB270" s="8"/>
    </row>
    <row r="271" spans="28:28" x14ac:dyDescent="0.35">
      <c r="AB271" s="8"/>
    </row>
    <row r="272" spans="28:28" x14ac:dyDescent="0.35">
      <c r="AB272" s="8"/>
    </row>
    <row r="273" spans="28:28" x14ac:dyDescent="0.35">
      <c r="AB273" s="8"/>
    </row>
    <row r="274" spans="28:28" x14ac:dyDescent="0.35">
      <c r="AB274" s="8"/>
    </row>
    <row r="275" spans="28:28" x14ac:dyDescent="0.35">
      <c r="AB275" s="8"/>
    </row>
    <row r="276" spans="28:28" x14ac:dyDescent="0.35">
      <c r="AB276" s="8"/>
    </row>
    <row r="277" spans="28:28" x14ac:dyDescent="0.35">
      <c r="AB277" s="8"/>
    </row>
    <row r="278" spans="28:28" x14ac:dyDescent="0.35">
      <c r="AB278" s="8"/>
    </row>
    <row r="279" spans="28:28" x14ac:dyDescent="0.35">
      <c r="AB279" s="8"/>
    </row>
    <row r="280" spans="28:28" x14ac:dyDescent="0.35">
      <c r="AB280" s="8"/>
    </row>
    <row r="281" spans="28:28" x14ac:dyDescent="0.35">
      <c r="AB281" s="8"/>
    </row>
    <row r="282" spans="28:28" x14ac:dyDescent="0.35">
      <c r="AB282" s="8"/>
    </row>
    <row r="283" spans="28:28" x14ac:dyDescent="0.35">
      <c r="AB283" s="8"/>
    </row>
    <row r="284" spans="28:28" x14ac:dyDescent="0.35">
      <c r="AB284" s="8"/>
    </row>
    <row r="285" spans="28:28" x14ac:dyDescent="0.35">
      <c r="AB285" s="8"/>
    </row>
    <row r="286" spans="28:28" x14ac:dyDescent="0.35">
      <c r="AB286" s="8"/>
    </row>
    <row r="287" spans="28:28" x14ac:dyDescent="0.35">
      <c r="AB287" s="8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0427-6C91-47D8-8C93-985527AE66E6}">
  <dimension ref="A1:L26"/>
  <sheetViews>
    <sheetView tabSelected="1" workbookViewId="0">
      <selection activeCell="G27" sqref="G27"/>
    </sheetView>
  </sheetViews>
  <sheetFormatPr defaultRowHeight="14.5" x14ac:dyDescent="0.35"/>
  <cols>
    <col min="1" max="1" width="19" bestFit="1" customWidth="1"/>
    <col min="2" max="2" width="10.1796875" bestFit="1" customWidth="1"/>
    <col min="3" max="3" width="8.81640625" bestFit="1" customWidth="1"/>
    <col min="4" max="4" width="17.7265625" bestFit="1" customWidth="1"/>
    <col min="5" max="6" width="17.7265625" customWidth="1"/>
    <col min="7" max="7" width="20.453125" bestFit="1" customWidth="1"/>
    <col min="8" max="8" width="19.54296875" bestFit="1" customWidth="1"/>
    <col min="9" max="9" width="17.7265625" bestFit="1" customWidth="1"/>
    <col min="10" max="11" width="17.7265625" customWidth="1"/>
    <col min="12" max="12" width="13.90625" bestFit="1" customWidth="1"/>
  </cols>
  <sheetData>
    <row r="1" spans="1:12" x14ac:dyDescent="0.35">
      <c r="A1" t="s">
        <v>10</v>
      </c>
      <c r="B1" t="s">
        <v>11</v>
      </c>
      <c r="C1" t="s">
        <v>58</v>
      </c>
      <c r="D1" t="s">
        <v>59</v>
      </c>
      <c r="E1" t="s">
        <v>118</v>
      </c>
      <c r="F1" t="s">
        <v>161</v>
      </c>
      <c r="G1" t="s">
        <v>46</v>
      </c>
      <c r="H1" s="2" t="s">
        <v>32</v>
      </c>
      <c r="I1" t="s">
        <v>75</v>
      </c>
      <c r="J1" t="s">
        <v>160</v>
      </c>
      <c r="K1" t="s">
        <v>179</v>
      </c>
      <c r="L1" t="s">
        <v>155</v>
      </c>
    </row>
    <row r="2" spans="1:12" x14ac:dyDescent="0.35">
      <c r="A2" s="2" t="s">
        <v>1</v>
      </c>
      <c r="B2" s="2" t="s">
        <v>139</v>
      </c>
      <c r="C2" s="2" t="s">
        <v>60</v>
      </c>
      <c r="D2" s="2" t="s">
        <v>66</v>
      </c>
      <c r="E2" s="5">
        <f>IFERROR(VALUE(SUBSTITUTE(TimeSeriesPoints[[#This Row],[quantity]],".",",")),"")</f>
        <v>20</v>
      </c>
      <c r="F2" s="3" t="str">
        <f>_xlfn.IFNA(INDEX(MeteringPointPeriods[],MATCH(TimeSeriesPoints[[#This Row],[metering_point_id]],MeteringPointPeriods[metering_point_id],0),5),"")</f>
        <v>800</v>
      </c>
      <c r="G2" s="3" t="str">
        <f>_xlfn.IFNA(VLOOKUP(VLOOKUP(TimeSeriesPoints[[#This Row],[metering_point_id]],MeteringPointPeriods[],2,FALSE),MPTypeMapping[],2,FALSE),"")</f>
        <v>consumption</v>
      </c>
      <c r="H2" s="3" t="str">
        <f>_xlfn.IFNA(VLOOKUP(VLOOKUP(TimeSeriesPoints[[#This Row],[metering_point_id]],MeteringPointPeriods[],4,FALSE),SettlementMapping[],2,FALSE),"")</f>
        <v>non_profiled</v>
      </c>
      <c r="I2" s="3" t="str">
        <f>SUBSTITUTE(SUBSTITUTE(SUBSTITUTE(TimeSeriesPoints[[#This Row],[observation_time]],":15:00",":00:00"),":30:00",":00:00"),":45:00",":00:00")</f>
        <v>2023-02-01 02:00:00</v>
      </c>
      <c r="J2" s="3" t="str">
        <f>LEFT(TimeSeriesPoints[[#This Row],[observation_time]],10)</f>
        <v>2023-02-01</v>
      </c>
      <c r="K2" s="3" t="str">
        <f>INDEX('Config and arguments'!AA3:AB98,MATCH(TimeSeriesPoints[[#This Row],[observation_time]],'Config and arguments'!AB3:AB98,0),1)</f>
        <v>Day1</v>
      </c>
      <c r="L2" s="3" t="str">
        <f>_xlfn.IFNA(INDEX(MeteringPointPeriods[],MATCH(TimeSeriesPoints[[#This Row],[metering_point_id]],MeteringPointPeriods[metering_point_id],0),10),"")</f>
        <v>3000000000000</v>
      </c>
    </row>
    <row r="3" spans="1:12" x14ac:dyDescent="0.35">
      <c r="A3" s="2" t="s">
        <v>28</v>
      </c>
      <c r="B3" s="2" t="s">
        <v>117</v>
      </c>
      <c r="C3" s="2" t="s">
        <v>60</v>
      </c>
      <c r="D3" s="2" t="s">
        <v>66</v>
      </c>
      <c r="E3" s="5">
        <f>IFERROR(VALUE(SUBSTITUTE(TimeSeriesPoints[[#This Row],[quantity]],".",",")),"")</f>
        <v>2.5</v>
      </c>
      <c r="F3" s="3" t="str">
        <f>_xlfn.IFNA(INDEX(MeteringPointPeriods[],MATCH(TimeSeriesPoints[[#This Row],[metering_point_id]],MeteringPointPeriods[metering_point_id],0),5),"")</f>
        <v>800</v>
      </c>
      <c r="G3" s="3" t="str">
        <f>_xlfn.IFNA(VLOOKUP(VLOOKUP(TimeSeriesPoints[[#This Row],[metering_point_id]],MeteringPointPeriods[],2,FALSE),MPTypeMapping[],2,FALSE),"")</f>
        <v>consumption</v>
      </c>
      <c r="H3" s="3" t="str">
        <f>_xlfn.IFNA(VLOOKUP(VLOOKUP(TimeSeriesPoints[[#This Row],[metering_point_id]],MeteringPointPeriods[],4,FALSE),SettlementMapping[],2,FALSE),"")</f>
        <v>non_profiled</v>
      </c>
      <c r="I3" s="3" t="str">
        <f>SUBSTITUTE(SUBSTITUTE(SUBSTITUTE(TimeSeriesPoints[[#This Row],[observation_time]],":15:00",":00:00"),":30:00",":00:00"),":45:00",":00:00")</f>
        <v>2023-02-01 02:00:00</v>
      </c>
      <c r="J3" s="3" t="str">
        <f>LEFT(TimeSeriesPoints[[#This Row],[observation_time]],10)</f>
        <v>2023-02-01</v>
      </c>
      <c r="K3" s="3" t="str">
        <f>INDEX('Config and arguments'!AA4:AB99,MATCH(TimeSeriesPoints[[#This Row],[observation_time]],'Config and arguments'!AB4:AB99,0),1)</f>
        <v>Day1</v>
      </c>
      <c r="L3" s="3" t="str">
        <f>_xlfn.IFNA(INDEX(MeteringPointPeriods[],MATCH(TimeSeriesPoints[[#This Row],[metering_point_id]],MeteringPointPeriods[metering_point_id],0),10),"")</f>
        <v>3000000000000</v>
      </c>
    </row>
    <row r="4" spans="1:12" x14ac:dyDescent="0.35">
      <c r="A4" s="2" t="s">
        <v>28</v>
      </c>
      <c r="B4" s="2" t="s">
        <v>117</v>
      </c>
      <c r="C4" s="2" t="s">
        <v>60</v>
      </c>
      <c r="D4" s="2" t="s">
        <v>67</v>
      </c>
      <c r="E4" s="5">
        <f>IFERROR(VALUE(SUBSTITUTE(TimeSeriesPoints[[#This Row],[quantity]],".",",")),"")</f>
        <v>2.5</v>
      </c>
      <c r="F4" s="3" t="str">
        <f>_xlfn.IFNA(INDEX(MeteringPointPeriods[],MATCH(TimeSeriesPoints[[#This Row],[metering_point_id]],MeteringPointPeriods[metering_point_id],0),5),"")</f>
        <v>800</v>
      </c>
      <c r="G4" s="3" t="str">
        <f>_xlfn.IFNA(VLOOKUP(VLOOKUP(TimeSeriesPoints[[#This Row],[metering_point_id]],MeteringPointPeriods[],2,FALSE),MPTypeMapping[],2,FALSE),"")</f>
        <v>consumption</v>
      </c>
      <c r="H4" s="3" t="str">
        <f>_xlfn.IFNA(VLOOKUP(VLOOKUP(TimeSeriesPoints[[#This Row],[metering_point_id]],MeteringPointPeriods[],4,FALSE),SettlementMapping[],2,FALSE),"")</f>
        <v>non_profiled</v>
      </c>
      <c r="I4" s="3" t="str">
        <f>SUBSTITUTE(SUBSTITUTE(SUBSTITUTE(TimeSeriesPoints[[#This Row],[observation_time]],":15:00",":00:00"),":30:00",":00:00"),":45:00",":00:00")</f>
        <v>2023-02-01 02:00:00</v>
      </c>
      <c r="J4" s="3" t="str">
        <f>LEFT(TimeSeriesPoints[[#This Row],[observation_time]],10)</f>
        <v>2023-02-01</v>
      </c>
      <c r="K4" s="3" t="e">
        <f>INDEX('Config and arguments'!AA5:AB100,MATCH(TimeSeriesPoints[[#This Row],[observation_time]],'Config and arguments'!AB5:AB100,0),1)</f>
        <v>#N/A</v>
      </c>
      <c r="L4" s="3" t="str">
        <f>_xlfn.IFNA(INDEX(MeteringPointPeriods[],MATCH(TimeSeriesPoints[[#This Row],[metering_point_id]],MeteringPointPeriods[metering_point_id],0),10),"")</f>
        <v>3000000000000</v>
      </c>
    </row>
    <row r="5" spans="1:12" x14ac:dyDescent="0.35">
      <c r="A5" s="2" t="s">
        <v>28</v>
      </c>
      <c r="B5" s="2" t="s">
        <v>117</v>
      </c>
      <c r="C5" s="2" t="s">
        <v>60</v>
      </c>
      <c r="D5" s="2" t="s">
        <v>68</v>
      </c>
      <c r="E5" s="5">
        <f>IFERROR(VALUE(SUBSTITUTE(TimeSeriesPoints[[#This Row],[quantity]],".",",")),"")</f>
        <v>2.5</v>
      </c>
      <c r="F5" s="3" t="str">
        <f>_xlfn.IFNA(INDEX(MeteringPointPeriods[],MATCH(TimeSeriesPoints[[#This Row],[metering_point_id]],MeteringPointPeriods[metering_point_id],0),5),"")</f>
        <v>800</v>
      </c>
      <c r="G5" s="3" t="str">
        <f>_xlfn.IFNA(VLOOKUP(VLOOKUP(TimeSeriesPoints[[#This Row],[metering_point_id]],MeteringPointPeriods[],2,FALSE),MPTypeMapping[],2,FALSE),"")</f>
        <v>consumption</v>
      </c>
      <c r="H5" s="3" t="str">
        <f>_xlfn.IFNA(VLOOKUP(VLOOKUP(TimeSeriesPoints[[#This Row],[metering_point_id]],MeteringPointPeriods[],4,FALSE),SettlementMapping[],2,FALSE),"")</f>
        <v>non_profiled</v>
      </c>
      <c r="I5" s="3" t="str">
        <f>SUBSTITUTE(SUBSTITUTE(SUBSTITUTE(TimeSeriesPoints[[#This Row],[observation_time]],":15:00",":00:00"),":30:00",":00:00"),":45:00",":00:00")</f>
        <v>2023-02-01 02:00:00</v>
      </c>
      <c r="J5" s="3" t="str">
        <f>LEFT(TimeSeriesPoints[[#This Row],[observation_time]],10)</f>
        <v>2023-02-01</v>
      </c>
      <c r="K5" s="3" t="e">
        <f>INDEX('Config and arguments'!AA6:AB101,MATCH(TimeSeriesPoints[[#This Row],[observation_time]],'Config and arguments'!AB6:AB101,0),1)</f>
        <v>#N/A</v>
      </c>
      <c r="L5" s="3" t="str">
        <f>_xlfn.IFNA(INDEX(MeteringPointPeriods[],MATCH(TimeSeriesPoints[[#This Row],[metering_point_id]],MeteringPointPeriods[metering_point_id],0),10),"")</f>
        <v>3000000000000</v>
      </c>
    </row>
    <row r="6" spans="1:12" x14ac:dyDescent="0.35">
      <c r="A6" s="2" t="s">
        <v>28</v>
      </c>
      <c r="B6" s="2" t="s">
        <v>142</v>
      </c>
      <c r="C6" s="2" t="s">
        <v>60</v>
      </c>
      <c r="D6" s="2" t="s">
        <v>69</v>
      </c>
      <c r="E6" s="5">
        <f>IFERROR(VALUE(SUBSTITUTE(TimeSeriesPoints[[#This Row],[quantity]],".",",")),"")</f>
        <v>10</v>
      </c>
      <c r="F6" s="3" t="str">
        <f>_xlfn.IFNA(INDEX(MeteringPointPeriods[],MATCH(TimeSeriesPoints[[#This Row],[metering_point_id]],MeteringPointPeriods[metering_point_id],0),5),"")</f>
        <v>800</v>
      </c>
      <c r="G6" s="3" t="str">
        <f>_xlfn.IFNA(VLOOKUP(VLOOKUP(TimeSeriesPoints[[#This Row],[metering_point_id]],MeteringPointPeriods[],2,FALSE),MPTypeMapping[],2,FALSE),"")</f>
        <v>consumption</v>
      </c>
      <c r="H6" s="3" t="str">
        <f>_xlfn.IFNA(VLOOKUP(VLOOKUP(TimeSeriesPoints[[#This Row],[metering_point_id]],MeteringPointPeriods[],4,FALSE),SettlementMapping[],2,FALSE),"")</f>
        <v>non_profiled</v>
      </c>
      <c r="I6" s="3" t="str">
        <f>SUBSTITUTE(SUBSTITUTE(SUBSTITUTE(TimeSeriesPoints[[#This Row],[observation_time]],":15:00",":00:00"),":30:00",":00:00"),":45:00",":00:00")</f>
        <v>2023-02-01 02:00:00</v>
      </c>
      <c r="J6" s="3" t="str">
        <f>LEFT(TimeSeriesPoints[[#This Row],[observation_time]],10)</f>
        <v>2023-02-01</v>
      </c>
      <c r="K6" s="3" t="e">
        <f>INDEX('Config and arguments'!AA7:AB102,MATCH(TimeSeriesPoints[[#This Row],[observation_time]],'Config and arguments'!AB7:AB102,0),1)</f>
        <v>#N/A</v>
      </c>
      <c r="L6" s="3" t="str">
        <f>_xlfn.IFNA(INDEX(MeteringPointPeriods[],MATCH(TimeSeriesPoints[[#This Row],[metering_point_id]],MeteringPointPeriods[metering_point_id],0),10),"")</f>
        <v>3000000000000</v>
      </c>
    </row>
    <row r="7" spans="1:12" x14ac:dyDescent="0.35">
      <c r="A7" s="2" t="s">
        <v>27</v>
      </c>
      <c r="B7" s="2" t="s">
        <v>145</v>
      </c>
      <c r="C7" s="2" t="s">
        <v>60</v>
      </c>
      <c r="D7" s="2" t="s">
        <v>92</v>
      </c>
      <c r="E7" s="5">
        <f>IFERROR(VALUE(SUBSTITUTE(TimeSeriesPoints[[#This Row],[quantity]],".",",")),"")</f>
        <v>5</v>
      </c>
      <c r="F7" s="3" t="str">
        <f>_xlfn.IFNA(INDEX(MeteringPointPeriods[],MATCH(TimeSeriesPoints[[#This Row],[metering_point_id]],MeteringPointPeriods[metering_point_id],0),5),"")</f>
        <v>800</v>
      </c>
      <c r="G7" s="3" t="str">
        <f>_xlfn.IFNA(VLOOKUP(VLOOKUP(TimeSeriesPoints[[#This Row],[metering_point_id]],MeteringPointPeriods[],2,FALSE),MPTypeMapping[],2,FALSE),"")</f>
        <v>consumption_from_grid</v>
      </c>
      <c r="H7" s="3" t="str">
        <f>_xlfn.IFNA(VLOOKUP(VLOOKUP(TimeSeriesPoints[[#This Row],[metering_point_id]],MeteringPointPeriods[],4,FALSE),SettlementMapping[],2,FALSE),"")</f>
        <v/>
      </c>
      <c r="I7" s="3" t="str">
        <f>SUBSTITUTE(SUBSTITUTE(SUBSTITUTE(TimeSeriesPoints[[#This Row],[observation_time]],":15:00",":00:00"),":30:00",":00:00"),":45:00",":00:00")</f>
        <v>2023-02-03 02:00:00</v>
      </c>
      <c r="J7" s="3" t="str">
        <f>LEFT(TimeSeriesPoints[[#This Row],[observation_time]],10)</f>
        <v>2023-02-03</v>
      </c>
      <c r="K7" s="3" t="str">
        <f>INDEX('Config and arguments'!AA8:AB103,MATCH(TimeSeriesPoints[[#This Row],[observation_time]],'Config and arguments'!AB8:AB103,0),1)</f>
        <v>Day3</v>
      </c>
      <c r="L7" s="3" t="str">
        <f>_xlfn.IFNA(INDEX(MeteringPointPeriods[],MATCH(TimeSeriesPoints[[#This Row],[metering_point_id]],MeteringPointPeriods[metering_point_id],0),10),"")</f>
        <v>null</v>
      </c>
    </row>
    <row r="8" spans="1:12" x14ac:dyDescent="0.35">
      <c r="A8" s="2" t="s">
        <v>29</v>
      </c>
      <c r="B8" s="2" t="s">
        <v>146</v>
      </c>
      <c r="C8" s="2" t="s">
        <v>60</v>
      </c>
      <c r="D8" s="2" t="s">
        <v>66</v>
      </c>
      <c r="E8" s="5">
        <f>IFERROR(VALUE(SUBSTITUTE(TimeSeriesPoints[[#This Row],[quantity]],".",",")),"")</f>
        <v>3.3570000000000002</v>
      </c>
      <c r="F8" s="3" t="str">
        <f>_xlfn.IFNA(INDEX(MeteringPointPeriods[],MATCH(TimeSeriesPoints[[#This Row],[metering_point_id]],MeteringPointPeriods[metering_point_id],0),5),"")</f>
        <v>801</v>
      </c>
      <c r="G8" s="3" t="str">
        <f>_xlfn.IFNA(VLOOKUP(VLOOKUP(TimeSeriesPoints[[#This Row],[metering_point_id]],MeteringPointPeriods[],2,FALSE),MPTypeMapping[],2,FALSE),"")</f>
        <v>exchange</v>
      </c>
      <c r="H8" s="3" t="str">
        <f>_xlfn.IFNA(VLOOKUP(VLOOKUP(TimeSeriesPoints[[#This Row],[metering_point_id]],MeteringPointPeriods[],4,FALSE),SettlementMapping[],2,FALSE),"")</f>
        <v/>
      </c>
      <c r="I8" s="3" t="str">
        <f>SUBSTITUTE(SUBSTITUTE(SUBSTITUTE(TimeSeriesPoints[[#This Row],[observation_time]],":15:00",":00:00"),":30:00",":00:00"),":45:00",":00:00")</f>
        <v>2023-02-01 02:00:00</v>
      </c>
      <c r="J8" s="3" t="str">
        <f>LEFT(TimeSeriesPoints[[#This Row],[observation_time]],10)</f>
        <v>2023-02-01</v>
      </c>
      <c r="K8" s="3" t="e">
        <f>INDEX('Config and arguments'!AA9:AB104,MATCH(TimeSeriesPoints[[#This Row],[observation_time]],'Config and arguments'!AB9:AB104,0),1)</f>
        <v>#N/A</v>
      </c>
      <c r="L8" s="3" t="str">
        <f>_xlfn.IFNA(INDEX(MeteringPointPeriods[],MATCH(TimeSeriesPoints[[#This Row],[metering_point_id]],MeteringPointPeriods[metering_point_id],0),10),"")</f>
        <v>null</v>
      </c>
    </row>
    <row r="9" spans="1:12" x14ac:dyDescent="0.35">
      <c r="A9" s="2" t="s">
        <v>3</v>
      </c>
      <c r="B9" s="2" t="s">
        <v>147</v>
      </c>
      <c r="C9" s="2" t="s">
        <v>60</v>
      </c>
      <c r="D9" s="2" t="s">
        <v>66</v>
      </c>
      <c r="E9" s="5">
        <f>IFERROR(VALUE(SUBSTITUTE(TimeSeriesPoints[[#This Row],[quantity]],".",",")),"")</f>
        <v>40.158999999999999</v>
      </c>
      <c r="F9" s="3" t="str">
        <f>_xlfn.IFNA(INDEX(MeteringPointPeriods[],MATCH(TimeSeriesPoints[[#This Row],[metering_point_id]],MeteringPointPeriods[metering_point_id],0),5),"")</f>
        <v>800</v>
      </c>
      <c r="G9" s="3" t="str">
        <f>_xlfn.IFNA(VLOOKUP(VLOOKUP(TimeSeriesPoints[[#This Row],[metering_point_id]],MeteringPointPeriods[],2,FALSE),MPTypeMapping[],2,FALSE),"")</f>
        <v>production</v>
      </c>
      <c r="H9" s="3" t="str">
        <f>_xlfn.IFNA(VLOOKUP(VLOOKUP(TimeSeriesPoints[[#This Row],[metering_point_id]],MeteringPointPeriods[],4,FALSE),SettlementMapping[],2,FALSE),"")</f>
        <v/>
      </c>
      <c r="I9" s="3" t="str">
        <f>SUBSTITUTE(SUBSTITUTE(SUBSTITUTE(TimeSeriesPoints[[#This Row],[observation_time]],":15:00",":00:00"),":30:00",":00:00"),":45:00",":00:00")</f>
        <v>2023-02-01 02:00:00</v>
      </c>
      <c r="J9" s="3" t="str">
        <f>LEFT(TimeSeriesPoints[[#This Row],[observation_time]],10)</f>
        <v>2023-02-01</v>
      </c>
      <c r="K9" s="3" t="e">
        <f>INDEX('Config and arguments'!AA10:AB105,MATCH(TimeSeriesPoints[[#This Row],[observation_time]],'Config and arguments'!AB10:AB105,0),1)</f>
        <v>#N/A</v>
      </c>
      <c r="L9" s="3" t="str">
        <f>_xlfn.IFNA(INDEX(MeteringPointPeriods[],MATCH(TimeSeriesPoints[[#This Row],[metering_point_id]],MeteringPointPeriods[metering_point_id],0),10),"")</f>
        <v>2000000000000</v>
      </c>
    </row>
    <row r="10" spans="1:12" x14ac:dyDescent="0.35">
      <c r="A10" s="2" t="s">
        <v>112</v>
      </c>
      <c r="B10" s="2" t="s">
        <v>148</v>
      </c>
      <c r="C10" s="2" t="s">
        <v>60</v>
      </c>
      <c r="D10" s="2" t="s">
        <v>66</v>
      </c>
      <c r="E10" s="5">
        <f>IFERROR(VALUE(SUBSTITUTE(TimeSeriesPoints[[#This Row],[quantity]],".",",")),"")</f>
        <v>100000</v>
      </c>
      <c r="F10" s="3" t="str">
        <f>_xlfn.IFNA(INDEX(MeteringPointPeriods[],MATCH(TimeSeriesPoints[[#This Row],[metering_point_id]],MeteringPointPeriods[metering_point_id],0),5),"")</f>
        <v>111</v>
      </c>
      <c r="G10" s="3" t="str">
        <f>_xlfn.IFNA(VLOOKUP(VLOOKUP(TimeSeriesPoints[[#This Row],[metering_point_id]],MeteringPointPeriods[],2,FALSE),MPTypeMapping[],2,FALSE),"")</f>
        <v>production</v>
      </c>
      <c r="H10" s="3" t="str">
        <f>_xlfn.IFNA(VLOOKUP(VLOOKUP(TimeSeriesPoints[[#This Row],[metering_point_id]],MeteringPointPeriods[],4,FALSE),SettlementMapping[],2,FALSE),"")</f>
        <v/>
      </c>
      <c r="I10" s="3" t="str">
        <f>SUBSTITUTE(SUBSTITUTE(SUBSTITUTE(TimeSeriesPoints[[#This Row],[observation_time]],":15:00",":00:00"),":30:00",":00:00"),":45:00",":00:00")</f>
        <v>2023-02-01 02:00:00</v>
      </c>
      <c r="J10" s="3" t="str">
        <f>LEFT(TimeSeriesPoints[[#This Row],[observation_time]],10)</f>
        <v>2023-02-01</v>
      </c>
      <c r="K10" s="3" t="e">
        <f>INDEX('Config and arguments'!AA11:AB106,MATCH(TimeSeriesPoints[[#This Row],[observation_time]],'Config and arguments'!AB11:AB106,0),1)</f>
        <v>#N/A</v>
      </c>
      <c r="L10" s="3" t="str">
        <f>_xlfn.IFNA(INDEX(MeteringPointPeriods[],MATCH(TimeSeriesPoints[[#This Row],[metering_point_id]],MeteringPointPeriods[metering_point_id],0),10),"")</f>
        <v>2000000000000</v>
      </c>
    </row>
    <row r="11" spans="1:12" x14ac:dyDescent="0.35">
      <c r="A11" s="2" t="s">
        <v>114</v>
      </c>
      <c r="B11" s="2" t="s">
        <v>148</v>
      </c>
      <c r="C11" s="2" t="s">
        <v>60</v>
      </c>
      <c r="D11" s="2" t="s">
        <v>66</v>
      </c>
      <c r="E11" s="5">
        <f>IFERROR(VALUE(SUBSTITUTE(TimeSeriesPoints[[#This Row],[quantity]],".",",")),"")</f>
        <v>100000</v>
      </c>
      <c r="F11" s="3" t="str">
        <f>_xlfn.IFNA(INDEX(MeteringPointPeriods[],MATCH(TimeSeriesPoints[[#This Row],[metering_point_id]],MeteringPointPeriods[metering_point_id],0),5),"")</f>
        <v>111</v>
      </c>
      <c r="G11" s="3" t="str">
        <f>_xlfn.IFNA(VLOOKUP(VLOOKUP(TimeSeriesPoints[[#This Row],[metering_point_id]],MeteringPointPeriods[],2,FALSE),MPTypeMapping[],2,FALSE),"")</f>
        <v>production</v>
      </c>
      <c r="H11" s="3" t="str">
        <f>_xlfn.IFNA(VLOOKUP(VLOOKUP(TimeSeriesPoints[[#This Row],[metering_point_id]],MeteringPointPeriods[],4,FALSE),SettlementMapping[],2,FALSE),"")</f>
        <v/>
      </c>
      <c r="I11" s="3" t="str">
        <f>SUBSTITUTE(SUBSTITUTE(SUBSTITUTE(TimeSeriesPoints[[#This Row],[observation_time]],":15:00",":00:00"),":30:00",":00:00"),":45:00",":00:00")</f>
        <v>2023-02-01 02:00:00</v>
      </c>
      <c r="J11" s="3" t="str">
        <f>LEFT(TimeSeriesPoints[[#This Row],[observation_time]],10)</f>
        <v>2023-02-01</v>
      </c>
      <c r="K11" s="3" t="e">
        <f>INDEX('Config and arguments'!AA12:AB107,MATCH(TimeSeriesPoints[[#This Row],[observation_time]],'Config and arguments'!AB12:AB107,0),1)</f>
        <v>#N/A</v>
      </c>
      <c r="L11" s="3" t="str">
        <f>_xlfn.IFNA(INDEX(MeteringPointPeriods[],MATCH(TimeSeriesPoints[[#This Row],[metering_point_id]],MeteringPointPeriods[metering_point_id],0),10),"")</f>
        <v>2000000000000</v>
      </c>
    </row>
    <row r="12" spans="1:12" x14ac:dyDescent="0.35">
      <c r="A12" s="2"/>
      <c r="B12" s="2"/>
      <c r="C12" s="2"/>
      <c r="D12" s="2"/>
      <c r="E12" s="5" t="str">
        <f>IFERROR(VALUE(SUBSTITUTE(TimeSeriesPoints[[#This Row],[quantity]],".",",")),"")</f>
        <v/>
      </c>
      <c r="F12" s="3" t="str">
        <f>_xlfn.IFNA(INDEX(MeteringPointPeriods[],MATCH(TimeSeriesPoints[[#This Row],[metering_point_id]],MeteringPointPeriods[metering_point_id],0),5),"")</f>
        <v/>
      </c>
      <c r="G12" s="3" t="str">
        <f>_xlfn.IFNA(VLOOKUP(VLOOKUP(TimeSeriesPoints[[#This Row],[metering_point_id]],MeteringPointPeriods[],2,FALSE),MPTypeMapping[],2,FALSE),"")</f>
        <v/>
      </c>
      <c r="H12" s="3" t="str">
        <f>_xlfn.IFNA(VLOOKUP(VLOOKUP(TimeSeriesPoints[[#This Row],[metering_point_id]],MeteringPointPeriods[],4,FALSE),SettlementMapping[],2,FALSE),"")</f>
        <v/>
      </c>
      <c r="I12" s="3" t="str">
        <f>SUBSTITUTE(SUBSTITUTE(SUBSTITUTE(TimeSeriesPoints[[#This Row],[observation_time]],":15:00",":00:00"),":30:00",":00:00"),":45:00",":00:00")</f>
        <v/>
      </c>
      <c r="J12" s="3" t="str">
        <f>LEFT(TimeSeriesPoints[[#This Row],[observation_time]],10)</f>
        <v/>
      </c>
      <c r="K12" s="3" t="e">
        <f>INDEX('Config and arguments'!AA13:AB108,MATCH(TimeSeriesPoints[[#This Row],[observation_time]],'Config and arguments'!AB13:AB108,0),1)</f>
        <v>#N/A</v>
      </c>
      <c r="L12" s="3" t="str">
        <f>_xlfn.IFNA(INDEX(MeteringPointPeriods[],MATCH(TimeSeriesPoints[[#This Row],[metering_point_id]],MeteringPointPeriods[metering_point_id],0),10),"")</f>
        <v/>
      </c>
    </row>
    <row r="13" spans="1:12" x14ac:dyDescent="0.35">
      <c r="A13" s="2" t="s">
        <v>112</v>
      </c>
      <c r="B13" s="2" t="s">
        <v>148</v>
      </c>
      <c r="C13" s="2" t="s">
        <v>60</v>
      </c>
      <c r="D13" s="2" t="s">
        <v>171</v>
      </c>
      <c r="E13" s="5">
        <f>IFERROR(VALUE(SUBSTITUTE(TimeSeriesPoints[[#This Row],[quantity]],".",",")),"")</f>
        <v>100000</v>
      </c>
      <c r="F13" s="3" t="str">
        <f>_xlfn.IFNA(INDEX(MeteringPointPeriods[],MATCH(TimeSeriesPoints[[#This Row],[metering_point_id]],MeteringPointPeriods[metering_point_id],0),5),"")</f>
        <v>111</v>
      </c>
      <c r="G13" s="3" t="str">
        <f>_xlfn.IFNA(VLOOKUP(VLOOKUP(TimeSeriesPoints[[#This Row],[metering_point_id]],MeteringPointPeriods[],2,FALSE),MPTypeMapping[],2,FALSE),"")</f>
        <v>production</v>
      </c>
      <c r="H13" s="3" t="str">
        <f>_xlfn.IFNA(VLOOKUP(VLOOKUP(TimeSeriesPoints[[#This Row],[metering_point_id]],MeteringPointPeriods[],4,FALSE),SettlementMapping[],2,FALSE),"")</f>
        <v/>
      </c>
      <c r="I13" s="3" t="str">
        <f>SUBSTITUTE(SUBSTITUTE(SUBSTITUTE(TimeSeriesPoints[[#This Row],[observation_time]],":15:00",":00:00"),":30:00",":00:00"),":45:00",":00:00")</f>
        <v>2023-02-02 02:00:00</v>
      </c>
      <c r="J13" s="3" t="str">
        <f>LEFT(TimeSeriesPoints[[#This Row],[observation_time]],10)</f>
        <v>2023-02-02</v>
      </c>
      <c r="K13" s="3" t="str">
        <f>INDEX('Config and arguments'!AA14:AB109,MATCH(TimeSeriesPoints[[#This Row],[observation_time]],'Config and arguments'!AB14:AB109,0),1)</f>
        <v>Day2</v>
      </c>
      <c r="L13" s="3" t="str">
        <f>_xlfn.IFNA(INDEX(MeteringPointPeriods[],MATCH(TimeSeriesPoints[[#This Row],[metering_point_id]],MeteringPointPeriods[metering_point_id],0),10),"")</f>
        <v>2000000000000</v>
      </c>
    </row>
    <row r="14" spans="1:12" x14ac:dyDescent="0.35">
      <c r="A14" s="2"/>
      <c r="B14" s="2"/>
      <c r="C14" s="2"/>
      <c r="D14" s="2"/>
      <c r="E14" s="5" t="str">
        <f>IFERROR(VALUE(SUBSTITUTE(TimeSeriesPoints[[#This Row],[quantity]],".",",")),"")</f>
        <v/>
      </c>
      <c r="F14" s="3" t="str">
        <f>_xlfn.IFNA(INDEX(MeteringPointPeriods[],MATCH(TimeSeriesPoints[[#This Row],[metering_point_id]],MeteringPointPeriods[metering_point_id],0),5),"")</f>
        <v/>
      </c>
      <c r="G14" s="3" t="str">
        <f>_xlfn.IFNA(VLOOKUP(VLOOKUP(TimeSeriesPoints[[#This Row],[metering_point_id]],MeteringPointPeriods[],2,FALSE),MPTypeMapping[],2,FALSE),"")</f>
        <v/>
      </c>
      <c r="H14" s="3" t="str">
        <f>_xlfn.IFNA(VLOOKUP(VLOOKUP(TimeSeriesPoints[[#This Row],[metering_point_id]],MeteringPointPeriods[],4,FALSE),SettlementMapping[],2,FALSE),"")</f>
        <v/>
      </c>
      <c r="I14" s="3" t="str">
        <f>SUBSTITUTE(SUBSTITUTE(SUBSTITUTE(TimeSeriesPoints[[#This Row],[observation_time]],":15:00",":00:00"),":30:00",":00:00"),":45:00",":00:00")</f>
        <v/>
      </c>
      <c r="J14" s="3" t="str">
        <f>LEFT(TimeSeriesPoints[[#This Row],[observation_time]],10)</f>
        <v/>
      </c>
      <c r="K14" s="3" t="e">
        <f>INDEX('Config and arguments'!AA15:AB110,MATCH(TimeSeriesPoints[[#This Row],[observation_time]],'Config and arguments'!AB15:AB110,0),1)</f>
        <v>#N/A</v>
      </c>
      <c r="L14" s="3" t="str">
        <f>_xlfn.IFNA(INDEX(MeteringPointPeriods[],MATCH(TimeSeriesPoints[[#This Row],[metering_point_id]],MeteringPointPeriods[metering_point_id],0),10),"")</f>
        <v/>
      </c>
    </row>
    <row r="15" spans="1:12" x14ac:dyDescent="0.35">
      <c r="B15" s="2"/>
      <c r="D15" s="2"/>
      <c r="E15" s="5" t="str">
        <f>IFERROR(VALUE(SUBSTITUTE(TimeSeriesPoints[[#This Row],[quantity]],".",",")),"")</f>
        <v/>
      </c>
      <c r="F15" s="3" t="str">
        <f>_xlfn.IFNA(INDEX(MeteringPointPeriods[],MATCH(TimeSeriesPoints[[#This Row],[metering_point_id]],MeteringPointPeriods[metering_point_id],0),5),"")</f>
        <v/>
      </c>
      <c r="G15" s="3" t="str">
        <f>_xlfn.IFNA(VLOOKUP(VLOOKUP(TimeSeriesPoints[[#This Row],[metering_point_id]],MeteringPointPeriods[],2,FALSE),MPTypeMapping[],2,FALSE),"")</f>
        <v/>
      </c>
      <c r="H15" s="3" t="str">
        <f>_xlfn.IFNA(VLOOKUP(VLOOKUP(TimeSeriesPoints[[#This Row],[metering_point_id]],MeteringPointPeriods[],4,FALSE),SettlementMapping[],2,FALSE),"")</f>
        <v/>
      </c>
      <c r="I15" s="3" t="str">
        <f>SUBSTITUTE(SUBSTITUTE(SUBSTITUTE(TimeSeriesPoints[[#This Row],[observation_time]],":15:00",":00:00"),":30:00",":00:00"),":45:00",":00:00")</f>
        <v/>
      </c>
      <c r="J15" s="3" t="str">
        <f>LEFT(TimeSeriesPoints[[#This Row],[observation_time]],10)</f>
        <v/>
      </c>
      <c r="K15" s="3" t="e">
        <f>INDEX('Config and arguments'!AA16:AB111,MATCH(TimeSeriesPoints[[#This Row],[observation_time]],'Config and arguments'!AB16:AB111,0),1)</f>
        <v>#N/A</v>
      </c>
      <c r="L15" s="3" t="str">
        <f>_xlfn.IFNA(INDEX(MeteringPointPeriods[],MATCH(TimeSeriesPoints[[#This Row],[metering_point_id]],MeteringPointPeriods[metering_point_id],0),10),"")</f>
        <v/>
      </c>
    </row>
    <row r="16" spans="1:12" x14ac:dyDescent="0.35">
      <c r="A16" s="2"/>
      <c r="B16" s="2"/>
      <c r="C16" s="2"/>
      <c r="D16" s="2"/>
      <c r="E16" s="5" t="str">
        <f>IFERROR(VALUE(SUBSTITUTE(TimeSeriesPoints[[#This Row],[quantity]],".",",")),"")</f>
        <v/>
      </c>
      <c r="F16" s="3" t="str">
        <f>_xlfn.IFNA(INDEX(MeteringPointPeriods[],MATCH(TimeSeriesPoints[[#This Row],[metering_point_id]],MeteringPointPeriods[metering_point_id],0),5),"")</f>
        <v/>
      </c>
      <c r="G16" s="3" t="str">
        <f>_xlfn.IFNA(VLOOKUP(VLOOKUP(TimeSeriesPoints[[#This Row],[metering_point_id]],MeteringPointPeriods[],2,FALSE),MPTypeMapping[],2,FALSE),"")</f>
        <v/>
      </c>
      <c r="H16" s="3" t="str">
        <f>_xlfn.IFNA(VLOOKUP(VLOOKUP(TimeSeriesPoints[[#This Row],[metering_point_id]],MeteringPointPeriods[],4,FALSE),SettlementMapping[],2,FALSE),"")</f>
        <v/>
      </c>
      <c r="I16" s="3" t="str">
        <f>SUBSTITUTE(SUBSTITUTE(SUBSTITUTE(TimeSeriesPoints[[#This Row],[observation_time]],":15:00",":00:00"),":30:00",":00:00"),":45:00",":00:00")</f>
        <v/>
      </c>
      <c r="J16" s="3" t="str">
        <f>LEFT(TimeSeriesPoints[[#This Row],[observation_time]],10)</f>
        <v/>
      </c>
      <c r="K16" s="3" t="e">
        <f>INDEX('Config and arguments'!AA17:AB112,MATCH(TimeSeriesPoints[[#This Row],[observation_time]],'Config and arguments'!AB17:AB112,0),1)</f>
        <v>#N/A</v>
      </c>
      <c r="L16" s="3" t="str">
        <f>_xlfn.IFNA(INDEX(MeteringPointPeriods[],MATCH(TimeSeriesPoints[[#This Row],[metering_point_id]],MeteringPointPeriods[metering_point_id],0),10),"")</f>
        <v/>
      </c>
    </row>
    <row r="17" spans="1:12" x14ac:dyDescent="0.35">
      <c r="A17" s="2"/>
      <c r="B17" s="2"/>
      <c r="C17" s="2"/>
      <c r="D17" s="2"/>
      <c r="E17" s="5" t="str">
        <f>IFERROR(VALUE(SUBSTITUTE(TimeSeriesPoints[[#This Row],[quantity]],".",",")),"")</f>
        <v/>
      </c>
      <c r="F17" s="3" t="str">
        <f>_xlfn.IFNA(INDEX(MeteringPointPeriods[],MATCH(TimeSeriesPoints[[#This Row],[metering_point_id]],MeteringPointPeriods[metering_point_id],0),5),"")</f>
        <v/>
      </c>
      <c r="G17" s="3" t="str">
        <f>_xlfn.IFNA(VLOOKUP(VLOOKUP(TimeSeriesPoints[[#This Row],[metering_point_id]],MeteringPointPeriods[],2,FALSE),MPTypeMapping[],2,FALSE),"")</f>
        <v/>
      </c>
      <c r="H17" s="3" t="str">
        <f>_xlfn.IFNA(VLOOKUP(VLOOKUP(TimeSeriesPoints[[#This Row],[metering_point_id]],MeteringPointPeriods[],4,FALSE),SettlementMapping[],2,FALSE),"")</f>
        <v/>
      </c>
      <c r="I17" s="3" t="str">
        <f>SUBSTITUTE(SUBSTITUTE(SUBSTITUTE(TimeSeriesPoints[[#This Row],[observation_time]],":15:00",":00:00"),":30:00",":00:00"),":45:00",":00:00")</f>
        <v/>
      </c>
      <c r="J17" s="3" t="str">
        <f>LEFT(TimeSeriesPoints[[#This Row],[observation_time]],10)</f>
        <v/>
      </c>
      <c r="K17" s="3" t="e">
        <f>INDEX('Config and arguments'!AA18:AB113,MATCH(TimeSeriesPoints[[#This Row],[observation_time]],'Config and arguments'!AB18:AB113,0),1)</f>
        <v>#N/A</v>
      </c>
      <c r="L17" s="3" t="str">
        <f>_xlfn.IFNA(INDEX(MeteringPointPeriods[],MATCH(TimeSeriesPoints[[#This Row],[metering_point_id]],MeteringPointPeriods[metering_point_id],0),10),"")</f>
        <v/>
      </c>
    </row>
    <row r="18" spans="1:12" x14ac:dyDescent="0.35">
      <c r="A18" s="2"/>
      <c r="B18" s="2"/>
      <c r="C18" s="2"/>
      <c r="D18" s="2"/>
      <c r="E18" s="5" t="str">
        <f>IFERROR(VALUE(SUBSTITUTE(TimeSeriesPoints[[#This Row],[quantity]],".",",")),"")</f>
        <v/>
      </c>
      <c r="F18" s="3" t="str">
        <f>_xlfn.IFNA(INDEX(MeteringPointPeriods[],MATCH(TimeSeriesPoints[[#This Row],[metering_point_id]],MeteringPointPeriods[metering_point_id],0),5),"")</f>
        <v/>
      </c>
      <c r="G18" s="3" t="str">
        <f>_xlfn.IFNA(VLOOKUP(VLOOKUP(TimeSeriesPoints[[#This Row],[metering_point_id]],MeteringPointPeriods[],2,FALSE),MPTypeMapping[],2,FALSE),"")</f>
        <v/>
      </c>
      <c r="H18" s="3" t="str">
        <f>_xlfn.IFNA(VLOOKUP(VLOOKUP(TimeSeriesPoints[[#This Row],[metering_point_id]],MeteringPointPeriods[],4,FALSE),SettlementMapping[],2,FALSE),"")</f>
        <v/>
      </c>
      <c r="I18" s="3" t="str">
        <f>SUBSTITUTE(SUBSTITUTE(SUBSTITUTE(TimeSeriesPoints[[#This Row],[observation_time]],":15:00",":00:00"),":30:00",":00:00"),":45:00",":00:00")</f>
        <v/>
      </c>
      <c r="J18" s="3" t="str">
        <f>LEFT(TimeSeriesPoints[[#This Row],[observation_time]],10)</f>
        <v/>
      </c>
      <c r="K18" s="3" t="e">
        <f>INDEX('Config and arguments'!AA19:AB114,MATCH(TimeSeriesPoints[[#This Row],[observation_time]],'Config and arguments'!AB19:AB114,0),1)</f>
        <v>#N/A</v>
      </c>
      <c r="L18" s="3" t="str">
        <f>_xlfn.IFNA(INDEX(MeteringPointPeriods[],MATCH(TimeSeriesPoints[[#This Row],[metering_point_id]],MeteringPointPeriods[metering_point_id],0),10),"")</f>
        <v/>
      </c>
    </row>
    <row r="19" spans="1:12" x14ac:dyDescent="0.35">
      <c r="A19" s="2"/>
      <c r="B19" s="2"/>
      <c r="C19" s="2"/>
      <c r="D19" s="2"/>
      <c r="E19" s="5" t="str">
        <f>IFERROR(VALUE(SUBSTITUTE(TimeSeriesPoints[[#This Row],[quantity]],".",",")),"")</f>
        <v/>
      </c>
      <c r="F19" s="3" t="str">
        <f>_xlfn.IFNA(INDEX(MeteringPointPeriods[],MATCH(TimeSeriesPoints[[#This Row],[metering_point_id]],MeteringPointPeriods[metering_point_id],0),5),"")</f>
        <v/>
      </c>
      <c r="G19" s="3" t="str">
        <f>_xlfn.IFNA(VLOOKUP(VLOOKUP(TimeSeriesPoints[[#This Row],[metering_point_id]],MeteringPointPeriods[],2,FALSE),MPTypeMapping[],2,FALSE),"")</f>
        <v/>
      </c>
      <c r="H19" s="3" t="str">
        <f>_xlfn.IFNA(VLOOKUP(VLOOKUP(TimeSeriesPoints[[#This Row],[metering_point_id]],MeteringPointPeriods[],4,FALSE),SettlementMapping[],2,FALSE),"")</f>
        <v/>
      </c>
      <c r="I19" s="3" t="str">
        <f>SUBSTITUTE(SUBSTITUTE(SUBSTITUTE(TimeSeriesPoints[[#This Row],[observation_time]],":15:00",":00:00"),":30:00",":00:00"),":45:00",":00:00")</f>
        <v/>
      </c>
      <c r="J19" s="3" t="str">
        <f>LEFT(TimeSeriesPoints[[#This Row],[observation_time]],10)</f>
        <v/>
      </c>
      <c r="K19" s="3" t="e">
        <f>INDEX('Config and arguments'!AA20:AB115,MATCH(TimeSeriesPoints[[#This Row],[observation_time]],'Config and arguments'!AB20:AB115,0),1)</f>
        <v>#N/A</v>
      </c>
      <c r="L19" s="3" t="str">
        <f>_xlfn.IFNA(INDEX(MeteringPointPeriods[],MATCH(TimeSeriesPoints[[#This Row],[metering_point_id]],MeteringPointPeriods[metering_point_id],0),10),"")</f>
        <v/>
      </c>
    </row>
    <row r="20" spans="1:12" x14ac:dyDescent="0.35">
      <c r="A20" s="4"/>
      <c r="B20" s="2"/>
      <c r="C20" s="2"/>
      <c r="D20" s="2"/>
      <c r="E20" s="5" t="str">
        <f>IFERROR(VALUE(SUBSTITUTE(TimeSeriesPoints[[#This Row],[quantity]],".",",")),"")</f>
        <v/>
      </c>
      <c r="F20" s="3" t="str">
        <f>_xlfn.IFNA(INDEX(MeteringPointPeriods[],MATCH(TimeSeriesPoints[[#This Row],[metering_point_id]],MeteringPointPeriods[metering_point_id],0),5),"")</f>
        <v/>
      </c>
      <c r="G20" s="3" t="str">
        <f>_xlfn.IFNA(VLOOKUP(VLOOKUP(TimeSeriesPoints[[#This Row],[metering_point_id]],MeteringPointPeriods[],2,FALSE),MPTypeMapping[],2,FALSE),"")</f>
        <v/>
      </c>
      <c r="H20" s="3" t="str">
        <f>_xlfn.IFNA(VLOOKUP(VLOOKUP(TimeSeriesPoints[[#This Row],[metering_point_id]],MeteringPointPeriods[],4,FALSE),SettlementMapping[],2,FALSE),"")</f>
        <v/>
      </c>
      <c r="I20" s="3" t="str">
        <f>SUBSTITUTE(SUBSTITUTE(SUBSTITUTE(TimeSeriesPoints[[#This Row],[observation_time]],":15:00",":00:00"),":30:00",":00:00"),":45:00",":00:00")</f>
        <v/>
      </c>
      <c r="J20" s="3" t="str">
        <f>LEFT(TimeSeriesPoints[[#This Row],[observation_time]],10)</f>
        <v/>
      </c>
      <c r="K20" s="3" t="e">
        <f>INDEX('Config and arguments'!AA21:AB116,MATCH(TimeSeriesPoints[[#This Row],[observation_time]],'Config and arguments'!AB21:AB116,0),1)</f>
        <v>#N/A</v>
      </c>
      <c r="L20" s="3" t="str">
        <f>_xlfn.IFNA(INDEX(MeteringPointPeriods[],MATCH(TimeSeriesPoints[[#This Row],[metering_point_id]],MeteringPointPeriods[metering_point_id],0),10),"")</f>
        <v/>
      </c>
    </row>
    <row r="21" spans="1:12" x14ac:dyDescent="0.35">
      <c r="A21" s="4"/>
      <c r="B21" s="2"/>
      <c r="C21" s="2"/>
      <c r="D21" s="2"/>
      <c r="E21" s="5" t="str">
        <f>IFERROR(VALUE(SUBSTITUTE(TimeSeriesPoints[[#This Row],[quantity]],".",",")),"")</f>
        <v/>
      </c>
      <c r="F21" s="3" t="str">
        <f>_xlfn.IFNA(INDEX(MeteringPointPeriods[],MATCH(TimeSeriesPoints[[#This Row],[metering_point_id]],MeteringPointPeriods[metering_point_id],0),5),"")</f>
        <v/>
      </c>
      <c r="G21" s="3" t="str">
        <f>_xlfn.IFNA(VLOOKUP(VLOOKUP(TimeSeriesPoints[[#This Row],[metering_point_id]],MeteringPointPeriods[],2,FALSE),MPTypeMapping[],2,FALSE),"")</f>
        <v/>
      </c>
      <c r="H21" s="3" t="str">
        <f>_xlfn.IFNA(VLOOKUP(VLOOKUP(TimeSeriesPoints[[#This Row],[metering_point_id]],MeteringPointPeriods[],4,FALSE),SettlementMapping[],2,FALSE),"")</f>
        <v/>
      </c>
      <c r="I21" s="3" t="str">
        <f>SUBSTITUTE(SUBSTITUTE(SUBSTITUTE(TimeSeriesPoints[[#This Row],[observation_time]],":15:00",":00:00"),":30:00",":00:00"),":45:00",":00:00")</f>
        <v/>
      </c>
      <c r="J21" s="3" t="str">
        <f>LEFT(TimeSeriesPoints[[#This Row],[observation_time]],10)</f>
        <v/>
      </c>
      <c r="K21" s="3" t="e">
        <f>INDEX('Config and arguments'!AA22:AB117,MATCH(TimeSeriesPoints[[#This Row],[observation_time]],'Config and arguments'!AB22:AB117,0),1)</f>
        <v>#N/A</v>
      </c>
      <c r="L21" s="3" t="str">
        <f>_xlfn.IFNA(INDEX(MeteringPointPeriods[],MATCH(TimeSeriesPoints[[#This Row],[metering_point_id]],MeteringPointPeriods[metering_point_id],0),10),"")</f>
        <v/>
      </c>
    </row>
    <row r="22" spans="1:12" x14ac:dyDescent="0.35">
      <c r="A22" s="4"/>
      <c r="B22" s="2"/>
      <c r="C22" s="2"/>
      <c r="D22" s="2"/>
      <c r="E22" s="5" t="str">
        <f>IFERROR(VALUE(SUBSTITUTE(TimeSeriesPoints[[#This Row],[quantity]],".",",")),"")</f>
        <v/>
      </c>
      <c r="F22" s="3" t="str">
        <f>_xlfn.IFNA(INDEX(MeteringPointPeriods[],MATCH(TimeSeriesPoints[[#This Row],[metering_point_id]],MeteringPointPeriods[metering_point_id],0),5),"")</f>
        <v/>
      </c>
      <c r="G22" s="3" t="str">
        <f>_xlfn.IFNA(VLOOKUP(VLOOKUP(TimeSeriesPoints[[#This Row],[metering_point_id]],MeteringPointPeriods[],2,FALSE),MPTypeMapping[],2,FALSE),"")</f>
        <v/>
      </c>
      <c r="H22" s="3" t="str">
        <f>_xlfn.IFNA(VLOOKUP(VLOOKUP(TimeSeriesPoints[[#This Row],[metering_point_id]],MeteringPointPeriods[],4,FALSE),SettlementMapping[],2,FALSE),"")</f>
        <v/>
      </c>
      <c r="I22" s="3" t="str">
        <f>SUBSTITUTE(SUBSTITUTE(SUBSTITUTE(TimeSeriesPoints[[#This Row],[observation_time]],":15:00",":00:00"),":30:00",":00:00"),":45:00",":00:00")</f>
        <v/>
      </c>
      <c r="J22" s="3" t="str">
        <f>LEFT(TimeSeriesPoints[[#This Row],[observation_time]],10)</f>
        <v/>
      </c>
      <c r="K22" s="3" t="e">
        <f>INDEX('Config and arguments'!AA23:AB118,MATCH(TimeSeriesPoints[[#This Row],[observation_time]],'Config and arguments'!AB23:AB118,0),1)</f>
        <v>#N/A</v>
      </c>
      <c r="L22" s="3" t="str">
        <f>_xlfn.IFNA(INDEX(MeteringPointPeriods[],MATCH(TimeSeriesPoints[[#This Row],[metering_point_id]],MeteringPointPeriods[metering_point_id],0),10),"")</f>
        <v/>
      </c>
    </row>
    <row r="23" spans="1:12" x14ac:dyDescent="0.35">
      <c r="A23" s="4"/>
      <c r="B23" s="2"/>
      <c r="C23" s="2"/>
      <c r="D23" s="2"/>
      <c r="E23" s="5" t="str">
        <f>IFERROR(VALUE(SUBSTITUTE(TimeSeriesPoints[[#This Row],[quantity]],".",",")),"")</f>
        <v/>
      </c>
      <c r="F23" s="3" t="str">
        <f>_xlfn.IFNA(INDEX(MeteringPointPeriods[],MATCH(TimeSeriesPoints[[#This Row],[metering_point_id]],MeteringPointPeriods[metering_point_id],0),5),"")</f>
        <v/>
      </c>
      <c r="G23" s="3" t="str">
        <f>_xlfn.IFNA(VLOOKUP(VLOOKUP(TimeSeriesPoints[[#This Row],[metering_point_id]],MeteringPointPeriods[],2,FALSE),MPTypeMapping[],2,FALSE),"")</f>
        <v/>
      </c>
      <c r="H23" s="3" t="str">
        <f>_xlfn.IFNA(VLOOKUP(VLOOKUP(TimeSeriesPoints[[#This Row],[metering_point_id]],MeteringPointPeriods[],4,FALSE),SettlementMapping[],2,FALSE),"")</f>
        <v/>
      </c>
      <c r="I23" s="3" t="str">
        <f>SUBSTITUTE(SUBSTITUTE(SUBSTITUTE(TimeSeriesPoints[[#This Row],[observation_time]],":15:00",":00:00"),":30:00",":00:00"),":45:00",":00:00")</f>
        <v/>
      </c>
      <c r="J23" s="3" t="str">
        <f>LEFT(TimeSeriesPoints[[#This Row],[observation_time]],10)</f>
        <v/>
      </c>
      <c r="K23" s="3" t="e">
        <f>INDEX('Config and arguments'!AA24:AB119,MATCH(TimeSeriesPoints[[#This Row],[observation_time]],'Config and arguments'!AB24:AB119,0),1)</f>
        <v>#N/A</v>
      </c>
      <c r="L23" s="3" t="str">
        <f>_xlfn.IFNA(INDEX(MeteringPointPeriods[],MATCH(TimeSeriesPoints[[#This Row],[metering_point_id]],MeteringPointPeriods[metering_point_id],0),10),"")</f>
        <v/>
      </c>
    </row>
    <row r="24" spans="1:12" x14ac:dyDescent="0.35">
      <c r="B24" s="2"/>
      <c r="D24" s="2"/>
      <c r="E24" s="5" t="str">
        <f>IFERROR(VALUE(SUBSTITUTE(TimeSeriesPoints[[#This Row],[quantity]],".",",")),"")</f>
        <v/>
      </c>
      <c r="F24" s="3" t="str">
        <f>_xlfn.IFNA(INDEX(MeteringPointPeriods[],MATCH(TimeSeriesPoints[[#This Row],[metering_point_id]],MeteringPointPeriods[metering_point_id],0),5),"")</f>
        <v/>
      </c>
      <c r="G24" s="3" t="str">
        <f>_xlfn.IFNA(VLOOKUP(VLOOKUP(TimeSeriesPoints[[#This Row],[metering_point_id]],MeteringPointPeriods[],2,FALSE),MPTypeMapping[],2,FALSE),"")</f>
        <v/>
      </c>
      <c r="H24" s="3" t="str">
        <f>_xlfn.IFNA(VLOOKUP(VLOOKUP(TimeSeriesPoints[[#This Row],[metering_point_id]],MeteringPointPeriods[],4,FALSE),SettlementMapping[],2,FALSE),"")</f>
        <v/>
      </c>
      <c r="I24" s="3" t="str">
        <f>SUBSTITUTE(SUBSTITUTE(SUBSTITUTE(TimeSeriesPoints[[#This Row],[observation_time]],":15:00",":00:00"),":30:00",":00:00"),":45:00",":00:00")</f>
        <v/>
      </c>
      <c r="J24" s="3" t="str">
        <f>LEFT(TimeSeriesPoints[[#This Row],[observation_time]],10)</f>
        <v/>
      </c>
      <c r="K24" s="3" t="e">
        <f>INDEX('Config and arguments'!AA25:AB120,MATCH(TimeSeriesPoints[[#This Row],[observation_time]],'Config and arguments'!AB25:AB120,0),1)</f>
        <v>#N/A</v>
      </c>
      <c r="L24" s="3" t="str">
        <f>_xlfn.IFNA(INDEX(MeteringPointPeriods[],MATCH(TimeSeriesPoints[[#This Row],[metering_point_id]],MeteringPointPeriods[metering_point_id],0),10),"")</f>
        <v/>
      </c>
    </row>
    <row r="25" spans="1:12" x14ac:dyDescent="0.35">
      <c r="B25" s="2"/>
      <c r="D25" s="2"/>
      <c r="E25" s="5" t="str">
        <f>IFERROR(VALUE(SUBSTITUTE(TimeSeriesPoints[[#This Row],[quantity]],".",",")),"")</f>
        <v/>
      </c>
      <c r="F25" s="3" t="str">
        <f>_xlfn.IFNA(INDEX(MeteringPointPeriods[],MATCH(TimeSeriesPoints[[#This Row],[metering_point_id]],MeteringPointPeriods[metering_point_id],0),5),"")</f>
        <v/>
      </c>
      <c r="G25" s="3" t="str">
        <f>_xlfn.IFNA(VLOOKUP(VLOOKUP(TimeSeriesPoints[[#This Row],[metering_point_id]],MeteringPointPeriods[],2,FALSE),MPTypeMapping[],2,FALSE),"")</f>
        <v/>
      </c>
      <c r="H25" s="3" t="str">
        <f>_xlfn.IFNA(VLOOKUP(VLOOKUP(TimeSeriesPoints[[#This Row],[metering_point_id]],MeteringPointPeriods[],4,FALSE),SettlementMapping[],2,FALSE),"")</f>
        <v/>
      </c>
      <c r="I25" s="3" t="str">
        <f>SUBSTITUTE(SUBSTITUTE(SUBSTITUTE(TimeSeriesPoints[[#This Row],[observation_time]],":15:00",":00:00"),":30:00",":00:00"),":45:00",":00:00")</f>
        <v/>
      </c>
      <c r="J25" s="3" t="str">
        <f>LEFT(TimeSeriesPoints[[#This Row],[observation_time]],10)</f>
        <v/>
      </c>
      <c r="K25" s="3" t="e">
        <f>INDEX('Config and arguments'!AA26:AB121,MATCH(TimeSeriesPoints[[#This Row],[observation_time]],'Config and arguments'!AB26:AB121,0),1)</f>
        <v>#N/A</v>
      </c>
      <c r="L25" s="3" t="str">
        <f>_xlfn.IFNA(INDEX(MeteringPointPeriods[],MATCH(TimeSeriesPoints[[#This Row],[metering_point_id]],MeteringPointPeriods[metering_point_id],0),10),"")</f>
        <v/>
      </c>
    </row>
    <row r="26" spans="1:12" x14ac:dyDescent="0.35">
      <c r="B26" s="2"/>
      <c r="D26" s="2"/>
      <c r="E26" s="5" t="str">
        <f>IFERROR(VALUE(SUBSTITUTE(TimeSeriesPoints[[#This Row],[quantity]],".",",")),"")</f>
        <v/>
      </c>
      <c r="F26" s="3" t="str">
        <f>_xlfn.IFNA(INDEX(MeteringPointPeriods[],MATCH(TimeSeriesPoints[[#This Row],[metering_point_id]],MeteringPointPeriods[metering_point_id],0),5),"")</f>
        <v/>
      </c>
      <c r="G26" s="3" t="str">
        <f>_xlfn.IFNA(VLOOKUP(VLOOKUP(TimeSeriesPoints[[#This Row],[metering_point_id]],MeteringPointPeriods[],2,FALSE),MPTypeMapping[],2,FALSE),"")</f>
        <v/>
      </c>
      <c r="H26" s="3" t="str">
        <f>_xlfn.IFNA(VLOOKUP(VLOOKUP(TimeSeriesPoints[[#This Row],[metering_point_id]],MeteringPointPeriods[],4,FALSE),SettlementMapping[],2,FALSE),"")</f>
        <v/>
      </c>
      <c r="I26" s="3" t="str">
        <f>SUBSTITUTE(SUBSTITUTE(SUBSTITUTE(TimeSeriesPoints[[#This Row],[observation_time]],":15:00",":00:00"),":30:00",":00:00"),":45:00",":00:00")</f>
        <v/>
      </c>
      <c r="J26" s="3" t="str">
        <f>LEFT(TimeSeriesPoints[[#This Row],[observation_time]],10)</f>
        <v/>
      </c>
      <c r="K26" s="3" t="e">
        <f>INDEX('Config and arguments'!AA27:AB122,MATCH(TimeSeriesPoints[[#This Row],[observation_time]],'Config and arguments'!AB27:AB122,0),1)</f>
        <v>#N/A</v>
      </c>
      <c r="L26" s="3" t="str">
        <f>_xlfn.IFNA(INDEX(MeteringPointPeriods[],MATCH(TimeSeriesPoints[[#This Row],[metering_point_id]],MeteringPointPeriods[metering_point_id],0),10),"")</f>
        <v/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0BE4-A7AA-4A04-94B3-3C11AFB3E44E}">
  <dimension ref="A1:M26"/>
  <sheetViews>
    <sheetView workbookViewId="0">
      <selection activeCell="J8" sqref="J8"/>
    </sheetView>
  </sheetViews>
  <sheetFormatPr defaultRowHeight="14.5" x14ac:dyDescent="0.35"/>
  <cols>
    <col min="1" max="1" width="19" bestFit="1" customWidth="1"/>
    <col min="2" max="2" width="6.7265625" bestFit="1" customWidth="1"/>
    <col min="3" max="3" width="17.1796875" bestFit="1" customWidth="1"/>
    <col min="4" max="4" width="19.54296875" bestFit="1" customWidth="1"/>
    <col min="5" max="5" width="15.7265625" bestFit="1" customWidth="1"/>
    <col min="6" max="6" width="11.54296875" bestFit="1" customWidth="1"/>
    <col min="7" max="7" width="20.54296875" bestFit="1" customWidth="1"/>
    <col min="8" max="8" width="18.1796875" bestFit="1" customWidth="1"/>
    <col min="9" max="9" width="24.7265625" bestFit="1" customWidth="1"/>
    <col min="10" max="10" width="18.90625" bestFit="1" customWidth="1"/>
    <col min="11" max="11" width="42.26953125" customWidth="1"/>
    <col min="12" max="12" width="17.7265625" bestFit="1" customWidth="1"/>
    <col min="13" max="13" width="9.26953125" bestFit="1" customWidth="1"/>
  </cols>
  <sheetData>
    <row r="1" spans="1:13" x14ac:dyDescent="0.35">
      <c r="A1" t="s">
        <v>10</v>
      </c>
      <c r="B1" t="s">
        <v>30</v>
      </c>
      <c r="C1" t="s">
        <v>31</v>
      </c>
      <c r="D1" t="s">
        <v>32</v>
      </c>
      <c r="E1" t="s">
        <v>33</v>
      </c>
      <c r="F1" t="s">
        <v>12</v>
      </c>
      <c r="G1" t="s">
        <v>34</v>
      </c>
      <c r="H1" t="s">
        <v>35</v>
      </c>
      <c r="I1" t="s">
        <v>36</v>
      </c>
      <c r="J1" t="s">
        <v>37</v>
      </c>
      <c r="K1" t="s">
        <v>115</v>
      </c>
      <c r="L1" t="s">
        <v>80</v>
      </c>
      <c r="M1" t="s">
        <v>81</v>
      </c>
    </row>
    <row r="2" spans="1:13" x14ac:dyDescent="0.35">
      <c r="A2" s="2" t="s">
        <v>25</v>
      </c>
      <c r="B2" s="2" t="s">
        <v>17</v>
      </c>
      <c r="C2" s="2" t="s">
        <v>108</v>
      </c>
      <c r="D2" s="2" t="s">
        <v>18</v>
      </c>
      <c r="E2" s="2" t="s">
        <v>110</v>
      </c>
      <c r="F2" s="2" t="s">
        <v>19</v>
      </c>
      <c r="G2" s="2" t="s">
        <v>108</v>
      </c>
      <c r="H2" s="2" t="s">
        <v>108</v>
      </c>
      <c r="I2" s="2" t="s">
        <v>108</v>
      </c>
      <c r="J2" s="2" t="s">
        <v>38</v>
      </c>
      <c r="K2" s="2" t="s">
        <v>42</v>
      </c>
      <c r="L2" s="2" t="s">
        <v>116</v>
      </c>
      <c r="M2" s="2" t="s">
        <v>108</v>
      </c>
    </row>
    <row r="3" spans="1:13" x14ac:dyDescent="0.35">
      <c r="A3" s="2" t="s">
        <v>26</v>
      </c>
      <c r="B3" s="2" t="s">
        <v>20</v>
      </c>
      <c r="C3" s="2" t="s">
        <v>108</v>
      </c>
      <c r="D3" s="2" t="s">
        <v>108</v>
      </c>
      <c r="E3" s="2" t="s">
        <v>110</v>
      </c>
      <c r="F3" s="2" t="s">
        <v>19</v>
      </c>
      <c r="G3" s="2" t="s">
        <v>108</v>
      </c>
      <c r="H3" s="2" t="s">
        <v>108</v>
      </c>
      <c r="I3" s="2" t="s">
        <v>108</v>
      </c>
      <c r="J3" s="2" t="s">
        <v>39</v>
      </c>
      <c r="K3" s="2" t="s">
        <v>43</v>
      </c>
      <c r="L3" s="2" t="s">
        <v>116</v>
      </c>
      <c r="M3" s="2" t="s">
        <v>108</v>
      </c>
    </row>
    <row r="4" spans="1:13" x14ac:dyDescent="0.35">
      <c r="A4" s="2" t="s">
        <v>6</v>
      </c>
      <c r="B4" s="2" t="s">
        <v>17</v>
      </c>
      <c r="C4" s="2" t="s">
        <v>108</v>
      </c>
      <c r="D4" s="2" t="s">
        <v>18</v>
      </c>
      <c r="E4" s="2" t="s">
        <v>110</v>
      </c>
      <c r="F4" s="2" t="s">
        <v>16</v>
      </c>
      <c r="G4" s="2" t="s">
        <v>108</v>
      </c>
      <c r="H4" s="2" t="s">
        <v>108</v>
      </c>
      <c r="I4" s="2" t="s">
        <v>108</v>
      </c>
      <c r="J4" s="2" t="s">
        <v>38</v>
      </c>
      <c r="K4" s="2" t="s">
        <v>42</v>
      </c>
      <c r="L4" s="2" t="s">
        <v>116</v>
      </c>
      <c r="M4" s="2" t="s">
        <v>108</v>
      </c>
    </row>
    <row r="5" spans="1:13" x14ac:dyDescent="0.35">
      <c r="A5" s="2" t="s">
        <v>27</v>
      </c>
      <c r="B5" s="2" t="s">
        <v>21</v>
      </c>
      <c r="C5" s="2" t="s">
        <v>108</v>
      </c>
      <c r="D5" s="2" t="s">
        <v>108</v>
      </c>
      <c r="E5" s="2" t="s">
        <v>110</v>
      </c>
      <c r="F5" s="2" t="s">
        <v>16</v>
      </c>
      <c r="G5" s="2" t="s">
        <v>108</v>
      </c>
      <c r="H5" s="2" t="s">
        <v>108</v>
      </c>
      <c r="I5" s="2" t="s">
        <v>6</v>
      </c>
      <c r="J5" s="2" t="s">
        <v>108</v>
      </c>
      <c r="K5" s="2" t="s">
        <v>108</v>
      </c>
      <c r="L5" s="2" t="s">
        <v>116</v>
      </c>
      <c r="M5" s="2" t="s">
        <v>108</v>
      </c>
    </row>
    <row r="6" spans="1:13" x14ac:dyDescent="0.35">
      <c r="A6" s="2" t="s">
        <v>1</v>
      </c>
      <c r="B6" s="2" t="s">
        <v>17</v>
      </c>
      <c r="C6" s="2" t="s">
        <v>108</v>
      </c>
      <c r="D6" s="2" t="s">
        <v>22</v>
      </c>
      <c r="E6" s="2" t="s">
        <v>110</v>
      </c>
      <c r="F6" s="2" t="s">
        <v>16</v>
      </c>
      <c r="G6" s="2" t="s">
        <v>108</v>
      </c>
      <c r="H6" s="2" t="s">
        <v>108</v>
      </c>
      <c r="I6" s="2" t="s">
        <v>108</v>
      </c>
      <c r="J6" s="2" t="s">
        <v>40</v>
      </c>
      <c r="K6" s="2" t="s">
        <v>44</v>
      </c>
      <c r="L6" s="2" t="s">
        <v>116</v>
      </c>
      <c r="M6" s="2" t="s">
        <v>108</v>
      </c>
    </row>
    <row r="7" spans="1:13" x14ac:dyDescent="0.35">
      <c r="A7" s="2" t="s">
        <v>28</v>
      </c>
      <c r="B7" s="2" t="s">
        <v>17</v>
      </c>
      <c r="C7" s="2" t="s">
        <v>108</v>
      </c>
      <c r="D7" s="2" t="s">
        <v>22</v>
      </c>
      <c r="E7" s="2" t="s">
        <v>110</v>
      </c>
      <c r="F7" s="2" t="s">
        <v>19</v>
      </c>
      <c r="G7" s="2" t="s">
        <v>108</v>
      </c>
      <c r="H7" s="2" t="s">
        <v>108</v>
      </c>
      <c r="I7" s="2" t="s">
        <v>108</v>
      </c>
      <c r="J7" s="2" t="s">
        <v>40</v>
      </c>
      <c r="K7" s="2" t="s">
        <v>44</v>
      </c>
      <c r="L7" s="2" t="s">
        <v>116</v>
      </c>
      <c r="M7" s="2" t="s">
        <v>108</v>
      </c>
    </row>
    <row r="8" spans="1:13" x14ac:dyDescent="0.35">
      <c r="A8" s="2" t="s">
        <v>3</v>
      </c>
      <c r="B8" s="2" t="s">
        <v>20</v>
      </c>
      <c r="C8" s="2" t="s">
        <v>108</v>
      </c>
      <c r="D8" s="2" t="s">
        <v>108</v>
      </c>
      <c r="E8" s="2" t="s">
        <v>110</v>
      </c>
      <c r="F8" s="2" t="s">
        <v>16</v>
      </c>
      <c r="G8" s="2" t="s">
        <v>108</v>
      </c>
      <c r="H8" s="2" t="s">
        <v>108</v>
      </c>
      <c r="I8" s="2" t="s">
        <v>108</v>
      </c>
      <c r="J8" s="2" t="s">
        <v>39</v>
      </c>
      <c r="K8" s="2" t="s">
        <v>43</v>
      </c>
      <c r="L8" s="2" t="s">
        <v>116</v>
      </c>
      <c r="M8" s="2" t="s">
        <v>108</v>
      </c>
    </row>
    <row r="9" spans="1:13" x14ac:dyDescent="0.35">
      <c r="A9" s="2" t="s">
        <v>4</v>
      </c>
      <c r="B9" s="2" t="s">
        <v>23</v>
      </c>
      <c r="C9" s="2" t="s">
        <v>108</v>
      </c>
      <c r="D9" s="2" t="s">
        <v>108</v>
      </c>
      <c r="E9" s="2" t="s">
        <v>110</v>
      </c>
      <c r="F9" s="2" t="s">
        <v>16</v>
      </c>
      <c r="G9" s="2" t="s">
        <v>108</v>
      </c>
      <c r="H9" s="2" t="s">
        <v>108</v>
      </c>
      <c r="I9" s="2" t="s">
        <v>3</v>
      </c>
      <c r="J9" s="2" t="s">
        <v>108</v>
      </c>
      <c r="K9" s="2" t="s">
        <v>108</v>
      </c>
      <c r="L9" s="2" t="s">
        <v>116</v>
      </c>
      <c r="M9" s="2" t="s">
        <v>108</v>
      </c>
    </row>
    <row r="10" spans="1:13" x14ac:dyDescent="0.35">
      <c r="A10" s="2" t="s">
        <v>5</v>
      </c>
      <c r="B10" s="2" t="s">
        <v>20</v>
      </c>
      <c r="C10" s="2" t="s">
        <v>108</v>
      </c>
      <c r="D10" s="2" t="s">
        <v>108</v>
      </c>
      <c r="E10" s="2" t="s">
        <v>110</v>
      </c>
      <c r="F10" s="2" t="s">
        <v>19</v>
      </c>
      <c r="G10" s="2" t="s">
        <v>108</v>
      </c>
      <c r="H10" s="2" t="s">
        <v>108</v>
      </c>
      <c r="I10" s="2" t="s">
        <v>108</v>
      </c>
      <c r="J10" s="2" t="s">
        <v>41</v>
      </c>
      <c r="K10" s="2" t="s">
        <v>45</v>
      </c>
      <c r="L10" s="2" t="s">
        <v>116</v>
      </c>
      <c r="M10" s="2" t="s">
        <v>108</v>
      </c>
    </row>
    <row r="11" spans="1:13" x14ac:dyDescent="0.35">
      <c r="A11" s="2" t="s">
        <v>29</v>
      </c>
      <c r="B11" s="2" t="s">
        <v>24</v>
      </c>
      <c r="C11" s="2" t="s">
        <v>108</v>
      </c>
      <c r="D11" s="2" t="s">
        <v>108</v>
      </c>
      <c r="E11" s="2" t="s">
        <v>111</v>
      </c>
      <c r="F11" s="2" t="s">
        <v>16</v>
      </c>
      <c r="G11" s="2" t="s">
        <v>111</v>
      </c>
      <c r="H11" s="2" t="s">
        <v>110</v>
      </c>
      <c r="I11" s="2" t="s">
        <v>108</v>
      </c>
      <c r="J11" s="2" t="s">
        <v>108</v>
      </c>
      <c r="K11" s="2" t="s">
        <v>108</v>
      </c>
      <c r="L11" s="2" t="s">
        <v>116</v>
      </c>
      <c r="M11" s="2" t="s">
        <v>108</v>
      </c>
    </row>
    <row r="12" spans="1:13" x14ac:dyDescent="0.35">
      <c r="A12" s="2" t="s">
        <v>112</v>
      </c>
      <c r="B12" s="2" t="s">
        <v>20</v>
      </c>
      <c r="C12" s="2" t="s">
        <v>108</v>
      </c>
      <c r="D12" s="2" t="s">
        <v>108</v>
      </c>
      <c r="E12" s="2" t="s">
        <v>113</v>
      </c>
      <c r="F12" s="2" t="s">
        <v>19</v>
      </c>
      <c r="G12" s="2" t="s">
        <v>108</v>
      </c>
      <c r="H12" s="2" t="s">
        <v>108</v>
      </c>
      <c r="I12" s="2" t="s">
        <v>108</v>
      </c>
      <c r="J12" s="2" t="s">
        <v>39</v>
      </c>
      <c r="K12" s="2" t="s">
        <v>43</v>
      </c>
      <c r="L12" s="2" t="s">
        <v>116</v>
      </c>
      <c r="M12" s="2" t="s">
        <v>108</v>
      </c>
    </row>
    <row r="13" spans="1:13" x14ac:dyDescent="0.35">
      <c r="A13" s="2" t="s">
        <v>114</v>
      </c>
      <c r="B13" s="2" t="s">
        <v>20</v>
      </c>
      <c r="C13" s="2" t="s">
        <v>108</v>
      </c>
      <c r="D13" s="2" t="s">
        <v>108</v>
      </c>
      <c r="E13" s="2" t="s">
        <v>113</v>
      </c>
      <c r="F13" s="2" t="s">
        <v>19</v>
      </c>
      <c r="G13" s="2" t="s">
        <v>108</v>
      </c>
      <c r="H13" s="2" t="s">
        <v>108</v>
      </c>
      <c r="I13" s="2" t="s">
        <v>108</v>
      </c>
      <c r="J13" s="2" t="s">
        <v>39</v>
      </c>
      <c r="K13" s="2" t="s">
        <v>43</v>
      </c>
      <c r="L13" s="2" t="s">
        <v>116</v>
      </c>
      <c r="M13" s="2" t="s">
        <v>108</v>
      </c>
    </row>
    <row r="14" spans="1:13" x14ac:dyDescent="0.35">
      <c r="A14" s="2" t="s">
        <v>150</v>
      </c>
      <c r="B14" s="2" t="s">
        <v>108</v>
      </c>
      <c r="C14" s="2" t="s">
        <v>108</v>
      </c>
      <c r="D14" s="2" t="s">
        <v>108</v>
      </c>
      <c r="E14" s="2" t="s">
        <v>113</v>
      </c>
      <c r="F14" s="2" t="s">
        <v>19</v>
      </c>
      <c r="G14" s="2" t="s">
        <v>108</v>
      </c>
      <c r="H14" s="2" t="s">
        <v>108</v>
      </c>
      <c r="I14" s="2" t="s">
        <v>108</v>
      </c>
      <c r="J14" s="2" t="s">
        <v>39</v>
      </c>
      <c r="K14" s="2" t="s">
        <v>43</v>
      </c>
      <c r="L14" s="2" t="s">
        <v>116</v>
      </c>
      <c r="M14" s="2" t="s">
        <v>108</v>
      </c>
    </row>
    <row r="15" spans="1:13" x14ac:dyDescent="0.35">
      <c r="A15" s="2" t="s">
        <v>151</v>
      </c>
      <c r="B15" s="2" t="s">
        <v>108</v>
      </c>
      <c r="C15" s="2" t="s">
        <v>108</v>
      </c>
      <c r="D15" s="2" t="s">
        <v>18</v>
      </c>
      <c r="E15" s="2" t="s">
        <v>113</v>
      </c>
      <c r="F15" s="2" t="s">
        <v>19</v>
      </c>
      <c r="G15" s="2" t="s">
        <v>108</v>
      </c>
      <c r="H15" s="2" t="s">
        <v>108</v>
      </c>
      <c r="I15" s="2" t="s">
        <v>108</v>
      </c>
      <c r="J15" s="2" t="s">
        <v>39</v>
      </c>
      <c r="K15" s="2" t="s">
        <v>43</v>
      </c>
      <c r="L15" s="2" t="s">
        <v>116</v>
      </c>
      <c r="M15" s="2" t="s">
        <v>108</v>
      </c>
    </row>
    <row r="16" spans="1:13" x14ac:dyDescent="0.35">
      <c r="A16" s="2" t="s">
        <v>152</v>
      </c>
      <c r="B16" s="2" t="s">
        <v>24</v>
      </c>
      <c r="C16" s="2" t="s">
        <v>108</v>
      </c>
      <c r="D16" s="2" t="s">
        <v>108</v>
      </c>
      <c r="E16" s="2" t="s">
        <v>113</v>
      </c>
      <c r="F16" s="2" t="s">
        <v>19</v>
      </c>
      <c r="G16" s="2" t="s">
        <v>113</v>
      </c>
      <c r="H16" s="2" t="s">
        <v>153</v>
      </c>
      <c r="I16" s="2" t="s">
        <v>108</v>
      </c>
      <c r="J16" s="2" t="s">
        <v>108</v>
      </c>
      <c r="K16" s="2" t="s">
        <v>108</v>
      </c>
      <c r="L16" s="2" t="s">
        <v>116</v>
      </c>
      <c r="M16" s="2"/>
    </row>
    <row r="17" spans="1:13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BE91-61E8-4AF4-8F90-EB71E87C01CF}">
  <dimension ref="A1:G15"/>
  <sheetViews>
    <sheetView workbookViewId="0">
      <selection activeCell="C12" sqref="C12"/>
    </sheetView>
  </sheetViews>
  <sheetFormatPr defaultRowHeight="14.5" x14ac:dyDescent="0.35"/>
  <cols>
    <col min="1" max="1" width="29.453125" bestFit="1" customWidth="1"/>
    <col min="2" max="2" width="13.1796875" bestFit="1" customWidth="1"/>
    <col min="3" max="3" width="17.1796875" bestFit="1" customWidth="1"/>
    <col min="4" max="4" width="11.54296875" bestFit="1" customWidth="1"/>
    <col min="5" max="5" width="7.81640625" bestFit="1" customWidth="1"/>
    <col min="6" max="6" width="17.7265625" bestFit="1" customWidth="1"/>
    <col min="7" max="7" width="9.26953125" bestFit="1" customWidth="1"/>
  </cols>
  <sheetData>
    <row r="1" spans="1:7" x14ac:dyDescent="0.35">
      <c r="A1" t="s">
        <v>7</v>
      </c>
      <c r="B1" t="s">
        <v>8</v>
      </c>
      <c r="C1" t="s">
        <v>9</v>
      </c>
      <c r="D1" t="s">
        <v>12</v>
      </c>
      <c r="E1" t="s">
        <v>13</v>
      </c>
      <c r="F1" t="s">
        <v>80</v>
      </c>
      <c r="G1" t="s">
        <v>81</v>
      </c>
    </row>
    <row r="2" spans="1:7" x14ac:dyDescent="0.35">
      <c r="A2" t="s">
        <v>94</v>
      </c>
      <c r="B2" t="s">
        <v>14</v>
      </c>
      <c r="C2" s="2" t="s">
        <v>106</v>
      </c>
      <c r="D2" t="s">
        <v>78</v>
      </c>
      <c r="E2" s="2" t="s">
        <v>77</v>
      </c>
      <c r="F2" s="1">
        <v>42400.958333333336</v>
      </c>
      <c r="G2" s="1" t="s">
        <v>108</v>
      </c>
    </row>
    <row r="3" spans="1:7" x14ac:dyDescent="0.35">
      <c r="A3" t="s">
        <v>95</v>
      </c>
      <c r="B3" t="s">
        <v>14</v>
      </c>
      <c r="C3" s="2" t="s">
        <v>106</v>
      </c>
      <c r="D3" t="s">
        <v>78</v>
      </c>
      <c r="E3" s="2" t="s">
        <v>77</v>
      </c>
      <c r="F3" s="1">
        <v>42400.958333333336</v>
      </c>
      <c r="G3" s="1" t="s">
        <v>108</v>
      </c>
    </row>
    <row r="4" spans="1:7" x14ac:dyDescent="0.35">
      <c r="A4" t="s">
        <v>96</v>
      </c>
      <c r="B4" t="s">
        <v>14</v>
      </c>
      <c r="C4" s="2" t="s">
        <v>106</v>
      </c>
      <c r="D4" t="s">
        <v>78</v>
      </c>
      <c r="E4" s="2" t="s">
        <v>77</v>
      </c>
      <c r="F4" s="1">
        <v>42400.958333333336</v>
      </c>
      <c r="G4" s="1" t="s">
        <v>108</v>
      </c>
    </row>
    <row r="5" spans="1:7" x14ac:dyDescent="0.35">
      <c r="A5" t="s">
        <v>97</v>
      </c>
      <c r="B5" t="s">
        <v>15</v>
      </c>
      <c r="C5" s="2" t="s">
        <v>106</v>
      </c>
      <c r="D5" t="s">
        <v>78</v>
      </c>
      <c r="E5" s="2" t="s">
        <v>77</v>
      </c>
      <c r="F5" s="1">
        <v>42400.958333333336</v>
      </c>
      <c r="G5" s="1" t="s">
        <v>108</v>
      </c>
    </row>
    <row r="6" spans="1:7" x14ac:dyDescent="0.35">
      <c r="A6" t="s">
        <v>98</v>
      </c>
      <c r="B6" t="s">
        <v>15</v>
      </c>
      <c r="C6" s="2" t="s">
        <v>106</v>
      </c>
      <c r="D6" t="s">
        <v>78</v>
      </c>
      <c r="E6" s="2" t="s">
        <v>77</v>
      </c>
      <c r="F6" s="1">
        <v>42400.958333333336</v>
      </c>
      <c r="G6" s="1" t="s">
        <v>108</v>
      </c>
    </row>
    <row r="7" spans="1:7" x14ac:dyDescent="0.35">
      <c r="A7" t="s">
        <v>99</v>
      </c>
      <c r="B7" t="s">
        <v>15</v>
      </c>
      <c r="C7" s="2" t="s">
        <v>106</v>
      </c>
      <c r="D7" t="s">
        <v>78</v>
      </c>
      <c r="E7" s="2" t="s">
        <v>77</v>
      </c>
      <c r="F7" s="1">
        <v>42400.958333333336</v>
      </c>
      <c r="G7" s="1" t="s">
        <v>108</v>
      </c>
    </row>
    <row r="8" spans="1:7" x14ac:dyDescent="0.35">
      <c r="A8" t="s">
        <v>100</v>
      </c>
      <c r="B8" t="s">
        <v>2</v>
      </c>
      <c r="C8" s="2" t="s">
        <v>106</v>
      </c>
      <c r="D8" t="s">
        <v>16</v>
      </c>
      <c r="E8" s="2" t="s">
        <v>77</v>
      </c>
      <c r="F8" s="1">
        <v>42400.958333333336</v>
      </c>
      <c r="G8" s="1" t="s">
        <v>108</v>
      </c>
    </row>
    <row r="9" spans="1:7" x14ac:dyDescent="0.35">
      <c r="A9" t="s">
        <v>101</v>
      </c>
      <c r="B9" t="s">
        <v>2</v>
      </c>
      <c r="C9" s="2" t="s">
        <v>106</v>
      </c>
      <c r="D9" t="s">
        <v>16</v>
      </c>
      <c r="E9" s="2" t="s">
        <v>77</v>
      </c>
      <c r="F9" s="1">
        <v>42400.958333333336</v>
      </c>
      <c r="G9" s="1" t="s">
        <v>108</v>
      </c>
    </row>
    <row r="10" spans="1:7" x14ac:dyDescent="0.35">
      <c r="A10" t="s">
        <v>102</v>
      </c>
      <c r="B10" t="s">
        <v>2</v>
      </c>
      <c r="C10" s="2" t="s">
        <v>106</v>
      </c>
      <c r="D10" t="s">
        <v>16</v>
      </c>
      <c r="E10" s="2" t="s">
        <v>77</v>
      </c>
      <c r="F10" s="1">
        <v>42400.958333333336</v>
      </c>
      <c r="G10" s="1" t="s">
        <v>108</v>
      </c>
    </row>
    <row r="11" spans="1:7" x14ac:dyDescent="0.35">
      <c r="A11" t="s">
        <v>79</v>
      </c>
      <c r="B11" t="s">
        <v>2</v>
      </c>
      <c r="C11" s="2" t="s">
        <v>82</v>
      </c>
      <c r="D11" t="s">
        <v>16</v>
      </c>
      <c r="E11" s="2" t="s">
        <v>83</v>
      </c>
      <c r="F11" s="1">
        <v>42400.958333333336</v>
      </c>
      <c r="G11" s="1" t="s">
        <v>108</v>
      </c>
    </row>
    <row r="12" spans="1:7" x14ac:dyDescent="0.35">
      <c r="A12" t="s">
        <v>103</v>
      </c>
      <c r="B12" t="s">
        <v>2</v>
      </c>
      <c r="C12" s="2" t="s">
        <v>106</v>
      </c>
      <c r="D12" t="s">
        <v>107</v>
      </c>
      <c r="E12" s="2" t="s">
        <v>77</v>
      </c>
      <c r="F12" s="1">
        <v>42400.958333333336</v>
      </c>
      <c r="G12" s="1" t="s">
        <v>108</v>
      </c>
    </row>
    <row r="13" spans="1:7" x14ac:dyDescent="0.35">
      <c r="A13" t="s">
        <v>104</v>
      </c>
      <c r="B13" t="s">
        <v>2</v>
      </c>
      <c r="C13" s="2" t="s">
        <v>106</v>
      </c>
      <c r="D13" t="s">
        <v>107</v>
      </c>
      <c r="E13" s="2" t="s">
        <v>77</v>
      </c>
      <c r="F13" s="1">
        <v>42400.958333333336</v>
      </c>
      <c r="G13" s="1" t="s">
        <v>108</v>
      </c>
    </row>
    <row r="14" spans="1:7" x14ac:dyDescent="0.35">
      <c r="A14" t="s">
        <v>105</v>
      </c>
      <c r="B14" t="s">
        <v>2</v>
      </c>
      <c r="C14" s="2" t="s">
        <v>82</v>
      </c>
      <c r="D14" t="s">
        <v>107</v>
      </c>
      <c r="E14" s="2" t="s">
        <v>83</v>
      </c>
      <c r="F14" s="1">
        <v>42400.958333333336</v>
      </c>
      <c r="G14" s="1" t="s">
        <v>108</v>
      </c>
    </row>
    <row r="15" spans="1:7" x14ac:dyDescent="0.35">
      <c r="A15" t="s">
        <v>109</v>
      </c>
      <c r="B15" t="s">
        <v>2</v>
      </c>
      <c r="C15" s="2" t="s">
        <v>82</v>
      </c>
      <c r="D15" t="s">
        <v>107</v>
      </c>
      <c r="E15" s="2" t="b">
        <v>0</v>
      </c>
      <c r="F15" s="1">
        <v>42400.958333333336</v>
      </c>
      <c r="G15" s="1" t="s">
        <v>108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0646-6E43-4F6B-BCFA-A9C526C6DA6E}">
  <dimension ref="A1:M35"/>
  <sheetViews>
    <sheetView workbookViewId="0">
      <selection activeCell="A34" sqref="A34:XFD34"/>
    </sheetView>
  </sheetViews>
  <sheetFormatPr defaultRowHeight="14.5" x14ac:dyDescent="0.35"/>
  <cols>
    <col min="1" max="1" width="28.54296875" bestFit="1" customWidth="1"/>
    <col min="2" max="2" width="13.1796875" bestFit="1" customWidth="1"/>
    <col min="3" max="3" width="17.1796875" bestFit="1" customWidth="1"/>
    <col min="4" max="4" width="19" bestFit="1" customWidth="1"/>
    <col min="5" max="5" width="10.1796875" bestFit="1" customWidth="1"/>
    <col min="6" max="7" width="17.7265625" style="2" bestFit="1" customWidth="1"/>
    <col min="8" max="8" width="17.7265625" style="2" customWidth="1"/>
    <col min="9" max="9" width="18.81640625" bestFit="1" customWidth="1"/>
    <col min="10" max="10" width="20.453125" bestFit="1" customWidth="1"/>
    <col min="11" max="11" width="19.54296875" bestFit="1" customWidth="1"/>
    <col min="12" max="12" width="19.54296875" customWidth="1"/>
    <col min="13" max="13" width="87" bestFit="1" customWidth="1"/>
  </cols>
  <sheetData>
    <row r="1" spans="1:13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80</v>
      </c>
      <c r="G1" s="2" t="s">
        <v>81</v>
      </c>
      <c r="H1" s="2" t="s">
        <v>156</v>
      </c>
      <c r="I1" t="s">
        <v>37</v>
      </c>
      <c r="J1" t="s">
        <v>46</v>
      </c>
      <c r="K1" s="2" t="s">
        <v>32</v>
      </c>
      <c r="L1" s="2" t="s">
        <v>149</v>
      </c>
      <c r="M1" s="2" t="s">
        <v>93</v>
      </c>
    </row>
    <row r="2" spans="1:13" x14ac:dyDescent="0.35">
      <c r="A2" s="2" t="s">
        <v>94</v>
      </c>
      <c r="B2" s="2" t="s">
        <v>14</v>
      </c>
      <c r="C2" s="2" t="s">
        <v>106</v>
      </c>
      <c r="D2" s="2" t="s">
        <v>6</v>
      </c>
      <c r="E2" s="2" t="s">
        <v>57</v>
      </c>
      <c r="F2" s="2" t="s">
        <v>120</v>
      </c>
      <c r="G2" s="2" t="s">
        <v>121</v>
      </c>
      <c r="H2" s="6" t="str">
        <f>INDEX(ChargePriceInformationPeriods[],MATCH(ChargeLinks[[#This Row],[charge_code]],ChargePriceInformationPeriods[charge_code],0),4)</f>
        <v>P1M</v>
      </c>
      <c r="I2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2" s="6" t="str">
        <f>_xlfn.IFNA(VLOOKUP(VLOOKUP(ChargeLinks[[#This Row],[metering_point_id]],MeteringPointPeriods[],2,FALSE),MPTypeMapping[],2,FALSE),"")</f>
        <v>consumption</v>
      </c>
      <c r="K2" s="6" t="str">
        <f>_xlfn.IFNA(VLOOKUP(VLOOKUP(ChargeLinks[[#This Row],[metering_point_id]],MeteringPointPeriods[],4,FALSE),SettlementMapping[],2,FALSE),"")</f>
        <v>flex</v>
      </c>
      <c r="L2" s="6" t="str">
        <f>INDEX(MeteringPointPeriods[],MATCH(ChargeLinks[[#This Row],[metering_point_id]],MeteringPointPeriods[metering_point_id],0),5)</f>
        <v>800</v>
      </c>
      <c r="M2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fee-1--0000000000800--1000000000000--consumption--800--flex</v>
      </c>
    </row>
    <row r="3" spans="1:13" x14ac:dyDescent="0.35">
      <c r="A3" s="2" t="s">
        <v>95</v>
      </c>
      <c r="B3" s="2" t="s">
        <v>14</v>
      </c>
      <c r="C3" s="2" t="s">
        <v>106</v>
      </c>
      <c r="D3" s="2" t="s">
        <v>27</v>
      </c>
      <c r="E3" s="2" t="s">
        <v>132</v>
      </c>
      <c r="F3" s="2" t="s">
        <v>121</v>
      </c>
      <c r="G3" s="2" t="s">
        <v>128</v>
      </c>
      <c r="H3" s="6" t="str">
        <f>INDEX(ChargePriceInformationPeriods[],MATCH(ChargeLinks[[#This Row],[charge_code]],ChargePriceInformationPeriods[charge_code],0),4)</f>
        <v>P1M</v>
      </c>
      <c r="I3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3" s="6" t="str">
        <f>_xlfn.IFNA(VLOOKUP(VLOOKUP(ChargeLinks[[#This Row],[metering_point_id]],MeteringPointPeriods[],2,FALSE),MPTypeMapping[],2,FALSE),"")</f>
        <v>consumption_from_grid</v>
      </c>
      <c r="K3" s="6" t="str">
        <f>_xlfn.IFNA(VLOOKUP(VLOOKUP(ChargeLinks[[#This Row],[metering_point_id]],MeteringPointPeriods[],4,FALSE),SettlementMapping[],2,FALSE),"")</f>
        <v/>
      </c>
      <c r="L3" s="6" t="str">
        <f>INDEX(MeteringPointPeriods[],MATCH(ChargeLinks[[#This Row],[metering_point_id]],MeteringPointPeriods[metering_point_id],0),5)</f>
        <v>800</v>
      </c>
      <c r="M3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fee-2--0000000000800--1000000000000--consumption_from_grid--800</v>
      </c>
    </row>
    <row r="4" spans="1:13" x14ac:dyDescent="0.35">
      <c r="A4" s="2" t="s">
        <v>95</v>
      </c>
      <c r="B4" s="2" t="s">
        <v>14</v>
      </c>
      <c r="C4" s="2" t="s">
        <v>106</v>
      </c>
      <c r="D4" s="2" t="s">
        <v>1</v>
      </c>
      <c r="E4" s="2" t="s">
        <v>57</v>
      </c>
      <c r="F4" s="2" t="s">
        <v>121</v>
      </c>
      <c r="G4" s="2" t="s">
        <v>128</v>
      </c>
      <c r="H4" s="6" t="str">
        <f>INDEX(ChargePriceInformationPeriods[],MATCH(ChargeLinks[[#This Row],[charge_code]],ChargePriceInformationPeriods[charge_code],0),4)</f>
        <v>P1M</v>
      </c>
      <c r="I4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J4" s="6" t="str">
        <f>_xlfn.IFNA(VLOOKUP(VLOOKUP(ChargeLinks[[#This Row],[metering_point_id]],MeteringPointPeriods[],2,FALSE),MPTypeMapping[],2,FALSE),"")</f>
        <v>consumption</v>
      </c>
      <c r="K4" s="6" t="str">
        <f>_xlfn.IFNA(VLOOKUP(VLOOKUP(ChargeLinks[[#This Row],[metering_point_id]],MeteringPointPeriods[],4,FALSE),SettlementMapping[],2,FALSE),"")</f>
        <v>non_profiled</v>
      </c>
      <c r="L4" s="6" t="str">
        <f>INDEX(MeteringPointPeriods[],MATCH(ChargeLinks[[#This Row],[metering_point_id]],MeteringPointPeriods[metering_point_id],0),5)</f>
        <v>800</v>
      </c>
      <c r="M4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fee-2--0000000000800--3000000000000--consumption--800--non_profiled</v>
      </c>
    </row>
    <row r="5" spans="1:13" x14ac:dyDescent="0.35">
      <c r="A5" s="2" t="s">
        <v>95</v>
      </c>
      <c r="B5" s="2" t="s">
        <v>14</v>
      </c>
      <c r="C5" s="2" t="s">
        <v>106</v>
      </c>
      <c r="D5" s="2" t="s">
        <v>28</v>
      </c>
      <c r="E5" s="2" t="s">
        <v>57</v>
      </c>
      <c r="F5" s="2" t="s">
        <v>121</v>
      </c>
      <c r="G5" s="2" t="s">
        <v>128</v>
      </c>
      <c r="H5" s="6" t="str">
        <f>INDEX(ChargePriceInformationPeriods[],MATCH(ChargeLinks[[#This Row],[charge_code]],ChargePriceInformationPeriods[charge_code],0),4)</f>
        <v>P1M</v>
      </c>
      <c r="I5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J5" s="6" t="str">
        <f>_xlfn.IFNA(VLOOKUP(VLOOKUP(ChargeLinks[[#This Row],[metering_point_id]],MeteringPointPeriods[],2,FALSE),MPTypeMapping[],2,FALSE),"")</f>
        <v>consumption</v>
      </c>
      <c r="K5" s="6" t="str">
        <f>_xlfn.IFNA(VLOOKUP(VLOOKUP(ChargeLinks[[#This Row],[metering_point_id]],MeteringPointPeriods[],4,FALSE),SettlementMapping[],2,FALSE),"")</f>
        <v>non_profiled</v>
      </c>
      <c r="L5" s="6" t="str">
        <f>INDEX(MeteringPointPeriods[],MATCH(ChargeLinks[[#This Row],[metering_point_id]],MeteringPointPeriods[metering_point_id],0),5)</f>
        <v>800</v>
      </c>
      <c r="M5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fee-2--0000000000800--3000000000000--consumption--800--non_profiled</v>
      </c>
    </row>
    <row r="6" spans="1:13" x14ac:dyDescent="0.35">
      <c r="A6" s="2" t="s">
        <v>96</v>
      </c>
      <c r="B6" s="2" t="s">
        <v>14</v>
      </c>
      <c r="C6" s="2" t="s">
        <v>106</v>
      </c>
      <c r="D6" s="2" t="s">
        <v>3</v>
      </c>
      <c r="E6" s="2" t="s">
        <v>57</v>
      </c>
      <c r="F6" s="2" t="s">
        <v>120</v>
      </c>
      <c r="G6" s="2" t="s">
        <v>121</v>
      </c>
      <c r="H6" s="6" t="str">
        <f>INDEX(ChargePriceInformationPeriods[],MATCH(ChargeLinks[[#This Row],[charge_code]],ChargePriceInformationPeriods[charge_code],0),4)</f>
        <v>P1M</v>
      </c>
      <c r="I6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6" s="6" t="str">
        <f>_xlfn.IFNA(VLOOKUP(VLOOKUP(ChargeLinks[[#This Row],[metering_point_id]],MeteringPointPeriods[],2,FALSE),MPTypeMapping[],2,FALSE),"")</f>
        <v>production</v>
      </c>
      <c r="K6" s="6" t="str">
        <f>_xlfn.IFNA(VLOOKUP(VLOOKUP(ChargeLinks[[#This Row],[metering_point_id]],MeteringPointPeriods[],4,FALSE),SettlementMapping[],2,FALSE),"")</f>
        <v/>
      </c>
      <c r="L6" s="6" t="str">
        <f>INDEX(MeteringPointPeriods[],MATCH(ChargeLinks[[#This Row],[metering_point_id]],MeteringPointPeriods[metering_point_id],0),5)</f>
        <v>800</v>
      </c>
      <c r="M6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fee-3--0000000000800--2000000000000--production--800</v>
      </c>
    </row>
    <row r="7" spans="1:13" x14ac:dyDescent="0.35">
      <c r="A7" s="2" t="s">
        <v>96</v>
      </c>
      <c r="B7" s="2" t="s">
        <v>14</v>
      </c>
      <c r="C7" s="2" t="s">
        <v>106</v>
      </c>
      <c r="D7" s="2" t="s">
        <v>3</v>
      </c>
      <c r="E7" s="2" t="s">
        <v>57</v>
      </c>
      <c r="F7" s="2" t="s">
        <v>121</v>
      </c>
      <c r="G7" s="2" t="s">
        <v>128</v>
      </c>
      <c r="H7" s="6" t="str">
        <f>INDEX(ChargePriceInformationPeriods[],MATCH(ChargeLinks[[#This Row],[charge_code]],ChargePriceInformationPeriods[charge_code],0),4)</f>
        <v>P1M</v>
      </c>
      <c r="I7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7" s="6" t="str">
        <f>_xlfn.IFNA(VLOOKUP(VLOOKUP(ChargeLinks[[#This Row],[metering_point_id]],MeteringPointPeriods[],2,FALSE),MPTypeMapping[],2,FALSE),"")</f>
        <v>production</v>
      </c>
      <c r="K7" s="6" t="str">
        <f>_xlfn.IFNA(VLOOKUP(VLOOKUP(ChargeLinks[[#This Row],[metering_point_id]],MeteringPointPeriods[],4,FALSE),SettlementMapping[],2,FALSE),"")</f>
        <v/>
      </c>
      <c r="L7" s="6" t="str">
        <f>INDEX(MeteringPointPeriods[],MATCH(ChargeLinks[[#This Row],[metering_point_id]],MeteringPointPeriods[metering_point_id],0),5)</f>
        <v>800</v>
      </c>
      <c r="M7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fee-3--0000000000800--2000000000000--production--800</v>
      </c>
    </row>
    <row r="8" spans="1:13" x14ac:dyDescent="0.35">
      <c r="A8" s="2" t="s">
        <v>96</v>
      </c>
      <c r="B8" s="2" t="s">
        <v>14</v>
      </c>
      <c r="C8" s="2" t="s">
        <v>106</v>
      </c>
      <c r="D8" s="2" t="s">
        <v>3</v>
      </c>
      <c r="E8" s="2" t="s">
        <v>57</v>
      </c>
      <c r="F8" s="2" t="s">
        <v>128</v>
      </c>
      <c r="G8" s="2" t="s">
        <v>133</v>
      </c>
      <c r="H8" s="6" t="str">
        <f>INDEX(ChargePriceInformationPeriods[],MATCH(ChargeLinks[[#This Row],[charge_code]],ChargePriceInformationPeriods[charge_code],0),4)</f>
        <v>P1M</v>
      </c>
      <c r="I8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8" s="6" t="str">
        <f>_xlfn.IFNA(VLOOKUP(VLOOKUP(ChargeLinks[[#This Row],[metering_point_id]],MeteringPointPeriods[],2,FALSE),MPTypeMapping[],2,FALSE),"")</f>
        <v>production</v>
      </c>
      <c r="K8" s="6" t="str">
        <f>_xlfn.IFNA(VLOOKUP(VLOOKUP(ChargeLinks[[#This Row],[metering_point_id]],MeteringPointPeriods[],4,FALSE),SettlementMapping[],2,FALSE),"")</f>
        <v/>
      </c>
      <c r="L8" s="6" t="str">
        <f>INDEX(MeteringPointPeriods[],MATCH(ChargeLinks[[#This Row],[metering_point_id]],MeteringPointPeriods[metering_point_id],0),5)</f>
        <v>800</v>
      </c>
      <c r="M8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fee-3--0000000000800--2000000000000--production--800</v>
      </c>
    </row>
    <row r="9" spans="1:13" x14ac:dyDescent="0.35">
      <c r="A9" s="2" t="s">
        <v>97</v>
      </c>
      <c r="B9" s="2" t="s">
        <v>15</v>
      </c>
      <c r="C9" s="2" t="s">
        <v>106</v>
      </c>
      <c r="D9" s="2" t="s">
        <v>6</v>
      </c>
      <c r="E9" s="2" t="s">
        <v>132</v>
      </c>
      <c r="F9" s="2" t="s">
        <v>134</v>
      </c>
      <c r="G9" s="2" t="s">
        <v>108</v>
      </c>
      <c r="H9" s="6" t="str">
        <f>INDEX(ChargePriceInformationPeriods[],MATCH(ChargeLinks[[#This Row],[charge_code]],ChargePriceInformationPeriods[charge_code],0),4)</f>
        <v>P1M</v>
      </c>
      <c r="I9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9" s="6" t="str">
        <f>_xlfn.IFNA(VLOOKUP(VLOOKUP(ChargeLinks[[#This Row],[metering_point_id]],MeteringPointPeriods[],2,FALSE),MPTypeMapping[],2,FALSE),"")</f>
        <v>consumption</v>
      </c>
      <c r="K9" s="6" t="str">
        <f>_xlfn.IFNA(VLOOKUP(VLOOKUP(ChargeLinks[[#This Row],[metering_point_id]],MeteringPointPeriods[],4,FALSE),SettlementMapping[],2,FALSE),"")</f>
        <v>flex</v>
      </c>
      <c r="L9" s="6" t="str">
        <f>INDEX(MeteringPointPeriods[],MATCH(ChargeLinks[[#This Row],[metering_point_id]],MeteringPointPeriods[metering_point_id],0),5)</f>
        <v>800</v>
      </c>
      <c r="M9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subscription-1--0000000000800--1000000000000--consumption--800--flex</v>
      </c>
    </row>
    <row r="10" spans="1:13" x14ac:dyDescent="0.35">
      <c r="A10" s="2" t="s">
        <v>98</v>
      </c>
      <c r="B10" s="2" t="s">
        <v>15</v>
      </c>
      <c r="C10" s="2" t="s">
        <v>106</v>
      </c>
      <c r="D10" s="2" t="s">
        <v>1</v>
      </c>
      <c r="E10" s="2" t="s">
        <v>132</v>
      </c>
      <c r="F10" s="2" t="s">
        <v>134</v>
      </c>
      <c r="G10" s="2" t="s">
        <v>121</v>
      </c>
      <c r="H10" s="6" t="str">
        <f>INDEX(ChargePriceInformationPeriods[],MATCH(ChargeLinks[[#This Row],[charge_code]],ChargePriceInformationPeriods[charge_code],0),4)</f>
        <v>P1M</v>
      </c>
      <c r="I10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J10" s="6" t="str">
        <f>_xlfn.IFNA(VLOOKUP(VLOOKUP(ChargeLinks[[#This Row],[metering_point_id]],MeteringPointPeriods[],2,FALSE),MPTypeMapping[],2,FALSE),"")</f>
        <v>consumption</v>
      </c>
      <c r="K10" s="6" t="str">
        <f>_xlfn.IFNA(VLOOKUP(VLOOKUP(ChargeLinks[[#This Row],[metering_point_id]],MeteringPointPeriods[],4,FALSE),SettlementMapping[],2,FALSE),"")</f>
        <v>non_profiled</v>
      </c>
      <c r="L10" s="6" t="str">
        <f>INDEX(MeteringPointPeriods[],MATCH(ChargeLinks[[#This Row],[metering_point_id]],MeteringPointPeriods[metering_point_id],0),5)</f>
        <v>800</v>
      </c>
      <c r="M10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subscription-2--0000000000800--3000000000000--consumption--800--non_profiled</v>
      </c>
    </row>
    <row r="11" spans="1:13" x14ac:dyDescent="0.35">
      <c r="A11" s="2" t="s">
        <v>98</v>
      </c>
      <c r="B11" s="2" t="s">
        <v>15</v>
      </c>
      <c r="C11" s="2" t="s">
        <v>106</v>
      </c>
      <c r="D11" s="2" t="s">
        <v>28</v>
      </c>
      <c r="E11" s="2" t="s">
        <v>57</v>
      </c>
      <c r="F11" s="2" t="s">
        <v>134</v>
      </c>
      <c r="G11" s="2" t="s">
        <v>108</v>
      </c>
      <c r="H11" s="6" t="str">
        <f>INDEX(ChargePriceInformationPeriods[],MATCH(ChargeLinks[[#This Row],[charge_code]],ChargePriceInformationPeriods[charge_code],0),4)</f>
        <v>P1M</v>
      </c>
      <c r="I11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J11" s="6" t="str">
        <f>_xlfn.IFNA(VLOOKUP(VLOOKUP(ChargeLinks[[#This Row],[metering_point_id]],MeteringPointPeriods[],2,FALSE),MPTypeMapping[],2,FALSE),"")</f>
        <v>consumption</v>
      </c>
      <c r="K11" s="6" t="str">
        <f>_xlfn.IFNA(VLOOKUP(VLOOKUP(ChargeLinks[[#This Row],[metering_point_id]],MeteringPointPeriods[],4,FALSE),SettlementMapping[],2,FALSE),"")</f>
        <v>non_profiled</v>
      </c>
      <c r="L11" s="6" t="str">
        <f>INDEX(MeteringPointPeriods[],MATCH(ChargeLinks[[#This Row],[metering_point_id]],MeteringPointPeriods[metering_point_id],0),5)</f>
        <v>800</v>
      </c>
      <c r="M11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subscription-2--0000000000800--3000000000000--consumption--800--non_profiled</v>
      </c>
    </row>
    <row r="12" spans="1:13" x14ac:dyDescent="0.35">
      <c r="A12" s="2" t="s">
        <v>98</v>
      </c>
      <c r="B12" s="2" t="s">
        <v>15</v>
      </c>
      <c r="C12" s="2" t="s">
        <v>106</v>
      </c>
      <c r="D12" s="2" t="s">
        <v>3</v>
      </c>
      <c r="E12" s="2" t="s">
        <v>57</v>
      </c>
      <c r="F12" s="2" t="s">
        <v>134</v>
      </c>
      <c r="G12" s="2" t="s">
        <v>108</v>
      </c>
      <c r="H12" s="6" t="str">
        <f>INDEX(ChargePriceInformationPeriods[],MATCH(ChargeLinks[[#This Row],[charge_code]],ChargePriceInformationPeriods[charge_code],0),4)</f>
        <v>P1M</v>
      </c>
      <c r="I12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12" s="6" t="str">
        <f>_xlfn.IFNA(VLOOKUP(VLOOKUP(ChargeLinks[[#This Row],[metering_point_id]],MeteringPointPeriods[],2,FALSE),MPTypeMapping[],2,FALSE),"")</f>
        <v>production</v>
      </c>
      <c r="K12" s="6" t="str">
        <f>_xlfn.IFNA(VLOOKUP(VLOOKUP(ChargeLinks[[#This Row],[metering_point_id]],MeteringPointPeriods[],4,FALSE),SettlementMapping[],2,FALSE),"")</f>
        <v/>
      </c>
      <c r="L12" s="6" t="str">
        <f>INDEX(MeteringPointPeriods[],MATCH(ChargeLinks[[#This Row],[metering_point_id]],MeteringPointPeriods[metering_point_id],0),5)</f>
        <v>800</v>
      </c>
      <c r="M12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subscription-2--0000000000800--2000000000000--production--800</v>
      </c>
    </row>
    <row r="13" spans="1:13" x14ac:dyDescent="0.35">
      <c r="A13" s="2" t="s">
        <v>99</v>
      </c>
      <c r="B13" s="2" t="s">
        <v>15</v>
      </c>
      <c r="C13" s="2" t="s">
        <v>106</v>
      </c>
      <c r="D13" s="2" t="s">
        <v>4</v>
      </c>
      <c r="E13" s="2" t="s">
        <v>57</v>
      </c>
      <c r="F13" s="2" t="s">
        <v>121</v>
      </c>
      <c r="G13" s="2" t="s">
        <v>108</v>
      </c>
      <c r="H13" s="6" t="str">
        <f>INDEX(ChargePriceInformationPeriods[],MATCH(ChargeLinks[[#This Row],[charge_code]],ChargePriceInformationPeriods[charge_code],0),4)</f>
        <v>P1M</v>
      </c>
      <c r="I13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13" s="6" t="str">
        <f>_xlfn.IFNA(VLOOKUP(VLOOKUP(ChargeLinks[[#This Row],[metering_point_id]],MeteringPointPeriods[],2,FALSE),MPTypeMapping[],2,FALSE),"")</f>
        <v>own_production</v>
      </c>
      <c r="K13" s="6" t="str">
        <f>_xlfn.IFNA(VLOOKUP(VLOOKUP(ChargeLinks[[#This Row],[metering_point_id]],MeteringPointPeriods[],4,FALSE),SettlementMapping[],2,FALSE),"")</f>
        <v/>
      </c>
      <c r="L13" s="6" t="str">
        <f>INDEX(MeteringPointPeriods[],MATCH(ChargeLinks[[#This Row],[metering_point_id]],MeteringPointPeriods[metering_point_id],0),5)</f>
        <v>800</v>
      </c>
      <c r="M13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subscription-3--0000000000800--2000000000000--own_production--800</v>
      </c>
    </row>
    <row r="14" spans="1:13" x14ac:dyDescent="0.35">
      <c r="A14" s="2" t="s">
        <v>99</v>
      </c>
      <c r="B14" s="2" t="s">
        <v>15</v>
      </c>
      <c r="C14" s="2" t="s">
        <v>106</v>
      </c>
      <c r="D14" s="2" t="s">
        <v>5</v>
      </c>
      <c r="E14" s="2" t="s">
        <v>57</v>
      </c>
      <c r="F14" s="2" t="s">
        <v>135</v>
      </c>
      <c r="G14" s="2" t="s">
        <v>108</v>
      </c>
      <c r="H14" s="6" t="str">
        <f>INDEX(ChargePriceInformationPeriods[],MATCH(ChargeLinks[[#This Row],[charge_code]],ChargePriceInformationPeriods[charge_code],0),4)</f>
        <v>P1M</v>
      </c>
      <c r="I14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4000000000000</v>
      </c>
      <c r="J14" s="6" t="str">
        <f>_xlfn.IFNA(VLOOKUP(VLOOKUP(ChargeLinks[[#This Row],[metering_point_id]],MeteringPointPeriods[],2,FALSE),MPTypeMapping[],2,FALSE),"")</f>
        <v>production</v>
      </c>
      <c r="K14" s="6" t="str">
        <f>_xlfn.IFNA(VLOOKUP(VLOOKUP(ChargeLinks[[#This Row],[metering_point_id]],MeteringPointPeriods[],4,FALSE),SettlementMapping[],2,FALSE),"")</f>
        <v/>
      </c>
      <c r="L14" s="6" t="str">
        <f>INDEX(MeteringPointPeriods[],MATCH(ChargeLinks[[#This Row],[metering_point_id]],MeteringPointPeriods[metering_point_id],0),5)</f>
        <v>800</v>
      </c>
      <c r="M14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subscription-3--0000000000800--4000000000000--production--800</v>
      </c>
    </row>
    <row r="15" spans="1:13" x14ac:dyDescent="0.35">
      <c r="A15" s="2" t="s">
        <v>100</v>
      </c>
      <c r="B15" s="2" t="s">
        <v>2</v>
      </c>
      <c r="C15" s="2" t="s">
        <v>106</v>
      </c>
      <c r="D15" s="2" t="s">
        <v>1</v>
      </c>
      <c r="E15" s="2" t="s">
        <v>57</v>
      </c>
      <c r="F15" s="2" t="s">
        <v>134</v>
      </c>
      <c r="G15" s="2" t="s">
        <v>108</v>
      </c>
      <c r="H15" s="6" t="str">
        <f>INDEX(ChargePriceInformationPeriods[],MATCH(ChargeLinks[[#This Row],[charge_code]],ChargePriceInformationPeriods[charge_code],0),4)</f>
        <v>PT1H</v>
      </c>
      <c r="I15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J15" s="6" t="str">
        <f>_xlfn.IFNA(VLOOKUP(VLOOKUP(ChargeLinks[[#This Row],[metering_point_id]],MeteringPointPeriods[],2,FALSE),MPTypeMapping[],2,FALSE),"")</f>
        <v>consumption</v>
      </c>
      <c r="K15" s="6" t="str">
        <f>_xlfn.IFNA(VLOOKUP(VLOOKUP(ChargeLinks[[#This Row],[metering_point_id]],MeteringPointPeriods[],4,FALSE),SettlementMapping[],2,FALSE),"")</f>
        <v>non_profiled</v>
      </c>
      <c r="L15" s="6" t="str">
        <f>INDEX(MeteringPointPeriods[],MATCH(ChargeLinks[[#This Row],[metering_point_id]],MeteringPointPeriods[metering_point_id],0),5)</f>
        <v>800</v>
      </c>
      <c r="M15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tariff-hourly-1--0000000000800--3000000000000--consumption--800--non_profiled</v>
      </c>
    </row>
    <row r="16" spans="1:13" x14ac:dyDescent="0.35">
      <c r="A16" s="2" t="s">
        <v>100</v>
      </c>
      <c r="B16" s="2" t="s">
        <v>2</v>
      </c>
      <c r="C16" s="2" t="s">
        <v>106</v>
      </c>
      <c r="D16" s="2" t="s">
        <v>28</v>
      </c>
      <c r="E16" s="2" t="s">
        <v>57</v>
      </c>
      <c r="F16" s="2" t="s">
        <v>134</v>
      </c>
      <c r="G16" s="2" t="s">
        <v>108</v>
      </c>
      <c r="H16" s="6" t="str">
        <f>INDEX(ChargePriceInformationPeriods[],MATCH(ChargeLinks[[#This Row],[charge_code]],ChargePriceInformationPeriods[charge_code],0),4)</f>
        <v>PT1H</v>
      </c>
      <c r="I16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J16" s="6" t="str">
        <f>_xlfn.IFNA(VLOOKUP(VLOOKUP(ChargeLinks[[#This Row],[metering_point_id]],MeteringPointPeriods[],2,FALSE),MPTypeMapping[],2,FALSE),"")</f>
        <v>consumption</v>
      </c>
      <c r="K16" s="6" t="str">
        <f>_xlfn.IFNA(VLOOKUP(VLOOKUP(ChargeLinks[[#This Row],[metering_point_id]],MeteringPointPeriods[],4,FALSE),SettlementMapping[],2,FALSE),"")</f>
        <v>non_profiled</v>
      </c>
      <c r="L16" s="6" t="str">
        <f>INDEX(MeteringPointPeriods[],MATCH(ChargeLinks[[#This Row],[metering_point_id]],MeteringPointPeriods[metering_point_id],0),5)</f>
        <v>800</v>
      </c>
      <c r="M16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tariff-hourly-1--0000000000800--3000000000000--consumption--800--non_profiled</v>
      </c>
    </row>
    <row r="17" spans="1:13" x14ac:dyDescent="0.35">
      <c r="A17" s="2" t="s">
        <v>100</v>
      </c>
      <c r="B17" s="2" t="s">
        <v>2</v>
      </c>
      <c r="C17" s="2" t="s">
        <v>106</v>
      </c>
      <c r="D17" s="2" t="s">
        <v>6</v>
      </c>
      <c r="E17" s="2" t="s">
        <v>57</v>
      </c>
      <c r="F17" s="2" t="s">
        <v>134</v>
      </c>
      <c r="G17" s="2" t="s">
        <v>108</v>
      </c>
      <c r="H17" s="6" t="str">
        <f>INDEX(ChargePriceInformationPeriods[],MATCH(ChargeLinks[[#This Row],[charge_code]],ChargePriceInformationPeriods[charge_code],0),4)</f>
        <v>PT1H</v>
      </c>
      <c r="I17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17" s="6" t="str">
        <f>_xlfn.IFNA(VLOOKUP(VLOOKUP(ChargeLinks[[#This Row],[metering_point_id]],MeteringPointPeriods[],2,FALSE),MPTypeMapping[],2,FALSE),"")</f>
        <v>consumption</v>
      </c>
      <c r="K17" s="6" t="str">
        <f>_xlfn.IFNA(VLOOKUP(VLOOKUP(ChargeLinks[[#This Row],[metering_point_id]],MeteringPointPeriods[],4,FALSE),SettlementMapping[],2,FALSE),"")</f>
        <v>flex</v>
      </c>
      <c r="L17" s="6" t="str">
        <f>INDEX(MeteringPointPeriods[],MATCH(ChargeLinks[[#This Row],[metering_point_id]],MeteringPointPeriods[metering_point_id],0),5)</f>
        <v>800</v>
      </c>
      <c r="M17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tariff-hourly-1--0000000000800--1000000000000--consumption--800--flex</v>
      </c>
    </row>
    <row r="18" spans="1:13" x14ac:dyDescent="0.35">
      <c r="A18" s="2" t="s">
        <v>100</v>
      </c>
      <c r="B18" s="2" t="s">
        <v>2</v>
      </c>
      <c r="C18" s="2" t="s">
        <v>106</v>
      </c>
      <c r="D18" s="2" t="s">
        <v>25</v>
      </c>
      <c r="E18" s="2" t="s">
        <v>57</v>
      </c>
      <c r="F18" s="2" t="s">
        <v>134</v>
      </c>
      <c r="G18" s="2" t="s">
        <v>108</v>
      </c>
      <c r="H18" s="6" t="str">
        <f>INDEX(ChargePriceInformationPeriods[],MATCH(ChargeLinks[[#This Row],[charge_code]],ChargePriceInformationPeriods[charge_code],0),4)</f>
        <v>PT1H</v>
      </c>
      <c r="I18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18" s="6" t="str">
        <f>_xlfn.IFNA(VLOOKUP(VLOOKUP(ChargeLinks[[#This Row],[metering_point_id]],MeteringPointPeriods[],2,FALSE),MPTypeMapping[],2,FALSE),"")</f>
        <v>consumption</v>
      </c>
      <c r="K18" s="6" t="str">
        <f>_xlfn.IFNA(VLOOKUP(VLOOKUP(ChargeLinks[[#This Row],[metering_point_id]],MeteringPointPeriods[],4,FALSE),SettlementMapping[],2,FALSE),"")</f>
        <v>flex</v>
      </c>
      <c r="L18" s="6" t="str">
        <f>INDEX(MeteringPointPeriods[],MATCH(ChargeLinks[[#This Row],[metering_point_id]],MeteringPointPeriods[metering_point_id],0),5)</f>
        <v>800</v>
      </c>
      <c r="M18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tariff-hourly-1--0000000000800--1000000000000--consumption--800--flex</v>
      </c>
    </row>
    <row r="19" spans="1:13" x14ac:dyDescent="0.35">
      <c r="A19" s="2" t="s">
        <v>101</v>
      </c>
      <c r="B19" s="2" t="s">
        <v>2</v>
      </c>
      <c r="C19" s="2" t="s">
        <v>106</v>
      </c>
      <c r="D19" s="2" t="s">
        <v>27</v>
      </c>
      <c r="E19" s="2" t="s">
        <v>57</v>
      </c>
      <c r="F19" s="2" t="s">
        <v>134</v>
      </c>
      <c r="G19" s="2" t="s">
        <v>108</v>
      </c>
      <c r="H19" s="6" t="str">
        <f>INDEX(ChargePriceInformationPeriods[],MATCH(ChargeLinks[[#This Row],[charge_code]],ChargePriceInformationPeriods[charge_code],0),4)</f>
        <v>PT1H</v>
      </c>
      <c r="I19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19" s="6" t="str">
        <f>_xlfn.IFNA(VLOOKUP(VLOOKUP(ChargeLinks[[#This Row],[metering_point_id]],MeteringPointPeriods[],2,FALSE),MPTypeMapping[],2,FALSE),"")</f>
        <v>consumption_from_grid</v>
      </c>
      <c r="K19" s="6" t="str">
        <f>_xlfn.IFNA(VLOOKUP(VLOOKUP(ChargeLinks[[#This Row],[metering_point_id]],MeteringPointPeriods[],4,FALSE),SettlementMapping[],2,FALSE),"")</f>
        <v/>
      </c>
      <c r="L19" s="6" t="str">
        <f>INDEX(MeteringPointPeriods[],MATCH(ChargeLinks[[#This Row],[metering_point_id]],MeteringPointPeriods[metering_point_id],0),5)</f>
        <v>800</v>
      </c>
      <c r="M19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tariff-hourly-2--0000000000800--1000000000000--consumption_from_grid--800</v>
      </c>
    </row>
    <row r="20" spans="1:13" x14ac:dyDescent="0.35">
      <c r="A20" s="2" t="s">
        <v>101</v>
      </c>
      <c r="B20" s="2" t="s">
        <v>2</v>
      </c>
      <c r="C20" s="2" t="s">
        <v>106</v>
      </c>
      <c r="D20" s="2" t="s">
        <v>5</v>
      </c>
      <c r="E20" s="2" t="s">
        <v>57</v>
      </c>
      <c r="F20" s="2" t="s">
        <v>134</v>
      </c>
      <c r="G20" s="2" t="s">
        <v>108</v>
      </c>
      <c r="H20" s="6" t="str">
        <f>INDEX(ChargePriceInformationPeriods[],MATCH(ChargeLinks[[#This Row],[charge_code]],ChargePriceInformationPeriods[charge_code],0),4)</f>
        <v>PT1H</v>
      </c>
      <c r="I20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4000000000000</v>
      </c>
      <c r="J20" s="6" t="str">
        <f>_xlfn.IFNA(VLOOKUP(VLOOKUP(ChargeLinks[[#This Row],[metering_point_id]],MeteringPointPeriods[],2,FALSE),MPTypeMapping[],2,FALSE),"")</f>
        <v>production</v>
      </c>
      <c r="K20" s="6" t="str">
        <f>_xlfn.IFNA(VLOOKUP(VLOOKUP(ChargeLinks[[#This Row],[metering_point_id]],MeteringPointPeriods[],4,FALSE),SettlementMapping[],2,FALSE),"")</f>
        <v/>
      </c>
      <c r="L20" s="6" t="str">
        <f>INDEX(MeteringPointPeriods[],MATCH(ChargeLinks[[#This Row],[metering_point_id]],MeteringPointPeriods[metering_point_id],0),5)</f>
        <v>800</v>
      </c>
      <c r="M20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tariff-hourly-2--0000000000800--4000000000000--production--800</v>
      </c>
    </row>
    <row r="21" spans="1:13" x14ac:dyDescent="0.35">
      <c r="A21" s="2" t="s">
        <v>101</v>
      </c>
      <c r="B21" s="2" t="s">
        <v>2</v>
      </c>
      <c r="C21" s="2" t="s">
        <v>106</v>
      </c>
      <c r="D21" s="2" t="s">
        <v>4</v>
      </c>
      <c r="E21" s="2" t="s">
        <v>57</v>
      </c>
      <c r="F21" s="2" t="s">
        <v>134</v>
      </c>
      <c r="G21" s="2" t="s">
        <v>108</v>
      </c>
      <c r="H21" s="6" t="str">
        <f>INDEX(ChargePriceInformationPeriods[],MATCH(ChargeLinks[[#This Row],[charge_code]],ChargePriceInformationPeriods[charge_code],0),4)</f>
        <v>PT1H</v>
      </c>
      <c r="I21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21" s="6" t="str">
        <f>_xlfn.IFNA(VLOOKUP(VLOOKUP(ChargeLinks[[#This Row],[metering_point_id]],MeteringPointPeriods[],2,FALSE),MPTypeMapping[],2,FALSE),"")</f>
        <v>own_production</v>
      </c>
      <c r="K21" s="6" t="str">
        <f>_xlfn.IFNA(VLOOKUP(VLOOKUP(ChargeLinks[[#This Row],[metering_point_id]],MeteringPointPeriods[],4,FALSE),SettlementMapping[],2,FALSE),"")</f>
        <v/>
      </c>
      <c r="L21" s="6" t="str">
        <f>INDEX(MeteringPointPeriods[],MATCH(ChargeLinks[[#This Row],[metering_point_id]],MeteringPointPeriods[metering_point_id],0),5)</f>
        <v>800</v>
      </c>
      <c r="M21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tariff-hourly-2--0000000000800--2000000000000--own_production--800</v>
      </c>
    </row>
    <row r="22" spans="1:13" x14ac:dyDescent="0.35">
      <c r="A22" s="2" t="s">
        <v>102</v>
      </c>
      <c r="B22" s="2" t="s">
        <v>2</v>
      </c>
      <c r="C22" s="2" t="s">
        <v>106</v>
      </c>
      <c r="D22" s="2" t="s">
        <v>3</v>
      </c>
      <c r="E22" s="2" t="s">
        <v>57</v>
      </c>
      <c r="F22" s="2" t="s">
        <v>134</v>
      </c>
      <c r="G22" s="2" t="s">
        <v>108</v>
      </c>
      <c r="H22" s="6" t="str">
        <f>INDEX(ChargePriceInformationPeriods[],MATCH(ChargeLinks[[#This Row],[charge_code]],ChargePriceInformationPeriods[charge_code],0),4)</f>
        <v>PT1H</v>
      </c>
      <c r="I22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22" s="6" t="str">
        <f>_xlfn.IFNA(VLOOKUP(VLOOKUP(ChargeLinks[[#This Row],[metering_point_id]],MeteringPointPeriods[],2,FALSE),MPTypeMapping[],2,FALSE),"")</f>
        <v>production</v>
      </c>
      <c r="K22" s="6" t="str">
        <f>_xlfn.IFNA(VLOOKUP(VLOOKUP(ChargeLinks[[#This Row],[metering_point_id]],MeteringPointPeriods[],4,FALSE),SettlementMapping[],2,FALSE),"")</f>
        <v/>
      </c>
      <c r="L22" s="6" t="str">
        <f>INDEX(MeteringPointPeriods[],MATCH(ChargeLinks[[#This Row],[metering_point_id]],MeteringPointPeriods[metering_point_id],0),5)</f>
        <v>800</v>
      </c>
      <c r="M22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tariff-hourly-3--0000000000800--2000000000000--production--800</v>
      </c>
    </row>
    <row r="23" spans="1:13" x14ac:dyDescent="0.35">
      <c r="A23" s="2" t="s">
        <v>102</v>
      </c>
      <c r="B23" s="2" t="s">
        <v>2</v>
      </c>
      <c r="C23" s="2" t="s">
        <v>106</v>
      </c>
      <c r="D23" s="2" t="s">
        <v>26</v>
      </c>
      <c r="E23" s="2" t="s">
        <v>57</v>
      </c>
      <c r="F23" s="2" t="s">
        <v>134</v>
      </c>
      <c r="G23" s="2" t="s">
        <v>108</v>
      </c>
      <c r="H23" s="6" t="str">
        <f>INDEX(ChargePriceInformationPeriods[],MATCH(ChargeLinks[[#This Row],[charge_code]],ChargePriceInformationPeriods[charge_code],0),4)</f>
        <v>PT1H</v>
      </c>
      <c r="I23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23" s="6" t="str">
        <f>_xlfn.IFNA(VLOOKUP(VLOOKUP(ChargeLinks[[#This Row],[metering_point_id]],MeteringPointPeriods[],2,FALSE),MPTypeMapping[],2,FALSE),"")</f>
        <v>production</v>
      </c>
      <c r="K23" s="6" t="str">
        <f>_xlfn.IFNA(VLOOKUP(VLOOKUP(ChargeLinks[[#This Row],[metering_point_id]],MeteringPointPeriods[],4,FALSE),SettlementMapping[],2,FALSE),"")</f>
        <v/>
      </c>
      <c r="L23" s="6" t="str">
        <f>INDEX(MeteringPointPeriods[],MATCH(ChargeLinks[[#This Row],[metering_point_id]],MeteringPointPeriods[metering_point_id],0),5)</f>
        <v>800</v>
      </c>
      <c r="M23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tariff-hourly-3--0000000000800--2000000000000--production--800</v>
      </c>
    </row>
    <row r="24" spans="1:13" x14ac:dyDescent="0.35">
      <c r="A24" s="2" t="s">
        <v>79</v>
      </c>
      <c r="B24" s="2" t="s">
        <v>2</v>
      </c>
      <c r="C24" s="2" t="s">
        <v>82</v>
      </c>
      <c r="D24" s="2" t="s">
        <v>25</v>
      </c>
      <c r="E24" s="2" t="s">
        <v>57</v>
      </c>
      <c r="F24" s="2" t="s">
        <v>134</v>
      </c>
      <c r="G24" s="2" t="s">
        <v>108</v>
      </c>
      <c r="H24" s="6" t="str">
        <f>INDEX(ChargePriceInformationPeriods[],MATCH(ChargeLinks[[#This Row],[charge_code]],ChargePriceInformationPeriods[charge_code],0),4)</f>
        <v>PT1H</v>
      </c>
      <c r="I24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24" s="6" t="str">
        <f>_xlfn.IFNA(VLOOKUP(VLOOKUP(ChargeLinks[[#This Row],[metering_point_id]],MeteringPointPeriods[],2,FALSE),MPTypeMapping[],2,FALSE),"")</f>
        <v>consumption</v>
      </c>
      <c r="K24" s="6" t="str">
        <f>_xlfn.IFNA(VLOOKUP(VLOOKUP(ChargeLinks[[#This Row],[metering_point_id]],MeteringPointPeriods[],4,FALSE),SettlementMapping[],2,FALSE),"")</f>
        <v>flex</v>
      </c>
      <c r="L24" s="6" t="str">
        <f>INDEX(MeteringPointPeriods[],MATCH(ChargeLinks[[#This Row],[metering_point_id]],MeteringPointPeriods[metering_point_id],0),5)</f>
        <v>800</v>
      </c>
      <c r="M24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tariff-hourly-4-co_is_tax--6660000000666--1000000000000--consumption--800--flex</v>
      </c>
    </row>
    <row r="25" spans="1:13" x14ac:dyDescent="0.35">
      <c r="A25" s="2" t="s">
        <v>103</v>
      </c>
      <c r="B25" s="2" t="s">
        <v>2</v>
      </c>
      <c r="C25" s="2" t="s">
        <v>106</v>
      </c>
      <c r="D25" s="2" t="s">
        <v>1</v>
      </c>
      <c r="E25" s="2" t="s">
        <v>57</v>
      </c>
      <c r="F25" s="2" t="s">
        <v>134</v>
      </c>
      <c r="G25" s="2" t="s">
        <v>108</v>
      </c>
      <c r="H25" s="6" t="str">
        <f>INDEX(ChargePriceInformationPeriods[],MATCH(ChargeLinks[[#This Row],[charge_code]],ChargePriceInformationPeriods[charge_code],0),4)</f>
        <v>P1D</v>
      </c>
      <c r="I25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J25" s="6" t="str">
        <f>_xlfn.IFNA(VLOOKUP(VLOOKUP(ChargeLinks[[#This Row],[metering_point_id]],MeteringPointPeriods[],2,FALSE),MPTypeMapping[],2,FALSE),"")</f>
        <v>consumption</v>
      </c>
      <c r="K25" s="6" t="str">
        <f>_xlfn.IFNA(VLOOKUP(VLOOKUP(ChargeLinks[[#This Row],[metering_point_id]],MeteringPointPeriods[],4,FALSE),SettlementMapping[],2,FALSE),"")</f>
        <v>non_profiled</v>
      </c>
      <c r="L25" s="6" t="str">
        <f>INDEX(MeteringPointPeriods[],MATCH(ChargeLinks[[#This Row],[metering_point_id]],MeteringPointPeriods[metering_point_id],0),5)</f>
        <v>800</v>
      </c>
      <c r="M25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tariff-daily-1--0000000000800--3000000000000--consumption--800--non_profiled</v>
      </c>
    </row>
    <row r="26" spans="1:13" x14ac:dyDescent="0.35">
      <c r="A26" s="2" t="s">
        <v>103</v>
      </c>
      <c r="B26" s="2" t="s">
        <v>2</v>
      </c>
      <c r="C26" s="2" t="s">
        <v>106</v>
      </c>
      <c r="D26" s="2" t="s">
        <v>28</v>
      </c>
      <c r="E26" s="2">
        <v>1</v>
      </c>
      <c r="F26" s="2" t="s">
        <v>134</v>
      </c>
      <c r="G26" s="2" t="s">
        <v>108</v>
      </c>
      <c r="H26" s="6" t="str">
        <f>INDEX(ChargePriceInformationPeriods[],MATCH(ChargeLinks[[#This Row],[charge_code]],ChargePriceInformationPeriods[charge_code],0),4)</f>
        <v>P1D</v>
      </c>
      <c r="I26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J26" s="6" t="str">
        <f>_xlfn.IFNA(VLOOKUP(VLOOKUP(ChargeLinks[[#This Row],[metering_point_id]],MeteringPointPeriods[],2,FALSE),MPTypeMapping[],2,FALSE),"")</f>
        <v>consumption</v>
      </c>
      <c r="K26" s="6" t="str">
        <f>_xlfn.IFNA(VLOOKUP(VLOOKUP(ChargeLinks[[#This Row],[metering_point_id]],MeteringPointPeriods[],4,FALSE),SettlementMapping[],2,FALSE),"")</f>
        <v>non_profiled</v>
      </c>
      <c r="L26" s="6" t="str">
        <f>INDEX(MeteringPointPeriods[],MATCH(ChargeLinks[[#This Row],[metering_point_id]],MeteringPointPeriods[metering_point_id],0),5)</f>
        <v>800</v>
      </c>
      <c r="M26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tariff-daily-1--0000000000800--3000000000000--consumption--800--non_profiled</v>
      </c>
    </row>
    <row r="27" spans="1:13" x14ac:dyDescent="0.35">
      <c r="A27" s="2" t="s">
        <v>103</v>
      </c>
      <c r="B27" s="2" t="s">
        <v>2</v>
      </c>
      <c r="C27" s="2" t="s">
        <v>106</v>
      </c>
      <c r="D27" s="2" t="s">
        <v>25</v>
      </c>
      <c r="E27" s="2">
        <v>1</v>
      </c>
      <c r="F27" s="2" t="s">
        <v>134</v>
      </c>
      <c r="G27" s="2" t="s">
        <v>108</v>
      </c>
      <c r="H27" s="6" t="str">
        <f>INDEX(ChargePriceInformationPeriods[],MATCH(ChargeLinks[[#This Row],[charge_code]],ChargePriceInformationPeriods[charge_code],0),4)</f>
        <v>P1D</v>
      </c>
      <c r="I27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27" s="6" t="str">
        <f>_xlfn.IFNA(VLOOKUP(VLOOKUP(ChargeLinks[[#This Row],[metering_point_id]],MeteringPointPeriods[],2,FALSE),MPTypeMapping[],2,FALSE),"")</f>
        <v>consumption</v>
      </c>
      <c r="K27" s="6" t="str">
        <f>_xlfn.IFNA(VLOOKUP(VLOOKUP(ChargeLinks[[#This Row],[metering_point_id]],MeteringPointPeriods[],4,FALSE),SettlementMapping[],2,FALSE),"")</f>
        <v>flex</v>
      </c>
      <c r="L27" s="6" t="str">
        <f>INDEX(MeteringPointPeriods[],MATCH(ChargeLinks[[#This Row],[metering_point_id]],MeteringPointPeriods[metering_point_id],0),5)</f>
        <v>800</v>
      </c>
      <c r="M27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tariff-daily-1--0000000000800--1000000000000--consumption--800--flex</v>
      </c>
    </row>
    <row r="28" spans="1:13" x14ac:dyDescent="0.35">
      <c r="A28" s="2" t="s">
        <v>104</v>
      </c>
      <c r="B28" s="2" t="s">
        <v>2</v>
      </c>
      <c r="C28" s="2" t="s">
        <v>106</v>
      </c>
      <c r="D28" s="2" t="s">
        <v>26</v>
      </c>
      <c r="E28" s="2">
        <v>1</v>
      </c>
      <c r="F28" s="2" t="s">
        <v>134</v>
      </c>
      <c r="G28" s="2" t="s">
        <v>108</v>
      </c>
      <c r="H28" s="6" t="str">
        <f>INDEX(ChargePriceInformationPeriods[],MATCH(ChargeLinks[[#This Row],[charge_code]],ChargePriceInformationPeriods[charge_code],0),4)</f>
        <v>P1D</v>
      </c>
      <c r="I28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28" s="6" t="str">
        <f>_xlfn.IFNA(VLOOKUP(VLOOKUP(ChargeLinks[[#This Row],[metering_point_id]],MeteringPointPeriods[],2,FALSE),MPTypeMapping[],2,FALSE),"")</f>
        <v>production</v>
      </c>
      <c r="K28" s="6" t="str">
        <f>_xlfn.IFNA(VLOOKUP(VLOOKUP(ChargeLinks[[#This Row],[metering_point_id]],MeteringPointPeriods[],4,FALSE),SettlementMapping[],2,FALSE),"")</f>
        <v/>
      </c>
      <c r="L28" s="6" t="str">
        <f>INDEX(MeteringPointPeriods[],MATCH(ChargeLinks[[#This Row],[metering_point_id]],MeteringPointPeriods[metering_point_id],0),5)</f>
        <v>800</v>
      </c>
      <c r="M28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tariff-daily-2--0000000000800--2000000000000--production--800</v>
      </c>
    </row>
    <row r="29" spans="1:13" x14ac:dyDescent="0.35">
      <c r="A29" s="2" t="s">
        <v>105</v>
      </c>
      <c r="B29" s="2" t="s">
        <v>2</v>
      </c>
      <c r="C29" s="2" t="s">
        <v>82</v>
      </c>
      <c r="D29" s="2" t="s">
        <v>27</v>
      </c>
      <c r="E29" s="2">
        <v>1</v>
      </c>
      <c r="F29" s="2" t="s">
        <v>134</v>
      </c>
      <c r="G29" s="2" t="s">
        <v>108</v>
      </c>
      <c r="H29" s="6" t="str">
        <f>INDEX(ChargePriceInformationPeriods[],MATCH(ChargeLinks[[#This Row],[charge_code]],ChargePriceInformationPeriods[charge_code],0),4)</f>
        <v>P1D</v>
      </c>
      <c r="I29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29" s="6" t="str">
        <f>_xlfn.IFNA(VLOOKUP(VLOOKUP(ChargeLinks[[#This Row],[metering_point_id]],MeteringPointPeriods[],2,FALSE),MPTypeMapping[],2,FALSE),"")</f>
        <v>consumption_from_grid</v>
      </c>
      <c r="K29" s="6" t="str">
        <f>_xlfn.IFNA(VLOOKUP(VLOOKUP(ChargeLinks[[#This Row],[metering_point_id]],MeteringPointPeriods[],4,FALSE),SettlementMapping[],2,FALSE),"")</f>
        <v/>
      </c>
      <c r="L29" s="6" t="str">
        <f>INDEX(MeteringPointPeriods[],MATCH(ChargeLinks[[#This Row],[metering_point_id]],MeteringPointPeriods[metering_point_id],0),5)</f>
        <v>800</v>
      </c>
      <c r="M29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tariff-daily-3-co_is_tax--6660000000666--1000000000000--consumption_from_grid--800</v>
      </c>
    </row>
    <row r="30" spans="1:13" x14ac:dyDescent="0.35">
      <c r="A30" s="2" t="s">
        <v>109</v>
      </c>
      <c r="B30" s="2" t="s">
        <v>2</v>
      </c>
      <c r="C30" s="2" t="s">
        <v>82</v>
      </c>
      <c r="D30" s="2" t="s">
        <v>3</v>
      </c>
      <c r="E30" s="2">
        <v>1</v>
      </c>
      <c r="F30" s="2" t="s">
        <v>134</v>
      </c>
      <c r="G30" s="2" t="s">
        <v>108</v>
      </c>
      <c r="H30" s="6" t="str">
        <f>INDEX(ChargePriceInformationPeriods[],MATCH(ChargeLinks[[#This Row],[charge_code]],ChargePriceInformationPeriods[charge_code],0),4)</f>
        <v>P1D</v>
      </c>
      <c r="I30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30" s="6" t="str">
        <f>_xlfn.IFNA(VLOOKUP(VLOOKUP(ChargeLinks[[#This Row],[metering_point_id]],MeteringPointPeriods[],2,FALSE),MPTypeMapping[],2,FALSE),"")</f>
        <v>production</v>
      </c>
      <c r="K30" s="6" t="str">
        <f>_xlfn.IFNA(VLOOKUP(VLOOKUP(ChargeLinks[[#This Row],[metering_point_id]],MeteringPointPeriods[],4,FALSE),SettlementMapping[],2,FALSE),"")</f>
        <v/>
      </c>
      <c r="L30" s="6" t="str">
        <f>INDEX(MeteringPointPeriods[],MATCH(ChargeLinks[[#This Row],[metering_point_id]],MeteringPointPeriods[metering_point_id],0),5)</f>
        <v>800</v>
      </c>
      <c r="M30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tariff-daily-4-co_is_not_tax--6660000000666--2000000000000--production--800</v>
      </c>
    </row>
    <row r="31" spans="1:13" x14ac:dyDescent="0.35">
      <c r="A31" s="2" t="s">
        <v>104</v>
      </c>
      <c r="B31" s="2" t="s">
        <v>2</v>
      </c>
      <c r="C31" s="2" t="s">
        <v>106</v>
      </c>
      <c r="D31" s="2" t="s">
        <v>5</v>
      </c>
      <c r="E31" s="2">
        <v>1</v>
      </c>
      <c r="F31" s="2" t="s">
        <v>134</v>
      </c>
      <c r="G31" s="2" t="s">
        <v>108</v>
      </c>
      <c r="H31" s="6" t="str">
        <f>INDEX(ChargePriceInformationPeriods[],MATCH(ChargeLinks[[#This Row],[charge_code]],ChargePriceInformationPeriods[charge_code],0),4)</f>
        <v>P1D</v>
      </c>
      <c r="I31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4000000000000</v>
      </c>
      <c r="J31" s="6" t="str">
        <f>_xlfn.IFNA(VLOOKUP(VLOOKUP(ChargeLinks[[#This Row],[metering_point_id]],MeteringPointPeriods[],2,FALSE),MPTypeMapping[],2,FALSE),"")</f>
        <v>production</v>
      </c>
      <c r="K31" s="6" t="str">
        <f>_xlfn.IFNA(VLOOKUP(VLOOKUP(ChargeLinks[[#This Row],[metering_point_id]],MeteringPointPeriods[],4,FALSE),SettlementMapping[],2,FALSE),"")</f>
        <v/>
      </c>
      <c r="L31" s="6" t="str">
        <f>INDEX(MeteringPointPeriods[],MATCH(ChargeLinks[[#This Row],[metering_point_id]],MeteringPointPeriods[metering_point_id],0),5)</f>
        <v>800</v>
      </c>
      <c r="M31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tariff-daily-2--0000000000800--4000000000000--production--800</v>
      </c>
    </row>
    <row r="32" spans="1:13" x14ac:dyDescent="0.35">
      <c r="A32" s="2" t="s">
        <v>104</v>
      </c>
      <c r="B32" s="2" t="s">
        <v>2</v>
      </c>
      <c r="C32" s="2" t="s">
        <v>106</v>
      </c>
      <c r="D32" s="2" t="s">
        <v>4</v>
      </c>
      <c r="E32" s="2">
        <v>1</v>
      </c>
      <c r="F32" s="2" t="s">
        <v>134</v>
      </c>
      <c r="G32" s="2" t="s">
        <v>108</v>
      </c>
      <c r="H32" s="6" t="str">
        <f>INDEX(ChargePriceInformationPeriods[],MATCH(ChargeLinks[[#This Row],[charge_code]],ChargePriceInformationPeriods[charge_code],0),4)</f>
        <v>P1D</v>
      </c>
      <c r="I32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32" s="6" t="str">
        <f>_xlfn.IFNA(VLOOKUP(VLOOKUP(ChargeLinks[[#This Row],[metering_point_id]],MeteringPointPeriods[],2,FALSE),MPTypeMapping[],2,FALSE),"")</f>
        <v>own_production</v>
      </c>
      <c r="K32" s="6" t="str">
        <f>_xlfn.IFNA(VLOOKUP(VLOOKUP(ChargeLinks[[#This Row],[metering_point_id]],MeteringPointPeriods[],4,FALSE),SettlementMapping[],2,FALSE),"")</f>
        <v/>
      </c>
      <c r="L32" s="6" t="str">
        <f>INDEX(MeteringPointPeriods[],MATCH(ChargeLinks[[#This Row],[metering_point_id]],MeteringPointPeriods[metering_point_id],0),5)</f>
        <v>800</v>
      </c>
      <c r="M32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tariff-daily-2--0000000000800--2000000000000--own_production--800</v>
      </c>
    </row>
    <row r="33" spans="1:13" x14ac:dyDescent="0.35">
      <c r="A33" s="2" t="s">
        <v>103</v>
      </c>
      <c r="B33" s="2" t="s">
        <v>2</v>
      </c>
      <c r="C33" s="2" t="s">
        <v>106</v>
      </c>
      <c r="D33" s="2" t="s">
        <v>112</v>
      </c>
      <c r="E33" s="2">
        <v>1</v>
      </c>
      <c r="F33" s="2" t="s">
        <v>134</v>
      </c>
      <c r="G33" s="2" t="s">
        <v>108</v>
      </c>
      <c r="H33" s="6" t="str">
        <f>INDEX(ChargePriceInformationPeriods[],MATCH(ChargeLinks[[#This Row],[charge_code]],ChargePriceInformationPeriods[charge_code],0),4)</f>
        <v>P1D</v>
      </c>
      <c r="I33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33" s="6" t="str">
        <f>_xlfn.IFNA(VLOOKUP(VLOOKUP(ChargeLinks[[#This Row],[metering_point_id]],MeteringPointPeriods[],2,FALSE),MPTypeMapping[],2,FALSE),"")</f>
        <v>production</v>
      </c>
      <c r="K33" s="6" t="str">
        <f>_xlfn.IFNA(VLOOKUP(VLOOKUP(ChargeLinks[[#This Row],[metering_point_id]],MeteringPointPeriods[],4,FALSE),SettlementMapping[],2,FALSE),"")</f>
        <v/>
      </c>
      <c r="L33" s="6" t="str">
        <f>INDEX(MeteringPointPeriods[],MATCH(ChargeLinks[[#This Row],[metering_point_id]],MeteringPointPeriods[metering_point_id],0),5)</f>
        <v>111</v>
      </c>
      <c r="M33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tariff-daily-1--0000000000800--2000000000000--production--111</v>
      </c>
    </row>
    <row r="34" spans="1:13" x14ac:dyDescent="0.35">
      <c r="A34" s="2" t="s">
        <v>103</v>
      </c>
      <c r="B34" s="2" t="s">
        <v>2</v>
      </c>
      <c r="C34" s="2" t="s">
        <v>106</v>
      </c>
      <c r="D34" s="2" t="s">
        <v>114</v>
      </c>
      <c r="E34" s="2">
        <v>1</v>
      </c>
      <c r="F34" s="2" t="s">
        <v>134</v>
      </c>
      <c r="G34" s="2" t="s">
        <v>108</v>
      </c>
      <c r="H34" s="6" t="str">
        <f>INDEX(ChargePriceInformationPeriods[],MATCH(ChargeLinks[[#This Row],[charge_code]],ChargePriceInformationPeriods[charge_code],0),4)</f>
        <v>P1D</v>
      </c>
      <c r="I34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34" s="6" t="str">
        <f>_xlfn.IFNA(VLOOKUP(VLOOKUP(ChargeLinks[[#This Row],[metering_point_id]],MeteringPointPeriods[],2,FALSE),MPTypeMapping[],2,FALSE),"")</f>
        <v>production</v>
      </c>
      <c r="K34" s="6" t="str">
        <f>_xlfn.IFNA(VLOOKUP(VLOOKUP(ChargeLinks[[#This Row],[metering_point_id]],MeteringPointPeriods[],4,FALSE),SettlementMapping[],2,FALSE),"")</f>
        <v/>
      </c>
      <c r="L34" s="6" t="str">
        <f>INDEX(MeteringPointPeriods[],MATCH(ChargeLinks[[#This Row],[metering_point_id]],MeteringPointPeriods[metering_point_id],0),5)</f>
        <v>111</v>
      </c>
      <c r="M34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tariff-daily-1--0000000000800--2000000000000--production--111</v>
      </c>
    </row>
    <row r="35" spans="1:13" x14ac:dyDescent="0.35">
      <c r="A35" s="2" t="s">
        <v>97</v>
      </c>
      <c r="B35" s="2" t="s">
        <v>15</v>
      </c>
      <c r="C35" s="2" t="s">
        <v>106</v>
      </c>
      <c r="D35" s="2" t="s">
        <v>114</v>
      </c>
      <c r="E35" s="2">
        <v>2</v>
      </c>
      <c r="F35" s="2" t="s">
        <v>134</v>
      </c>
      <c r="G35" s="2" t="s">
        <v>108</v>
      </c>
      <c r="H35" s="6" t="str">
        <f>INDEX(ChargePriceInformationPeriods[],MATCH(ChargeLinks[[#This Row],[charge_code]],ChargePriceInformationPeriods[charge_code],0),4)</f>
        <v>P1M</v>
      </c>
      <c r="I35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35" s="6" t="str">
        <f>_xlfn.IFNA(VLOOKUP(VLOOKUP(ChargeLinks[[#This Row],[metering_point_id]],MeteringPointPeriods[],2,FALSE),MPTypeMapping[],2,FALSE),"")</f>
        <v>production</v>
      </c>
      <c r="K35" s="6" t="str">
        <f>_xlfn.IFNA(VLOOKUP(VLOOKUP(ChargeLinks[[#This Row],[metering_point_id]],MeteringPointPeriods[],4,FALSE),SettlementMapping[],2,FALSE),"")</f>
        <v/>
      </c>
      <c r="L35" s="6" t="str">
        <f>INDEX(MeteringPointPeriods[],MATCH(ChargeLinks[[#This Row],[metering_point_id]],MeteringPointPeriods[metering_point_id],0),5)</f>
        <v>111</v>
      </c>
      <c r="M35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subscription-1--0000000000800--2000000000000--production--111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55F0-E63E-40F1-976B-0ECD4E3D9CAB}">
  <dimension ref="A1:H25"/>
  <sheetViews>
    <sheetView workbookViewId="0">
      <selection activeCell="L14" sqref="L14"/>
    </sheetView>
  </sheetViews>
  <sheetFormatPr defaultRowHeight="14.5" x14ac:dyDescent="0.35"/>
  <cols>
    <col min="1" max="1" width="29.453125" bestFit="1" customWidth="1"/>
    <col min="2" max="2" width="13.1796875" bestFit="1" customWidth="1"/>
    <col min="3" max="3" width="17.1796875" bestFit="1" customWidth="1"/>
    <col min="4" max="4" width="16.453125" bestFit="1" customWidth="1"/>
    <col min="5" max="5" width="24.453125" bestFit="1" customWidth="1"/>
    <col min="6" max="6" width="24.453125" customWidth="1"/>
    <col min="7" max="7" width="22.81640625" bestFit="1" customWidth="1"/>
    <col min="8" max="8" width="17.26953125" bestFit="1" customWidth="1"/>
  </cols>
  <sheetData>
    <row r="1" spans="1:8" x14ac:dyDescent="0.35">
      <c r="A1" t="s">
        <v>7</v>
      </c>
      <c r="B1" t="s">
        <v>8</v>
      </c>
      <c r="C1" t="s">
        <v>9</v>
      </c>
      <c r="D1" t="s">
        <v>0</v>
      </c>
      <c r="E1" t="s">
        <v>61</v>
      </c>
      <c r="F1" t="s">
        <v>138</v>
      </c>
      <c r="G1" t="s">
        <v>70</v>
      </c>
      <c r="H1" t="s">
        <v>162</v>
      </c>
    </row>
    <row r="2" spans="1:8" x14ac:dyDescent="0.35">
      <c r="A2" t="s">
        <v>94</v>
      </c>
      <c r="B2" t="s">
        <v>14</v>
      </c>
      <c r="C2" s="2" t="s">
        <v>106</v>
      </c>
      <c r="D2" s="2" t="s">
        <v>139</v>
      </c>
      <c r="E2" s="1" t="s">
        <v>62</v>
      </c>
      <c r="F2" s="7">
        <f>IFERROR(VALUE(SUBSTITUTE(ChargePricePoints[[#This Row],[charge_price]],".",",")),"")</f>
        <v>20</v>
      </c>
      <c r="G2" s="8" t="str">
        <f t="shared" ref="G2:G25" si="0">LEFT(E2,19)</f>
        <v>2023-02-01 23:00:00</v>
      </c>
      <c r="H2" s="6" t="str">
        <f>LEFT(ChargePricePoints[[#This Row],[charge_time]],10)</f>
        <v>2023-02-01</v>
      </c>
    </row>
    <row r="3" spans="1:8" x14ac:dyDescent="0.35">
      <c r="A3" t="s">
        <v>94</v>
      </c>
      <c r="B3" t="s">
        <v>14</v>
      </c>
      <c r="C3" s="2" t="s">
        <v>106</v>
      </c>
      <c r="D3" s="2" t="s">
        <v>140</v>
      </c>
      <c r="E3" s="1" t="s">
        <v>63</v>
      </c>
      <c r="F3" s="7">
        <f>IFERROR(VALUE(SUBSTITUTE(ChargePricePoints[[#This Row],[charge_price]],".",",")),"")</f>
        <v>30</v>
      </c>
      <c r="G3" s="8" t="str">
        <f t="shared" si="0"/>
        <v>2023-02-02 23:00:00</v>
      </c>
      <c r="H3" s="6" t="str">
        <f>LEFT(ChargePricePoints[[#This Row],[charge_time]],10)</f>
        <v>2023-02-02</v>
      </c>
    </row>
    <row r="4" spans="1:8" x14ac:dyDescent="0.35">
      <c r="A4" t="s">
        <v>95</v>
      </c>
      <c r="B4" t="s">
        <v>14</v>
      </c>
      <c r="C4" s="2" t="s">
        <v>106</v>
      </c>
      <c r="D4" s="2" t="s">
        <v>140</v>
      </c>
      <c r="E4" s="1" t="s">
        <v>63</v>
      </c>
      <c r="F4" s="7">
        <f>IFERROR(VALUE(SUBSTITUTE(ChargePricePoints[[#This Row],[charge_price]],".",",")),"")</f>
        <v>30</v>
      </c>
      <c r="G4" s="8" t="str">
        <f t="shared" si="0"/>
        <v>2023-02-02 23:00:00</v>
      </c>
      <c r="H4" s="6" t="str">
        <f>LEFT(ChargePricePoints[[#This Row],[charge_time]],10)</f>
        <v>2023-02-02</v>
      </c>
    </row>
    <row r="5" spans="1:8" x14ac:dyDescent="0.35">
      <c r="A5" t="s">
        <v>96</v>
      </c>
      <c r="B5" t="s">
        <v>14</v>
      </c>
      <c r="C5" s="2" t="s">
        <v>106</v>
      </c>
      <c r="D5" s="2" t="s">
        <v>139</v>
      </c>
      <c r="E5" s="1" t="s">
        <v>63</v>
      </c>
      <c r="F5" s="7">
        <f>IFERROR(VALUE(SUBSTITUTE(ChargePricePoints[[#This Row],[charge_price]],".",",")),"")</f>
        <v>20</v>
      </c>
      <c r="G5" s="8" t="str">
        <f t="shared" si="0"/>
        <v>2023-02-02 23:00:00</v>
      </c>
      <c r="H5" s="6" t="str">
        <f>LEFT(ChargePricePoints[[#This Row],[charge_time]],10)</f>
        <v>2023-02-02</v>
      </c>
    </row>
    <row r="6" spans="1:8" x14ac:dyDescent="0.35">
      <c r="A6" t="s">
        <v>97</v>
      </c>
      <c r="B6" t="s">
        <v>15</v>
      </c>
      <c r="C6" s="2" t="s">
        <v>106</v>
      </c>
      <c r="D6" s="2" t="s">
        <v>136</v>
      </c>
      <c r="E6" s="1" t="s">
        <v>64</v>
      </c>
      <c r="F6" s="7">
        <f>IFERROR(VALUE(SUBSTITUTE(ChargePricePoints[[#This Row],[charge_price]],".",",")),"")</f>
        <v>0.90860200000000002</v>
      </c>
      <c r="G6" s="8" t="str">
        <f t="shared" si="0"/>
        <v>2023-01-31 23:00:00</v>
      </c>
      <c r="H6" s="6" t="str">
        <f>LEFT(ChargePricePoints[[#This Row],[charge_time]],10)</f>
        <v>2023-01-31</v>
      </c>
    </row>
    <row r="7" spans="1:8" x14ac:dyDescent="0.35">
      <c r="A7" t="s">
        <v>98</v>
      </c>
      <c r="B7" t="s">
        <v>15</v>
      </c>
      <c r="C7" s="2" t="s">
        <v>106</v>
      </c>
      <c r="D7" s="2" t="s">
        <v>141</v>
      </c>
      <c r="E7" s="1" t="s">
        <v>64</v>
      </c>
      <c r="F7" s="7">
        <f>IFERROR(VALUE(SUBSTITUTE(ChargePricePoints[[#This Row],[charge_price]],".",",")),"")</f>
        <v>3</v>
      </c>
      <c r="G7" s="8" t="str">
        <f t="shared" si="0"/>
        <v>2023-01-31 23:00:00</v>
      </c>
      <c r="H7" s="6" t="str">
        <f>LEFT(ChargePricePoints[[#This Row],[charge_time]],10)</f>
        <v>2023-01-31</v>
      </c>
    </row>
    <row r="8" spans="1:8" x14ac:dyDescent="0.35">
      <c r="A8" t="s">
        <v>99</v>
      </c>
      <c r="B8" t="s">
        <v>15</v>
      </c>
      <c r="C8" s="2" t="s">
        <v>106</v>
      </c>
      <c r="D8" s="2" t="s">
        <v>141</v>
      </c>
      <c r="E8" s="1" t="s">
        <v>64</v>
      </c>
      <c r="F8" s="7">
        <f>IFERROR(VALUE(SUBSTITUTE(ChargePricePoints[[#This Row],[charge_price]],".",",")),"")</f>
        <v>3</v>
      </c>
      <c r="G8" s="8" t="str">
        <f t="shared" si="0"/>
        <v>2023-01-31 23:00:00</v>
      </c>
      <c r="H8" s="6" t="str">
        <f>LEFT(ChargePricePoints[[#This Row],[charge_time]],10)</f>
        <v>2023-01-31</v>
      </c>
    </row>
    <row r="9" spans="1:8" x14ac:dyDescent="0.35">
      <c r="A9" t="s">
        <v>100</v>
      </c>
      <c r="B9" t="s">
        <v>2</v>
      </c>
      <c r="C9" s="2" t="s">
        <v>106</v>
      </c>
      <c r="D9" s="2" t="s">
        <v>142</v>
      </c>
      <c r="E9" s="1" t="s">
        <v>65</v>
      </c>
      <c r="F9" s="7">
        <f>IFERROR(VALUE(SUBSTITUTE(ChargePricePoints[[#This Row],[charge_price]],".",",")),"")</f>
        <v>10</v>
      </c>
      <c r="G9" s="8" t="str">
        <f t="shared" si="0"/>
        <v>2023-02-01 02:00:00</v>
      </c>
      <c r="H9" s="6" t="str">
        <f>LEFT(ChargePricePoints[[#This Row],[charge_time]],10)</f>
        <v>2023-02-01</v>
      </c>
    </row>
    <row r="10" spans="1:8" x14ac:dyDescent="0.35">
      <c r="A10" t="s">
        <v>100</v>
      </c>
      <c r="B10" t="s">
        <v>2</v>
      </c>
      <c r="C10" s="2" t="s">
        <v>106</v>
      </c>
      <c r="D10" s="2" t="s">
        <v>142</v>
      </c>
      <c r="E10" s="1" t="s">
        <v>91</v>
      </c>
      <c r="F10" s="7">
        <f>IFERROR(VALUE(SUBSTITUTE(ChargePricePoints[[#This Row],[charge_price]],".",",")),"")</f>
        <v>10</v>
      </c>
      <c r="G10" s="8" t="str">
        <f t="shared" si="0"/>
        <v>2023-02-03 02:00:00</v>
      </c>
      <c r="H10" s="6" t="str">
        <f>LEFT(ChargePricePoints[[#This Row],[charge_time]],10)</f>
        <v>2023-02-03</v>
      </c>
    </row>
    <row r="11" spans="1:8" x14ac:dyDescent="0.35">
      <c r="A11" t="s">
        <v>101</v>
      </c>
      <c r="B11" t="s">
        <v>2</v>
      </c>
      <c r="C11" s="2" t="s">
        <v>106</v>
      </c>
      <c r="D11" s="2" t="s">
        <v>142</v>
      </c>
      <c r="E11" s="1" t="s">
        <v>91</v>
      </c>
      <c r="F11" s="7">
        <f>IFERROR(VALUE(SUBSTITUTE(ChargePricePoints[[#This Row],[charge_price]],".",",")),"")</f>
        <v>10</v>
      </c>
      <c r="G11" s="8" t="str">
        <f t="shared" si="0"/>
        <v>2023-02-03 02:00:00</v>
      </c>
      <c r="H11" s="6" t="str">
        <f>LEFT(ChargePricePoints[[#This Row],[charge_time]],10)</f>
        <v>2023-02-03</v>
      </c>
    </row>
    <row r="12" spans="1:8" x14ac:dyDescent="0.35">
      <c r="A12" t="s">
        <v>102</v>
      </c>
      <c r="B12" t="s">
        <v>2</v>
      </c>
      <c r="C12" s="2" t="s">
        <v>106</v>
      </c>
      <c r="D12" s="2" t="s">
        <v>143</v>
      </c>
      <c r="E12" s="1" t="s">
        <v>65</v>
      </c>
      <c r="F12" s="7">
        <f>IFERROR(VALUE(SUBSTITUTE(ChargePricePoints[[#This Row],[charge_price]],".",",")),"")</f>
        <v>7.6543210000000004</v>
      </c>
      <c r="G12" s="8" t="str">
        <f t="shared" si="0"/>
        <v>2023-02-01 02:00:00</v>
      </c>
      <c r="H12" s="6" t="str">
        <f>LEFT(ChargePricePoints[[#This Row],[charge_time]],10)</f>
        <v>2023-02-01</v>
      </c>
    </row>
    <row r="13" spans="1:8" x14ac:dyDescent="0.35">
      <c r="A13" t="s">
        <v>79</v>
      </c>
      <c r="B13" t="s">
        <v>2</v>
      </c>
      <c r="C13" s="2" t="s">
        <v>82</v>
      </c>
      <c r="D13" s="2" t="s">
        <v>144</v>
      </c>
      <c r="E13" s="1" t="s">
        <v>65</v>
      </c>
      <c r="F13" s="7">
        <f>IFERROR(VALUE(SUBSTITUTE(ChargePricePoints[[#This Row],[charge_price]],".",",")),"")</f>
        <v>666.66666599999996</v>
      </c>
      <c r="G13" s="8" t="str">
        <f t="shared" si="0"/>
        <v>2023-02-01 02:00:00</v>
      </c>
      <c r="H13" s="6" t="str">
        <f>LEFT(ChargePricePoints[[#This Row],[charge_time]],10)</f>
        <v>2023-02-01</v>
      </c>
    </row>
    <row r="14" spans="1:8" x14ac:dyDescent="0.35">
      <c r="A14" t="s">
        <v>103</v>
      </c>
      <c r="B14" t="s">
        <v>2</v>
      </c>
      <c r="C14" s="2" t="s">
        <v>106</v>
      </c>
      <c r="D14" s="2" t="s">
        <v>137</v>
      </c>
      <c r="E14" s="1" t="s">
        <v>64</v>
      </c>
      <c r="F14" s="7">
        <f>IFERROR(VALUE(SUBSTITUTE(ChargePricePoints[[#This Row],[charge_price]],".",",")),"")</f>
        <v>1E-3</v>
      </c>
      <c r="G14" s="8" t="str">
        <f t="shared" si="0"/>
        <v>2023-01-31 23:00:00</v>
      </c>
      <c r="H14" s="6" t="str">
        <f>LEFT(ChargePricePoints[[#This Row],[charge_time]],10)</f>
        <v>2023-01-31</v>
      </c>
    </row>
    <row r="15" spans="1:8" x14ac:dyDescent="0.35">
      <c r="A15" s="2" t="s">
        <v>104</v>
      </c>
      <c r="B15" t="s">
        <v>2</v>
      </c>
      <c r="C15" s="2" t="s">
        <v>106</v>
      </c>
      <c r="D15" s="2" t="s">
        <v>57</v>
      </c>
      <c r="E15" s="1" t="s">
        <v>64</v>
      </c>
      <c r="F15" s="7">
        <f>IFERROR(VALUE(SUBSTITUTE(ChargePricePoints[[#This Row],[charge_price]],".",",")),"")</f>
        <v>1</v>
      </c>
      <c r="G15" s="8" t="str">
        <f t="shared" si="0"/>
        <v>2023-01-31 23:00:00</v>
      </c>
      <c r="H15" s="6" t="str">
        <f>LEFT(ChargePricePoints[[#This Row],[charge_time]],10)</f>
        <v>2023-01-31</v>
      </c>
    </row>
    <row r="16" spans="1:8" x14ac:dyDescent="0.35">
      <c r="A16" t="s">
        <v>105</v>
      </c>
      <c r="B16" t="s">
        <v>2</v>
      </c>
      <c r="C16" s="2" t="s">
        <v>82</v>
      </c>
      <c r="D16" s="2" t="s">
        <v>144</v>
      </c>
      <c r="E16" s="1" t="s">
        <v>63</v>
      </c>
      <c r="F16" s="7">
        <f>IFERROR(VALUE(SUBSTITUTE(ChargePricePoints[[#This Row],[charge_price]],".",",")),"")</f>
        <v>666.66666599999996</v>
      </c>
      <c r="G16" s="8" t="str">
        <f t="shared" si="0"/>
        <v>2023-02-02 23:00:00</v>
      </c>
      <c r="H16" s="6" t="str">
        <f>LEFT(ChargePricePoints[[#This Row],[charge_time]],10)</f>
        <v>2023-02-02</v>
      </c>
    </row>
    <row r="17" spans="1:8" x14ac:dyDescent="0.35">
      <c r="A17" t="s">
        <v>109</v>
      </c>
      <c r="B17" t="s">
        <v>2</v>
      </c>
      <c r="C17" s="2" t="s">
        <v>82</v>
      </c>
      <c r="D17" s="2" t="s">
        <v>142</v>
      </c>
      <c r="E17" s="1" t="s">
        <v>64</v>
      </c>
      <c r="F17" s="7">
        <f>IFERROR(VALUE(SUBSTITUTE(ChargePricePoints[[#This Row],[charge_price]],".",",")),"")</f>
        <v>10</v>
      </c>
      <c r="G17" s="8" t="str">
        <f t="shared" si="0"/>
        <v>2023-01-31 23:00:00</v>
      </c>
      <c r="H17" s="6" t="str">
        <f>LEFT(ChargePricePoints[[#This Row],[charge_time]],10)</f>
        <v>2023-01-31</v>
      </c>
    </row>
    <row r="18" spans="1:8" x14ac:dyDescent="0.35">
      <c r="C18" s="2"/>
      <c r="D18" s="2"/>
      <c r="E18" s="1"/>
      <c r="F18" s="7" t="str">
        <f>IFERROR(VALUE(SUBSTITUTE(ChargePricePoints[[#This Row],[charge_price]],".",",")),"")</f>
        <v/>
      </c>
      <c r="G18" s="8" t="str">
        <f t="shared" si="0"/>
        <v/>
      </c>
      <c r="H18" s="6" t="str">
        <f>LEFT(ChargePricePoints[[#This Row],[charge_time]],10)</f>
        <v/>
      </c>
    </row>
    <row r="19" spans="1:8" x14ac:dyDescent="0.35">
      <c r="C19" s="2"/>
      <c r="D19" s="2"/>
      <c r="E19" s="1"/>
      <c r="F19" s="7" t="str">
        <f>IFERROR(VALUE(SUBSTITUTE(ChargePricePoints[[#This Row],[charge_price]],".",",")),"")</f>
        <v/>
      </c>
      <c r="G19" s="8" t="str">
        <f t="shared" si="0"/>
        <v/>
      </c>
      <c r="H19" s="6" t="str">
        <f>LEFT(ChargePricePoints[[#This Row],[charge_time]],10)</f>
        <v/>
      </c>
    </row>
    <row r="20" spans="1:8" x14ac:dyDescent="0.35">
      <c r="C20" s="2"/>
      <c r="D20" s="2"/>
      <c r="E20" s="1"/>
      <c r="F20" s="7" t="str">
        <f>IFERROR(VALUE(SUBSTITUTE(ChargePricePoints[[#This Row],[charge_price]],".",",")),"")</f>
        <v/>
      </c>
      <c r="G20" s="8" t="str">
        <f t="shared" si="0"/>
        <v/>
      </c>
      <c r="H20" s="6" t="str">
        <f>LEFT(ChargePricePoints[[#This Row],[charge_time]],10)</f>
        <v/>
      </c>
    </row>
    <row r="21" spans="1:8" x14ac:dyDescent="0.35">
      <c r="C21" s="2"/>
      <c r="D21" s="2"/>
      <c r="E21" s="1"/>
      <c r="F21" s="7" t="str">
        <f>IFERROR(VALUE(SUBSTITUTE(ChargePricePoints[[#This Row],[charge_price]],".",",")),"")</f>
        <v/>
      </c>
      <c r="G21" s="8" t="str">
        <f t="shared" si="0"/>
        <v/>
      </c>
      <c r="H21" s="6" t="str">
        <f>LEFT(ChargePricePoints[[#This Row],[charge_time]],10)</f>
        <v/>
      </c>
    </row>
    <row r="22" spans="1:8" x14ac:dyDescent="0.35">
      <c r="C22" s="2"/>
      <c r="D22" s="2"/>
      <c r="E22" s="1"/>
      <c r="F22" s="7" t="str">
        <f>IFERROR(VALUE(SUBSTITUTE(ChargePricePoints[[#This Row],[charge_price]],".",",")),"")</f>
        <v/>
      </c>
      <c r="G22" s="8" t="str">
        <f t="shared" si="0"/>
        <v/>
      </c>
      <c r="H22" s="6" t="str">
        <f>LEFT(ChargePricePoints[[#This Row],[charge_time]],10)</f>
        <v/>
      </c>
    </row>
    <row r="23" spans="1:8" x14ac:dyDescent="0.35">
      <c r="C23" s="2"/>
      <c r="D23" s="2"/>
      <c r="E23" s="1"/>
      <c r="F23" s="7" t="str">
        <f>IFERROR(VALUE(SUBSTITUTE(ChargePricePoints[[#This Row],[charge_price]],".",",")),"")</f>
        <v/>
      </c>
      <c r="G23" s="8" t="str">
        <f t="shared" si="0"/>
        <v/>
      </c>
      <c r="H23" s="6" t="str">
        <f>LEFT(ChargePricePoints[[#This Row],[charge_time]],10)</f>
        <v/>
      </c>
    </row>
    <row r="24" spans="1:8" x14ac:dyDescent="0.35">
      <c r="C24" s="2"/>
      <c r="D24" s="2"/>
      <c r="E24" s="1"/>
      <c r="F24" s="7" t="str">
        <f>IFERROR(VALUE(SUBSTITUTE(ChargePricePoints[[#This Row],[charge_price]],".",",")),"")</f>
        <v/>
      </c>
      <c r="G24" s="8" t="str">
        <f t="shared" si="0"/>
        <v/>
      </c>
      <c r="H24" s="6" t="str">
        <f>LEFT(ChargePricePoints[[#This Row],[charge_time]],10)</f>
        <v/>
      </c>
    </row>
    <row r="25" spans="1:8" x14ac:dyDescent="0.35">
      <c r="C25" s="2"/>
      <c r="D25" s="2"/>
      <c r="E25" s="1"/>
      <c r="F25" s="7" t="str">
        <f>IFERROR(VALUE(SUBSTITUTE(ChargePricePoints[[#This Row],[charge_price]],".",",")),"")</f>
        <v/>
      </c>
      <c r="G25" s="8" t="str">
        <f t="shared" si="0"/>
        <v/>
      </c>
      <c r="H25" s="6" t="str">
        <f>LEFT(ChargePricePoints[[#This Row],[charge_time]],10)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Tariffs - daily</vt:lpstr>
      <vt:lpstr>Tariffs - hourly</vt:lpstr>
      <vt:lpstr>Config and arguments</vt:lpstr>
      <vt:lpstr>TimeSeriesPoints</vt:lpstr>
      <vt:lpstr>MeteringPointPeriods</vt:lpstr>
      <vt:lpstr>ChargePriceInformationPeriods</vt:lpstr>
      <vt:lpstr>ChargeLinks</vt:lpstr>
      <vt:lpstr>ChargePricePoints</vt:lpstr>
      <vt:lpstr>TimeSeriesPoints!gridLoss1H_quarter1</vt:lpstr>
      <vt:lpstr>TimeSeriesPoints!gridLoss1H_quarter2</vt:lpstr>
      <vt:lpstr>TimeSeriesPoints!gridLoss1H_quarter3</vt:lpstr>
      <vt:lpstr>TimeSeriesPoints!gridLoss1H_quarter4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2024-06-20T13:39:54Z</dcterms:created>
  <dcterms:modified xsi:type="dcterms:W3CDTF">2024-10-09T07:24:16Z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2024-06-20T13:51:56Z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a7a49ec5-4ae1-4999-a166-9399b31be21f</vt:lpwstr>
  </property>
  <property fmtid="{D5CDD505-2E9C-101B-9397-08002B2CF9AE}" pid="8" name="MSIP_Label_388507bc-e780-4892-8083-f8b069738aec_ContentBits">
    <vt:lpwstr>0</vt:lpwstr>
  </property>
</Properties>
</file>