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_wholesale_calculation\when_minimal_standard_scenario\"/>
    </mc:Choice>
  </mc:AlternateContent>
  <xr:revisionPtr revIDLastSave="0" documentId="13_ncr:1_{EB31EB3E-37E5-4FFB-A553-56A8B89A7846}" xr6:coauthVersionLast="47" xr6:coauthVersionMax="47" xr10:uidLastSave="{00000000-0000-0000-0000-000000000000}"/>
  <bookViews>
    <workbookView xWindow="-23136" yWindow="-96" windowWidth="23232" windowHeight="12432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1" l="1"/>
  <c r="J2" i="11"/>
  <c r="J3" i="11"/>
  <c r="J4" i="11"/>
  <c r="J5" i="11"/>
  <c r="AE27" i="11"/>
  <c r="AF27" i="11"/>
  <c r="V60" i="11" l="1"/>
  <c r="J6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V47" i="11" l="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2" i="11"/>
  <c r="W2" i="11"/>
  <c r="V2" i="11"/>
  <c r="V59" i="11"/>
  <c r="V42" i="11"/>
  <c r="V45" i="11" s="1"/>
  <c r="Z45" i="11" s="1"/>
  <c r="AF13" i="11" a="1"/>
  <c r="AE13" i="11" a="1"/>
  <c r="Z24" i="11" a="1"/>
  <c r="Z24" i="11" s="1"/>
  <c r="Z25" i="11" a="1"/>
  <c r="Z25" i="11" s="1"/>
  <c r="U30" i="11"/>
  <c r="S30" i="11" s="1"/>
  <c r="U26" i="11"/>
  <c r="U29" i="11" s="1"/>
  <c r="E20" i="11"/>
  <c r="AG2" i="11"/>
  <c r="AD2" i="11" a="1"/>
  <c r="AD2" i="11" s="1"/>
  <c r="AI3" i="11" l="1" a="1"/>
  <c r="AI3" i="11" s="1"/>
  <c r="AH3" i="11" a="1"/>
  <c r="AH3" i="11" s="1"/>
  <c r="AF29" i="11" a="1"/>
  <c r="AF29" i="11" s="1"/>
  <c r="AE31" i="11" a="1"/>
  <c r="AE31" i="11" s="1"/>
  <c r="AF31" i="11" a="1"/>
  <c r="AF31" i="11" s="1"/>
  <c r="AE32" i="11" a="1"/>
  <c r="AE32" i="11" s="1"/>
  <c r="AF32" i="11" a="1"/>
  <c r="AF32" i="11" s="1"/>
  <c r="AF30" i="11" a="1"/>
  <c r="AF30" i="11" s="1"/>
  <c r="AE29" i="11" a="1"/>
  <c r="AE29" i="11" s="1"/>
  <c r="AE30" i="11" a="1"/>
  <c r="AE30" i="11" s="1"/>
  <c r="V54" i="11"/>
  <c r="V56" i="11" s="1"/>
  <c r="Z56" i="11" s="1"/>
  <c r="V63" i="11"/>
  <c r="Z63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V30" i="11"/>
  <c r="V22" i="11"/>
  <c r="V26" i="11"/>
  <c r="AE13" i="11"/>
  <c r="AE28" i="11" s="1" a="1"/>
  <c r="AE28" i="11" s="1"/>
  <c r="AF13" i="11"/>
  <c r="AF28" i="11" s="1" a="1"/>
  <c r="AF28" i="11" s="1"/>
  <c r="T5" i="11"/>
  <c r="V53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V43" i="11"/>
  <c r="W43" i="11" s="1"/>
  <c r="Y43" i="11" s="1"/>
  <c r="T29" i="11"/>
  <c r="S29" i="11"/>
  <c r="T26" i="11"/>
  <c r="U27" i="11"/>
  <c r="U32" i="11"/>
  <c r="V44" i="11"/>
  <c r="V61" i="11"/>
  <c r="V64" i="11"/>
  <c r="V62" i="11"/>
  <c r="V46" i="11"/>
  <c r="AJ3" i="11" l="1" a="1"/>
  <c r="V57" i="11"/>
  <c r="Z57" i="11" s="1"/>
  <c r="V55" i="11"/>
  <c r="V58" i="11"/>
  <c r="Z58" i="11" s="1"/>
  <c r="H60" i="11"/>
  <c r="I60" i="11" s="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W61" i="11"/>
  <c r="Y61" i="11" s="1"/>
  <c r="Z61" i="11"/>
  <c r="T32" i="11"/>
  <c r="S32" i="1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V102" i="11" a="1"/>
  <c r="V109" i="11" a="1"/>
  <c r="V98" i="11" a="1"/>
  <c r="V101" i="11" a="1"/>
  <c r="V108" i="11" a="1"/>
  <c r="V107" i="11" a="1"/>
  <c r="V105" i="11" a="1"/>
  <c r="V99" i="11" a="1"/>
  <c r="V106" i="11" a="1"/>
  <c r="V100" i="11" a="1"/>
  <c r="V103" i="11" a="1"/>
  <c r="V104" i="11" a="1"/>
  <c r="V102" i="11" l="1"/>
  <c r="V101" i="11"/>
  <c r="V106" i="11"/>
  <c r="V109" i="11"/>
  <c r="V100" i="11"/>
  <c r="V98" i="11"/>
  <c r="V99" i="11"/>
  <c r="V107" i="11"/>
  <c r="V105" i="11"/>
  <c r="V108" i="11"/>
  <c r="V103" i="11"/>
  <c r="V104" i="11"/>
  <c r="AJ3" i="11"/>
  <c r="W98" i="11"/>
  <c r="W101" i="11" s="1"/>
  <c r="W106" i="11"/>
  <c r="W102" i="11"/>
  <c r="E106" i="11"/>
  <c r="E92" i="11"/>
  <c r="E108" i="11"/>
  <c r="I108" i="11" s="1" a="1"/>
  <c r="I108" i="11" s="1"/>
  <c r="E91" i="11"/>
  <c r="E107" i="11"/>
  <c r="E93" i="11"/>
  <c r="E104" i="11"/>
  <c r="E105" i="11"/>
  <c r="E109" i="11"/>
  <c r="E94" i="11"/>
  <c r="I94" i="11" s="1" a="1"/>
  <c r="E110" i="11"/>
  <c r="E111" i="11"/>
  <c r="E112" i="11"/>
  <c r="E99" i="11"/>
  <c r="I99" i="11" s="1" a="1"/>
  <c r="E101" i="11"/>
  <c r="I101" i="11" s="1" a="1"/>
  <c r="E102" i="11"/>
  <c r="E95" i="11"/>
  <c r="I95" i="11" s="1" a="1"/>
  <c r="E96" i="11"/>
  <c r="I96" i="11" s="1" a="1"/>
  <c r="E103" i="11"/>
  <c r="E97" i="11"/>
  <c r="I97" i="11" s="1" a="1"/>
  <c r="E113" i="11"/>
  <c r="I113" i="11" s="1" a="1"/>
  <c r="I113" i="11" s="1"/>
  <c r="E98" i="11"/>
  <c r="I98" i="11" s="1" a="1"/>
  <c r="E90" i="11"/>
  <c r="E100" i="11"/>
  <c r="I100" i="11" s="1" a="1"/>
  <c r="Z55" i="11"/>
  <c r="Z53" i="11" s="1"/>
  <c r="AE2" i="11"/>
  <c r="E35" i="11" s="1"/>
  <c r="H35" i="11" s="1"/>
  <c r="U18" i="11"/>
  <c r="W55" i="11"/>
  <c r="Y55" i="11" s="1"/>
  <c r="H61" i="11"/>
  <c r="I61" i="11" s="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I54" i="11" s="1"/>
  <c r="Z35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Z65" i="11"/>
  <c r="Z59" i="11"/>
  <c r="X45" i="11"/>
  <c r="W45" i="11" s="1"/>
  <c r="Y45" i="11" s="1"/>
  <c r="X27" i="11"/>
  <c r="W27" i="11" s="1"/>
  <c r="Y27" i="11" s="1"/>
  <c r="X28" i="11" s="1"/>
  <c r="W28" i="11" s="1"/>
  <c r="Y28" i="11" s="1"/>
  <c r="X29" i="11" s="1"/>
  <c r="W29" i="11" s="1"/>
  <c r="Y29" i="11" s="1"/>
  <c r="V89" i="11" a="1"/>
  <c r="V91" i="11" a="1"/>
  <c r="V93" i="11" a="1"/>
  <c r="V88" i="11" a="1"/>
  <c r="V97" i="11" a="1"/>
  <c r="V86" i="11" a="1"/>
  <c r="V92" i="11" a="1"/>
  <c r="V94" i="11" a="1"/>
  <c r="V90" i="11" a="1"/>
  <c r="V87" i="11" a="1"/>
  <c r="V95" i="11" a="1"/>
  <c r="V96" i="11" a="1"/>
  <c r="W100" i="11" l="1"/>
  <c r="X98" i="11"/>
  <c r="Z98" i="11" s="1"/>
  <c r="W99" i="11"/>
  <c r="W105" i="11"/>
  <c r="W103" i="11"/>
  <c r="X102" i="11"/>
  <c r="Z102" i="11" s="1"/>
  <c r="W104" i="11"/>
  <c r="W109" i="11"/>
  <c r="X106" i="11"/>
  <c r="Z106" i="11" s="1"/>
  <c r="W107" i="11"/>
  <c r="W108" i="11"/>
  <c r="I101" i="11"/>
  <c r="I98" i="11"/>
  <c r="I99" i="11"/>
  <c r="I94" i="11"/>
  <c r="I96" i="11"/>
  <c r="I100" i="11"/>
  <c r="I97" i="11"/>
  <c r="I95" i="11"/>
  <c r="V90" i="11"/>
  <c r="V91" i="11"/>
  <c r="V97" i="11"/>
  <c r="V92" i="11"/>
  <c r="V95" i="11"/>
  <c r="V93" i="11"/>
  <c r="V94" i="11"/>
  <c r="V96" i="11"/>
  <c r="V87" i="11"/>
  <c r="V88" i="11"/>
  <c r="V89" i="11"/>
  <c r="V86" i="11"/>
  <c r="G101" i="11"/>
  <c r="H109" i="11"/>
  <c r="J109" i="11" s="1"/>
  <c r="I109" i="11" a="1"/>
  <c r="I109" i="11" s="1"/>
  <c r="G105" i="11"/>
  <c r="G111" i="11"/>
  <c r="I111" i="11" a="1"/>
  <c r="I111" i="11" s="1"/>
  <c r="G90" i="11"/>
  <c r="G104" i="11"/>
  <c r="F110" i="11"/>
  <c r="I110" i="11" a="1"/>
  <c r="I110" i="11" s="1"/>
  <c r="G98" i="11"/>
  <c r="G93" i="11"/>
  <c r="H107" i="11"/>
  <c r="J107" i="11" s="1"/>
  <c r="I107" i="11" a="1"/>
  <c r="I107" i="11" s="1"/>
  <c r="F99" i="11"/>
  <c r="G94" i="11"/>
  <c r="H112" i="11"/>
  <c r="J112" i="11" s="1"/>
  <c r="I112" i="11" a="1"/>
  <c r="I112" i="11" s="1"/>
  <c r="F103" i="11"/>
  <c r="F96" i="11"/>
  <c r="F92" i="11"/>
  <c r="G100" i="11"/>
  <c r="G97" i="11"/>
  <c r="F91" i="11"/>
  <c r="G95" i="11"/>
  <c r="H106" i="11"/>
  <c r="J106" i="11" s="1"/>
  <c r="I106" i="11" a="1"/>
  <c r="I106" i="11" s="1"/>
  <c r="H102" i="11"/>
  <c r="J102" i="11" s="1"/>
  <c r="W94" i="11"/>
  <c r="W90" i="11"/>
  <c r="W86" i="11"/>
  <c r="W87" i="11" s="1"/>
  <c r="F109" i="11"/>
  <c r="G109" i="11"/>
  <c r="G102" i="11"/>
  <c r="F94" i="11"/>
  <c r="G92" i="11"/>
  <c r="F102" i="11"/>
  <c r="F98" i="11"/>
  <c r="G96" i="11"/>
  <c r="F112" i="11"/>
  <c r="G91" i="11"/>
  <c r="F95" i="11"/>
  <c r="G108" i="11"/>
  <c r="H108" i="11"/>
  <c r="J108" i="11" s="1"/>
  <c r="H111" i="11"/>
  <c r="J111" i="11" s="1"/>
  <c r="F111" i="11"/>
  <c r="F107" i="11"/>
  <c r="G107" i="11"/>
  <c r="F97" i="11"/>
  <c r="G103" i="11"/>
  <c r="F104" i="11"/>
  <c r="F108" i="11"/>
  <c r="F100" i="11"/>
  <c r="G110" i="11"/>
  <c r="F93" i="11"/>
  <c r="F106" i="11"/>
  <c r="G106" i="11"/>
  <c r="G112" i="11"/>
  <c r="F90" i="11"/>
  <c r="F101" i="11"/>
  <c r="H113" i="11"/>
  <c r="J113" i="11" s="1"/>
  <c r="F113" i="11"/>
  <c r="G113" i="11"/>
  <c r="H110" i="11"/>
  <c r="J110" i="11" s="1"/>
  <c r="G99" i="11"/>
  <c r="F105" i="11"/>
  <c r="X62" i="11"/>
  <c r="W62" i="11" s="1"/>
  <c r="Y62" i="11" s="1"/>
  <c r="E22" i="11"/>
  <c r="E25" i="11"/>
  <c r="E23" i="11"/>
  <c r="E37" i="11"/>
  <c r="H37" i="11" s="1"/>
  <c r="E34" i="11"/>
  <c r="H34" i="11" s="1"/>
  <c r="E26" i="11"/>
  <c r="E36" i="11"/>
  <c r="H36" i="11" s="1"/>
  <c r="E33" i="11"/>
  <c r="E44" i="11"/>
  <c r="H44" i="11" s="1"/>
  <c r="E28" i="11"/>
  <c r="E29" i="11"/>
  <c r="E31" i="11"/>
  <c r="E42" i="11"/>
  <c r="H42" i="11" s="1"/>
  <c r="E32" i="11"/>
  <c r="E30" i="11"/>
  <c r="E45" i="11"/>
  <c r="H45" i="11" s="1"/>
  <c r="E40" i="11"/>
  <c r="H40" i="11" s="1"/>
  <c r="E41" i="11"/>
  <c r="H41" i="11" s="1"/>
  <c r="E43" i="11"/>
  <c r="H43" i="11" s="1"/>
  <c r="E27" i="11"/>
  <c r="E24" i="11"/>
  <c r="E39" i="11"/>
  <c r="H39" i="11" s="1"/>
  <c r="E38" i="11"/>
  <c r="H38" i="11" s="1"/>
  <c r="V18" i="11"/>
  <c r="U19" i="11"/>
  <c r="U20" i="11"/>
  <c r="T18" i="11"/>
  <c r="S18" i="11"/>
  <c r="U21" i="11"/>
  <c r="H62" i="11"/>
  <c r="I62" i="11" s="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I105" i="11" a="1"/>
  <c r="I103" i="11" a="1"/>
  <c r="I102" i="11" a="1"/>
  <c r="I104" i="11" a="1"/>
  <c r="I91" i="11" a="1"/>
  <c r="I90" i="11" a="1"/>
  <c r="I93" i="11" a="1"/>
  <c r="I92" i="11" a="1"/>
  <c r="Y99" i="11" l="1"/>
  <c r="X99" i="11" s="1"/>
  <c r="Z99" i="11" s="1"/>
  <c r="Y100" i="11" s="1"/>
  <c r="X100" i="11" s="1"/>
  <c r="Z100" i="11" s="1"/>
  <c r="Y101" i="11" s="1"/>
  <c r="X101" i="11" s="1"/>
  <c r="Z101" i="11" s="1"/>
  <c r="H105" i="11" s="1"/>
  <c r="J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Y103" i="11"/>
  <c r="X103" i="11" s="1"/>
  <c r="Z103" i="11" s="1"/>
  <c r="Y104" i="11" s="1"/>
  <c r="X104" i="11" s="1"/>
  <c r="Z104" i="11" s="1"/>
  <c r="Y105" i="11" s="1"/>
  <c r="X105" i="11" s="1"/>
  <c r="Z105" i="11" s="1"/>
  <c r="I104" i="11"/>
  <c r="I103" i="11"/>
  <c r="I105" i="11"/>
  <c r="I102" i="11"/>
  <c r="H104" i="11"/>
  <c r="J104" i="11" s="1"/>
  <c r="H103" i="11"/>
  <c r="J103" i="11" s="1"/>
  <c r="W89" i="11"/>
  <c r="I91" i="11"/>
  <c r="I92" i="11"/>
  <c r="I93" i="11"/>
  <c r="I90" i="11"/>
  <c r="W88" i="11"/>
  <c r="W93" i="11"/>
  <c r="X90" i="11"/>
  <c r="Z90" i="11" s="1"/>
  <c r="H94" i="11" s="1"/>
  <c r="J94" i="11" s="1"/>
  <c r="W92" i="11"/>
  <c r="W91" i="11"/>
  <c r="W96" i="11"/>
  <c r="W97" i="11"/>
  <c r="X94" i="11"/>
  <c r="Z94" i="11" s="1"/>
  <c r="H98" i="11" s="1"/>
  <c r="J98" i="11" s="1"/>
  <c r="W95" i="11"/>
  <c r="X86" i="11"/>
  <c r="Z86" i="11" s="1"/>
  <c r="H90" i="11" s="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H63" i="11"/>
  <c r="I63" i="11" s="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Y91" i="11" l="1"/>
  <c r="X91" i="11" s="1"/>
  <c r="Z91" i="11" s="1"/>
  <c r="H95" i="11" s="1"/>
  <c r="J95" i="11" s="1"/>
  <c r="H48" i="11"/>
  <c r="J90" i="11"/>
  <c r="Y87" i="11"/>
  <c r="X87" i="11" s="1"/>
  <c r="Z87" i="11" s="1"/>
  <c r="H91" i="11" s="1"/>
  <c r="Y95" i="11"/>
  <c r="X95" i="11" s="1"/>
  <c r="Z95" i="11" s="1"/>
  <c r="X64" i="11"/>
  <c r="W64" i="11" s="1"/>
  <c r="Y64" i="11" s="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Y92" i="11" l="1"/>
  <c r="X92" i="11" s="1"/>
  <c r="Z92" i="11" s="1"/>
  <c r="Y93" i="11" s="1"/>
  <c r="X93" i="11" s="1"/>
  <c r="Z93" i="11" s="1"/>
  <c r="H97" i="11" s="1"/>
  <c r="J97" i="11" s="1"/>
  <c r="H66" i="11"/>
  <c r="I66" i="11" s="1"/>
  <c r="I48" i="11"/>
  <c r="J91" i="11"/>
  <c r="Y88" i="11"/>
  <c r="X88" i="11" s="1"/>
  <c r="Z88" i="11" s="1"/>
  <c r="Y89" i="11" s="1"/>
  <c r="X89" i="11" s="1"/>
  <c r="Z89" i="11" s="1"/>
  <c r="H93" i="11" s="1"/>
  <c r="Y96" i="11"/>
  <c r="X96" i="11" s="1"/>
  <c r="Z96" i="11" s="1"/>
  <c r="H99" i="11"/>
  <c r="J99" i="11" s="1"/>
  <c r="Y59" i="11"/>
  <c r="X58" i="11"/>
  <c r="W58" i="11" s="1"/>
  <c r="Y58" i="11" s="1"/>
  <c r="Y35" i="11"/>
  <c r="H57" i="11"/>
  <c r="I57" i="11" s="1"/>
  <c r="H96" i="11" l="1"/>
  <c r="J96" i="11" s="1"/>
  <c r="H49" i="11"/>
  <c r="J93" i="11"/>
  <c r="H92" i="11"/>
  <c r="Y97" i="11"/>
  <c r="X97" i="11" s="1"/>
  <c r="Z97" i="11" s="1"/>
  <c r="H101" i="11" s="1"/>
  <c r="J101" i="11" s="1"/>
  <c r="H100" i="11"/>
  <c r="J100" i="11" s="1"/>
  <c r="Y53" i="11"/>
  <c r="H50" i="11" l="1"/>
  <c r="H68" i="11" s="1"/>
  <c r="H79" i="11" s="1"/>
  <c r="H67" i="11"/>
  <c r="I49" i="11"/>
  <c r="H51" i="11"/>
  <c r="I51" i="11" s="1"/>
  <c r="J92" i="11"/>
  <c r="U10" i="11"/>
  <c r="I68" i="11" l="1"/>
  <c r="I50" i="11"/>
  <c r="H73" i="11"/>
  <c r="I73" i="11" s="1"/>
  <c r="H69" i="11"/>
  <c r="H72" i="11" s="1"/>
  <c r="I72" i="11" s="1"/>
  <c r="H74" i="11"/>
  <c r="I74" i="11" s="1"/>
  <c r="I67" i="11"/>
  <c r="H80" i="11"/>
  <c r="I79" i="11"/>
  <c r="H86" i="11"/>
  <c r="I86" i="11" s="1"/>
  <c r="T10" i="11"/>
  <c r="V10" i="11"/>
  <c r="U11" i="11"/>
  <c r="U13" i="11"/>
  <c r="U12" i="11"/>
  <c r="S10" i="11"/>
  <c r="H78" i="11" l="1"/>
  <c r="I78" i="11" s="1"/>
  <c r="I69" i="11"/>
  <c r="I80" i="11"/>
  <c r="H85" i="11"/>
  <c r="I85" i="11" s="1"/>
  <c r="S12" i="11"/>
  <c r="T12" i="11"/>
  <c r="V13" i="11"/>
  <c r="W10" i="11"/>
  <c r="Y10" i="11" s="1"/>
  <c r="V11" i="11"/>
  <c r="V12" i="11"/>
  <c r="T11" i="11"/>
  <c r="S11" i="11"/>
  <c r="T13" i="11"/>
  <c r="S13" i="11"/>
  <c r="H87" i="11" l="1"/>
  <c r="I87" i="11" s="1"/>
  <c r="X11" i="11"/>
  <c r="W11" i="11" s="1"/>
  <c r="Y11" i="11" s="1"/>
  <c r="X12" i="11" l="1"/>
  <c r="W12" i="11" s="1"/>
  <c r="Y12" i="11" s="1"/>
  <c r="X13" i="11" l="1"/>
  <c r="W13" i="11" s="1"/>
  <c r="Y13" i="11" s="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9" i="11"/>
  <c r="J38" i="11"/>
  <c r="J32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41" i="11"/>
  <c r="J34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8" i="11"/>
  <c r="J22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7" i="11"/>
  <c r="J24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9" i="11"/>
  <c r="J25" i="11"/>
  <c r="J23" i="11"/>
  <c r="J37" i="11"/>
  <c r="I81" i="11" l="1"/>
  <c r="H84" i="11"/>
  <c r="I84" i="11" s="1"/>
  <c r="K30" i="11"/>
  <c r="H30" i="11" s="1"/>
  <c r="K38" i="1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l="1"/>
  <c r="H22" i="11" s="1"/>
  <c r="I75" i="11"/>
  <c r="K26" i="1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<sst xmlns="http://schemas.openxmlformats.org/spreadsheetml/2006/main" count="405" uniqueCount="122">
  <si>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</si>
  <si>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</si>
  <si>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</si>
  <si>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</si>
  <si>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</si>
  <si>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</si>
  <si>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</si>
  <si>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</si>
  <si>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</si>
  <si>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</si>
  <si>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</si>
  <si>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</si>
  <si>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</si>
  <si>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</si>
  <si>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</si>
  <si>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</si>
  <si>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</si>
  <si>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</si>
  <si>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</si>
  <si>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</si>
  <si>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</si>
  <si>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</si>
  <si>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</si>
  <si>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</si>
  <si>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</si>
  <si>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</si>
  <si>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</si>
  <si>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</si>
  <si>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</si>
  <si>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</si>
  <si>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</si>
  <si>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</si>
  <si>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</si>
  <si>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</si>
  <si>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</si>
  <si>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</si>
  <si>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</si>
  <si>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</si>
  <si>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</si>
  <si>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</si>
  <si>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</si>
  <si>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</si>
  <si>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</si>
  <si>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</si>
  <si>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</si>
  <si>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</si>
  <si>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</si>
  <si>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</si>
  <si>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</si>
  <si>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</si>
  <si>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</si>
  <si>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</si>
  <si>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</si>
  <si>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</si>
  <si>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</si>
  <si>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</si>
  <si>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</si>
  <si>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</si>
  <si>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</si>
  <si>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</si>
  <si>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</si>
  <si>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</si>
  <si>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</si>
  <si>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</si>
  <si>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</si>
  <si>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</si>
  <si>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</si>
  <si>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</si>
  <si>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</si>
  <si>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</si>
  <si>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</si>
  <si>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</si>
  <si>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</si>
  <si>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</si>
  <si>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</si>
  <si>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</si>
  <si>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</si>
  <si>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</si>
  <si>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</si>
  <si>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</si>
  <si>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</si>
  <si>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</si>
  <si>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</si>
  <si>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</si>
  <si>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</si>
  <si>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ga_brp_es</t>
  </si>
  <si>
    <t>E17</t>
  </si>
  <si>
    <t>D01</t>
  </si>
  <si>
    <t>PT1H</t>
  </si>
  <si>
    <t>1000000000000</t>
  </si>
  <si>
    <t>1100000000000</t>
  </si>
  <si>
    <t>800</t>
  </si>
  <si>
    <t>glmp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</si>
  <si>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</si>
  <si>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</si>
  <si>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</si>
  <si>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</si>
  <si>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</si>
  <si>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</si>
  <si>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</si>
  <si>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</si>
  <si>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</si>
  <si>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</si>
  <si>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</si>
  <si>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180000000000000002</t>
  </si>
  <si>
    <t>2000000000000</t>
  </si>
  <si>
    <t>801</t>
  </si>
  <si>
    <t>na_ga for ga_id</t>
  </si>
  <si>
    <t>na_ga for values</t>
  </si>
  <si>
    <t>Sorted</t>
  </si>
  <si>
    <t>170000000150001000</t>
  </si>
  <si>
    <t>180000000150001000</t>
  </si>
  <si>
    <t>170000000000000201</t>
  </si>
  <si>
    <t>170000000000000101</t>
  </si>
  <si>
    <t>180000000000000001</t>
  </si>
  <si>
    <t>200000000000000001</t>
  </si>
  <si>
    <t>4000000000000</t>
  </si>
  <si>
    <t>3300000000000</t>
  </si>
  <si>
    <t>4400000000000</t>
  </si>
  <si>
    <t>170000000000000102</t>
  </si>
  <si>
    <t>neighbor_grid_area_code</t>
  </si>
  <si>
    <t>nonprofiled_consumption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</si>
</sst>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  <xf numFmtId="49" fontId="6" fillId="2" borderId="0" xfId="0" applyNumberFormat="1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topLeftCell="A75" zoomScale="85" zoomScaleNormal="85" workbookViewId="0">
      <selection activeCell="I84" sqref="I84:I87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8" width="24.453125" style="1" bestFit="1" customWidth="1"/>
    <col min="9" max="9" width="28.54296875" style="1" bestFit="1" customWidth="1"/>
    <col min="10" max="11" width="15.7265625" style="1" bestFit="1" customWidth="1"/>
    <col min="12" max="13" width="1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2.453125" style="1" bestFit="1" customWidth="1"/>
    <col min="34" max="34" width="13.7265625" style="1" bestFit="1" customWidth="1"/>
    <col min="35" max="35" width="14.54296875" style="1" bestFit="1" customWidth="1"/>
    <col min="36" max="36" width="6.7265625" style="1" bestFit="1" customWidth="1"/>
    <col min="37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85</v>
      </c>
      <c r="C1" s="14" t="s">
        <v>7</v>
      </c>
      <c r="D1" s="14" t="s">
        <v>11</v>
      </c>
      <c r="E1" s="14" t="s">
        <v>12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103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79</v>
      </c>
      <c r="Q1" s="14" t="s">
        <v>80</v>
      </c>
      <c r="U1" s="15" t="s">
        <v>72</v>
      </c>
      <c r="V1" s="15" t="s">
        <v>73</v>
      </c>
      <c r="W1" s="15" t="s">
        <v>74</v>
      </c>
      <c r="X1" s="15" t="s">
        <v>75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102</v>
      </c>
      <c r="AH1" s="47" t="s">
        <v>81</v>
      </c>
      <c r="AI1" s="47"/>
      <c r="AJ1" s="47"/>
      <c r="AK1" s="47"/>
    </row>
    <row r="2" spans="1:92" ht="21" x14ac:dyDescent="0.5">
      <c r="A2" s="18" t="s">
        <v>25</v>
      </c>
      <c r="B2" s="17" t="s">
        <v>121</v>
      </c>
      <c r="C2" s="10" t="s">
        <v>110</v>
      </c>
      <c r="D2" s="10" t="s">
        <v>86</v>
      </c>
      <c r="E2" s="11" t="s">
        <v>87</v>
      </c>
      <c r="F2" s="12"/>
      <c r="G2" s="12"/>
      <c r="H2" s="41"/>
      <c r="I2" s="41"/>
      <c r="J2" s="43">
        <f t="shared" ref="J2:J19" si="0">IF(C2="","",SUM(F2:I2))</f>
        <v>0</v>
      </c>
      <c r="K2" s="10" t="s">
        <v>97</v>
      </c>
      <c r="L2" s="10" t="s">
        <v>89</v>
      </c>
      <c r="M2" s="10" t="s">
        <v>90</v>
      </c>
      <c r="N2" s="10" t="s">
        <v>92</v>
      </c>
      <c r="O2" s="10" t="s">
        <v>91</v>
      </c>
      <c r="P2" s="29"/>
      <c r="Q2" s="29"/>
      <c r="R2" s="24"/>
      <c r="S2" s="7" t="s">
        <v>34</v>
      </c>
      <c r="T2" s="9">
        <f>SUMIFS(TableDay1[TotalHour],TableDay1[settlement_method],"D01",TableDay1[resolution],"PT15M")</f>
        <v>0</v>
      </c>
      <c r="U2" s="42">
        <f>SUMIFS(TableDay1[Quarter1],TableDay1[settlement_method],"D01",TableDay1[resolution],"PT15M")</f>
        <v>0</v>
      </c>
      <c r="V2" s="42">
        <f>SUMIFS(TableDay1[Quarter2],TableDay1[settlement_method],"D01",TableDay1[resolution],"PT15M")</f>
        <v>0</v>
      </c>
      <c r="W2" s="42">
        <f>SUMIFS(TableDay1[Quarter3],TableDay1[settlement_method],"D01",TableDay1[resolution],"PT15M")</f>
        <v>0</v>
      </c>
      <c r="X2" s="42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:AD3">_xlfn._xlws.SORT(_xlfn.UNIQUE(_xlfn._xlws.FILTER(TableDay1[ga_id],TableDay1[ga_id] &lt;&gt; "")))</f>
        <v>800</v>
      </c>
      <c r="AE2" s="27" t="str" cm="1">
        <f t="array" ref="AE2">_xlfn._xlws.SORT(_xlfn.UNIQUE(_xlfn._xlws.FILTER(AE28:AE41,AE28:AE41 &lt;&gt; "")))</f>
        <v>3000000000000</v>
      </c>
      <c r="AF2" s="27" t="str" cm="1">
        <f t="array" ref="AF2">_xlfn._xlws.SORT(_xlfn.UNIQUE(_xlfn._xlws.FILTER(AF28:AF40,AF28:AF40 &lt;&gt; "")))</f>
        <v>3300000000000</v>
      </c>
      <c r="AG2" s="27" t="str">
        <f>IF(B$2="production","E18",IF($B$2="flex_consumption","D01","E02"))</f>
        <v>E02</v>
      </c>
      <c r="AH2" s="27" t="s">
        <v>107</v>
      </c>
      <c r="AI2" s="24" t="s">
        <v>108</v>
      </c>
      <c r="AJ2" s="27" t="s">
        <v>109</v>
      </c>
      <c r="AK2" s="2"/>
      <c r="AL2" s="2"/>
    </row>
    <row r="3" spans="1:92" x14ac:dyDescent="0.35">
      <c r="C3" s="10" t="s">
        <v>111</v>
      </c>
      <c r="D3" s="10" t="s">
        <v>93</v>
      </c>
      <c r="E3" s="11"/>
      <c r="F3" s="12"/>
      <c r="G3" s="12"/>
      <c r="H3" s="41"/>
      <c r="I3" s="41"/>
      <c r="J3" s="43">
        <f t="shared" si="0"/>
        <v>0</v>
      </c>
      <c r="K3" s="10" t="s">
        <v>97</v>
      </c>
      <c r="L3" s="10" t="s">
        <v>105</v>
      </c>
      <c r="M3" s="10" t="s">
        <v>98</v>
      </c>
      <c r="N3" s="10" t="s">
        <v>96</v>
      </c>
      <c r="O3" s="10" t="s">
        <v>91</v>
      </c>
      <c r="P3" s="29"/>
      <c r="Q3" s="29"/>
      <c r="R3" s="24"/>
      <c r="S3" s="7" t="s">
        <v>38</v>
      </c>
      <c r="T3" s="9">
        <f>SUMIFS(TableDay1[TotalHour],TableDay1[settlement_method],"E02",TableDay1[resolution],"PT15M")</f>
        <v>17.5</v>
      </c>
      <c r="U3" s="42">
        <f>SUMIFS(TableDay1[Quarter1],TableDay1[settlement_method],"E02",TableDay1[resolution],"PT15M")</f>
        <v>2.5</v>
      </c>
      <c r="V3" s="42">
        <f>SUMIFS(TableDay1[Quarter2],TableDay1[settlement_method],"E02",TableDay1[resolution],"PT15M")</f>
        <v>2.5</v>
      </c>
      <c r="W3" s="42">
        <f>SUMIFS(TableDay1[Quarter3],TableDay1[settlement_method],"E02",TableDay1[resolution],"PT15M")</f>
        <v>2.5</v>
      </c>
      <c r="X3" s="42">
        <f>SUMIFS(TableDay1[Quarter4],TableDay1[settlement_method],"E02",TableDay1[resolution],"PT15M")</f>
        <v>10</v>
      </c>
      <c r="Y3" s="24"/>
      <c r="Z3" s="24"/>
      <c r="AA3" s="24"/>
      <c r="AC3" s="24"/>
      <c r="AD3" s="24" t="str">
        <v>801</v>
      </c>
      <c r="AE3" s="24"/>
      <c r="AF3" s="24"/>
      <c r="AG3" s="24"/>
      <c r="AH3" s="27" t="str" cm="1">
        <f t="array" ref="AH3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&lt;&gt;""))</f>
        <v>801</v>
      </c>
      <c r="AI3" s="27" t="str" cm="1">
        <f t="array" ref="AI3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&lt;&gt;""))</f>
        <v>801</v>
      </c>
      <c r="AJ3" s="24" t="str" cm="1">
        <f t="array" ref="AJ3:AK13">_xlfn._xlws.SORT(AH3:AI13,1)</f>
        <v>801</v>
      </c>
      <c r="AK3" s="24" t="str">
        <v>801</v>
      </c>
      <c r="AL3" s="24"/>
      <c r="AM3" s="24"/>
      <c r="AN3" s="24"/>
      <c r="AO3" s="24"/>
      <c r="AP3" s="24"/>
      <c r="AQ3" s="24"/>
    </row>
    <row r="4" spans="1:92" x14ac:dyDescent="0.35">
      <c r="C4" s="10" t="s">
        <v>112</v>
      </c>
      <c r="D4" s="10" t="s">
        <v>86</v>
      </c>
      <c r="E4" s="11" t="s">
        <v>87</v>
      </c>
      <c r="F4" s="12"/>
      <c r="G4" s="12"/>
      <c r="H4" s="12"/>
      <c r="I4" s="12"/>
      <c r="J4" s="43">
        <f t="shared" si="0"/>
        <v>0</v>
      </c>
      <c r="K4" s="10" t="s">
        <v>88</v>
      </c>
      <c r="L4" s="10" t="s">
        <v>89</v>
      </c>
      <c r="M4" s="10" t="s">
        <v>90</v>
      </c>
      <c r="N4" s="10"/>
      <c r="O4" s="10" t="s">
        <v>91</v>
      </c>
      <c r="P4" s="29"/>
      <c r="Q4" s="29"/>
      <c r="R4" s="24"/>
      <c r="S4" s="7" t="s">
        <v>28</v>
      </c>
      <c r="T4" s="9">
        <f>SUMIFS(TableDay1[TotalHour],TableDay1[type],"E18",TableDay1[resolution],"PT15M")</f>
        <v>0</v>
      </c>
      <c r="U4" s="42">
        <f>SUMIFS(TableDay1[Quarter1],TableDay1[type],"E18",TableDay1[resolution],"PT15M")</f>
        <v>0</v>
      </c>
      <c r="V4" s="42">
        <f>SUMIFS(TableDay1[Quarter2],TableDay1[type],"E18",TableDay1[resolution],"PT15M")</f>
        <v>0</v>
      </c>
      <c r="W4" s="42">
        <f>SUMIFS(TableDay1[Quarter3],TableDay1[type],"E18",TableDay1[resolution],"PT15M")</f>
        <v>0</v>
      </c>
      <c r="X4" s="42">
        <f>SUMIFS(TableDay1[Quarter4],TableDay1[type],"E18",TableDay1[resolution],"PT15M")</f>
        <v>0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>
        <v>0</v>
      </c>
      <c r="AK4" s="24">
        <v>0</v>
      </c>
      <c r="AL4" s="24"/>
      <c r="AM4" s="24"/>
      <c r="AN4" s="24"/>
      <c r="AO4" s="24"/>
      <c r="AP4" s="24"/>
      <c r="AQ4" s="24"/>
    </row>
    <row r="5" spans="1:92" x14ac:dyDescent="0.35">
      <c r="C5" s="10"/>
      <c r="D5" s="10"/>
      <c r="E5" s="11"/>
      <c r="F5" s="12"/>
      <c r="G5" s="12"/>
      <c r="H5" s="41"/>
      <c r="I5" s="41"/>
      <c r="J5" s="43" t="str">
        <f t="shared" si="0"/>
        <v/>
      </c>
      <c r="K5" s="10"/>
      <c r="L5" s="10"/>
      <c r="M5" s="10"/>
      <c r="N5" s="10"/>
      <c r="O5" s="10" t="s">
        <v>91</v>
      </c>
      <c r="P5" s="29"/>
      <c r="Q5" s="29"/>
      <c r="R5" s="24"/>
      <c r="S5" s="7" t="s">
        <v>26</v>
      </c>
      <c r="T5" s="9">
        <f>SUMIFS(TableDay1[TotalHour],TableDay1[type],"E17",TableDay1[resolution],"PT15M")</f>
        <v>17.5</v>
      </c>
      <c r="U5" s="42">
        <f>SUMIFS(TableDay1[Quarter1],TableDay1[type],"E17",TableDay1[resolution],"PT15M")</f>
        <v>2.5</v>
      </c>
      <c r="V5" s="42">
        <f>SUMIFS(TableDay1[Quarter2],TableDay1[type],"E17",TableDay1[resolution],"PT15M")</f>
        <v>2.5</v>
      </c>
      <c r="W5" s="42">
        <f>SUMIFS(TableDay1[Quarter3],TableDay1[type],"E17",TableDay1[resolution],"PT15M")</f>
        <v>2.5</v>
      </c>
      <c r="X5" s="42">
        <f>SUMIFS(TableDay1[Quarter4],TableDay1[type],"E17",TableDay1[resolution],"PT15M")</f>
        <v>10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>
        <v>0</v>
      </c>
      <c r="AK5" s="24">
        <v>0</v>
      </c>
      <c r="AL5" s="24"/>
      <c r="AM5" s="24"/>
      <c r="AN5" s="24"/>
      <c r="AO5" s="24"/>
      <c r="AP5" s="24"/>
      <c r="AQ5" s="24"/>
    </row>
    <row r="6" spans="1:92" x14ac:dyDescent="0.35">
      <c r="C6" s="10" t="s">
        <v>113</v>
      </c>
      <c r="D6" s="10" t="s">
        <v>86</v>
      </c>
      <c r="E6" s="11" t="s">
        <v>99</v>
      </c>
      <c r="F6" s="12">
        <v>20</v>
      </c>
      <c r="G6" s="12"/>
      <c r="H6" s="12"/>
      <c r="I6" s="12"/>
      <c r="J6" s="43">
        <f t="shared" si="0"/>
        <v>20</v>
      </c>
      <c r="K6" s="10" t="s">
        <v>88</v>
      </c>
      <c r="L6" s="10" t="s">
        <v>95</v>
      </c>
      <c r="M6" s="10" t="s">
        <v>117</v>
      </c>
      <c r="N6" s="10"/>
      <c r="O6" s="10" t="s">
        <v>91</v>
      </c>
      <c r="P6" s="29"/>
      <c r="Q6" s="29"/>
      <c r="R6" s="24"/>
      <c r="S6" s="24"/>
      <c r="T6" s="24"/>
      <c r="U6" s="24"/>
      <c r="V6" s="24"/>
      <c r="W6" s="24"/>
      <c r="X6" s="24"/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>
        <v>0</v>
      </c>
      <c r="AK6" s="24">
        <v>0</v>
      </c>
      <c r="AL6" s="24"/>
      <c r="AM6" s="24"/>
      <c r="AN6" s="24"/>
      <c r="AO6" s="24"/>
      <c r="AP6" s="24"/>
      <c r="AQ6" s="24"/>
    </row>
    <row r="7" spans="1:92" x14ac:dyDescent="0.35">
      <c r="C7" s="10" t="s">
        <v>119</v>
      </c>
      <c r="D7" s="10" t="s">
        <v>86</v>
      </c>
      <c r="E7" s="11" t="s">
        <v>99</v>
      </c>
      <c r="F7" s="12">
        <v>2.5</v>
      </c>
      <c r="G7" s="12">
        <v>2.5</v>
      </c>
      <c r="H7" s="41">
        <v>2.5</v>
      </c>
      <c r="I7" s="41">
        <v>10</v>
      </c>
      <c r="J7" s="43">
        <f t="shared" si="0"/>
        <v>17.5</v>
      </c>
      <c r="K7" s="10" t="s">
        <v>97</v>
      </c>
      <c r="L7" s="10" t="s">
        <v>95</v>
      </c>
      <c r="M7" s="10" t="s">
        <v>117</v>
      </c>
      <c r="N7" s="10"/>
      <c r="O7" s="10" t="s">
        <v>91</v>
      </c>
      <c r="P7" s="29"/>
      <c r="Q7" s="29"/>
      <c r="R7" s="24"/>
      <c r="S7" s="24"/>
      <c r="T7" s="24"/>
      <c r="U7" s="24"/>
      <c r="V7" s="24"/>
      <c r="W7" s="24"/>
      <c r="X7" s="24"/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>
        <v>0</v>
      </c>
      <c r="AK7" s="24">
        <v>0</v>
      </c>
      <c r="AL7" s="24"/>
      <c r="AM7" s="24"/>
      <c r="AN7" s="24"/>
      <c r="AO7" s="24"/>
      <c r="AP7" s="24"/>
      <c r="AQ7" s="24"/>
    </row>
    <row r="8" spans="1:92" x14ac:dyDescent="0.35">
      <c r="C8" s="10" t="s">
        <v>114</v>
      </c>
      <c r="D8" s="10" t="s">
        <v>93</v>
      </c>
      <c r="E8" s="11"/>
      <c r="F8" s="12">
        <v>40.158999999999999</v>
      </c>
      <c r="G8" s="12"/>
      <c r="H8" s="41"/>
      <c r="I8" s="41"/>
      <c r="J8" s="43">
        <f t="shared" si="0"/>
        <v>40.158999999999999</v>
      </c>
      <c r="K8" s="10" t="s">
        <v>88</v>
      </c>
      <c r="L8" s="10" t="s">
        <v>105</v>
      </c>
      <c r="M8" s="10" t="s">
        <v>98</v>
      </c>
      <c r="N8" s="10"/>
      <c r="O8" s="10" t="s">
        <v>91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>
        <v>0</v>
      </c>
      <c r="AK8" s="24">
        <v>0</v>
      </c>
      <c r="AL8" s="24"/>
      <c r="AM8" s="24"/>
      <c r="AN8" s="24"/>
      <c r="AO8" s="24"/>
      <c r="AP8" s="24"/>
      <c r="AQ8" s="24"/>
    </row>
    <row r="9" spans="1:92" x14ac:dyDescent="0.35">
      <c r="C9" s="10"/>
      <c r="D9" s="10"/>
      <c r="E9" s="11"/>
      <c r="F9" s="12"/>
      <c r="G9" s="12"/>
      <c r="H9" s="41"/>
      <c r="I9" s="41"/>
      <c r="J9" s="43" t="str">
        <f t="shared" si="0"/>
        <v/>
      </c>
      <c r="K9" s="10"/>
      <c r="L9" s="10"/>
      <c r="M9" s="10"/>
      <c r="N9" s="10"/>
      <c r="O9" s="10" t="s">
        <v>91</v>
      </c>
      <c r="P9" s="29"/>
      <c r="Q9" s="29"/>
      <c r="R9" s="24"/>
      <c r="S9" s="25"/>
      <c r="T9" s="7" t="s">
        <v>10</v>
      </c>
      <c r="U9" s="7" t="s">
        <v>9</v>
      </c>
      <c r="V9" s="7" t="s">
        <v>83</v>
      </c>
      <c r="W9" s="7" t="s">
        <v>43</v>
      </c>
      <c r="X9" s="7" t="s">
        <v>44</v>
      </c>
      <c r="Y9" s="7" t="s">
        <v>45</v>
      </c>
      <c r="Z9" s="27"/>
      <c r="AA9" s="24"/>
      <c r="AC9" s="24"/>
      <c r="AD9" s="35"/>
      <c r="AE9" s="35"/>
      <c r="AF9" s="35"/>
      <c r="AG9" s="35"/>
      <c r="AH9" s="35"/>
      <c r="AI9" s="24"/>
      <c r="AJ9" s="24">
        <v>0</v>
      </c>
      <c r="AK9" s="24">
        <v>0</v>
      </c>
      <c r="AL9" s="24"/>
      <c r="AM9" s="24"/>
      <c r="AN9" s="24"/>
      <c r="AO9" s="24"/>
      <c r="AP9" s="24"/>
      <c r="AQ9" s="24"/>
    </row>
    <row r="10" spans="1:92" x14ac:dyDescent="0.35">
      <c r="C10" s="10" t="s">
        <v>104</v>
      </c>
      <c r="D10" s="10" t="s">
        <v>93</v>
      </c>
      <c r="E10" s="11"/>
      <c r="F10" s="12"/>
      <c r="G10" s="12"/>
      <c r="H10" s="41"/>
      <c r="I10" s="41"/>
      <c r="J10" s="43">
        <f t="shared" si="0"/>
        <v>0</v>
      </c>
      <c r="K10" s="10" t="s">
        <v>97</v>
      </c>
      <c r="L10" s="10" t="s">
        <v>116</v>
      </c>
      <c r="M10" s="10" t="s">
        <v>118</v>
      </c>
      <c r="N10" s="10"/>
      <c r="O10" s="10" t="s">
        <v>91</v>
      </c>
      <c r="P10" s="29"/>
      <c r="Q10" s="29"/>
      <c r="R10" s="15" t="s">
        <v>72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3300000000000</v>
      </c>
      <c r="U10" s="26" t="str">
        <f>IF(AE$2=0,"",AE$2)</f>
        <v>3000000000000</v>
      </c>
      <c r="V10" s="20">
        <f>SUMIFS(TableDay1[TotalHour],TableDay1[es_id],U10,IF(B$2="production",TableDay1[type],TableDay1[settlement_method]),AG$2,TableDay1[resolution],"PT1H")/4</f>
        <v>5</v>
      </c>
      <c r="W10" s="19">
        <f>V10</f>
        <v>5</v>
      </c>
      <c r="X10" s="19"/>
      <c r="Y10" s="23">
        <f t="shared" ref="Y10:Y33" si="1">ROUND(W10, 3)</f>
        <v>5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>
        <v>0</v>
      </c>
      <c r="AK10" s="24">
        <v>0</v>
      </c>
      <c r="AL10" s="24"/>
      <c r="AM10" s="24"/>
      <c r="AN10" s="24"/>
      <c r="AO10" s="24"/>
      <c r="AP10" s="24"/>
      <c r="AQ10" s="24"/>
    </row>
    <row r="11" spans="1:92" x14ac:dyDescent="0.35">
      <c r="C11" s="10" t="s">
        <v>115</v>
      </c>
      <c r="D11" s="10" t="s">
        <v>94</v>
      </c>
      <c r="E11" s="11"/>
      <c r="F11" s="12">
        <v>3.3570000000000002</v>
      </c>
      <c r="G11" s="12"/>
      <c r="H11" s="41"/>
      <c r="I11" s="41"/>
      <c r="J11" s="43">
        <f t="shared" si="0"/>
        <v>3.3570000000000002</v>
      </c>
      <c r="K11" s="10" t="s">
        <v>88</v>
      </c>
      <c r="L11" s="10"/>
      <c r="M11" s="10"/>
      <c r="N11" s="10"/>
      <c r="O11" s="10" t="s">
        <v>106</v>
      </c>
      <c r="P11" s="29" t="s">
        <v>106</v>
      </c>
      <c r="Q11" s="29" t="s">
        <v>91</v>
      </c>
      <c r="R11" s="15" t="s">
        <v>73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3300000000000</v>
      </c>
      <c r="U11" s="26" t="str">
        <f t="shared" ref="U11:V13" si="2">U$10</f>
        <v>3000000000000</v>
      </c>
      <c r="V11" s="19">
        <f t="shared" si="2"/>
        <v>5</v>
      </c>
      <c r="W11" s="19">
        <f>X11+W10</f>
        <v>5</v>
      </c>
      <c r="X11" s="19">
        <f>V11-Y10</f>
        <v>0</v>
      </c>
      <c r="Y11" s="23">
        <f t="shared" si="1"/>
        <v>5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>
        <v>0</v>
      </c>
      <c r="AK11" s="24">
        <v>0</v>
      </c>
      <c r="AL11" s="24"/>
      <c r="AM11" s="24"/>
      <c r="AN11" s="24"/>
      <c r="AO11" s="24"/>
      <c r="AP11" s="24"/>
      <c r="AQ11" s="24"/>
    </row>
    <row r="12" spans="1:92" x14ac:dyDescent="0.35">
      <c r="C12" s="10"/>
      <c r="D12" s="10"/>
      <c r="E12" s="11"/>
      <c r="F12" s="12"/>
      <c r="G12" s="12"/>
      <c r="H12" s="41"/>
      <c r="I12" s="41"/>
      <c r="J12" s="43" t="str">
        <f t="shared" si="0"/>
        <v/>
      </c>
      <c r="K12" s="10"/>
      <c r="L12" s="10"/>
      <c r="M12" s="10"/>
      <c r="N12" s="10"/>
      <c r="O12" s="10"/>
      <c r="P12" s="29"/>
      <c r="Q12" s="29"/>
      <c r="R12" s="15" t="s">
        <v>74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3300000000000</v>
      </c>
      <c r="U12" s="26" t="str">
        <f t="shared" si="2"/>
        <v>3000000000000</v>
      </c>
      <c r="V12" s="19">
        <f t="shared" si="2"/>
        <v>5</v>
      </c>
      <c r="W12" s="19">
        <f>X12+W11</f>
        <v>5</v>
      </c>
      <c r="X12" s="19">
        <f>V12-Y11</f>
        <v>0</v>
      </c>
      <c r="Y12" s="23">
        <f t="shared" si="1"/>
        <v>5</v>
      </c>
      <c r="Z12" s="27"/>
      <c r="AA12" s="24"/>
      <c r="AC12" s="27"/>
      <c r="AD12" s="36"/>
      <c r="AE12" s="36" t="s">
        <v>100</v>
      </c>
      <c r="AF12" s="36" t="s">
        <v>101</v>
      </c>
      <c r="AG12" s="36"/>
      <c r="AH12" s="35"/>
      <c r="AI12" s="24"/>
      <c r="AJ12" s="24">
        <v>0</v>
      </c>
      <c r="AK12" s="24">
        <v>0</v>
      </c>
      <c r="AL12" s="24"/>
      <c r="AM12" s="24"/>
      <c r="AN12" s="24"/>
      <c r="AO12" s="24"/>
      <c r="AP12" s="24"/>
      <c r="AQ12" s="24"/>
    </row>
    <row r="13" spans="1:92" x14ac:dyDescent="0.35">
      <c r="C13" s="10"/>
      <c r="D13" s="10"/>
      <c r="E13" s="11"/>
      <c r="F13" s="12"/>
      <c r="G13" s="12"/>
      <c r="H13" s="41"/>
      <c r="I13" s="41"/>
      <c r="J13" s="43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75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3300000000000</v>
      </c>
      <c r="U13" s="26" t="str">
        <f t="shared" si="2"/>
        <v>3000000000000</v>
      </c>
      <c r="V13" s="19">
        <f t="shared" si="2"/>
        <v>5</v>
      </c>
      <c r="W13" s="19">
        <f>X13+W12</f>
        <v>5</v>
      </c>
      <c r="X13" s="19">
        <f>V13-Y12</f>
        <v>0</v>
      </c>
      <c r="Y13" s="23">
        <f t="shared" si="1"/>
        <v>5</v>
      </c>
      <c r="Z13" s="27"/>
      <c r="AA13" s="24"/>
      <c r="AC13" s="2"/>
      <c r="AD13" s="36"/>
      <c r="AE13" s="36" t="str" cm="1">
        <f t="array" ref="AE13:AE16">_xlfn._xlws.SORT(_xlfn.UNIQUE(_xlfn._xlws.FILTER(TableDay1[es_id],TableDay1[es_id] &lt;&gt; "")))</f>
        <v>1000000000000</v>
      </c>
      <c r="AF13" s="36" t="str" cm="1">
        <f t="array" ref="AF13:AF16">_xlfn._xlws.SORT(_xlfn.UNIQUE(_xlfn._xlws.FILTER(TableDay1[brp_id],TableDay1[brp_id] &lt;&gt; "")))</f>
        <v>1100000000000</v>
      </c>
      <c r="AG13" s="36"/>
      <c r="AH13" s="35"/>
      <c r="AI13" s="24"/>
      <c r="AJ13" s="24">
        <v>0</v>
      </c>
      <c r="AK13" s="24">
        <v>0</v>
      </c>
      <c r="AL13" s="24"/>
      <c r="AM13" s="24"/>
      <c r="AN13" s="24"/>
      <c r="AO13" s="24"/>
      <c r="AP13" s="24"/>
      <c r="AQ13" s="24"/>
    </row>
    <row r="14" spans="1:92" x14ac:dyDescent="0.35">
      <c r="C14" s="10"/>
      <c r="D14" s="10"/>
      <c r="E14" s="11"/>
      <c r="F14" s="12"/>
      <c r="G14" s="12"/>
      <c r="H14" s="41"/>
      <c r="I14" s="41"/>
      <c r="J14" s="43" t="str">
        <f t="shared" si="0"/>
        <v/>
      </c>
      <c r="K14" s="10"/>
      <c r="L14" s="10"/>
      <c r="M14" s="10"/>
      <c r="N14" s="10"/>
      <c r="O14" s="10"/>
      <c r="P14" s="29"/>
      <c r="Q14" s="29"/>
      <c r="R14" s="15" t="s">
        <v>72</v>
      </c>
      <c r="S14" s="26" t="str">
        <f>_xlfn.IFNA(INDEX(TableDay1[ga_id],MATCH(U14,TableDay1[es_id],0)),"")</f>
        <v/>
      </c>
      <c r="T14" s="26" t="str">
        <f>_xlfn.IFNA(INDEX(TableDay1[brp_id],MATCH(U14,TableDay1[es_id],0)),"")</f>
        <v/>
      </c>
      <c r="U14" s="26" t="str">
        <f>IF(AE$3=0,"",AE$3)</f>
        <v/>
      </c>
      <c r="V14" s="20">
        <f>SUMIFS(TableDay1[TotalHour],TableDay1[es_id],U14,IF(B$2="production",TableDay1[type],TableDay1[settlement_method]),AG$2,TableDay1[resolution],"PT1H")/4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4"/>
      <c r="AJ14" s="24"/>
      <c r="AK14" s="24"/>
      <c r="AL14" s="24"/>
      <c r="AM14" s="24"/>
      <c r="AN14" s="24"/>
      <c r="AO14" s="24"/>
      <c r="AP14" s="24"/>
      <c r="AQ14" s="24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/>
      <c r="D15" s="10"/>
      <c r="E15" s="11"/>
      <c r="F15" s="12"/>
      <c r="G15" s="12"/>
      <c r="H15" s="41"/>
      <c r="I15" s="41"/>
      <c r="J15" s="43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73</v>
      </c>
      <c r="S15" s="26" t="str">
        <f>_xlfn.IFNA(INDEX(TableDay1[ga_id],MATCH(U15,TableDay1[es_id],0)),"")</f>
        <v/>
      </c>
      <c r="T15" s="26" t="str">
        <f>_xlfn.IFNA(INDEX(TableDay1[brp_id],MATCH(U15,TableDay1[es_id],0)),"")</f>
        <v/>
      </c>
      <c r="U15" s="26" t="str">
        <f t="shared" ref="U15:V17" si="3">U$14</f>
        <v/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 t="str">
        <v>3000000000000</v>
      </c>
      <c r="AF15" s="36" t="str">
        <v>3300000000000</v>
      </c>
      <c r="AG15" s="36"/>
      <c r="AH15" s="36"/>
      <c r="AI15" s="24"/>
      <c r="AJ15" s="24"/>
      <c r="AK15" s="24"/>
      <c r="AL15" s="24"/>
      <c r="AM15" s="24"/>
      <c r="AN15" s="24"/>
      <c r="AO15" s="24"/>
      <c r="AP15" s="24"/>
      <c r="AQ15" s="24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/>
      <c r="D16" s="10"/>
      <c r="E16" s="11"/>
      <c r="F16" s="12"/>
      <c r="G16" s="12"/>
      <c r="H16" s="41"/>
      <c r="I16" s="41"/>
      <c r="J16" s="43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74</v>
      </c>
      <c r="S16" s="26" t="str">
        <f>_xlfn.IFNA(INDEX(TableDay1[ga_id],MATCH(U16,TableDay1[es_id],0)),"")</f>
        <v/>
      </c>
      <c r="T16" s="26" t="str">
        <f>_xlfn.IFNA(INDEX(TableDay1[brp_id],MATCH(U16,TableDay1[es_id],0)),"")</f>
        <v/>
      </c>
      <c r="U16" s="26" t="str">
        <f t="shared" si="3"/>
        <v/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 t="str">
        <v>4000000000000</v>
      </c>
      <c r="AF16" s="36" t="str">
        <v>4400000000000</v>
      </c>
      <c r="AG16" s="36"/>
      <c r="AH16" s="36"/>
      <c r="AI16" s="24"/>
      <c r="AJ16" s="24"/>
      <c r="AK16" s="24"/>
      <c r="AL16" s="24"/>
      <c r="AM16" s="24"/>
      <c r="AN16" s="24"/>
      <c r="AO16" s="24"/>
      <c r="AP16" s="24"/>
      <c r="AQ16" s="24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75</v>
      </c>
      <c r="S17" s="26" t="str">
        <f>_xlfn.IFNA(INDEX(TableDay1[ga_id],MATCH(U17,TableDay1[es_id],0)),"")</f>
        <v/>
      </c>
      <c r="T17" s="26" t="str">
        <f>_xlfn.IFNA(INDEX(TableDay1[brp_id],MATCH(U17,TableDay1[es_id],0)),"")</f>
        <v/>
      </c>
      <c r="U17" s="26" t="str">
        <f t="shared" si="3"/>
        <v/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4"/>
      <c r="AJ17" s="24"/>
      <c r="AK17" s="24"/>
      <c r="AL17" s="24"/>
      <c r="AM17" s="24"/>
      <c r="AN17" s="24"/>
      <c r="AO17" s="24"/>
      <c r="AP17" s="24"/>
      <c r="AQ17" s="24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72</v>
      </c>
      <c r="S18" s="26" t="str">
        <f>_xlfn.IFNA(INDEX(TableDay1[ga_id],MATCH(U18,TableDay1[es_id],0)),"")</f>
        <v/>
      </c>
      <c r="T18" s="26" t="str">
        <f>_xlfn.IFNA(INDEX(TableDay1[brp_id],MATCH(U18,TableDay1[es_id],0)),"")</f>
        <v/>
      </c>
      <c r="U18" s="26" t="str">
        <f>IF(AE$4=0,"",AE$4)</f>
        <v/>
      </c>
      <c r="V18" s="20">
        <f>SUMIFS(TableDay1[TotalHour],TableDay1[es_id],U18,IF(B$2="production",TableDay1[type],TableDay1[settlement_method]),AG$2,TableDay1[resolution],"PT1H")/4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4"/>
      <c r="AJ18" s="24"/>
      <c r="AK18" s="24"/>
      <c r="AL18" s="24"/>
      <c r="AM18" s="24"/>
      <c r="AN18" s="24"/>
      <c r="AO18" s="24"/>
      <c r="AP18" s="24"/>
      <c r="AQ18" s="24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73</v>
      </c>
      <c r="S19" s="26" t="str">
        <f>_xlfn.IFNA(INDEX(TableDay1[ga_id],MATCH(U19,TableDay1[es_id],0)),"")</f>
        <v/>
      </c>
      <c r="T19" s="26" t="str">
        <f>_xlfn.IFNA(INDEX(TableDay1[brp_id],MATCH(U19,TableDay1[es_id],0)),"")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4"/>
      <c r="AJ19" s="24"/>
      <c r="AK19" s="24"/>
      <c r="AL19" s="24"/>
      <c r="AM19" s="24"/>
      <c r="AN19" s="24"/>
      <c r="AO19" s="24"/>
      <c r="AP19" s="24"/>
      <c r="AQ19" s="24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8" t="str">
        <f>CONCATENATE(B2,"_per_",B1)</f>
        <v>nonprofiled_consumption_per_ga_brp_es</v>
      </c>
      <c r="F20" s="48"/>
      <c r="G20" s="48"/>
      <c r="H20" s="48"/>
      <c r="I20" s="49" t="s">
        <v>21</v>
      </c>
      <c r="J20" s="50"/>
      <c r="K20" s="51"/>
      <c r="R20" s="15" t="s">
        <v>74</v>
      </c>
      <c r="S20" s="26" t="str">
        <f>_xlfn.IFNA(INDEX(TableDay1[ga_id],MATCH(U20,TableDay1[es_id],0)),"")</f>
        <v/>
      </c>
      <c r="T20" s="26" t="str">
        <f>_xlfn.IFNA(INDEX(TableDay1[brp_id],MATCH(U20,TableDay1[es_id],0)),"")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4"/>
      <c r="AJ20" s="24"/>
      <c r="AK20" s="24"/>
      <c r="AL20" s="24"/>
      <c r="AM20" s="24"/>
      <c r="AN20" s="24"/>
      <c r="AO20" s="24"/>
      <c r="AP20" s="24"/>
      <c r="AQ20" s="24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76</v>
      </c>
      <c r="L21" s="2"/>
      <c r="M21" s="2"/>
      <c r="N21" s="2"/>
      <c r="O21" s="2"/>
      <c r="P21" s="2"/>
      <c r="Q21" s="2"/>
      <c r="R21" s="15" t="s">
        <v>75</v>
      </c>
      <c r="S21" s="26" t="str">
        <f>_xlfn.IFNA(INDEX(TableDay1[ga_id],MATCH(U21,TableDay1[es_id],0)),"")</f>
        <v/>
      </c>
      <c r="T21" s="26" t="str">
        <f>_xlfn.IFNA(INDEX(TableDay1[brp_id],MATCH(U21,TableDay1[es_id],0)),"")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4"/>
      <c r="AJ21" s="24"/>
      <c r="AK21" s="24"/>
      <c r="AL21" s="24"/>
      <c r="AM21" s="24"/>
      <c r="AN21" s="24"/>
      <c r="AO21" s="24"/>
      <c r="AP21" s="24"/>
      <c r="AQ21" s="24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/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/>
      </c>
      <c r="D22" s="15" t="s">
        <v>72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3000000000000</v>
      </c>
      <c r="G22" s="31" t="str">
        <f>IF(B$1="ga",IF(E22="","","null"),IF(B$1="ga_es",IF(F22="","","null"),IF(B$1="ga_brp",IF(AF$2=0,"",AF$2),IF(F22="","",INDEX(TableDay1[brp_id],MATCH(F22,TableDay1[es_id],0),1)))))</f>
        <v>3300000000000</v>
      </c>
      <c r="H22" s="33" t="str">
        <f ca="1">IF(E22="","",SUBSTITUTE(ROUND(I22+J22+K22,3),",","."))</f>
        <v>7.5</v>
      </c>
      <c r="I22" s="9">
        <f>SUMIFS(Y$10:Y$33,IF(OR(B$1="ga_es",B$1="ga_brp_es"),U$10:U$33,IF(B$1="ga_brp",T$10:T$33,S$10:S$33)),IF(OR(B$1="ga_es",B$1="ga_brp_es"),F22,IF(B$1="ga_brp",G22,E22)),R$10:R$33,D22)</f>
        <v>5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2.5</v>
      </c>
      <c r="K22" s="9">
        <f t="shared" ref="K22:K45" si="5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72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4"/>
      <c r="AJ22" s="24"/>
      <c r="AK22" s="24"/>
      <c r="AL22" s="24"/>
      <c r="AM22" s="24"/>
      <c r="AN22" s="24"/>
      <c r="AO22" s="24"/>
      <c r="AP22" s="24"/>
      <c r="AQ22" s="24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/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/>
      </c>
      <c r="D23" s="15" t="s">
        <v>73</v>
      </c>
      <c r="E23" s="31" t="str">
        <f t="shared" ref="E23:E45" si="6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3000000000000</v>
      </c>
      <c r="G23" s="31" t="str">
        <f>IF(B$1="ga",IF(E23="","","null"),IF(B$1="ga_es",IF(F23="","","null"),IF(B$1="ga_brp",IF(AF$2=0,"",AF$2),IF(F23="","",INDEX(TableDay1[brp_id],MATCH(F23,TableDay1[es_id],0),1)))))</f>
        <v>3300000000000</v>
      </c>
      <c r="H23" s="33" t="str">
        <f t="shared" ref="H23:H45" ca="1" si="7">IF(E23="","",SUBSTITUTE(ROUND(I23+J23+K23,3),",","."))</f>
        <v>7.5</v>
      </c>
      <c r="I23" s="9">
        <f t="shared" ref="I23:I45" si="8">SUMIFS(Y$10:Y$33,IF(OR(B$1="ga_es",B$1="ga_brp_es"),U$10:U$33,IF(B$1="ga_brp",T$10:T$33,S$10:S$33)),IF(OR(B$1="ga_es",B$1="ga_brp_es"),F23,IF(B$1="ga_brp",G23,E23)),R$10:R$33,D23)</f>
        <v>5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2.5</v>
      </c>
      <c r="K23" s="9">
        <f t="shared" si="5"/>
        <v>0</v>
      </c>
      <c r="L23" s="2"/>
      <c r="M23" s="2"/>
      <c r="N23" s="2"/>
      <c r="O23" s="2"/>
      <c r="P23" s="2"/>
      <c r="Q23" s="2"/>
      <c r="R23" s="15" t="s">
        <v>73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4"/>
      <c r="AJ23" s="24"/>
      <c r="AK23" s="24"/>
      <c r="AL23" s="24"/>
      <c r="AM23" s="24"/>
      <c r="AN23" s="24"/>
      <c r="AO23" s="24"/>
      <c r="AP23" s="24"/>
      <c r="AQ23" s="24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/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/>
      </c>
      <c r="D24" s="15" t="s">
        <v>74</v>
      </c>
      <c r="E24" s="31" t="str">
        <f t="shared" si="6"/>
        <v>800</v>
      </c>
      <c r="F24" s="31" t="str">
        <f>IF(B$1="ga",IF(E24="","","null"),IF(OR(B$1="ga_es",B$1="ga_brp_es"),IF(AE$2=0,"",AE$2),IF(B$1="ga_brp",IF(G24="","","null"))))</f>
        <v>3000000000000</v>
      </c>
      <c r="G24" s="31" t="str">
        <f>IF(B$1="ga",IF(E24="","","null"),IF(B$1="ga_es",IF(F24="","","null"),IF(B$1="ga_brp",IF(AF$2=0,"",AF$2),IF(F24="","",INDEX(TableDay1[brp_id],MATCH(F24,TableDay1[es_id],0),1)))))</f>
        <v>3300000000000</v>
      </c>
      <c r="H24" s="33" t="str">
        <f t="shared" ca="1" si="7"/>
        <v>7.5</v>
      </c>
      <c r="I24" s="9">
        <f t="shared" si="8"/>
        <v>5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2.5</v>
      </c>
      <c r="K24" s="9">
        <f t="shared" si="5"/>
        <v>0</v>
      </c>
      <c r="L24" s="2"/>
      <c r="M24" s="2"/>
      <c r="N24" s="2"/>
      <c r="O24" s="2"/>
      <c r="P24" s="2"/>
      <c r="Q24" s="2"/>
      <c r="R24" s="15" t="s">
        <v>74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4"/>
      <c r="AJ24" s="24"/>
      <c r="AK24" s="24"/>
      <c r="AL24" s="24"/>
      <c r="AM24" s="24"/>
      <c r="AN24" s="24"/>
      <c r="AO24" s="24"/>
      <c r="AP24" s="24"/>
      <c r="AQ24" s="24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/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/>
      </c>
      <c r="D25" s="15" t="s">
        <v>75</v>
      </c>
      <c r="E25" s="31" t="str">
        <f t="shared" si="6"/>
        <v>800</v>
      </c>
      <c r="F25" s="31" t="str">
        <f>IF(B$1="ga",IF(E25="","","null"),IF(OR(B$1="ga_es",B$1="ga_brp_es"),IF(AE$2=0,"",AE$2),IF(B$1="ga_brp",IF(G25="","","null"))))</f>
        <v>3000000000000</v>
      </c>
      <c r="G25" s="31" t="str">
        <f>IF(B$1="ga",IF(E25="","","null"),IF(B$1="ga_es",IF(F25="","","null"),IF(B$1="ga_brp",IF(AF$2=0,"",AF$2),IF(F25="","",INDEX(TableDay1[brp_id],MATCH(F25,TableDay1[es_id],0),1)))))</f>
        <v>3300000000000</v>
      </c>
      <c r="H25" s="33" t="str">
        <f t="shared" ca="1" si="7"/>
        <v>15</v>
      </c>
      <c r="I25" s="9">
        <f t="shared" si="8"/>
        <v>5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10</v>
      </c>
      <c r="K25" s="9">
        <f t="shared" si="5"/>
        <v>0</v>
      </c>
      <c r="L25" s="37"/>
      <c r="M25" s="2"/>
      <c r="N25" s="2"/>
      <c r="O25" s="2"/>
      <c r="P25" s="2"/>
      <c r="Q25" s="2"/>
      <c r="R25" s="15" t="s">
        <v>75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4"/>
      <c r="AJ25" s="24"/>
      <c r="AK25" s="24"/>
      <c r="AL25" s="24"/>
      <c r="AM25" s="24"/>
      <c r="AN25" s="24"/>
      <c r="AO25" s="24"/>
      <c r="AP25" s="24"/>
      <c r="AQ25" s="24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72</v>
      </c>
      <c r="E26" s="31" t="str">
        <f t="shared" si="6"/>
        <v/>
      </c>
      <c r="F26" s="31" t="str">
        <f>IF(B$1="ga",IF(E26="","","null"),IF(OR(B$1="ga_es",B$1="ga_brp_es"),IF(AE$3=0,"",AE$3),IF(B$1="ga_brp",IF(G26="","","null"))))</f>
        <v/>
      </c>
      <c r="G26" s="31" t="str">
        <f>IF(B$1="ga",IF(E26="","","null"),IF(B$1="ga_es",IF(F26="","","null"),IF(B$1="ga_brp",IF(AF$3=0,"",AF$3),IF(F26="","",INDEX(TableDay1[brp_id],MATCH(F26,TableDay1[es_id],0),1)))))</f>
        <v/>
      </c>
      <c r="H26" s="33" t="str">
        <f t="shared" si="7"/>
        <v/>
      </c>
      <c r="I26" s="9">
        <f t="shared" si="8"/>
        <v>0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5"/>
        <v>0</v>
      </c>
      <c r="L26" s="2"/>
      <c r="M26" s="2"/>
      <c r="N26" s="2"/>
      <c r="O26" s="2"/>
      <c r="P26" s="2"/>
      <c r="Q26" s="2"/>
      <c r="R26" s="15" t="s">
        <v>72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4"/>
      <c r="AJ26" s="24"/>
      <c r="AK26" s="24"/>
      <c r="AL26" s="24"/>
      <c r="AM26" s="24"/>
      <c r="AN26" s="24"/>
      <c r="AO26" s="24"/>
      <c r="AP26" s="24"/>
      <c r="AQ26" s="24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73</v>
      </c>
      <c r="E27" s="31" t="str">
        <f t="shared" si="6"/>
        <v/>
      </c>
      <c r="F27" s="31" t="str">
        <f>IF(B$1="ga",IF(E27="","","null"),IF(OR(B$1="ga_es",B$1="ga_brp_es"),IF(AE$3=0,"",AE$3),IF(B$1="ga_brp",IF(G27="","","null"))))</f>
        <v/>
      </c>
      <c r="G27" s="31" t="str">
        <f>IF(B$1="ga",IF(E27="","","null"),IF(B$1="ga_es",IF(F27="","","null"),IF(B$1="ga_brp",IF(AF$3=0,"",AF$3),IF(F27="","",INDEX(TableDay1[brp_id],MATCH(F27,TableDay1[es_id],0),1)))))</f>
        <v/>
      </c>
      <c r="H27" s="33" t="str">
        <f t="shared" si="7"/>
        <v/>
      </c>
      <c r="I27" s="9">
        <f t="shared" si="8"/>
        <v>0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5"/>
        <v>0</v>
      </c>
      <c r="L27" s="2"/>
      <c r="M27" s="2"/>
      <c r="N27" s="2"/>
      <c r="O27" s="2"/>
      <c r="P27" s="2"/>
      <c r="Q27" s="2"/>
      <c r="R27" s="15" t="s">
        <v>73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nonprofiled_consumption</v>
      </c>
      <c r="AF27" s="36" t="str">
        <f>_xlfn.CONCAT("Balance responsibles for "&amp;B2)</f>
        <v>Balance responsibles for nonprofiled_consumption</v>
      </c>
      <c r="AG27" s="36"/>
      <c r="AH27" s="36"/>
      <c r="AI27" s="24"/>
      <c r="AJ27" s="24"/>
      <c r="AK27" s="24"/>
      <c r="AL27" s="24"/>
      <c r="AM27" s="24"/>
      <c r="AN27" s="24"/>
      <c r="AO27" s="24"/>
      <c r="AP27" s="24"/>
      <c r="AQ27" s="24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74</v>
      </c>
      <c r="E28" s="31" t="str">
        <f t="shared" si="6"/>
        <v/>
      </c>
      <c r="F28" s="31" t="str">
        <f>IF(B$1="ga",IF(E28="","","null"),IF(OR(B$1="ga_es",B$1="ga_brp_es"),IF(AE$3=0,"",AE$3),IF(B$1="ga_brp",IF(G28="","","null"))))</f>
        <v/>
      </c>
      <c r="G28" s="31" t="str">
        <f>IF(B$1="ga",IF(E28="","","null"),IF(B$1="ga_es",IF(F28="","","null"),IF(B$1="ga_brp",IF(AF$3=0,"",AF$3),IF(F28="","",INDEX(TableDay1[brp_id],MATCH(F28,TableDay1[es_id],0),1)))))</f>
        <v/>
      </c>
      <c r="H28" s="33" t="str">
        <f t="shared" si="7"/>
        <v/>
      </c>
      <c r="I28" s="9">
        <f t="shared" si="8"/>
        <v>0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5"/>
        <v>0</v>
      </c>
      <c r="L28" s="2"/>
      <c r="M28" s="2"/>
      <c r="N28" s="2"/>
      <c r="O28" s="2"/>
      <c r="P28" s="2"/>
      <c r="Q28" s="2"/>
      <c r="R28" s="15" t="s">
        <v>74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/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/>
      </c>
      <c r="AG28" s="36"/>
      <c r="AH28" s="36"/>
      <c r="AI28" s="24"/>
      <c r="AJ28" s="24"/>
      <c r="AK28" s="24"/>
      <c r="AL28" s="24"/>
      <c r="AM28" s="24"/>
      <c r="AN28" s="24"/>
      <c r="AO28" s="24"/>
      <c r="AP28" s="24"/>
      <c r="AQ28" s="2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75</v>
      </c>
      <c r="E29" s="31" t="str">
        <f t="shared" si="6"/>
        <v/>
      </c>
      <c r="F29" s="31" t="str">
        <f>IF(B$1="ga",IF(E29="","","null"),IF(OR(B$1="ga_es",B$1="ga_brp_es"),IF(AE$3=0,"",AE$3),IF(B$1="ga_brp",IF(G29="","","null"))))</f>
        <v/>
      </c>
      <c r="G29" s="31" t="str">
        <f>IF(B$1="ga",IF(E29="","","null"),IF(B$1="ga_es",IF(F29="","","null"),IF(B$1="ga_brp",IF(AF$3=0,"",AF$3),IF(F29="","",INDEX(TableDay1[brp_id],MATCH(F29,TableDay1[es_id],0),1)))))</f>
        <v/>
      </c>
      <c r="H29" s="33" t="str">
        <f t="shared" si="7"/>
        <v/>
      </c>
      <c r="I29" s="9">
        <f t="shared" si="8"/>
        <v>0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5"/>
        <v>0</v>
      </c>
      <c r="L29" s="2"/>
      <c r="R29" s="15" t="s">
        <v>75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/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/>
      </c>
      <c r="AG29" s="36"/>
      <c r="AH29" s="36"/>
      <c r="AI29" s="24"/>
      <c r="AJ29" s="24"/>
      <c r="AK29" s="24"/>
      <c r="AL29" s="24"/>
      <c r="AM29" s="24"/>
      <c r="AN29" s="24"/>
      <c r="AO29" s="24"/>
      <c r="AP29" s="24"/>
      <c r="AQ29" s="2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/>
      </c>
      <c r="D30" s="15" t="s">
        <v>72</v>
      </c>
      <c r="E30" s="31" t="str">
        <f t="shared" si="6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IF(B$1="ga",IF(E30="","","null"),IF(B$1="ga_es",IF(F30="","","null"),IF(B$1="ga_brp",IF(AF$4=0,"",AF$4),IF(F30="","",INDEX(TableDay1[brp_id],MATCH(F30,TableDay1[es_id],0),1)))))</f>
        <v/>
      </c>
      <c r="H30" s="33" t="str">
        <f t="shared" si="7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5"/>
        <v>0</v>
      </c>
      <c r="L30" s="2"/>
      <c r="R30" s="15" t="s">
        <v>72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>3000000000000</v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>3300000000000</v>
      </c>
      <c r="AG30" s="36"/>
      <c r="AH30" s="36"/>
      <c r="AI30" s="24"/>
      <c r="AJ30" s="24"/>
      <c r="AK30" s="24"/>
      <c r="AL30" s="24"/>
      <c r="AM30" s="24"/>
      <c r="AN30" s="24"/>
      <c r="AO30" s="24"/>
      <c r="AP30" s="24"/>
      <c r="AQ30" s="24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/>
      </c>
      <c r="D31" s="15" t="s">
        <v>73</v>
      </c>
      <c r="E31" s="31" t="str">
        <f t="shared" si="6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IF(B$1="ga",IF(E31="","","null"),IF(B$1="ga_es",IF(F31="","","null"),IF(B$1="ga_brp",IF(AF$4=0,"",AF$4),IF(F31="","",INDEX(TableDay1[brp_id],MATCH(F31,TableDay1[es_id],0),1)))))</f>
        <v/>
      </c>
      <c r="H31" s="33" t="str">
        <f t="shared" si="7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5"/>
        <v>0</v>
      </c>
      <c r="L31" s="2"/>
      <c r="R31" s="15" t="s">
        <v>73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4"/>
      <c r="AJ31" s="24"/>
      <c r="AK31" s="24"/>
      <c r="AL31" s="24"/>
      <c r="AM31" s="24"/>
      <c r="AN31" s="24"/>
      <c r="AO31" s="24"/>
      <c r="AP31" s="24"/>
      <c r="AQ31" s="24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/>
      </c>
      <c r="D32" s="15" t="s">
        <v>74</v>
      </c>
      <c r="E32" s="31" t="str">
        <f t="shared" si="6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IF(B$1="ga",IF(E32="","","null"),IF(B$1="ga_es",IF(F32="","","null"),IF(B$1="ga_brp",IF(AF$4=0,"",AF$4),IF(F32="","",INDEX(TableDay1[brp_id],MATCH(F32,TableDay1[es_id],0),1)))))</f>
        <v/>
      </c>
      <c r="H32" s="33" t="str">
        <f t="shared" si="7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5"/>
        <v>0</v>
      </c>
      <c r="L32" s="2"/>
      <c r="R32" s="15" t="s">
        <v>74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4"/>
      <c r="AJ32" s="24"/>
      <c r="AK32" s="24"/>
      <c r="AL32" s="24"/>
      <c r="AM32" s="24"/>
      <c r="AN32" s="24"/>
      <c r="AO32" s="24"/>
      <c r="AP32" s="24"/>
      <c r="AQ32" s="24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/>
      </c>
      <c r="D33" s="15" t="s">
        <v>75</v>
      </c>
      <c r="E33" s="31" t="str">
        <f t="shared" si="6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IF(B$1="ga",IF(E33="","","null"),IF(B$1="ga_es",IF(F33="","","null"),IF(B$1="ga_brp",IF(AF$4=0,"",AF$4),IF(F33="","",INDEX(TableDay1[brp_id],MATCH(F33,TableDay1[es_id],0),1)))))</f>
        <v/>
      </c>
      <c r="H33" s="33" t="str">
        <f t="shared" si="7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5"/>
        <v>0</v>
      </c>
      <c r="L33" s="2"/>
      <c r="R33" s="15" t="s">
        <v>75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/>
      <c r="AF33" s="36"/>
      <c r="AG33" s="36"/>
      <c r="AH33" s="36"/>
      <c r="AI33" s="24"/>
      <c r="AJ33" s="24"/>
      <c r="AK33" s="24"/>
      <c r="AL33" s="24"/>
      <c r="AM33" s="24"/>
      <c r="AN33" s="24"/>
      <c r="AO33" s="24"/>
      <c r="AP33" s="24"/>
      <c r="AQ33" s="24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72</v>
      </c>
      <c r="E34" s="31" t="str">
        <f t="shared" si="6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5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/>
      <c r="AF34" s="36"/>
      <c r="AG34" s="36"/>
      <c r="AH34" s="36"/>
      <c r="AI34" s="24"/>
      <c r="AJ34" s="24"/>
      <c r="AK34" s="24"/>
      <c r="AL34" s="24"/>
      <c r="AM34" s="24"/>
      <c r="AN34" s="24"/>
      <c r="AO34" s="24"/>
      <c r="AP34" s="24"/>
      <c r="AQ34" s="24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73</v>
      </c>
      <c r="E35" s="31" t="str">
        <f t="shared" si="6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7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5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0</v>
      </c>
      <c r="W35" s="16" t="s">
        <v>47</v>
      </c>
      <c r="X35" s="16"/>
      <c r="Y35" s="28">
        <f>SUM(Y37:Y40)</f>
        <v>0</v>
      </c>
      <c r="Z35" s="21">
        <f>SUM(Z37:Z40)</f>
        <v>0</v>
      </c>
      <c r="AA35" s="27"/>
      <c r="AB35" s="2"/>
      <c r="AC35" s="2"/>
      <c r="AD35" s="36"/>
      <c r="AE35" s="36"/>
      <c r="AF35" s="36"/>
      <c r="AG35" s="36"/>
      <c r="AH35" s="36"/>
      <c r="AI35" s="24"/>
      <c r="AJ35" s="24"/>
      <c r="AK35" s="24"/>
      <c r="AL35" s="24"/>
      <c r="AM35" s="24"/>
      <c r="AN35" s="24"/>
      <c r="AO35" s="24"/>
      <c r="AP35" s="24"/>
      <c r="AQ35" s="24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74</v>
      </c>
      <c r="E36" s="31" t="str">
        <f t="shared" si="6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7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5"/>
        <v>0</v>
      </c>
      <c r="L36" s="2"/>
      <c r="R36" s="24"/>
      <c r="S36" s="24"/>
      <c r="T36" s="24"/>
      <c r="U36" s="7" t="s">
        <v>41</v>
      </c>
      <c r="V36" s="20">
        <f>SUMIFS(TableDay1[TotalHour],TableDay1[settlement_method],"D01",TableDay1[resolution],"PT1H")/4</f>
        <v>0</v>
      </c>
      <c r="W36" s="7" t="s">
        <v>43</v>
      </c>
      <c r="X36" s="7" t="s">
        <v>44</v>
      </c>
      <c r="Y36" s="7" t="s">
        <v>45</v>
      </c>
      <c r="Z36" s="7" t="s">
        <v>46</v>
      </c>
      <c r="AA36" s="27"/>
      <c r="AB36" s="2"/>
      <c r="AC36" s="2"/>
      <c r="AD36" s="36"/>
      <c r="AE36" s="36"/>
      <c r="AF36" s="36"/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75</v>
      </c>
      <c r="E37" s="31" t="str">
        <f t="shared" si="6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7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5"/>
        <v>0</v>
      </c>
      <c r="L37" s="2"/>
      <c r="R37" s="24"/>
      <c r="S37" s="24"/>
      <c r="T37" s="24"/>
      <c r="U37" s="15" t="s">
        <v>52</v>
      </c>
      <c r="V37" s="19">
        <f>V$36</f>
        <v>0</v>
      </c>
      <c r="W37" s="19">
        <f>V37</f>
        <v>0</v>
      </c>
      <c r="X37" s="19"/>
      <c r="Y37" s="23">
        <f>ROUND(W37, 3)</f>
        <v>0</v>
      </c>
      <c r="Z37" s="23">
        <f>ROUND(V37,3)</f>
        <v>0</v>
      </c>
      <c r="AA37" s="27"/>
      <c r="AB37" s="2"/>
      <c r="AC37" s="2"/>
      <c r="AD37" s="36"/>
      <c r="AE37" s="36"/>
      <c r="AF37" s="36"/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72</v>
      </c>
      <c r="E38" s="31" t="str">
        <f t="shared" si="6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7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5"/>
        <v>0</v>
      </c>
      <c r="L38" s="2"/>
      <c r="R38" s="24"/>
      <c r="S38" s="24"/>
      <c r="T38" s="24"/>
      <c r="U38" s="15" t="s">
        <v>53</v>
      </c>
      <c r="V38" s="19">
        <f>V$36</f>
        <v>0</v>
      </c>
      <c r="W38" s="19">
        <f>X38+W37</f>
        <v>0</v>
      </c>
      <c r="X38" s="19">
        <f>V38-Y37</f>
        <v>0</v>
      </c>
      <c r="Y38" s="23">
        <f>ROUND(W38, 3)</f>
        <v>0</v>
      </c>
      <c r="Z38" s="23">
        <f>ROUND(V38,3)</f>
        <v>0</v>
      </c>
      <c r="AA38" s="27"/>
      <c r="AB38" s="2"/>
      <c r="AC38" s="2"/>
      <c r="AD38" s="36"/>
      <c r="AE38" s="36"/>
      <c r="AF38" s="36"/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73</v>
      </c>
      <c r="E39" s="31" t="str">
        <f t="shared" si="6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7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5"/>
        <v>0</v>
      </c>
      <c r="L39" s="2"/>
      <c r="R39" s="24"/>
      <c r="S39" s="24"/>
      <c r="T39" s="24"/>
      <c r="U39" s="15" t="s">
        <v>54</v>
      </c>
      <c r="V39" s="19">
        <f>V$36</f>
        <v>0</v>
      </c>
      <c r="W39" s="19">
        <f>X39+W38</f>
        <v>0</v>
      </c>
      <c r="X39" s="19">
        <f>V39-Y38</f>
        <v>0</v>
      </c>
      <c r="Y39" s="23">
        <f>ROUND(W39, 3)</f>
        <v>0</v>
      </c>
      <c r="Z39" s="23">
        <f>ROUND(V39,3)</f>
        <v>0</v>
      </c>
      <c r="AA39" s="27"/>
      <c r="AB39" s="2"/>
      <c r="AC39" s="2"/>
      <c r="AD39" s="36"/>
      <c r="AE39" s="36"/>
      <c r="AF39" s="36"/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74</v>
      </c>
      <c r="E40" s="31" t="str">
        <f t="shared" si="6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7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5"/>
        <v>0</v>
      </c>
      <c r="L40" s="2"/>
      <c r="R40" s="24"/>
      <c r="S40" s="24"/>
      <c r="T40" s="24"/>
      <c r="U40" s="15" t="s">
        <v>55</v>
      </c>
      <c r="V40" s="19">
        <f>V$36</f>
        <v>0</v>
      </c>
      <c r="W40" s="19">
        <f>X40+W39</f>
        <v>0</v>
      </c>
      <c r="X40" s="19">
        <f>V40-Y39</f>
        <v>0</v>
      </c>
      <c r="Y40" s="23">
        <f>ROUND(W40, 3)</f>
        <v>0</v>
      </c>
      <c r="Z40" s="23">
        <f>ROUND(V40,3)</f>
        <v>0</v>
      </c>
      <c r="AA40" s="27"/>
      <c r="AB40" s="2"/>
      <c r="AC40" s="2"/>
      <c r="AD40" s="36"/>
      <c r="AE40" s="36"/>
      <c r="AF40" s="36"/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75</v>
      </c>
      <c r="E41" s="31" t="str">
        <f t="shared" si="6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7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5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40.158999999999999</v>
      </c>
      <c r="W41" s="39" t="s">
        <v>47</v>
      </c>
      <c r="X41" s="40"/>
      <c r="Y41" s="28">
        <f>SUM(Y43:Y46)</f>
        <v>40.158999999999999</v>
      </c>
      <c r="Z41" s="21">
        <f>SUM(Z43:Z46)</f>
        <v>40.159999999999997</v>
      </c>
      <c r="AA41" s="27"/>
      <c r="AB41" s="2"/>
      <c r="AC41" s="2"/>
      <c r="AD41" s="36"/>
      <c r="AE41" s="36"/>
      <c r="AF41" s="36"/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72</v>
      </c>
      <c r="E42" s="31" t="str">
        <f t="shared" si="6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7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5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10.03975</v>
      </c>
      <c r="W42" s="7" t="s">
        <v>43</v>
      </c>
      <c r="X42" s="7" t="s">
        <v>44</v>
      </c>
      <c r="Y42" s="7" t="s">
        <v>45</v>
      </c>
      <c r="Z42" s="7" t="s">
        <v>46</v>
      </c>
      <c r="AA42" s="27"/>
      <c r="AB42" s="2"/>
      <c r="AC42" s="2"/>
      <c r="AD42" s="36"/>
      <c r="AE42" s="36"/>
      <c r="AF42" s="36"/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73</v>
      </c>
      <c r="E43" s="31" t="str">
        <f t="shared" si="6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7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5"/>
        <v>0</v>
      </c>
      <c r="L43" s="2"/>
      <c r="R43" s="24"/>
      <c r="S43" s="24"/>
      <c r="T43" s="24"/>
      <c r="U43" s="15" t="s">
        <v>48</v>
      </c>
      <c r="V43" s="19">
        <f>V$42</f>
        <v>10.03975</v>
      </c>
      <c r="W43" s="19">
        <f>V43</f>
        <v>10.03975</v>
      </c>
      <c r="X43" s="19"/>
      <c r="Y43" s="23">
        <f>ROUND(W43, 3)</f>
        <v>10.039999999999999</v>
      </c>
      <c r="Z43" s="23">
        <f>ROUND(V43,3)</f>
        <v>10.039999999999999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74</v>
      </c>
      <c r="E44" s="31" t="str">
        <f t="shared" si="6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7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5"/>
        <v>0</v>
      </c>
      <c r="L44" s="2"/>
      <c r="R44" s="24"/>
      <c r="S44" s="24"/>
      <c r="T44" s="24"/>
      <c r="U44" s="15" t="s">
        <v>49</v>
      </c>
      <c r="V44" s="19">
        <f>V$42</f>
        <v>10.03975</v>
      </c>
      <c r="W44" s="19">
        <f>X44+W43</f>
        <v>10.0395</v>
      </c>
      <c r="X44" s="19">
        <f>V44-Y43</f>
        <v>-2.4999999999941735E-4</v>
      </c>
      <c r="Y44" s="23">
        <f>ROUND(W44, 3)</f>
        <v>10.039999999999999</v>
      </c>
      <c r="Z44" s="23">
        <f>ROUND(V44,3)</f>
        <v>10.039999999999999</v>
      </c>
      <c r="AA44" s="27"/>
      <c r="AB44" s="2"/>
      <c r="AC44" s="2"/>
      <c r="AD44" s="36"/>
      <c r="AE44" s="36"/>
      <c r="AF44" s="36"/>
      <c r="AG44" s="2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75</v>
      </c>
      <c r="E45" s="31" t="str">
        <f t="shared" si="6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7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5"/>
        <v>0</v>
      </c>
      <c r="L45" s="2"/>
      <c r="R45" s="24"/>
      <c r="S45" s="24"/>
      <c r="T45" s="24"/>
      <c r="U45" s="15" t="s">
        <v>50</v>
      </c>
      <c r="V45" s="19">
        <f>V$42</f>
        <v>10.03975</v>
      </c>
      <c r="W45" s="19">
        <f>X45+W44</f>
        <v>10.039250000000001</v>
      </c>
      <c r="X45" s="19">
        <f>V45-Y44</f>
        <v>-2.4999999999941735E-4</v>
      </c>
      <c r="Y45" s="23">
        <f>ROUND(W45, 3)</f>
        <v>10.039</v>
      </c>
      <c r="Z45" s="23">
        <f>ROUND(V45,3)</f>
        <v>10.039999999999999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8" t="s">
        <v>33</v>
      </c>
      <c r="F46" s="48"/>
      <c r="G46" s="48"/>
      <c r="H46" s="48"/>
      <c r="R46" s="24"/>
      <c r="S46" s="24"/>
      <c r="T46" s="24"/>
      <c r="U46" s="15" t="s">
        <v>51</v>
      </c>
      <c r="V46" s="19">
        <f>V$42</f>
        <v>10.03975</v>
      </c>
      <c r="W46" s="19">
        <f>X46+W45</f>
        <v>10.040000000000001</v>
      </c>
      <c r="X46" s="19">
        <f>V46-Y45</f>
        <v>7.5000000000002842E-4</v>
      </c>
      <c r="Y46" s="23">
        <f>ROUND(W46, 3)</f>
        <v>10.039999999999999</v>
      </c>
      <c r="Z46" s="23">
        <f>ROUND(V46,3)</f>
        <v>10.039999999999999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20</v>
      </c>
      <c r="W47" s="39" t="s">
        <v>47</v>
      </c>
      <c r="X47" s="40"/>
      <c r="Y47" s="28">
        <f>SUM(Y49:Y52)</f>
        <v>20</v>
      </c>
      <c r="Z47" s="21">
        <f>SUM(Z49:Z52)</f>
        <v>20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72</v>
      </c>
      <c r="E48" s="31" t="str">
        <f>$AD$2</f>
        <v>800</v>
      </c>
      <c r="F48" s="31" t="s">
        <v>32</v>
      </c>
      <c r="G48" s="31" t="s">
        <v>32</v>
      </c>
      <c r="H48" s="32">
        <f ca="1">SUMIF(D90:D113,D48,H90:H113)</f>
        <v>0.83899999999999997</v>
      </c>
      <c r="I48" s="27" t="str">
        <f ca="1">SUBSTITUTE(ROUND(H48,3),",",".")</f>
        <v>0.839</v>
      </c>
      <c r="J48" s="2"/>
      <c r="R48" s="24"/>
      <c r="S48" s="24"/>
      <c r="T48" s="24"/>
      <c r="U48" s="7" t="s">
        <v>42</v>
      </c>
      <c r="V48" s="9">
        <f>SUMIFS(TableDay1[TotalHour],TableDay1[settlement_method],"E02",TableDay1[resolution],"PT1H")/4</f>
        <v>5</v>
      </c>
      <c r="W48" s="7" t="s">
        <v>43</v>
      </c>
      <c r="X48" s="7" t="s">
        <v>44</v>
      </c>
      <c r="Y48" s="7" t="s">
        <v>45</v>
      </c>
      <c r="Z48" s="7" t="s">
        <v>46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73</v>
      </c>
      <c r="E49" s="31" t="str">
        <f t="shared" ref="E49:E51" si="12">$AD$2</f>
        <v>800</v>
      </c>
      <c r="F49" s="31" t="s">
        <v>32</v>
      </c>
      <c r="G49" s="31" t="s">
        <v>32</v>
      </c>
      <c r="H49" s="32">
        <f t="shared" ref="H49:H51" ca="1" si="13">SUMIF(D91:D114,D49,H91:H114)</f>
        <v>0.84</v>
      </c>
      <c r="I49" s="27" t="str">
        <f t="shared" ref="I49:I51" ca="1" si="14">SUBSTITUTE(ROUND(H49,3),",",".")</f>
        <v>0.84</v>
      </c>
      <c r="J49" s="2"/>
      <c r="R49" s="24"/>
      <c r="S49" s="24"/>
      <c r="T49" s="24"/>
      <c r="U49" s="15" t="s">
        <v>56</v>
      </c>
      <c r="V49" s="19">
        <f>V$48</f>
        <v>5</v>
      </c>
      <c r="W49" s="19">
        <f>V49</f>
        <v>5</v>
      </c>
      <c r="X49" s="19"/>
      <c r="Y49" s="23">
        <f>ROUND(W49, 3)</f>
        <v>5</v>
      </c>
      <c r="Z49" s="23">
        <f>ROUND(V49,3)</f>
        <v>5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74</v>
      </c>
      <c r="E50" s="31" t="str">
        <f t="shared" si="12"/>
        <v>800</v>
      </c>
      <c r="F50" s="31" t="s">
        <v>32</v>
      </c>
      <c r="G50" s="31" t="s">
        <v>32</v>
      </c>
      <c r="H50" s="32">
        <f t="shared" ca="1" si="13"/>
        <v>0.83899999999999997</v>
      </c>
      <c r="I50" s="27" t="str">
        <f t="shared" ca="1" si="14"/>
        <v>0.839</v>
      </c>
      <c r="J50" s="2"/>
      <c r="R50" s="24"/>
      <c r="S50" s="24"/>
      <c r="T50" s="24"/>
      <c r="U50" s="15" t="s">
        <v>57</v>
      </c>
      <c r="V50" s="19">
        <f>V$48</f>
        <v>5</v>
      </c>
      <c r="W50" s="19">
        <f>X50+W49</f>
        <v>5</v>
      </c>
      <c r="X50" s="19">
        <f>V50-Y49</f>
        <v>0</v>
      </c>
      <c r="Y50" s="23">
        <f>ROUND(W50, 3)</f>
        <v>5</v>
      </c>
      <c r="Z50" s="23">
        <f>ROUND(V50,3)</f>
        <v>5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75</v>
      </c>
      <c r="E51" s="31" t="str">
        <f t="shared" si="12"/>
        <v>800</v>
      </c>
      <c r="F51" s="31" t="s">
        <v>32</v>
      </c>
      <c r="G51" s="31" t="s">
        <v>32</v>
      </c>
      <c r="H51" s="32">
        <f t="shared" ca="1" si="13"/>
        <v>0.83899999999999997</v>
      </c>
      <c r="I51" s="27" t="str">
        <f t="shared" ca="1" si="14"/>
        <v>0.839</v>
      </c>
      <c r="J51" s="2"/>
      <c r="R51" s="24"/>
      <c r="S51" s="24"/>
      <c r="T51" s="24"/>
      <c r="U51" s="15" t="s">
        <v>58</v>
      </c>
      <c r="V51" s="19">
        <f>V$48</f>
        <v>5</v>
      </c>
      <c r="W51" s="19">
        <f>X51+W50</f>
        <v>5</v>
      </c>
      <c r="X51" s="19">
        <f>V51-Y50</f>
        <v>0</v>
      </c>
      <c r="Y51" s="23">
        <f>ROUND(W51, 3)</f>
        <v>5</v>
      </c>
      <c r="Z51" s="23">
        <f>ROUND(V51,3)</f>
        <v>5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52" t="s">
        <v>35</v>
      </c>
      <c r="F52" s="53"/>
      <c r="G52" s="53"/>
      <c r="H52" s="54"/>
      <c r="R52" s="24"/>
      <c r="S52" s="24"/>
      <c r="T52" s="24"/>
      <c r="U52" s="15" t="s">
        <v>59</v>
      </c>
      <c r="V52" s="19">
        <f>V$48</f>
        <v>5</v>
      </c>
      <c r="W52" s="19">
        <f>X52+W51</f>
        <v>5</v>
      </c>
      <c r="X52" s="19">
        <f>V52-Y51</f>
        <v>0</v>
      </c>
      <c r="Y52" s="23">
        <f>ROUND(W52, 3)</f>
        <v>5</v>
      </c>
      <c r="Z52" s="23">
        <f>ROUND(V52,3)</f>
        <v>5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3.3570000000000002</v>
      </c>
      <c r="W53" s="39" t="s">
        <v>47</v>
      </c>
      <c r="X53" s="40"/>
      <c r="Y53" s="28">
        <f>ROUND(SUM(Y55:Y58),3)</f>
        <v>3.3570000000000002</v>
      </c>
      <c r="Z53" s="21">
        <f>SUM(Z55:Z58)</f>
        <v>3.3559999999999999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32</v>
      </c>
      <c r="G54" s="31" t="s">
        <v>32</v>
      </c>
      <c r="H54" s="32">
        <f>totalFlex1H_quarter1+totalFlex15M_quarter1</f>
        <v>0</v>
      </c>
      <c r="I54" s="27" t="str">
        <f>SUBSTITUTE(ROUND(H54,3),",",".")</f>
        <v>0</v>
      </c>
      <c r="Q54" s="46"/>
      <c r="R54" s="46"/>
      <c r="S54" s="24"/>
      <c r="T54" s="24"/>
      <c r="U54" s="6" t="s">
        <v>30</v>
      </c>
      <c r="V54" s="9">
        <f>SUMIFS(TableDay1[TotalHour],TableDay1[type],"E20",TableDay1[resolution],"PT1H",TableDay1[to_ga],$AD$2)/4</f>
        <v>0.83925000000000005</v>
      </c>
      <c r="W54" s="7" t="s">
        <v>43</v>
      </c>
      <c r="X54" s="7" t="s">
        <v>44</v>
      </c>
      <c r="Y54" s="7" t="s">
        <v>45</v>
      </c>
      <c r="Z54" s="7" t="s">
        <v>46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5">$AD$2</f>
        <v>800</v>
      </c>
      <c r="F55" s="31" t="s">
        <v>32</v>
      </c>
      <c r="G55" s="31" t="s">
        <v>32</v>
      </c>
      <c r="H55" s="32">
        <f>totalFlex1H_quarter2+totalFlex15M_quarter2</f>
        <v>0</v>
      </c>
      <c r="I55" s="27" t="str">
        <f t="shared" ref="I55:I57" si="16">SUBSTITUTE(ROUND(H55,3),",",".")</f>
        <v>0</v>
      </c>
      <c r="R55" s="44"/>
      <c r="S55" s="24"/>
      <c r="T55" s="24"/>
      <c r="U55" s="15" t="s">
        <v>60</v>
      </c>
      <c r="V55" s="19">
        <f>V$54</f>
        <v>0.83925000000000005</v>
      </c>
      <c r="W55" s="19">
        <f>V55</f>
        <v>0.83925000000000005</v>
      </c>
      <c r="X55" s="19"/>
      <c r="Y55" s="23">
        <f>ROUND(W55,3)</f>
        <v>0.83899999999999997</v>
      </c>
      <c r="Z55" s="23">
        <f>ROUND(V55,3)</f>
        <v>0.83899999999999997</v>
      </c>
      <c r="AA55" s="45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5"/>
        <v>800</v>
      </c>
      <c r="F56" s="31" t="s">
        <v>32</v>
      </c>
      <c r="G56" s="31" t="s">
        <v>32</v>
      </c>
      <c r="H56" s="32">
        <f>totalFlex1H_quarter3+totalFlex15M_quarter3</f>
        <v>0</v>
      </c>
      <c r="I56" s="27" t="str">
        <f t="shared" si="16"/>
        <v>0</v>
      </c>
      <c r="R56" s="24"/>
      <c r="S56" s="24"/>
      <c r="T56" s="24"/>
      <c r="U56" s="15" t="s">
        <v>61</v>
      </c>
      <c r="V56" s="19">
        <f>V$54</f>
        <v>0.83925000000000005</v>
      </c>
      <c r="W56" s="19">
        <f>X56+W55</f>
        <v>0.83950000000000014</v>
      </c>
      <c r="X56" s="19">
        <f>V56-Y55</f>
        <v>2.5000000000008349E-4</v>
      </c>
      <c r="Y56" s="23">
        <f t="shared" ref="Y56:Y58" si="17">ROUND(W56,3)</f>
        <v>0.84</v>
      </c>
      <c r="Z56" s="23">
        <f>ROUND(V56,3)</f>
        <v>0.83899999999999997</v>
      </c>
      <c r="AA56" s="45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5"/>
        <v>800</v>
      </c>
      <c r="F57" s="31" t="s">
        <v>32</v>
      </c>
      <c r="G57" s="31" t="s">
        <v>32</v>
      </c>
      <c r="H57" s="32">
        <f>totalFlex1H_quarter4+totalFlex15M_quarter4</f>
        <v>0</v>
      </c>
      <c r="I57" s="27" t="str">
        <f t="shared" si="16"/>
        <v>0</v>
      </c>
      <c r="R57" s="24"/>
      <c r="S57" s="24"/>
      <c r="T57" s="24"/>
      <c r="U57" s="15" t="s">
        <v>62</v>
      </c>
      <c r="V57" s="19">
        <f>V$54</f>
        <v>0.83925000000000005</v>
      </c>
      <c r="W57" s="19">
        <f>X57+W56</f>
        <v>0.83875000000000022</v>
      </c>
      <c r="X57" s="19">
        <f>V57-Y56</f>
        <v>-7.499999999999174E-4</v>
      </c>
      <c r="Y57" s="23">
        <f t="shared" si="17"/>
        <v>0.83899999999999997</v>
      </c>
      <c r="Z57" s="23">
        <f>ROUND(V57,3)</f>
        <v>0.83899999999999997</v>
      </c>
      <c r="AA57" s="45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52" t="s">
        <v>36</v>
      </c>
      <c r="F58" s="53"/>
      <c r="G58" s="53"/>
      <c r="H58" s="54"/>
      <c r="R58" s="24"/>
      <c r="S58" s="24"/>
      <c r="T58" s="24"/>
      <c r="U58" s="15" t="s">
        <v>63</v>
      </c>
      <c r="V58" s="19">
        <f>V$54</f>
        <v>0.83925000000000005</v>
      </c>
      <c r="W58" s="19">
        <f>X58+W57</f>
        <v>0.8390000000000003</v>
      </c>
      <c r="X58" s="19">
        <f>V58-Y57</f>
        <v>2.5000000000008349E-4</v>
      </c>
      <c r="Y58" s="23">
        <f t="shared" si="17"/>
        <v>0.83899999999999997</v>
      </c>
      <c r="Z58" s="23">
        <f>ROUND(V58,3)</f>
        <v>0.83899999999999997</v>
      </c>
      <c r="AA58" s="45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0</v>
      </c>
      <c r="W59" s="39" t="s">
        <v>47</v>
      </c>
      <c r="X59" s="40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32</v>
      </c>
      <c r="G60" s="31" t="s">
        <v>32</v>
      </c>
      <c r="H60" s="32">
        <f>totalProduction1H_quarter1+totalProduction15M_quarter1</f>
        <v>10.039999999999999</v>
      </c>
      <c r="I60" s="27" t="str">
        <f>SUBSTITUTE(ROUND(H60,3),",",".")</f>
        <v>10.04</v>
      </c>
      <c r="R60" s="44"/>
      <c r="S60" s="24"/>
      <c r="T60" s="24"/>
      <c r="U60" s="6" t="s">
        <v>31</v>
      </c>
      <c r="V60" s="9">
        <f>SUMIFS(TableDay1[TotalHour],TableDay1[type],"E20",TableDay1[resolution],"PT1H",TableDay1[from_ga],"800")/4</f>
        <v>0</v>
      </c>
      <c r="W60" s="7" t="s">
        <v>43</v>
      </c>
      <c r="X60" s="7" t="s">
        <v>44</v>
      </c>
      <c r="Y60" s="7" t="s">
        <v>45</v>
      </c>
      <c r="Z60" s="7" t="s">
        <v>46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8">$AD$2</f>
        <v>800</v>
      </c>
      <c r="F61" s="31" t="s">
        <v>32</v>
      </c>
      <c r="G61" s="31" t="s">
        <v>32</v>
      </c>
      <c r="H61" s="32">
        <f>totalProduction1H_quarter2+totalProduction15M_quarter2</f>
        <v>10.039999999999999</v>
      </c>
      <c r="I61" s="27" t="str">
        <f t="shared" ref="I61:I63" si="19">SUBSTITUTE(ROUND(H61,3),",",".")</f>
        <v>10.04</v>
      </c>
      <c r="R61" s="24"/>
      <c r="S61" s="24"/>
      <c r="T61" s="24"/>
      <c r="U61" s="15" t="s">
        <v>64</v>
      </c>
      <c r="V61" s="19">
        <f>V$60</f>
        <v>0</v>
      </c>
      <c r="W61" s="19">
        <f>V61</f>
        <v>0</v>
      </c>
      <c r="X61" s="19"/>
      <c r="Y61" s="23">
        <f>ROUND(W61,3)</f>
        <v>0</v>
      </c>
      <c r="Z61" s="23">
        <f>ROUND(V61,3)</f>
        <v>0</v>
      </c>
      <c r="AA61" s="45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8"/>
        <v>800</v>
      </c>
      <c r="F62" s="31" t="s">
        <v>32</v>
      </c>
      <c r="G62" s="31" t="s">
        <v>32</v>
      </c>
      <c r="H62" s="32">
        <f>totalProduction1H_quarter3+totalProduction15M_quarter3</f>
        <v>10.039</v>
      </c>
      <c r="I62" s="27" t="str">
        <f t="shared" si="19"/>
        <v>10.039</v>
      </c>
      <c r="R62" s="24"/>
      <c r="S62" s="24"/>
      <c r="T62" s="24"/>
      <c r="U62" s="15" t="s">
        <v>65</v>
      </c>
      <c r="V62" s="19">
        <f>V$60</f>
        <v>0</v>
      </c>
      <c r="W62" s="19">
        <f>X62+W61</f>
        <v>0</v>
      </c>
      <c r="X62" s="19">
        <f>V62-Y61</f>
        <v>0</v>
      </c>
      <c r="Y62" s="23">
        <f t="shared" ref="Y62:Y64" si="20">ROUND(W62,3)</f>
        <v>0</v>
      </c>
      <c r="Z62" s="23">
        <f>ROUND(V62,3)</f>
        <v>0</v>
      </c>
      <c r="AA62" s="45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8"/>
        <v>800</v>
      </c>
      <c r="F63" s="31" t="s">
        <v>32</v>
      </c>
      <c r="G63" s="31" t="s">
        <v>32</v>
      </c>
      <c r="H63" s="32">
        <f>totalProduction1H_quarter4+totalProduction15M_quarter4</f>
        <v>10.039999999999999</v>
      </c>
      <c r="I63" s="27" t="str">
        <f t="shared" si="19"/>
        <v>10.04</v>
      </c>
      <c r="R63" s="24"/>
      <c r="S63" s="24"/>
      <c r="T63" s="24"/>
      <c r="U63" s="15" t="s">
        <v>66</v>
      </c>
      <c r="V63" s="19">
        <f>V$60</f>
        <v>0</v>
      </c>
      <c r="W63" s="19">
        <f>X63+W62</f>
        <v>0</v>
      </c>
      <c r="X63" s="19">
        <f>V63-Y62</f>
        <v>0</v>
      </c>
      <c r="Y63" s="23">
        <f t="shared" si="20"/>
        <v>0</v>
      </c>
      <c r="Z63" s="23">
        <f>ROUND(V63,3)</f>
        <v>0</v>
      </c>
      <c r="AA63" s="45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52" t="s">
        <v>37</v>
      </c>
      <c r="F64" s="53"/>
      <c r="G64" s="53"/>
      <c r="H64" s="54"/>
      <c r="R64" s="24"/>
      <c r="S64" s="24"/>
      <c r="T64" s="24"/>
      <c r="U64" s="15" t="s">
        <v>67</v>
      </c>
      <c r="V64" s="19">
        <f>V$60</f>
        <v>0</v>
      </c>
      <c r="W64" s="19">
        <f>X64+W63</f>
        <v>0</v>
      </c>
      <c r="X64" s="19">
        <f>V64-Y63</f>
        <v>0</v>
      </c>
      <c r="Y64" s="23">
        <f t="shared" si="20"/>
        <v>0</v>
      </c>
      <c r="Z64" s="23">
        <f>ROUND(V64,3)</f>
        <v>0</v>
      </c>
      <c r="AA64" s="45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20</v>
      </c>
      <c r="W65" s="56" t="s">
        <v>47</v>
      </c>
      <c r="X65" s="57"/>
      <c r="Y65" s="28">
        <f>ROUND(SUM(Y67:Y70),3)</f>
        <v>20</v>
      </c>
      <c r="Z65" s="21">
        <f>SUM(Z67:Z70)</f>
        <v>20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32</v>
      </c>
      <c r="G66" s="31" t="s">
        <v>32</v>
      </c>
      <c r="H66" s="32">
        <f ca="1">totalProduction1H_quarter1+totalProduction15M_quarter1+netEx_quarter1-totalFlex1H_quarter1-totalFlex15M_quarter1-totalNonprofiled1H_quarter1-totalNonprofiled15M_quarter1</f>
        <v>3.3789999999999996</v>
      </c>
      <c r="I66" s="27" t="str">
        <f ca="1">SUBSTITUTE(ROUND(H66,3),",",".")</f>
        <v>3.379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5</v>
      </c>
      <c r="W66" s="7" t="s">
        <v>43</v>
      </c>
      <c r="X66" s="7" t="s">
        <v>44</v>
      </c>
      <c r="Y66" s="7" t="s">
        <v>45</v>
      </c>
      <c r="Z66" s="7" t="s">
        <v>46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21">$AD$2</f>
        <v>800</v>
      </c>
      <c r="F67" s="31" t="s">
        <v>32</v>
      </c>
      <c r="G67" s="31" t="s">
        <v>32</v>
      </c>
      <c r="H67" s="32">
        <f ca="1">totalProduction1H_quarter2+totalProduction15M_quarter2+netEx_quarter2-totalFlex1H_quarter2-totalFlex15M_quarter2-totalNonprofiled1H_quarter2-totalNonprofiled15M_quarter2</f>
        <v>3.379999999999999</v>
      </c>
      <c r="I67" s="27" t="str">
        <f t="shared" ref="I67:I69" ca="1" si="22">SUBSTITUTE(ROUND(H67,3),",",".")</f>
        <v>3.38</v>
      </c>
      <c r="R67" s="24"/>
      <c r="S67" s="24"/>
      <c r="T67" s="24"/>
      <c r="U67" s="15" t="s">
        <v>68</v>
      </c>
      <c r="V67" s="19">
        <f>V$66</f>
        <v>5</v>
      </c>
      <c r="W67" s="19">
        <f>V67</f>
        <v>5</v>
      </c>
      <c r="X67" s="19"/>
      <c r="Y67" s="23">
        <f>ROUND(W67, 3)</f>
        <v>5</v>
      </c>
      <c r="Z67" s="23">
        <f>ROUND(V67,3)</f>
        <v>5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21"/>
        <v>800</v>
      </c>
      <c r="F68" s="31" t="s">
        <v>32</v>
      </c>
      <c r="G68" s="31" t="s">
        <v>32</v>
      </c>
      <c r="H68" s="32">
        <f ca="1">totalProduction1H_quarter3+totalProduction15M_quarter3+netEx_quarter3-totalFlex1H_quarter3-totalFlex15M_quarter3-totalNonprofiled1H_quarter3-totalNonprofiled15M_quarter3</f>
        <v>3.3780000000000001</v>
      </c>
      <c r="I68" s="27" t="str">
        <f t="shared" ca="1" si="22"/>
        <v>3.378</v>
      </c>
      <c r="R68" s="24"/>
      <c r="S68" s="24"/>
      <c r="T68" s="24"/>
      <c r="U68" s="15" t="s">
        <v>69</v>
      </c>
      <c r="V68" s="19">
        <f>V$66</f>
        <v>5</v>
      </c>
      <c r="W68" s="19">
        <f>X68+W67</f>
        <v>5</v>
      </c>
      <c r="X68" s="19">
        <f>V68-Y67</f>
        <v>0</v>
      </c>
      <c r="Y68" s="23">
        <f>ROUND(W68, 3)</f>
        <v>5</v>
      </c>
      <c r="Z68" s="23">
        <f>ROUND(V68,3)</f>
        <v>5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21"/>
        <v>800</v>
      </c>
      <c r="F69" s="31" t="s">
        <v>32</v>
      </c>
      <c r="G69" s="31" t="s">
        <v>32</v>
      </c>
      <c r="H69" s="32">
        <f ca="1">totalProduction1H_quarter4+totalProduction15M_quarter4+netEx_quarter4-totalFlex1H_quarter4-totalFlex15M_quarter4-totalNonprofiled1H_quarter4-totalNonprofiled15M_quarter4</f>
        <v>-4.1210000000000004</v>
      </c>
      <c r="I69" s="27" t="str">
        <f t="shared" ca="1" si="22"/>
        <v>-4.121</v>
      </c>
      <c r="J69" s="2"/>
      <c r="R69" s="24"/>
      <c r="S69" s="24"/>
      <c r="T69" s="24"/>
      <c r="U69" s="15" t="s">
        <v>70</v>
      </c>
      <c r="V69" s="19">
        <f>V$66</f>
        <v>5</v>
      </c>
      <c r="W69" s="19">
        <f>X69+W68</f>
        <v>5</v>
      </c>
      <c r="X69" s="19">
        <f>V69-Y68</f>
        <v>0</v>
      </c>
      <c r="Y69" s="23">
        <f>ROUND(W69, 3)</f>
        <v>5</v>
      </c>
      <c r="Z69" s="23">
        <f>ROUND(V69,3)</f>
        <v>5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52" t="s">
        <v>39</v>
      </c>
      <c r="F70" s="53"/>
      <c r="G70" s="53"/>
      <c r="H70" s="54"/>
      <c r="R70" s="24"/>
      <c r="S70" s="24"/>
      <c r="T70" s="27"/>
      <c r="U70" s="15" t="s">
        <v>71</v>
      </c>
      <c r="V70" s="19">
        <f>V$66</f>
        <v>5</v>
      </c>
      <c r="W70" s="19">
        <f>X70+W69</f>
        <v>5</v>
      </c>
      <c r="X70" s="19">
        <f>V70-Y69</f>
        <v>0</v>
      </c>
      <c r="Y70" s="23">
        <f>ROUND(W70, 3)</f>
        <v>5</v>
      </c>
      <c r="Z70" s="23">
        <f>ROUND(V70,3)</f>
        <v>5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75</v>
      </c>
      <c r="E72" s="31" t="str">
        <f>$AD$2</f>
        <v>800</v>
      </c>
      <c r="F72" s="31" t="s">
        <v>32</v>
      </c>
      <c r="G72" s="31" t="s">
        <v>32</v>
      </c>
      <c r="H72" s="32">
        <f ca="1">IF(gridLoss1H_quarter4&gt;0,gridLoss1H_quarter4,0)</f>
        <v>0</v>
      </c>
      <c r="I72" s="27" t="str">
        <f ca="1">SUBSTITUTE(ROUND(H72,3),",",".")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74</v>
      </c>
      <c r="E73" s="31" t="str">
        <f t="shared" ref="E73:E75" si="23">$AD$2</f>
        <v>800</v>
      </c>
      <c r="F73" s="31" t="s">
        <v>32</v>
      </c>
      <c r="G73" s="31" t="s">
        <v>32</v>
      </c>
      <c r="H73" s="32">
        <f ca="1">IF(gridLoss1H_quarter3&gt;0,gridLoss1H_quarter3,0)</f>
        <v>3.3780000000000001</v>
      </c>
      <c r="I73" s="27" t="str">
        <f t="shared" ref="I73:I75" ca="1" si="24">SUBSTITUTE(ROUND(H73,3),",",".")</f>
        <v>3.378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73</v>
      </c>
      <c r="E74" s="31" t="str">
        <f t="shared" si="23"/>
        <v>800</v>
      </c>
      <c r="F74" s="31" t="s">
        <v>32</v>
      </c>
      <c r="G74" s="31" t="s">
        <v>32</v>
      </c>
      <c r="H74" s="32">
        <f ca="1">IF(gridLoss1H_quarter2&gt;0,gridLoss1H_quarter2,0)</f>
        <v>3.379999999999999</v>
      </c>
      <c r="I74" s="27" t="str">
        <f t="shared" ca="1" si="24"/>
        <v>3.38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72</v>
      </c>
      <c r="E75" s="31" t="str">
        <f t="shared" si="23"/>
        <v>800</v>
      </c>
      <c r="F75" s="31" t="s">
        <v>32</v>
      </c>
      <c r="G75" s="31" t="s">
        <v>32</v>
      </c>
      <c r="H75" s="32">
        <f ca="1">IF(gridLoss1H_quarter1&gt;0,gridLoss1H_quarter1,0)</f>
        <v>3.3789999999999996</v>
      </c>
      <c r="I75" s="27" t="str">
        <f t="shared" ca="1" si="24"/>
        <v>3.379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52" t="s">
        <v>40</v>
      </c>
      <c r="F76" s="53"/>
      <c r="G76" s="53"/>
      <c r="H76" s="5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75</v>
      </c>
      <c r="E78" s="31" t="str">
        <f>$AD$2</f>
        <v>800</v>
      </c>
      <c r="F78" s="31" t="s">
        <v>32</v>
      </c>
      <c r="G78" s="31" t="s">
        <v>32</v>
      </c>
      <c r="H78" s="32">
        <f ca="1">IF(gridLoss1H_quarter4&lt;0,gridLoss1H_quarter4*-1,0)</f>
        <v>4.1210000000000004</v>
      </c>
      <c r="I78" s="27" t="str">
        <f ca="1">SUBSTITUTE(ROUND(H78,3),",",".")</f>
        <v>4.121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74</v>
      </c>
      <c r="E79" s="31" t="str">
        <f t="shared" ref="E79:E81" si="25">$AD$2</f>
        <v>800</v>
      </c>
      <c r="F79" s="31" t="s">
        <v>32</v>
      </c>
      <c r="G79" s="31" t="s">
        <v>32</v>
      </c>
      <c r="H79" s="32">
        <f ca="1">IF(gridLoss1H_quarter3&lt;0,gridLoss1H_quarter3*-1,0)</f>
        <v>0</v>
      </c>
      <c r="I79" s="27" t="str">
        <f t="shared" ref="I79:I81" ca="1" si="26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73</v>
      </c>
      <c r="E80" s="31" t="str">
        <f t="shared" si="25"/>
        <v>800</v>
      </c>
      <c r="F80" s="31" t="s">
        <v>32</v>
      </c>
      <c r="G80" s="31" t="s">
        <v>32</v>
      </c>
      <c r="H80" s="32">
        <f ca="1">IF(gridLoss1H_quarter2&lt;0,gridLoss1H_quarter2*-1,0)</f>
        <v>0</v>
      </c>
      <c r="I80" s="27" t="str">
        <f t="shared" ca="1" si="26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72</v>
      </c>
      <c r="E81" s="31" t="str">
        <f t="shared" si="25"/>
        <v>800</v>
      </c>
      <c r="F81" s="31" t="s">
        <v>32</v>
      </c>
      <c r="G81" s="31" t="s">
        <v>32</v>
      </c>
      <c r="H81" s="32">
        <f ca="1">IF(gridLoss1H_quarter1&lt;0,(gridLoss1H_quarter1)*-1,0)</f>
        <v>0</v>
      </c>
      <c r="I81" s="27" t="str">
        <f t="shared" ca="1" si="26"/>
        <v>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52" t="s">
        <v>77</v>
      </c>
      <c r="F82" s="53"/>
      <c r="G82" s="53"/>
      <c r="H82" s="5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72</v>
      </c>
      <c r="E84" s="31" t="str">
        <f>$AD$2</f>
        <v>800</v>
      </c>
      <c r="F84" s="31" t="s">
        <v>32</v>
      </c>
      <c r="G84" s="31" t="s">
        <v>32</v>
      </c>
      <c r="H84" s="32">
        <f ca="1">netEx_quarter1+totalProduction1H_quarter1+totalProduction15M_quarter1+negGridLossQuarter1</f>
        <v>10.879</v>
      </c>
      <c r="I84" s="27" t="str">
        <f ca="1">SUBSTITUTE(ROUND(H84,3),",",".")</f>
        <v>10.879</v>
      </c>
      <c r="J84" s="2"/>
      <c r="U84" s="2"/>
      <c r="V84" s="55" t="s">
        <v>82</v>
      </c>
      <c r="W84" s="55"/>
      <c r="X84" s="55"/>
      <c r="Y84" s="55"/>
      <c r="Z84" s="55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73</v>
      </c>
      <c r="E85" s="31" t="str">
        <f t="shared" ref="E85:E87" si="27">$AD$2</f>
        <v>800</v>
      </c>
      <c r="F85" s="31" t="s">
        <v>32</v>
      </c>
      <c r="G85" s="31" t="s">
        <v>32</v>
      </c>
      <c r="H85" s="32">
        <f ca="1">netEx_quarter2+totalProduction1H_quarter2+totalProduction15M_quarter2+negGridLossQuarter2</f>
        <v>10.879999999999999</v>
      </c>
      <c r="I85" s="27" t="str">
        <f t="shared" ref="I85:I87" ca="1" si="28">SUBSTITUTE(ROUND(H85,3),",",".")</f>
        <v>10.88</v>
      </c>
      <c r="J85" s="2"/>
      <c r="K85" s="2"/>
      <c r="U85" s="2"/>
      <c r="V85" s="6" t="s">
        <v>14</v>
      </c>
      <c r="W85" s="6" t="s">
        <v>84</v>
      </c>
      <c r="X85" s="6" t="s">
        <v>43</v>
      </c>
      <c r="Y85" s="6" t="s">
        <v>44</v>
      </c>
      <c r="Z85" s="6" t="s">
        <v>45</v>
      </c>
      <c r="AA85" s="2"/>
      <c r="AB85" s="2"/>
      <c r="AC85" s="2"/>
      <c r="AD85" s="2"/>
      <c r="AE85" s="2"/>
      <c r="AF85" s="2"/>
      <c r="AH85" s="27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74</v>
      </c>
      <c r="E86" s="31" t="str">
        <f t="shared" si="27"/>
        <v>800</v>
      </c>
      <c r="F86" s="31" t="s">
        <v>32</v>
      </c>
      <c r="G86" s="31" t="s">
        <v>32</v>
      </c>
      <c r="H86" s="32">
        <f ca="1">netEx_quarter3+totalProduction1H_quarter3+totalProduction15M_quarter3+negGridLossQuarter3</f>
        <v>10.878</v>
      </c>
      <c r="I86" s="27" t="str">
        <f t="shared" ca="1" si="28"/>
        <v>10.878</v>
      </c>
      <c r="J86" s="2"/>
      <c r="R86" s="37"/>
      <c r="S86" s="2"/>
      <c r="U86" s="15" t="s">
        <v>72</v>
      </c>
      <c r="V86" s="26" cm="1">
        <f t="array" aca="1" ref="V86" ca="1">SUMIFS(INDIRECT("TableDay1["&amp;U86&amp;"]"),TableDay1[resolution],"PT15M",TableDay1[from_ga],INDIRECT("AK"&amp;ROUND(ROW()*0.25-19,0)))-SUMIFS(INDIRECT("TableDay1["&amp;U86&amp;"]"),TableDay1[resolution],"PT15M",TableDay1[to_ga],INDIRECT("AK"&amp;ROUND(ROW()*0.25-19,0)))</f>
        <v>0</v>
      </c>
      <c r="W86" s="6">
        <f>(SUMIFS(TableDay1[Quarter1],TableDay1[resolution],"PT1H",TableDay1[from_ga],AK$3)-SUMIFS(TableDay1[Quarter1],TableDay1[resolution],"PT1H",TableDay1[to_ga],AK$3))/4</f>
        <v>0.83925000000000005</v>
      </c>
      <c r="X86" s="16">
        <f>W86</f>
        <v>0.83925000000000005</v>
      </c>
      <c r="Y86" s="16"/>
      <c r="Z86" s="16">
        <f t="shared" ref="Z86:Z109" si="29">ROUND(X86, 3)</f>
        <v>0.83899999999999997</v>
      </c>
      <c r="AA86" s="2"/>
      <c r="AB86" s="2"/>
      <c r="AC86" s="2"/>
      <c r="AE86" s="2"/>
      <c r="AF86" s="2"/>
      <c r="AG86" s="2"/>
      <c r="AH86" s="27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75</v>
      </c>
      <c r="E87" s="31" t="str">
        <f t="shared" si="27"/>
        <v>800</v>
      </c>
      <c r="F87" s="34" t="s">
        <v>32</v>
      </c>
      <c r="G87" s="34" t="s">
        <v>32</v>
      </c>
      <c r="H87" s="32">
        <f ca="1">netEx_quarter4+totalProduction1H_quarter4+totalProduction15M_quarter4+negGridLossQuarter4</f>
        <v>15</v>
      </c>
      <c r="I87" s="27" t="str">
        <f t="shared" ca="1" si="28"/>
        <v>15</v>
      </c>
      <c r="J87" s="2"/>
      <c r="R87" s="2"/>
      <c r="S87" s="2"/>
      <c r="U87" s="15" t="s">
        <v>73</v>
      </c>
      <c r="V87" s="26" cm="1">
        <f t="array" aca="1" ref="V87" ca="1">SUMIFS(INDIRECT("TableDay1["&amp;U87&amp;"]"),TableDay1[resolution],"PT15M",TableDay1[from_ga],INDIRECT("AK"&amp;ROUND(ROW()*0.25-19,0)))-SUMIFS(INDIRECT("TableDay1["&amp;U87&amp;"]"),TableDay1[resolution],"PT15M",TableDay1[to_ga],INDIRECT("AK"&amp;ROUND(ROW()*0.25-19,0)))</f>
        <v>0</v>
      </c>
      <c r="W87" s="16">
        <f>W$86</f>
        <v>0.83925000000000005</v>
      </c>
      <c r="X87" s="16">
        <f>Y87+X86</f>
        <v>0.83950000000000014</v>
      </c>
      <c r="Y87" s="16">
        <f>W87-Z86</f>
        <v>2.5000000000008349E-4</v>
      </c>
      <c r="Z87" s="16">
        <f t="shared" si="29"/>
        <v>0.84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52" t="s">
        <v>78</v>
      </c>
      <c r="F88" s="53"/>
      <c r="G88" s="53"/>
      <c r="H88" s="53"/>
      <c r="I88" s="54"/>
      <c r="J88" s="2"/>
      <c r="R88" s="2"/>
      <c r="S88" s="2"/>
      <c r="U88" s="15" t="s">
        <v>74</v>
      </c>
      <c r="V88" s="26" cm="1">
        <f t="array" aca="1" ref="V88" ca="1">SUMIFS(INDIRECT("TableDay1["&amp;U88&amp;"]"),TableDay1[resolution],"PT15M",TableDay1[from_ga],INDIRECT("AK"&amp;ROUND(ROW()*0.25-19,0)))-SUMIFS(INDIRECT("TableDay1["&amp;U88&amp;"]"),TableDay1[resolution],"PT15M",TableDay1[to_ga],INDIRECT("AK"&amp;ROUND(ROW()*0.25-19,0)))</f>
        <v>0</v>
      </c>
      <c r="W88" s="16">
        <f>W$86</f>
        <v>0.83925000000000005</v>
      </c>
      <c r="X88" s="16">
        <f>Y88+X87</f>
        <v>0.83875000000000022</v>
      </c>
      <c r="Y88" s="16">
        <f>W88-Z87</f>
        <v>-7.499999999999174E-4</v>
      </c>
      <c r="Z88" s="16">
        <f t="shared" si="29"/>
        <v>0.83899999999999997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120</v>
      </c>
      <c r="J89" s="2"/>
      <c r="R89" s="2"/>
      <c r="S89" s="2"/>
      <c r="U89" s="15" t="s">
        <v>75</v>
      </c>
      <c r="V89" s="26" cm="1">
        <f t="array" aca="1" ref="V89" ca="1">SUMIFS(INDIRECT("TableDay1["&amp;U89&amp;"]"),TableDay1[resolution],"PT15M",TableDay1[from_ga],INDIRECT("AK"&amp;ROUND(ROW()*0.25-19,0)))-SUMIFS(INDIRECT("TableDay1["&amp;U89&amp;"]"),TableDay1[resolution],"PT15M",TableDay1[to_ga],INDIRECT("AK"&amp;ROUND(ROW()*0.25-19,0)))</f>
        <v>0</v>
      </c>
      <c r="W89" s="16">
        <f>W$86</f>
        <v>0.83925000000000005</v>
      </c>
      <c r="X89" s="16">
        <f>Y89+X88</f>
        <v>0.8390000000000003</v>
      </c>
      <c r="Y89" s="16">
        <f>W89-Z88</f>
        <v>2.5000000000008349E-4</v>
      </c>
      <c r="Z89" s="16">
        <f t="shared" si="29"/>
        <v>0.83899999999999997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72</v>
      </c>
      <c r="E90" s="31" t="str">
        <f>IF(ROW()&lt;90+(COUNTA(AH$3:AH$21)*4),$AD$2,"")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0.83899999999999997</v>
      </c>
      <c r="I90" s="32" t="str" cm="1">
        <f t="array" aca="1" ref="I90" ca="1">IF(E90="","",INDIRECT("AJ"&amp;ROUND((ROW()-80)*0.25,0)))</f>
        <v>801</v>
      </c>
      <c r="J90" s="27" t="str">
        <f ca="1">IFERROR(SUBSTITUTE(ROUND(H90,3),",","."),"")</f>
        <v>0.839</v>
      </c>
      <c r="R90" s="2"/>
      <c r="S90" s="2"/>
      <c r="U90" s="15" t="s">
        <v>72</v>
      </c>
      <c r="V90" s="26" cm="1">
        <f t="array" aca="1" ref="V90" ca="1">SUMIFS(INDIRECT("TableDay1["&amp;U90&amp;"]"),TableDay1[resolution],"PT15M",TableDay1[from_ga],INDIRECT("AK"&amp;ROUND(ROW()*0.25-19,0)))-SUMIFS(INDIRECT("TableDay1["&amp;U90&amp;"]"),TableDay1[resolution],"PT15M",TableDay1[to_ga],INDIRECT("AK"&amp;ROUND(ROW()*0.25-19,0)))</f>
        <v>0</v>
      </c>
      <c r="W90" s="6">
        <f>(SUMIFS(TableDay1[Quarter1],TableDay1[resolution],"PT1H",TableDay1[from_ga],AK$4)-SUMIFS(TableDay1[Quarter1],TableDay1[resolution],"PT1H",TableDay1[to_ga],AK$4))/4</f>
        <v>0</v>
      </c>
      <c r="X90" s="16">
        <f>W90</f>
        <v>0</v>
      </c>
      <c r="Y90" s="16"/>
      <c r="Z90" s="16">
        <f t="shared" si="29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73</v>
      </c>
      <c r="E91" s="31" t="str">
        <f t="shared" ref="E91:E113" si="30">IF(ROW()&lt;90+(COUNTA(AH$3:AH$21)*4),$AD$2,"")</f>
        <v>800</v>
      </c>
      <c r="F91" s="31" t="str">
        <f t="shared" ref="F91:F113" si="31">IF(E91&lt;&gt;"","null","")</f>
        <v>null</v>
      </c>
      <c r="G91" s="31" t="str">
        <f t="shared" ref="G91:G113" si="32">IF(E91&lt;&gt;"","null","")</f>
        <v>null</v>
      </c>
      <c r="H91" s="32">
        <f t="shared" ref="H91:H113" ca="1" si="33">IF(E91="","",V87+Z87)</f>
        <v>0.84</v>
      </c>
      <c r="I91" s="32" t="str" cm="1">
        <f t="array" aca="1" ref="I91" ca="1">IF(E91="","",INDIRECT("AJ"&amp;ROUND((ROW()-80)*0.25,0)))</f>
        <v>801</v>
      </c>
      <c r="J91" s="27" t="str">
        <f t="shared" ref="J91:J113" ca="1" si="34">IFERROR(SUBSTITUTE(ROUND(H91,3),",","."),"")</f>
        <v>0.84</v>
      </c>
      <c r="R91" s="2"/>
      <c r="U91" s="15" t="s">
        <v>73</v>
      </c>
      <c r="V91" s="26" cm="1">
        <f t="array" aca="1" ref="V91" ca="1">SUMIFS(INDIRECT("TableDay1["&amp;U91&amp;"]"),TableDay1[resolution],"PT15M",TableDay1[from_ga],INDIRECT("AK"&amp;ROUND(ROW()*0.25-19,0)))-SUMIFS(INDIRECT("TableDay1["&amp;U91&amp;"]"),TableDay1[resolution],"PT15M",TableDay1[to_ga],INDIRECT("AK"&amp;ROUND(ROW()*0.25-19,0)))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29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74</v>
      </c>
      <c r="E92" s="31" t="str">
        <f t="shared" si="30"/>
        <v>800</v>
      </c>
      <c r="F92" s="31" t="str">
        <f t="shared" si="31"/>
        <v>null</v>
      </c>
      <c r="G92" s="31" t="str">
        <f t="shared" si="32"/>
        <v>null</v>
      </c>
      <c r="H92" s="32">
        <f t="shared" ca="1" si="33"/>
        <v>0.83899999999999997</v>
      </c>
      <c r="I92" s="32" t="str" cm="1">
        <f t="array" aca="1" ref="I92" ca="1">IF(E92="","",INDIRECT("AJ"&amp;ROUND((ROW()-80)*0.25,0)))</f>
        <v>801</v>
      </c>
      <c r="J92" s="27" t="str">
        <f t="shared" ca="1" si="34"/>
        <v>0.839</v>
      </c>
      <c r="U92" s="15" t="s">
        <v>74</v>
      </c>
      <c r="V92" s="26" cm="1">
        <f t="array" aca="1" ref="V92" ca="1">SUMIFS(INDIRECT("TableDay1["&amp;U92&amp;"]"),TableDay1[resolution],"PT15M",TableDay1[from_ga],INDIRECT("AK"&amp;ROUND(ROW()*0.25-19,0)))-SUMIFS(INDIRECT("TableDay1["&amp;U92&amp;"]"),TableDay1[resolution],"PT15M",TableDay1[to_ga],INDIRECT("AK"&amp;ROUND(ROW()*0.25-19,0)))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29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75</v>
      </c>
      <c r="E93" s="31" t="str">
        <f t="shared" si="30"/>
        <v>800</v>
      </c>
      <c r="F93" s="31" t="str">
        <f t="shared" si="31"/>
        <v>null</v>
      </c>
      <c r="G93" s="31" t="str">
        <f t="shared" si="32"/>
        <v>null</v>
      </c>
      <c r="H93" s="32">
        <f t="shared" ca="1" si="33"/>
        <v>0.83899999999999997</v>
      </c>
      <c r="I93" s="32" t="str" cm="1">
        <f t="array" aca="1" ref="I93" ca="1">IF(E93="","",INDIRECT("AJ"&amp;ROUND((ROW()-80)*0.25,0)))</f>
        <v>801</v>
      </c>
      <c r="J93" s="27" t="str">
        <f t="shared" ca="1" si="34"/>
        <v>0.839</v>
      </c>
      <c r="U93" s="15" t="s">
        <v>75</v>
      </c>
      <c r="V93" s="26" cm="1">
        <f t="array" aca="1" ref="V93" ca="1">SUMIFS(INDIRECT("TableDay1["&amp;U93&amp;"]"),TableDay1[resolution],"PT15M",TableDay1[from_ga],INDIRECT("AK"&amp;ROUND(ROW()*0.25-19,0)))-SUMIFS(INDIRECT("TableDay1["&amp;U93&amp;"]"),TableDay1[resolution],"PT15M",TableDay1[to_ga],INDIRECT("AK"&amp;ROUND(ROW()*0.25-19,0)))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29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72</v>
      </c>
      <c r="E94" s="31" t="str">
        <f t="shared" si="30"/>
        <v/>
      </c>
      <c r="F94" s="31" t="str">
        <f t="shared" si="31"/>
        <v/>
      </c>
      <c r="G94" s="31" t="str">
        <f t="shared" si="32"/>
        <v/>
      </c>
      <c r="H94" s="32" t="str">
        <f t="shared" si="33"/>
        <v/>
      </c>
      <c r="I94" s="32" t="str" cm="1">
        <f t="array" aca="1" ref="I94" ca="1">IF(E94="","",INDIRECT("AJ"&amp;ROUND((ROW()-80)*0.25,0)))</f>
        <v/>
      </c>
      <c r="J94" s="27" t="str">
        <f t="shared" si="34"/>
        <v/>
      </c>
      <c r="U94" s="15" t="s">
        <v>72</v>
      </c>
      <c r="V94" s="26" cm="1">
        <f t="array" aca="1" ref="V94" ca="1">SUMIFS(INDIRECT("TableDay1["&amp;U94&amp;"]"),TableDay1[resolution],"PT15M",TableDay1[from_ga],INDIRECT("AK"&amp;ROUND(ROW()*0.25-19,0)))-SUMIFS(INDIRECT("TableDay1["&amp;U94&amp;"]"),TableDay1[resolution],"PT15M",TableDay1[to_ga],INDIRECT("AK"&amp;ROUND(ROW()*0.25-19,0)))</f>
        <v>0</v>
      </c>
      <c r="W94" s="6">
        <f>(SUMIFS(TableDay1[Quarter1],TableDay1[resolution],"PT1H",TableDay1[from_ga],AK$5)-SUMIFS(TableDay1[Quarter1],TableDay1[resolution],"PT1H",TableDay1[to_ga],AK$5))/4</f>
        <v>0</v>
      </c>
      <c r="X94" s="16">
        <f>W94</f>
        <v>0</v>
      </c>
      <c r="Y94" s="16"/>
      <c r="Z94" s="16">
        <f t="shared" si="2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73</v>
      </c>
      <c r="E95" s="31" t="str">
        <f t="shared" si="30"/>
        <v/>
      </c>
      <c r="F95" s="31" t="str">
        <f t="shared" si="31"/>
        <v/>
      </c>
      <c r="G95" s="31" t="str">
        <f t="shared" si="32"/>
        <v/>
      </c>
      <c r="H95" s="32" t="str">
        <f t="shared" si="33"/>
        <v/>
      </c>
      <c r="I95" s="32" t="str" cm="1">
        <f t="array" aca="1" ref="I95" ca="1">IF(E95="","",INDIRECT("AJ"&amp;ROUND((ROW()-80)*0.25,0)))</f>
        <v/>
      </c>
      <c r="J95" s="27" t="str">
        <f t="shared" si="34"/>
        <v/>
      </c>
      <c r="U95" s="15" t="s">
        <v>73</v>
      </c>
      <c r="V95" s="26" cm="1">
        <f t="array" aca="1" ref="V95" ca="1">SUMIFS(INDIRECT("TableDay1["&amp;U95&amp;"]"),TableDay1[resolution],"PT15M",TableDay1[from_ga],INDIRECT("AK"&amp;ROUND(ROW()*0.25-19,0)))-SUMIFS(INDIRECT("TableDay1["&amp;U95&amp;"]"),TableDay1[resolution],"PT15M",TableDay1[to_ga],INDIRECT("AK"&amp;ROUND(ROW()*0.25-19,0)))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74</v>
      </c>
      <c r="E96" s="31" t="str">
        <f t="shared" si="30"/>
        <v/>
      </c>
      <c r="F96" s="31" t="str">
        <f t="shared" si="31"/>
        <v/>
      </c>
      <c r="G96" s="31" t="str">
        <f t="shared" si="32"/>
        <v/>
      </c>
      <c r="H96" s="32" t="str">
        <f t="shared" si="33"/>
        <v/>
      </c>
      <c r="I96" s="32" t="str" cm="1">
        <f t="array" aca="1" ref="I96" ca="1">IF(E96="","",INDIRECT("AJ"&amp;ROUND((ROW()-80)*0.25,0)))</f>
        <v/>
      </c>
      <c r="J96" s="27" t="str">
        <f t="shared" si="34"/>
        <v/>
      </c>
      <c r="U96" s="15" t="s">
        <v>74</v>
      </c>
      <c r="V96" s="26" cm="1">
        <f t="array" aca="1" ref="V96" ca="1">SUMIFS(INDIRECT("TableDay1["&amp;U96&amp;"]"),TableDay1[resolution],"PT15M",TableDay1[from_ga],INDIRECT("AK"&amp;ROUND(ROW()*0.25-19,0)))-SUMIFS(INDIRECT("TableDay1["&amp;U96&amp;"]"),TableDay1[resolution],"PT15M",TableDay1[to_ga],INDIRECT("AK"&amp;ROUND(ROW()*0.25-19,0)))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75</v>
      </c>
      <c r="E97" s="31" t="str">
        <f t="shared" si="30"/>
        <v/>
      </c>
      <c r="F97" s="31" t="str">
        <f t="shared" si="31"/>
        <v/>
      </c>
      <c r="G97" s="31" t="str">
        <f t="shared" si="32"/>
        <v/>
      </c>
      <c r="H97" s="32" t="str">
        <f t="shared" si="33"/>
        <v/>
      </c>
      <c r="I97" s="32" t="str" cm="1">
        <f t="array" aca="1" ref="I97" ca="1">IF(E97="","",INDIRECT("AJ"&amp;ROUND((ROW()-80)*0.25,0)))</f>
        <v/>
      </c>
      <c r="J97" s="27" t="str">
        <f t="shared" si="34"/>
        <v/>
      </c>
      <c r="U97" s="15" t="s">
        <v>75</v>
      </c>
      <c r="V97" s="26" cm="1">
        <f t="array" aca="1" ref="V97" ca="1">SUMIFS(INDIRECT("TableDay1["&amp;U97&amp;"]"),TableDay1[resolution],"PT15M",TableDay1[from_ga],INDIRECT("AK"&amp;ROUND(ROW()*0.25-19,0)))-SUMIFS(INDIRECT("TableDay1["&amp;U97&amp;"]"),TableDay1[resolution],"PT15M",TableDay1[to_ga],INDIRECT("AK"&amp;ROUND(ROW()*0.25-19,0)))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72</v>
      </c>
      <c r="E98" s="31" t="str">
        <f t="shared" si="30"/>
        <v/>
      </c>
      <c r="F98" s="31" t="str">
        <f t="shared" si="31"/>
        <v/>
      </c>
      <c r="G98" s="31" t="str">
        <f t="shared" si="32"/>
        <v/>
      </c>
      <c r="H98" s="32" t="str">
        <f t="shared" si="33"/>
        <v/>
      </c>
      <c r="I98" s="32" t="str" cm="1">
        <f t="array" aca="1" ref="I98" ca="1">IF(E98="","",INDIRECT("AJ"&amp;ROUND((ROW()-80)*0.25,0)))</f>
        <v/>
      </c>
      <c r="J98" s="27" t="str">
        <f t="shared" si="34"/>
        <v/>
      </c>
      <c r="U98" s="15" t="s">
        <v>72</v>
      </c>
      <c r="V98" s="26" cm="1">
        <f t="array" aca="1" ref="V98" ca="1">SUMIFS(INDIRECT("TableDay1["&amp;U98&amp;"]"),TableDay1[resolution],"PT15M",TableDay1[from_ga],INDIRECT("AK"&amp;ROUND(ROW()*0.25-19,0)))-SUMIFS(INDIRECT("TableDay1["&amp;U98&amp;"]"),TableDay1[resolution],"PT15M",TableDay1[to_ga],INDIRECT("AK"&amp;ROUND(ROW()*0.25-19,0)))</f>
        <v>0</v>
      </c>
      <c r="W98" s="6">
        <f>(SUMIFS(TableDay1[Quarter1],TableDay1[resolution],"PT1H",TableDay1[from_ga],AK$6)-SUMIFS(TableDay1[Quarter1],TableDay1[resolution],"PT1H",TableDay1[to_ga],AK$6))/4</f>
        <v>0</v>
      </c>
      <c r="X98" s="16">
        <f>W98</f>
        <v>0</v>
      </c>
      <c r="Y98" s="16"/>
      <c r="Z98" s="16">
        <f t="shared" si="2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73</v>
      </c>
      <c r="E99" s="31" t="str">
        <f t="shared" si="30"/>
        <v/>
      </c>
      <c r="F99" s="31" t="str">
        <f t="shared" si="31"/>
        <v/>
      </c>
      <c r="G99" s="31" t="str">
        <f t="shared" si="32"/>
        <v/>
      </c>
      <c r="H99" s="32" t="str">
        <f t="shared" si="33"/>
        <v/>
      </c>
      <c r="I99" s="32" t="str" cm="1">
        <f t="array" aca="1" ref="I99" ca="1">IF(E99="","",INDIRECT("AJ"&amp;ROUND((ROW()-80)*0.25,0)))</f>
        <v/>
      </c>
      <c r="J99" s="27" t="str">
        <f t="shared" si="34"/>
        <v/>
      </c>
      <c r="U99" s="15" t="s">
        <v>73</v>
      </c>
      <c r="V99" s="26" cm="1">
        <f t="array" aca="1" ref="V99" ca="1">SUMIFS(INDIRECT("TableDay1["&amp;U99&amp;"]"),TableDay1[resolution],"PT15M",TableDay1[from_ga],INDIRECT("AK"&amp;ROUND(ROW()*0.25-19,0)))-SUMIFS(INDIRECT("TableDay1["&amp;U99&amp;"]"),TableDay1[resolution],"PT15M",TableDay1[to_ga],INDIRECT("AK"&amp;ROUND(ROW()*0.25-19,0)))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74</v>
      </c>
      <c r="E100" s="31" t="str">
        <f t="shared" si="30"/>
        <v/>
      </c>
      <c r="F100" s="31" t="str">
        <f t="shared" si="31"/>
        <v/>
      </c>
      <c r="G100" s="31" t="str">
        <f t="shared" si="32"/>
        <v/>
      </c>
      <c r="H100" s="32" t="str">
        <f t="shared" si="33"/>
        <v/>
      </c>
      <c r="I100" s="32" t="str" cm="1">
        <f t="array" aca="1" ref="I100" ca="1">IF(E100="","",INDIRECT("AJ"&amp;ROUND((ROW()-80)*0.25,0)))</f>
        <v/>
      </c>
      <c r="J100" s="27" t="str">
        <f t="shared" si="34"/>
        <v/>
      </c>
      <c r="U100" s="15" t="s">
        <v>74</v>
      </c>
      <c r="V100" s="26" cm="1">
        <f t="array" aca="1" ref="V100" ca="1">SUMIFS(INDIRECT("TableDay1["&amp;U100&amp;"]"),TableDay1[resolution],"PT15M",TableDay1[from_ga],INDIRECT("AK"&amp;ROUND(ROW()*0.25-19,0)))-SUMIFS(INDIRECT("TableDay1["&amp;U100&amp;"]"),TableDay1[resolution],"PT15M",TableDay1[to_ga],INDIRECT("AK"&amp;ROUND(ROW()*0.25-19,0)))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75</v>
      </c>
      <c r="E101" s="31" t="str">
        <f t="shared" si="30"/>
        <v/>
      </c>
      <c r="F101" s="31" t="str">
        <f t="shared" si="31"/>
        <v/>
      </c>
      <c r="G101" s="31" t="str">
        <f t="shared" si="32"/>
        <v/>
      </c>
      <c r="H101" s="32" t="str">
        <f t="shared" si="33"/>
        <v/>
      </c>
      <c r="I101" s="32" t="str" cm="1">
        <f t="array" aca="1" ref="I101" ca="1">IF(E101="","",INDIRECT("AJ"&amp;ROUND((ROW()-80)*0.25,0)))</f>
        <v/>
      </c>
      <c r="J101" s="27" t="str">
        <f t="shared" si="34"/>
        <v/>
      </c>
      <c r="U101" s="15" t="s">
        <v>75</v>
      </c>
      <c r="V101" s="26" cm="1">
        <f t="array" aca="1" ref="V101" ca="1">SUMIFS(INDIRECT("TableDay1["&amp;U101&amp;"]"),TableDay1[resolution],"PT15M",TableDay1[from_ga],INDIRECT("AK"&amp;ROUND(ROW()*0.25-19,0)))-SUMIFS(INDIRECT("TableDay1["&amp;U101&amp;"]"),TableDay1[resolution],"PT15M",TableDay1[to_ga],INDIRECT("AK"&amp;ROUND(ROW()*0.25-19,0)))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72</v>
      </c>
      <c r="E102" s="31" t="str">
        <f t="shared" si="30"/>
        <v/>
      </c>
      <c r="F102" s="31" t="str">
        <f t="shared" si="31"/>
        <v/>
      </c>
      <c r="G102" s="31" t="str">
        <f t="shared" si="32"/>
        <v/>
      </c>
      <c r="H102" s="32" t="str">
        <f t="shared" si="33"/>
        <v/>
      </c>
      <c r="I102" s="32" t="str" cm="1">
        <f t="array" aca="1" ref="I102" ca="1">IF(E102="","",INDIRECT("AJ"&amp;ROUND((ROW()-80)*0.25,0)))</f>
        <v/>
      </c>
      <c r="J102" s="27" t="str">
        <f t="shared" si="34"/>
        <v/>
      </c>
      <c r="U102" s="15" t="s">
        <v>72</v>
      </c>
      <c r="V102" s="26" cm="1">
        <f t="array" aca="1" ref="V102" ca="1">SUMIFS(INDIRECT("TableDay1["&amp;U102&amp;"]"),TableDay1[resolution],"PT15M",TableDay1[from_ga],INDIRECT("AK"&amp;ROUND(ROW()*0.25-19,0)))-SUMIFS(INDIRECT("TableDay1["&amp;U102&amp;"]"),TableDay1[resolution],"PT15M",TableDay1[to_ga],INDIRECT("AK"&amp;ROUND(ROW()*0.25-19,0)))</f>
        <v>0</v>
      </c>
      <c r="W102" s="6">
        <f>(SUMIFS(TableDay1[Quarter1],TableDay1[resolution],"PT1H",TableDay1[from_ga],AK$7)-SUMIFS(TableDay1[Quarter1],TableDay1[resolution],"PT1H",TableDay1[to_ga],AK$7))/4</f>
        <v>0</v>
      </c>
      <c r="X102" s="16">
        <f>W102</f>
        <v>0</v>
      </c>
      <c r="Y102" s="16"/>
      <c r="Z102" s="16">
        <f t="shared" si="2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73</v>
      </c>
      <c r="E103" s="31" t="str">
        <f t="shared" si="30"/>
        <v/>
      </c>
      <c r="F103" s="31" t="str">
        <f t="shared" si="31"/>
        <v/>
      </c>
      <c r="G103" s="31" t="str">
        <f t="shared" si="32"/>
        <v/>
      </c>
      <c r="H103" s="32" t="str">
        <f t="shared" si="33"/>
        <v/>
      </c>
      <c r="I103" s="32" t="str" cm="1">
        <f t="array" aca="1" ref="I103" ca="1">IF(E103="","",INDIRECT("AJ"&amp;ROUND((ROW()-80)*0.25,0)))</f>
        <v/>
      </c>
      <c r="J103" s="27" t="str">
        <f t="shared" si="34"/>
        <v/>
      </c>
      <c r="U103" s="15" t="s">
        <v>73</v>
      </c>
      <c r="V103" s="26" cm="1">
        <f t="array" aca="1" ref="V103" ca="1">SUMIFS(INDIRECT("TableDay1["&amp;U103&amp;"]"),TableDay1[resolution],"PT15M",TableDay1[from_ga],INDIRECT("AK"&amp;ROUND(ROW()*0.25-19,0)))-SUMIFS(INDIRECT("TableDay1["&amp;U103&amp;"]"),TableDay1[resolution],"PT15M",TableDay1[to_ga],INDIRECT("AK"&amp;ROUND(ROW()*0.25-19,0)))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74</v>
      </c>
      <c r="E104" s="31" t="str">
        <f t="shared" si="30"/>
        <v/>
      </c>
      <c r="F104" s="31" t="str">
        <f t="shared" si="31"/>
        <v/>
      </c>
      <c r="G104" s="31" t="str">
        <f t="shared" si="32"/>
        <v/>
      </c>
      <c r="H104" s="32" t="str">
        <f t="shared" si="33"/>
        <v/>
      </c>
      <c r="I104" s="32" t="str" cm="1">
        <f t="array" aca="1" ref="I104" ca="1">IF(E104="","",INDIRECT("AJ"&amp;ROUND((ROW()-80)*0.25,0)))</f>
        <v/>
      </c>
      <c r="J104" s="27" t="str">
        <f t="shared" si="34"/>
        <v/>
      </c>
      <c r="U104" s="15" t="s">
        <v>74</v>
      </c>
      <c r="V104" s="26" cm="1">
        <f t="array" aca="1" ref="V104" ca="1">SUMIFS(INDIRECT("TableDay1["&amp;U104&amp;"]"),TableDay1[resolution],"PT15M",TableDay1[from_ga],INDIRECT("AK"&amp;ROUND(ROW()*0.25-19,0)))-SUMIFS(INDIRECT("TableDay1["&amp;U104&amp;"]"),TableDay1[resolution],"PT15M",TableDay1[to_ga],INDIRECT("AK"&amp;ROUND(ROW()*0.25-19,0)))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75</v>
      </c>
      <c r="E105" s="31" t="str">
        <f t="shared" si="30"/>
        <v/>
      </c>
      <c r="F105" s="31" t="str">
        <f t="shared" si="31"/>
        <v/>
      </c>
      <c r="G105" s="31" t="str">
        <f t="shared" si="32"/>
        <v/>
      </c>
      <c r="H105" s="32" t="str">
        <f t="shared" si="33"/>
        <v/>
      </c>
      <c r="I105" s="32" t="str" cm="1">
        <f t="array" aca="1" ref="I105" ca="1">IF(E105="","",INDIRECT("AJ"&amp;ROUND((ROW()-80)*0.25,0)))</f>
        <v/>
      </c>
      <c r="J105" s="27" t="str">
        <f t="shared" si="34"/>
        <v/>
      </c>
      <c r="U105" s="15" t="s">
        <v>75</v>
      </c>
      <c r="V105" s="26" cm="1">
        <f t="array" aca="1" ref="V105" ca="1">SUMIFS(INDIRECT("TableDay1["&amp;U105&amp;"]"),TableDay1[resolution],"PT15M",TableDay1[from_ga],INDIRECT("AK"&amp;ROUND(ROW()*0.25-19,0)))-SUMIFS(INDIRECT("TableDay1["&amp;U105&amp;"]"),TableDay1[resolution],"PT15M",TableDay1[to_ga],INDIRECT("AK"&amp;ROUND(ROW()*0.25-19,0)))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72</v>
      </c>
      <c r="E106" s="31" t="str">
        <f t="shared" si="30"/>
        <v/>
      </c>
      <c r="F106" s="31" t="str">
        <f t="shared" si="31"/>
        <v/>
      </c>
      <c r="G106" s="31" t="str">
        <f t="shared" si="32"/>
        <v/>
      </c>
      <c r="H106" s="32" t="str">
        <f t="shared" si="33"/>
        <v/>
      </c>
      <c r="I106" s="32" t="str" cm="1">
        <f t="array" aca="1" ref="I106" ca="1">IF(E106="","",INDIRECT("AJ"&amp;ROUND((ROW()-80)*0.25,0)))</f>
        <v/>
      </c>
      <c r="J106" s="27" t="str">
        <f t="shared" si="34"/>
        <v/>
      </c>
      <c r="U106" s="15" t="s">
        <v>72</v>
      </c>
      <c r="V106" s="26" cm="1">
        <f t="array" aca="1" ref="V106" ca="1">SUMIFS(INDIRECT("TableDay1["&amp;U106&amp;"]"),TableDay1[resolution],"PT15M",TableDay1[from_ga],INDIRECT("AK"&amp;ROUND(ROW()*0.25-19,0)))-SUMIFS(INDIRECT("TableDay1["&amp;U106&amp;"]"),TableDay1[resolution],"PT15M",TableDay1[to_ga],INDIRECT("AK"&amp;ROUND(ROW()*0.25-19,0)))</f>
        <v>0</v>
      </c>
      <c r="W106" s="6">
        <f>(SUMIFS(TableDay1[Quarter1],TableDay1[resolution],"PT1H",TableDay1[from_ga],AK$8)-SUMIFS(TableDay1[Quarter1],TableDay1[resolution],"PT1H",TableDay1[to_ga],AK$8))/4</f>
        <v>0</v>
      </c>
      <c r="X106" s="16">
        <f>W106</f>
        <v>0</v>
      </c>
      <c r="Y106" s="16"/>
      <c r="Z106" s="16">
        <f t="shared" si="2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73</v>
      </c>
      <c r="E107" s="31" t="str">
        <f t="shared" si="30"/>
        <v/>
      </c>
      <c r="F107" s="31" t="str">
        <f t="shared" si="31"/>
        <v/>
      </c>
      <c r="G107" s="31" t="str">
        <f t="shared" si="32"/>
        <v/>
      </c>
      <c r="H107" s="32" t="str">
        <f t="shared" si="33"/>
        <v/>
      </c>
      <c r="I107" s="32" t="str" cm="1">
        <f t="array" aca="1" ref="I107" ca="1">IF(E107="","",INDIRECT("AJ"&amp;ROUND((ROW()-80)*0.25,0)))</f>
        <v/>
      </c>
      <c r="J107" s="27" t="str">
        <f t="shared" si="34"/>
        <v/>
      </c>
      <c r="U107" s="15" t="s">
        <v>73</v>
      </c>
      <c r="V107" s="26" cm="1">
        <f t="array" aca="1" ref="V107" ca="1">SUMIFS(INDIRECT("TableDay1["&amp;U107&amp;"]"),TableDay1[resolution],"PT15M",TableDay1[from_ga],INDIRECT("AK"&amp;ROUND(ROW()*0.25-19,0)))-SUMIFS(INDIRECT("TableDay1["&amp;U107&amp;"]"),TableDay1[resolution],"PT15M",TableDay1[to_ga],INDIRECT("AK"&amp;ROUND(ROW()*0.25-19,0)))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74</v>
      </c>
      <c r="E108" s="31" t="str">
        <f t="shared" si="30"/>
        <v/>
      </c>
      <c r="F108" s="31" t="str">
        <f t="shared" si="31"/>
        <v/>
      </c>
      <c r="G108" s="31" t="str">
        <f t="shared" si="32"/>
        <v/>
      </c>
      <c r="H108" s="32" t="str">
        <f t="shared" si="33"/>
        <v/>
      </c>
      <c r="I108" s="32" t="str" cm="1">
        <f t="array" aca="1" ref="I108" ca="1">IF(E108="","",INDIRECT("AJ"&amp;ROUND((ROW()-80)*0.25,0)))</f>
        <v/>
      </c>
      <c r="J108" s="27" t="str">
        <f t="shared" si="34"/>
        <v/>
      </c>
      <c r="U108" s="15" t="s">
        <v>74</v>
      </c>
      <c r="V108" s="26" cm="1">
        <f t="array" aca="1" ref="V108" ca="1">SUMIFS(INDIRECT("TableDay1["&amp;U108&amp;"]"),TableDay1[resolution],"PT15M",TableDay1[from_ga],INDIRECT("AK"&amp;ROUND(ROW()*0.25-19,0)))-SUMIFS(INDIRECT("TableDay1["&amp;U108&amp;"]"),TableDay1[resolution],"PT15M",TableDay1[to_ga],INDIRECT("AK"&amp;ROUND(ROW()*0.25-19,0)))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75</v>
      </c>
      <c r="E109" s="31" t="str">
        <f t="shared" si="30"/>
        <v/>
      </c>
      <c r="F109" s="31" t="str">
        <f t="shared" si="31"/>
        <v/>
      </c>
      <c r="G109" s="31" t="str">
        <f t="shared" si="32"/>
        <v/>
      </c>
      <c r="H109" s="32" t="str">
        <f t="shared" si="33"/>
        <v/>
      </c>
      <c r="I109" s="32" t="str" cm="1">
        <f t="array" aca="1" ref="I109" ca="1">IF(E109="","",INDIRECT("AJ"&amp;ROUND((ROW()-80)*0.25,0)))</f>
        <v/>
      </c>
      <c r="J109" s="27" t="str">
        <f t="shared" si="34"/>
        <v/>
      </c>
      <c r="U109" s="15" t="s">
        <v>75</v>
      </c>
      <c r="V109" s="26" cm="1">
        <f t="array" aca="1" ref="V109" ca="1">SUMIFS(INDIRECT("TableDay1["&amp;U109&amp;"]"),TableDay1[resolution],"PT15M",TableDay1[from_ga],INDIRECT("AK"&amp;ROUND(ROW()*0.25-19,0)))-SUMIFS(INDIRECT("TableDay1["&amp;U109&amp;"]"),TableDay1[resolution],"PT15M",TableDay1[to_ga],INDIRECT("AK"&amp;ROUND(ROW()*0.25-19,0)))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72</v>
      </c>
      <c r="E110" s="31" t="str">
        <f t="shared" si="30"/>
        <v/>
      </c>
      <c r="F110" s="31" t="str">
        <f t="shared" si="31"/>
        <v/>
      </c>
      <c r="G110" s="31" t="str">
        <f t="shared" si="32"/>
        <v/>
      </c>
      <c r="H110" s="32" t="str">
        <f t="shared" si="33"/>
        <v/>
      </c>
      <c r="I110" s="32" t="str" cm="1">
        <f t="array" aca="1" ref="I110" ca="1">IF(E110="","",INDIRECT("AJ"&amp;ROUND((ROW()-80)*0.25,0)))</f>
        <v/>
      </c>
      <c r="J110" s="27" t="str">
        <f t="shared" si="34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73</v>
      </c>
      <c r="E111" s="31" t="str">
        <f t="shared" si="30"/>
        <v/>
      </c>
      <c r="F111" s="31" t="str">
        <f t="shared" si="31"/>
        <v/>
      </c>
      <c r="G111" s="31" t="str">
        <f t="shared" si="32"/>
        <v/>
      </c>
      <c r="H111" s="32" t="str">
        <f t="shared" si="33"/>
        <v/>
      </c>
      <c r="I111" s="32" t="str" cm="1">
        <f t="array" aca="1" ref="I111" ca="1">IF(E111="","",INDIRECT("AJ"&amp;ROUND((ROW()-80)*0.25,0)))</f>
        <v/>
      </c>
      <c r="J111" s="27" t="str">
        <f t="shared" si="34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74</v>
      </c>
      <c r="E112" s="31" t="str">
        <f t="shared" si="30"/>
        <v/>
      </c>
      <c r="F112" s="31" t="str">
        <f t="shared" si="31"/>
        <v/>
      </c>
      <c r="G112" s="31" t="str">
        <f t="shared" si="32"/>
        <v/>
      </c>
      <c r="H112" s="32" t="str">
        <f t="shared" si="33"/>
        <v/>
      </c>
      <c r="I112" s="32" t="str" cm="1">
        <f t="array" aca="1" ref="I112" ca="1">IF(E112="","",INDIRECT("AJ"&amp;ROUND((ROW()-80)*0.25,0)))</f>
        <v/>
      </c>
      <c r="J112" s="27" t="str">
        <f t="shared" si="34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75</v>
      </c>
      <c r="E113" s="31" t="str">
        <f t="shared" si="30"/>
        <v/>
      </c>
      <c r="F113" s="31" t="str">
        <f t="shared" si="31"/>
        <v/>
      </c>
      <c r="G113" s="31" t="str">
        <f t="shared" si="32"/>
        <v/>
      </c>
      <c r="H113" s="32" t="str">
        <f t="shared" si="33"/>
        <v/>
      </c>
      <c r="I113" s="32" t="str" cm="1">
        <f t="array" aca="1" ref="I113" ca="1">IF(E113="","",INDIRECT("AJ"&amp;ROUND((ROW()-80)*0.25,0)))</f>
        <v/>
      </c>
      <c r="J113" s="27" t="str">
        <f t="shared" si="34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3">
    <mergeCell ref="AH1:AK1"/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45</vt:i4>
      </vt:variant>
    </vt:vector>
  </HeadingPairs>
  <TitlesOfParts>
    <vt:vector size="46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2024-06-27T13:52:08Z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