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2.xml" ContentType="application/vnd.openxmlformats-officedocument.spreadsheetml.queryTable+xml"/>
  <Override PartName="/xl/tables/table9.xml" ContentType="application/vnd.openxmlformats-officedocument.spreadsheetml.table+xml"/>
  <Override PartName="/xl/queryTables/queryTable3.xml" ContentType="application/vnd.openxmlformats-officedocument.spreadsheetml.queryTable+xml"/>
  <Override PartName="/xl/tables/table10.xml" ContentType="application/vnd.openxmlformats-officedocument.spreadsheetml.table+xml"/>
  <Override PartName="/xl/queryTables/queryTable4.xml" ContentType="application/vnd.openxmlformats-officedocument.spreadsheetml.queryTable+xml"/>
  <Override PartName="/xl/tables/table11.xml" ContentType="application/vnd.openxmlformats-officedocument.spreadsheetml.table+xml"/>
  <Override PartName="/xl/queryTables/queryTable5.xml" ContentType="application/vnd.openxmlformats-officedocument.spreadsheetml.queryTable+xml"/>
  <Override PartName="/xl/tables/table12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wholesale_calculation\given_testing_the_tester\"/>
    </mc:Choice>
  </mc:AlternateContent>
  <xr:revisionPtr revIDLastSave="0" documentId="13_ncr:1_{0E988FB0-F750-49BC-B8F7-FEBBDD6C5496}" xr6:coauthVersionLast="47" xr6:coauthVersionMax="47" xr10:uidLastSave="{00000000-0000-0000-0000-000000000000}"/>
  <bookViews>
    <workbookView xWindow="-110" yWindow="-110" windowWidth="51420" windowHeight="21100" xr2:uid="{029705A5-E2D6-4928-9AB0-F32087606243}"/>
  </bookViews>
  <sheets>
    <sheet name="fee_per_co_es" sheetId="9" r:id="rId1"/>
    <sheet name="subscription_per_co_es" sheetId="10" r:id="rId2"/>
    <sheet name="hourly_tariff_per_co_es" sheetId="1" r:id="rId3"/>
    <sheet name="daily_tariff_per_co_es" sheetId="8" r:id="rId4"/>
    <sheet name="calculation_arguments" sheetId="16" r:id="rId5"/>
    <sheet name="metering_point_periods" sheetId="11" r:id="rId6"/>
    <sheet name="time_series_points" sheetId="12" r:id="rId7"/>
    <sheet name="charge_price_information_period" sheetId="13" r:id="rId8"/>
    <sheet name="charge_link_periods" sheetId="14" r:id="rId9"/>
    <sheet name="charge_price_points" sheetId="15" r:id="rId10"/>
  </sheets>
  <definedNames>
    <definedName name="CalculationExecutionTimeStart">'calculation_arguments'!$D$7</definedName>
    <definedName name="CalculationId">'calculation_arguments'!$D$3</definedName>
    <definedName name="CalculationType">'calculation_arguments'!$D$6</definedName>
    <definedName name="CurrentFilePath">'calculation_arguments'!$L$3</definedName>
    <definedName name="ExternalData_1" localSheetId="4" hidden="1">'calculation_arguments'!$A$1:$A$8</definedName>
    <definedName name="ExternalData_1" localSheetId="8" hidden="1">'charge_link_periods'!$A$1:$G$30</definedName>
    <definedName name="ExternalData_1" localSheetId="7" hidden="1">charge_price_information_period!$A$1:$G$15</definedName>
    <definedName name="ExternalData_1" localSheetId="5" hidden="1">metering_point_periods!$A$1:$M$16</definedName>
    <definedName name="ExternalData_2" localSheetId="9" hidden="1">'charge_price_points'!$A$1:$E$20</definedName>
    <definedName name="ExternalData_2" localSheetId="6" hidden="1">time_series_points!$A$1:$D$17</definedName>
    <definedName name="PeriodEnd">'calculation_arguments'!$D$5</definedName>
    <definedName name="PeriodStart">'calculation_arguments'!$D$4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8" l="1" a="1"/>
  <c r="O8" i="8" s="1"/>
  <c r="F2" i="15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G2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H2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I2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J2" i="14"/>
  <c r="J3" i="14"/>
  <c r="J4" i="14"/>
  <c r="J5" i="14"/>
  <c r="J6" i="14"/>
  <c r="J7" i="14"/>
  <c r="P7" i="14" s="1"/>
  <c r="J8" i="14"/>
  <c r="J9" i="14"/>
  <c r="J10" i="14"/>
  <c r="J11" i="14"/>
  <c r="J12" i="14"/>
  <c r="J13" i="14"/>
  <c r="P13" i="14" s="1"/>
  <c r="J14" i="14"/>
  <c r="P14" i="14" s="1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P27" i="14" s="1"/>
  <c r="J28" i="14"/>
  <c r="J29" i="14"/>
  <c r="J30" i="14"/>
  <c r="K2" i="14"/>
  <c r="K3" i="14"/>
  <c r="K4" i="14"/>
  <c r="K5" i="14"/>
  <c r="P5" i="14" s="1"/>
  <c r="K6" i="14"/>
  <c r="K7" i="14"/>
  <c r="K8" i="14"/>
  <c r="K9" i="14"/>
  <c r="K10" i="14"/>
  <c r="K11" i="14"/>
  <c r="K12" i="14"/>
  <c r="P12" i="14" s="1"/>
  <c r="K13" i="14"/>
  <c r="K14" i="14"/>
  <c r="K15" i="14"/>
  <c r="K16" i="14"/>
  <c r="K17" i="14"/>
  <c r="P17" i="14" s="1"/>
  <c r="K18" i="14"/>
  <c r="P18" i="14" s="1"/>
  <c r="K19" i="14"/>
  <c r="K20" i="14"/>
  <c r="P20" i="14" s="1"/>
  <c r="K21" i="14"/>
  <c r="K22" i="14"/>
  <c r="K23" i="14"/>
  <c r="K24" i="14"/>
  <c r="K25" i="14"/>
  <c r="P25" i="14" s="1"/>
  <c r="K26" i="14"/>
  <c r="K27" i="14"/>
  <c r="K28" i="14"/>
  <c r="K29" i="14"/>
  <c r="K30" i="14"/>
  <c r="L2" i="14"/>
  <c r="L3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M2" i="14"/>
  <c r="M3" i="14"/>
  <c r="M4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N2" i="14"/>
  <c r="N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O2" i="14"/>
  <c r="O3" i="14"/>
  <c r="P3" i="14" s="1"/>
  <c r="O4" i="14"/>
  <c r="O5" i="14"/>
  <c r="O6" i="14"/>
  <c r="P6" i="14" s="1"/>
  <c r="O7" i="14"/>
  <c r="O8" i="14"/>
  <c r="O9" i="14"/>
  <c r="O10" i="14"/>
  <c r="O11" i="14"/>
  <c r="O12" i="14"/>
  <c r="O13" i="14"/>
  <c r="O14" i="14"/>
  <c r="O15" i="14"/>
  <c r="P15" i="14" s="1"/>
  <c r="O16" i="14"/>
  <c r="O17" i="14"/>
  <c r="O18" i="14"/>
  <c r="O19" i="14"/>
  <c r="O20" i="14"/>
  <c r="O21" i="14"/>
  <c r="O22" i="14"/>
  <c r="O23" i="14"/>
  <c r="P23" i="14" s="1"/>
  <c r="O24" i="14"/>
  <c r="O25" i="14"/>
  <c r="O26" i="14"/>
  <c r="P26" i="14" s="1"/>
  <c r="O27" i="14"/>
  <c r="O28" i="14"/>
  <c r="O29" i="14"/>
  <c r="O30" i="14"/>
  <c r="P19" i="14"/>
  <c r="E2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F2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G2" i="12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H2" i="12"/>
  <c r="H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I2" i="12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J2" i="12"/>
  <c r="K2" i="12" s="1"/>
  <c r="J3" i="12"/>
  <c r="K3" i="12" s="1"/>
  <c r="J4" i="12"/>
  <c r="K4" i="12" s="1"/>
  <c r="J5" i="12"/>
  <c r="K5" i="12" s="1"/>
  <c r="J6" i="12"/>
  <c r="K6" i="12" s="1"/>
  <c r="J7" i="12"/>
  <c r="J8" i="12"/>
  <c r="J9" i="12"/>
  <c r="K9" i="12" s="1"/>
  <c r="J10" i="12"/>
  <c r="J11" i="12"/>
  <c r="J12" i="12"/>
  <c r="J13" i="12"/>
  <c r="K13" i="12" s="1"/>
  <c r="J14" i="12"/>
  <c r="K14" i="12" s="1"/>
  <c r="J15" i="12"/>
  <c r="K15" i="12" s="1"/>
  <c r="J16" i="12"/>
  <c r="K16" i="12" s="1"/>
  <c r="J17" i="12"/>
  <c r="K17" i="12" s="1"/>
  <c r="K7" i="12"/>
  <c r="K8" i="12"/>
  <c r="K10" i="12"/>
  <c r="K11" i="12"/>
  <c r="K12" i="12"/>
  <c r="L2" i="12"/>
  <c r="L3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N2" i="11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L3" i="16" a="1"/>
  <c r="L3" i="16" s="1"/>
  <c r="D3" i="16"/>
  <c r="D7" i="16"/>
  <c r="D6" i="16"/>
  <c r="D5" i="16"/>
  <c r="D4" i="16"/>
  <c r="J4" i="16" s="1"/>
  <c r="D2" i="16" a="1"/>
  <c r="D2" i="16" s="1"/>
  <c r="P22" i="14" l="1"/>
  <c r="P21" i="14"/>
  <c r="P16" i="14"/>
  <c r="P2" i="14"/>
  <c r="P11" i="14"/>
  <c r="P9" i="14"/>
  <c r="P30" i="14"/>
  <c r="P10" i="14"/>
  <c r="P28" i="14"/>
  <c r="P8" i="14"/>
  <c r="P29" i="14"/>
  <c r="P24" i="14"/>
  <c r="P4" i="14"/>
  <c r="H68" i="16"/>
  <c r="G68" i="16" s="1"/>
  <c r="H240" i="16"/>
  <c r="H17" i="16"/>
  <c r="K19" i="1" s="1"/>
  <c r="H37" i="16"/>
  <c r="K39" i="1" s="1"/>
  <c r="H231" i="16"/>
  <c r="H200" i="16"/>
  <c r="G200" i="16" s="1"/>
  <c r="H164" i="16"/>
  <c r="G164" i="16" s="1"/>
  <c r="H126" i="16"/>
  <c r="G126" i="16" s="1"/>
  <c r="H88" i="16"/>
  <c r="G88" i="16" s="1"/>
  <c r="H166" i="16"/>
  <c r="G166" i="16" s="1"/>
  <c r="H35" i="16"/>
  <c r="K37" i="1" s="1"/>
  <c r="H203" i="16"/>
  <c r="G203" i="16" s="1"/>
  <c r="H34" i="16"/>
  <c r="K36" i="1" s="1"/>
  <c r="D36" i="1" s="1"/>
  <c r="H204" i="16"/>
  <c r="G204" i="16" s="1"/>
  <c r="H18" i="16"/>
  <c r="K20" i="1" s="1"/>
  <c r="H163" i="16"/>
  <c r="G163" i="16" s="1"/>
  <c r="H191" i="16"/>
  <c r="G191" i="16" s="1"/>
  <c r="H14" i="16"/>
  <c r="K16" i="1" s="1"/>
  <c r="H13" i="16"/>
  <c r="K15" i="1" s="1"/>
  <c r="H33" i="16"/>
  <c r="K35" i="1" s="1"/>
  <c r="H227" i="16"/>
  <c r="H189" i="16"/>
  <c r="G189" i="16" s="1"/>
  <c r="H151" i="16"/>
  <c r="G151" i="16" s="1"/>
  <c r="H120" i="16"/>
  <c r="G120" i="16" s="1"/>
  <c r="H84" i="16"/>
  <c r="G84" i="16" s="1"/>
  <c r="H128" i="16"/>
  <c r="G128" i="16" s="1"/>
  <c r="H38" i="16"/>
  <c r="K40" i="1" s="1"/>
  <c r="H16" i="16"/>
  <c r="K18" i="1" s="1"/>
  <c r="H160" i="16"/>
  <c r="G160" i="16" s="1"/>
  <c r="H228" i="16"/>
  <c r="H83" i="16"/>
  <c r="G83" i="16" s="1"/>
  <c r="H90" i="16"/>
  <c r="G90" i="16" s="1"/>
  <c r="H232" i="16"/>
  <c r="H87" i="16"/>
  <c r="G87" i="16" s="1"/>
  <c r="H15" i="16"/>
  <c r="K17" i="1" s="1"/>
  <c r="B17" i="1" s="1"/>
  <c r="H85" i="16"/>
  <c r="G85" i="16" s="1"/>
  <c r="H10" i="16"/>
  <c r="G10" i="16" s="1"/>
  <c r="H226" i="16"/>
  <c r="H60" i="16"/>
  <c r="K62" i="1" s="1"/>
  <c r="H31" i="16"/>
  <c r="G31" i="16" s="1"/>
  <c r="H225" i="16"/>
  <c r="H187" i="16"/>
  <c r="G187" i="16" s="1"/>
  <c r="H149" i="16"/>
  <c r="G149" i="16" s="1"/>
  <c r="H111" i="16"/>
  <c r="G111" i="16" s="1"/>
  <c r="H80" i="16"/>
  <c r="K82" i="1" s="1"/>
  <c r="O82" i="1" s="1" a="1"/>
  <c r="O82" i="1" s="1"/>
  <c r="H165" i="16"/>
  <c r="G165" i="16" s="1"/>
  <c r="H124" i="16"/>
  <c r="G124" i="16" s="1"/>
  <c r="H190" i="16"/>
  <c r="G190" i="16" s="1"/>
  <c r="H150" i="16"/>
  <c r="G150" i="16" s="1"/>
  <c r="H59" i="16"/>
  <c r="K61" i="1" s="1"/>
  <c r="D61" i="1" s="1"/>
  <c r="H28" i="16"/>
  <c r="G28" i="16" s="1"/>
  <c r="H224" i="16"/>
  <c r="H186" i="16"/>
  <c r="G186" i="16" s="1"/>
  <c r="H148" i="16"/>
  <c r="G148" i="16" s="1"/>
  <c r="H110" i="16"/>
  <c r="G110" i="16" s="1"/>
  <c r="H72" i="16"/>
  <c r="G72" i="16" s="1"/>
  <c r="H19" i="16"/>
  <c r="K21" i="1" s="1"/>
  <c r="H127" i="16"/>
  <c r="G127" i="16" s="1"/>
  <c r="H230" i="16"/>
  <c r="H86" i="16"/>
  <c r="G86" i="16" s="1"/>
  <c r="H152" i="16"/>
  <c r="G152" i="16" s="1"/>
  <c r="H112" i="16"/>
  <c r="G112" i="16" s="1"/>
  <c r="H58" i="16"/>
  <c r="K60" i="1" s="1"/>
  <c r="H223" i="16"/>
  <c r="H185" i="16"/>
  <c r="G185" i="16" s="1"/>
  <c r="H147" i="16"/>
  <c r="G147" i="16" s="1"/>
  <c r="H109" i="16"/>
  <c r="G109" i="16" s="1"/>
  <c r="H71" i="16"/>
  <c r="G71" i="16" s="1"/>
  <c r="H89" i="16"/>
  <c r="K91" i="1" s="1"/>
  <c r="O91" i="1" s="1" a="1"/>
  <c r="O91" i="1" s="1"/>
  <c r="H125" i="16"/>
  <c r="G125" i="16" s="1"/>
  <c r="H229" i="16"/>
  <c r="H123" i="16"/>
  <c r="G123" i="16" s="1"/>
  <c r="H32" i="16"/>
  <c r="G32" i="16" s="1"/>
  <c r="H188" i="16"/>
  <c r="G188" i="16" s="1"/>
  <c r="H20" i="16"/>
  <c r="K22" i="1" s="1"/>
  <c r="B22" i="1" s="1"/>
  <c r="H57" i="16"/>
  <c r="K59" i="1" s="1"/>
  <c r="H251" i="16"/>
  <c r="H220" i="16"/>
  <c r="H184" i="16"/>
  <c r="G184" i="16" s="1"/>
  <c r="H146" i="16"/>
  <c r="G146" i="16" s="1"/>
  <c r="H108" i="16"/>
  <c r="G108" i="16" s="1"/>
  <c r="H70" i="16"/>
  <c r="G70" i="16" s="1"/>
  <c r="H56" i="16"/>
  <c r="K58" i="1" s="1"/>
  <c r="H250" i="16"/>
  <c r="H212" i="16"/>
  <c r="G212" i="16" s="1"/>
  <c r="H183" i="16"/>
  <c r="G183" i="16" s="1"/>
  <c r="H145" i="16"/>
  <c r="G145" i="16" s="1"/>
  <c r="H107" i="16"/>
  <c r="G107" i="16" s="1"/>
  <c r="H69" i="16"/>
  <c r="K71" i="1" s="1"/>
  <c r="H55" i="16"/>
  <c r="K57" i="1" s="1"/>
  <c r="C57" i="1" s="1"/>
  <c r="H249" i="16"/>
  <c r="H211" i="16"/>
  <c r="G211" i="16" s="1"/>
  <c r="H180" i="16"/>
  <c r="G180" i="16" s="1"/>
  <c r="H144" i="16"/>
  <c r="G144" i="16" s="1"/>
  <c r="H106" i="16"/>
  <c r="G106" i="16" s="1"/>
  <c r="H73" i="16"/>
  <c r="K75" i="1" s="1"/>
  <c r="H54" i="16"/>
  <c r="K56" i="1" s="1"/>
  <c r="H248" i="16"/>
  <c r="H210" i="16"/>
  <c r="G210" i="16" s="1"/>
  <c r="H172" i="16"/>
  <c r="G172" i="16" s="1"/>
  <c r="H143" i="16"/>
  <c r="G143" i="16" s="1"/>
  <c r="H105" i="16"/>
  <c r="G105" i="16" s="1"/>
  <c r="H67" i="16"/>
  <c r="G67" i="16" s="1"/>
  <c r="H53" i="16"/>
  <c r="K55" i="1" s="1"/>
  <c r="H247" i="16"/>
  <c r="H209" i="16"/>
  <c r="G209" i="16" s="1"/>
  <c r="H171" i="16"/>
  <c r="G171" i="16" s="1"/>
  <c r="H140" i="16"/>
  <c r="G140" i="16" s="1"/>
  <c r="H104" i="16"/>
  <c r="G104" i="16" s="1"/>
  <c r="H66" i="16"/>
  <c r="G66" i="16" s="1"/>
  <c r="H52" i="16"/>
  <c r="G52" i="16" s="1"/>
  <c r="H246" i="16"/>
  <c r="H208" i="16"/>
  <c r="G208" i="16" s="1"/>
  <c r="H170" i="16"/>
  <c r="G170" i="16" s="1"/>
  <c r="H132" i="16"/>
  <c r="G132" i="16" s="1"/>
  <c r="H103" i="16"/>
  <c r="G103" i="16" s="1"/>
  <c r="H65" i="16"/>
  <c r="G65" i="16" s="1"/>
  <c r="H51" i="16"/>
  <c r="G51" i="16" s="1"/>
  <c r="H245" i="16"/>
  <c r="H207" i="16"/>
  <c r="G207" i="16" s="1"/>
  <c r="H169" i="16"/>
  <c r="G169" i="16" s="1"/>
  <c r="H131" i="16"/>
  <c r="G131" i="16" s="1"/>
  <c r="H100" i="16"/>
  <c r="G100" i="16" s="1"/>
  <c r="H64" i="16"/>
  <c r="G64" i="16" s="1"/>
  <c r="H36" i="16"/>
  <c r="K38" i="1" s="1"/>
  <c r="H48" i="16"/>
  <c r="G48" i="16" s="1"/>
  <c r="H244" i="16"/>
  <c r="H206" i="16"/>
  <c r="G206" i="16" s="1"/>
  <c r="H168" i="16"/>
  <c r="G168" i="16" s="1"/>
  <c r="H130" i="16"/>
  <c r="G130" i="16" s="1"/>
  <c r="H63" i="16"/>
  <c r="G63" i="16" s="1"/>
  <c r="H39" i="16"/>
  <c r="K41" i="1" s="1"/>
  <c r="H192" i="16"/>
  <c r="G192" i="16" s="1"/>
  <c r="H3" i="16"/>
  <c r="H92" i="16"/>
  <c r="G92" i="16" s="1"/>
  <c r="H4" i="16"/>
  <c r="G4" i="16" s="1"/>
  <c r="H40" i="16"/>
  <c r="K42" i="1" s="1"/>
  <c r="H243" i="16"/>
  <c r="H205" i="16"/>
  <c r="G205" i="16" s="1"/>
  <c r="H167" i="16"/>
  <c r="G167" i="16" s="1"/>
  <c r="H129" i="16"/>
  <c r="G129" i="16" s="1"/>
  <c r="H91" i="16"/>
  <c r="G91" i="16" s="1"/>
  <c r="J5" i="16"/>
  <c r="K6" i="10" s="1"/>
  <c r="K5" i="10"/>
  <c r="S5" i="10" s="1"/>
  <c r="K5" i="8"/>
  <c r="B5" i="8" s="1"/>
  <c r="H12" i="16"/>
  <c r="G12" i="16" s="1"/>
  <c r="H50" i="16"/>
  <c r="G50" i="16" s="1"/>
  <c r="H30" i="16"/>
  <c r="G30" i="16" s="1"/>
  <c r="H242" i="16"/>
  <c r="H222" i="16"/>
  <c r="H202" i="16"/>
  <c r="G202" i="16" s="1"/>
  <c r="H182" i="16"/>
  <c r="G182" i="16" s="1"/>
  <c r="H162" i="16"/>
  <c r="G162" i="16" s="1"/>
  <c r="H142" i="16"/>
  <c r="G142" i="16" s="1"/>
  <c r="H122" i="16"/>
  <c r="G122" i="16" s="1"/>
  <c r="H102" i="16"/>
  <c r="G102" i="16" s="1"/>
  <c r="H82" i="16"/>
  <c r="K84" i="1" s="1"/>
  <c r="O84" i="1" s="1" a="1"/>
  <c r="O84" i="1" s="1"/>
  <c r="H11" i="16"/>
  <c r="G11" i="16" s="1"/>
  <c r="H49" i="16"/>
  <c r="G49" i="16" s="1"/>
  <c r="H29" i="16"/>
  <c r="G29" i="16" s="1"/>
  <c r="H241" i="16"/>
  <c r="H221" i="16"/>
  <c r="H201" i="16"/>
  <c r="G201" i="16" s="1"/>
  <c r="H181" i="16"/>
  <c r="G181" i="16" s="1"/>
  <c r="H161" i="16"/>
  <c r="G161" i="16" s="1"/>
  <c r="H141" i="16"/>
  <c r="G141" i="16" s="1"/>
  <c r="H121" i="16"/>
  <c r="G121" i="16" s="1"/>
  <c r="H101" i="16"/>
  <c r="G101" i="16" s="1"/>
  <c r="H81" i="16"/>
  <c r="H9" i="16"/>
  <c r="G9" i="16" s="1"/>
  <c r="H47" i="16"/>
  <c r="G47" i="16" s="1"/>
  <c r="H27" i="16"/>
  <c r="G27" i="16" s="1"/>
  <c r="H239" i="16"/>
  <c r="H219" i="16"/>
  <c r="G219" i="16" s="1"/>
  <c r="H199" i="16"/>
  <c r="G199" i="16" s="1"/>
  <c r="H179" i="16"/>
  <c r="G179" i="16" s="1"/>
  <c r="H159" i="16"/>
  <c r="G159" i="16" s="1"/>
  <c r="H139" i="16"/>
  <c r="G139" i="16" s="1"/>
  <c r="H119" i="16"/>
  <c r="G119" i="16" s="1"/>
  <c r="H99" i="16"/>
  <c r="G99" i="16" s="1"/>
  <c r="H79" i="16"/>
  <c r="J7" i="16"/>
  <c r="K8" i="10" s="1"/>
  <c r="C8" i="10" s="1"/>
  <c r="H8" i="16"/>
  <c r="G8" i="16" s="1"/>
  <c r="H46" i="16"/>
  <c r="G46" i="16" s="1"/>
  <c r="H26" i="16"/>
  <c r="G26" i="16" s="1"/>
  <c r="H238" i="16"/>
  <c r="H218" i="16"/>
  <c r="G218" i="16" s="1"/>
  <c r="H198" i="16"/>
  <c r="G198" i="16" s="1"/>
  <c r="H178" i="16"/>
  <c r="G178" i="16" s="1"/>
  <c r="H158" i="16"/>
  <c r="G158" i="16" s="1"/>
  <c r="H138" i="16"/>
  <c r="G138" i="16" s="1"/>
  <c r="H118" i="16"/>
  <c r="G118" i="16" s="1"/>
  <c r="H98" i="16"/>
  <c r="K100" i="1" s="1"/>
  <c r="O100" i="1" s="1" a="1"/>
  <c r="O100" i="1" s="1"/>
  <c r="H78" i="16"/>
  <c r="K80" i="1" s="1"/>
  <c r="O80" i="1" s="1" a="1"/>
  <c r="O80" i="1" s="1"/>
  <c r="J6" i="16"/>
  <c r="K7" i="10" s="1"/>
  <c r="C7" i="10" s="1"/>
  <c r="H6" i="16"/>
  <c r="G6" i="16" s="1"/>
  <c r="H44" i="16"/>
  <c r="G44" i="16" s="1"/>
  <c r="H24" i="16"/>
  <c r="G24" i="16" s="1"/>
  <c r="H236" i="16"/>
  <c r="H216" i="16"/>
  <c r="G216" i="16" s="1"/>
  <c r="H196" i="16"/>
  <c r="G196" i="16" s="1"/>
  <c r="H176" i="16"/>
  <c r="G176" i="16" s="1"/>
  <c r="H156" i="16"/>
  <c r="G156" i="16" s="1"/>
  <c r="H136" i="16"/>
  <c r="G136" i="16" s="1"/>
  <c r="H116" i="16"/>
  <c r="G116" i="16" s="1"/>
  <c r="H96" i="16"/>
  <c r="K98" i="1" s="1"/>
  <c r="O98" i="1" s="1" a="1"/>
  <c r="O98" i="1" s="1"/>
  <c r="H76" i="16"/>
  <c r="K78" i="1" s="1"/>
  <c r="D78" i="1" s="1"/>
  <c r="H5" i="16"/>
  <c r="G5" i="16" s="1"/>
  <c r="H43" i="16"/>
  <c r="G43" i="16" s="1"/>
  <c r="H23" i="16"/>
  <c r="G23" i="16" s="1"/>
  <c r="H235" i="16"/>
  <c r="H215" i="16"/>
  <c r="G215" i="16" s="1"/>
  <c r="H195" i="16"/>
  <c r="G195" i="16" s="1"/>
  <c r="H175" i="16"/>
  <c r="G175" i="16" s="1"/>
  <c r="H155" i="16"/>
  <c r="G155" i="16" s="1"/>
  <c r="H135" i="16"/>
  <c r="G135" i="16" s="1"/>
  <c r="H115" i="16"/>
  <c r="G115" i="16" s="1"/>
  <c r="H95" i="16"/>
  <c r="K97" i="1" s="1"/>
  <c r="O97" i="1" s="1" a="1"/>
  <c r="O97" i="1" s="1"/>
  <c r="H75" i="16"/>
  <c r="K77" i="1" s="1"/>
  <c r="O77" i="1" s="1" a="1"/>
  <c r="O77" i="1" s="1"/>
  <c r="H7" i="16"/>
  <c r="G7" i="16" s="1"/>
  <c r="H45" i="16"/>
  <c r="G45" i="16" s="1"/>
  <c r="H25" i="16"/>
  <c r="G25" i="16" s="1"/>
  <c r="H237" i="16"/>
  <c r="H217" i="16"/>
  <c r="G217" i="16" s="1"/>
  <c r="H197" i="16"/>
  <c r="G197" i="16" s="1"/>
  <c r="H177" i="16"/>
  <c r="G177" i="16" s="1"/>
  <c r="H157" i="16"/>
  <c r="G157" i="16" s="1"/>
  <c r="H137" i="16"/>
  <c r="G137" i="16" s="1"/>
  <c r="H117" i="16"/>
  <c r="G117" i="16" s="1"/>
  <c r="H97" i="16"/>
  <c r="H77" i="16"/>
  <c r="H62" i="16"/>
  <c r="K64" i="1" s="1"/>
  <c r="H42" i="16"/>
  <c r="K44" i="1" s="1"/>
  <c r="H22" i="16"/>
  <c r="K24" i="1" s="1"/>
  <c r="H234" i="16"/>
  <c r="H214" i="16"/>
  <c r="G214" i="16" s="1"/>
  <c r="H194" i="16"/>
  <c r="G194" i="16" s="1"/>
  <c r="H174" i="16"/>
  <c r="G174" i="16" s="1"/>
  <c r="H154" i="16"/>
  <c r="G154" i="16" s="1"/>
  <c r="H134" i="16"/>
  <c r="G134" i="16" s="1"/>
  <c r="H114" i="16"/>
  <c r="G114" i="16" s="1"/>
  <c r="H94" i="16"/>
  <c r="K96" i="1" s="1"/>
  <c r="O96" i="1" s="1" a="1"/>
  <c r="O96" i="1" s="1"/>
  <c r="H74" i="16"/>
  <c r="K76" i="1" s="1"/>
  <c r="H61" i="16"/>
  <c r="K63" i="1" s="1"/>
  <c r="H41" i="16"/>
  <c r="K43" i="1" s="1"/>
  <c r="H21" i="16"/>
  <c r="H233" i="16"/>
  <c r="H213" i="16"/>
  <c r="G213" i="16" s="1"/>
  <c r="H193" i="16"/>
  <c r="G193" i="16" s="1"/>
  <c r="H173" i="16"/>
  <c r="G173" i="16" s="1"/>
  <c r="H153" i="16"/>
  <c r="G153" i="16" s="1"/>
  <c r="H133" i="16"/>
  <c r="G133" i="16" s="1"/>
  <c r="H113" i="16"/>
  <c r="G113" i="16" s="1"/>
  <c r="H93" i="16"/>
  <c r="K95" i="1" s="1"/>
  <c r="O95" i="1" s="1" a="1"/>
  <c r="O95" i="1" s="1"/>
  <c r="G59" i="16"/>
  <c r="D40" i="1"/>
  <c r="C40" i="1"/>
  <c r="B40" i="1"/>
  <c r="D20" i="1"/>
  <c r="C20" i="1"/>
  <c r="B20" i="1"/>
  <c r="C18" i="1"/>
  <c r="D17" i="1"/>
  <c r="B57" i="1"/>
  <c r="C78" i="1"/>
  <c r="G80" i="16"/>
  <c r="K52" i="1"/>
  <c r="K32" i="1"/>
  <c r="G38" i="16"/>
  <c r="G18" i="16"/>
  <c r="G76" i="16"/>
  <c r="K68" i="1"/>
  <c r="G55" i="16"/>
  <c r="G15" i="16"/>
  <c r="K85" i="1"/>
  <c r="O85" i="1" s="1" a="1"/>
  <c r="O85" i="1" s="1"/>
  <c r="J95" i="1"/>
  <c r="C3" i="10" a="1"/>
  <c r="C3" i="10" s="1"/>
  <c r="C3" i="9" a="1"/>
  <c r="C3" i="9" s="1"/>
  <c r="C3" i="8" a="1"/>
  <c r="K34" i="1" l="1"/>
  <c r="C36" i="1"/>
  <c r="B36" i="1"/>
  <c r="B100" i="1"/>
  <c r="G34" i="16"/>
  <c r="G20" i="16"/>
  <c r="C22" i="1"/>
  <c r="K94" i="1"/>
  <c r="O94" i="1" s="1" a="1"/>
  <c r="O94" i="1" s="1"/>
  <c r="D22" i="1"/>
  <c r="Q7" i="10"/>
  <c r="B7" i="10"/>
  <c r="D7" i="10"/>
  <c r="K7" i="8"/>
  <c r="C7" i="8" s="1"/>
  <c r="J78" i="1"/>
  <c r="O78" i="1" a="1"/>
  <c r="O78" i="1" s="1"/>
  <c r="D39" i="1"/>
  <c r="C76" i="1"/>
  <c r="C60" i="1"/>
  <c r="Q96" i="1"/>
  <c r="D15" i="1"/>
  <c r="B43" i="1"/>
  <c r="D82" i="1"/>
  <c r="C63" i="1"/>
  <c r="C19" i="1"/>
  <c r="C61" i="1"/>
  <c r="B61" i="1"/>
  <c r="J97" i="1"/>
  <c r="C16" i="1"/>
  <c r="D52" i="1"/>
  <c r="B58" i="1"/>
  <c r="D77" i="1"/>
  <c r="D57" i="1"/>
  <c r="H84" i="1"/>
  <c r="D42" i="1"/>
  <c r="C56" i="1"/>
  <c r="C21" i="1"/>
  <c r="J98" i="1"/>
  <c r="H95" i="1"/>
  <c r="D24" i="1"/>
  <c r="D80" i="1"/>
  <c r="D75" i="1"/>
  <c r="C59" i="1"/>
  <c r="C17" i="1"/>
  <c r="D44" i="1"/>
  <c r="D100" i="1"/>
  <c r="C41" i="1"/>
  <c r="D37" i="1"/>
  <c r="C71" i="1"/>
  <c r="H91" i="1"/>
  <c r="C37" i="1"/>
  <c r="B18" i="1"/>
  <c r="C32" i="1"/>
  <c r="Q78" i="1"/>
  <c r="K6" i="1"/>
  <c r="U6" i="1" s="1"/>
  <c r="B37" i="1"/>
  <c r="K54" i="1"/>
  <c r="C54" i="1" s="1"/>
  <c r="K65" i="1"/>
  <c r="J82" i="1"/>
  <c r="G35" i="16"/>
  <c r="B82" i="1"/>
  <c r="K49" i="1"/>
  <c r="C49" i="1" s="1"/>
  <c r="K30" i="1"/>
  <c r="I30" i="1" s="1"/>
  <c r="S7" i="10"/>
  <c r="B78" i="1"/>
  <c r="H78" i="1"/>
  <c r="K6" i="8"/>
  <c r="C6" i="8" s="1"/>
  <c r="C91" i="1"/>
  <c r="Q91" i="1"/>
  <c r="K73" i="1"/>
  <c r="K93" i="1"/>
  <c r="O93" i="1" s="1" a="1"/>
  <c r="O93" i="1" s="1"/>
  <c r="D18" i="1"/>
  <c r="B91" i="1"/>
  <c r="G56" i="16"/>
  <c r="J91" i="1"/>
  <c r="G69" i="16"/>
  <c r="G89" i="16"/>
  <c r="D71" i="1"/>
  <c r="G16" i="16"/>
  <c r="D91" i="1"/>
  <c r="K90" i="1"/>
  <c r="O90" i="1" s="1" a="1"/>
  <c r="O90" i="1" s="1"/>
  <c r="B71" i="1"/>
  <c r="G54" i="16"/>
  <c r="C75" i="1"/>
  <c r="K87" i="1"/>
  <c r="O87" i="1" s="1" a="1"/>
  <c r="O87" i="1" s="1"/>
  <c r="G40" i="16"/>
  <c r="B56" i="1"/>
  <c r="C52" i="1"/>
  <c r="G3" i="16"/>
  <c r="B75" i="1"/>
  <c r="D56" i="1"/>
  <c r="K74" i="1"/>
  <c r="D59" i="1"/>
  <c r="K8" i="1"/>
  <c r="D21" i="1"/>
  <c r="B59" i="1"/>
  <c r="B21" i="1"/>
  <c r="G57" i="16"/>
  <c r="G19" i="16"/>
  <c r="G73" i="16"/>
  <c r="K12" i="1"/>
  <c r="G96" i="16"/>
  <c r="G17" i="16"/>
  <c r="Q82" i="1"/>
  <c r="K66" i="1"/>
  <c r="K50" i="1"/>
  <c r="D19" i="1"/>
  <c r="B60" i="1"/>
  <c r="H98" i="1"/>
  <c r="B19" i="1"/>
  <c r="K67" i="1"/>
  <c r="C67" i="1" s="1"/>
  <c r="D60" i="1"/>
  <c r="D98" i="1"/>
  <c r="K86" i="1"/>
  <c r="O86" i="1" s="1" a="1"/>
  <c r="O86" i="1" s="1"/>
  <c r="K70" i="1"/>
  <c r="G58" i="16"/>
  <c r="B42" i="1"/>
  <c r="Q98" i="1"/>
  <c r="K69" i="1"/>
  <c r="C42" i="1"/>
  <c r="C82" i="1"/>
  <c r="H82" i="1"/>
  <c r="B39" i="1"/>
  <c r="C98" i="1"/>
  <c r="B84" i="1"/>
  <c r="D58" i="1"/>
  <c r="K14" i="1"/>
  <c r="C39" i="1"/>
  <c r="K72" i="1"/>
  <c r="C58" i="1"/>
  <c r="G93" i="16"/>
  <c r="K89" i="1"/>
  <c r="O89" i="1" s="1" a="1"/>
  <c r="O89" i="1" s="1"/>
  <c r="Q80" i="1"/>
  <c r="B80" i="1"/>
  <c r="C24" i="1"/>
  <c r="K33" i="1"/>
  <c r="J80" i="1"/>
  <c r="C80" i="1"/>
  <c r="H80" i="1"/>
  <c r="B77" i="1"/>
  <c r="D95" i="1"/>
  <c r="D35" i="1"/>
  <c r="C35" i="1"/>
  <c r="C95" i="1"/>
  <c r="G33" i="16"/>
  <c r="K51" i="1"/>
  <c r="B35" i="1"/>
  <c r="G78" i="16"/>
  <c r="B24" i="1"/>
  <c r="B95" i="1"/>
  <c r="K88" i="1"/>
  <c r="O88" i="1" s="1" a="1"/>
  <c r="O88" i="1" s="1"/>
  <c r="K5" i="1"/>
  <c r="C38" i="1"/>
  <c r="B38" i="1"/>
  <c r="G75" i="16"/>
  <c r="C44" i="1"/>
  <c r="C64" i="1"/>
  <c r="K28" i="1"/>
  <c r="G42" i="16"/>
  <c r="J96" i="1"/>
  <c r="D38" i="1"/>
  <c r="Q77" i="1"/>
  <c r="L5" i="8"/>
  <c r="J77" i="1"/>
  <c r="D64" i="1"/>
  <c r="D41" i="1"/>
  <c r="K92" i="1"/>
  <c r="O92" i="1" s="1" a="1"/>
  <c r="O92" i="1" s="1"/>
  <c r="B64" i="1"/>
  <c r="G36" i="16"/>
  <c r="B41" i="1"/>
  <c r="K29" i="1"/>
  <c r="H77" i="1"/>
  <c r="C5" i="8"/>
  <c r="D5" i="8"/>
  <c r="G94" i="16"/>
  <c r="H100" i="1"/>
  <c r="K27" i="1"/>
  <c r="J100" i="1"/>
  <c r="G74" i="16"/>
  <c r="Q5" i="8"/>
  <c r="C100" i="1"/>
  <c r="C55" i="1"/>
  <c r="G37" i="16"/>
  <c r="B98" i="1"/>
  <c r="K25" i="1"/>
  <c r="K10" i="1"/>
  <c r="C43" i="1"/>
  <c r="C77" i="1"/>
  <c r="K45" i="1"/>
  <c r="B44" i="1"/>
  <c r="D55" i="1"/>
  <c r="G53" i="16"/>
  <c r="K48" i="1"/>
  <c r="B55" i="1"/>
  <c r="K7" i="1"/>
  <c r="D90" i="1"/>
  <c r="B97" i="1"/>
  <c r="C34" i="1"/>
  <c r="D62" i="1"/>
  <c r="G82" i="16"/>
  <c r="C84" i="1"/>
  <c r="C15" i="1"/>
  <c r="D97" i="1"/>
  <c r="K31" i="1"/>
  <c r="G13" i="16"/>
  <c r="D34" i="1"/>
  <c r="G60" i="16"/>
  <c r="D63" i="1"/>
  <c r="B63" i="1"/>
  <c r="B15" i="1"/>
  <c r="K26" i="1"/>
  <c r="K13" i="1"/>
  <c r="K46" i="1"/>
  <c r="D16" i="1"/>
  <c r="G39" i="16"/>
  <c r="K53" i="1"/>
  <c r="B62" i="1"/>
  <c r="Q84" i="1"/>
  <c r="B16" i="1"/>
  <c r="Q97" i="1"/>
  <c r="J84" i="1"/>
  <c r="B54" i="1"/>
  <c r="G14" i="16"/>
  <c r="C62" i="1"/>
  <c r="D84" i="1"/>
  <c r="K11" i="1"/>
  <c r="D43" i="1"/>
  <c r="U8" i="10"/>
  <c r="K9" i="1"/>
  <c r="G98" i="16"/>
  <c r="G22" i="16"/>
  <c r="H97" i="1"/>
  <c r="D96" i="1"/>
  <c r="Q100" i="1"/>
  <c r="O8" i="10"/>
  <c r="C96" i="1"/>
  <c r="D76" i="1"/>
  <c r="K81" i="1"/>
  <c r="O81" i="1" s="1" a="1"/>
  <c r="O81" i="1" s="1"/>
  <c r="G79" i="16"/>
  <c r="G41" i="16"/>
  <c r="B96" i="1"/>
  <c r="Q95" i="1"/>
  <c r="G61" i="16"/>
  <c r="C97" i="1"/>
  <c r="B8" i="10"/>
  <c r="S8" i="10"/>
  <c r="G62" i="16"/>
  <c r="H8" i="10"/>
  <c r="G95" i="16"/>
  <c r="Q8" i="10"/>
  <c r="K8" i="8"/>
  <c r="J8" i="8" s="1" a="1"/>
  <c r="J8" i="8" s="1"/>
  <c r="D8" i="10"/>
  <c r="H96" i="1"/>
  <c r="G77" i="16"/>
  <c r="K79" i="1"/>
  <c r="O79" i="1" s="1" a="1"/>
  <c r="O79" i="1" s="1"/>
  <c r="G97" i="16"/>
  <c r="K99" i="1"/>
  <c r="O99" i="1" s="1" a="1"/>
  <c r="O99" i="1" s="1"/>
  <c r="D32" i="1"/>
  <c r="K83" i="1"/>
  <c r="O83" i="1" s="1" a="1"/>
  <c r="O83" i="1" s="1"/>
  <c r="G81" i="16"/>
  <c r="K23" i="1"/>
  <c r="G21" i="16"/>
  <c r="B34" i="1"/>
  <c r="B76" i="1"/>
  <c r="K47" i="1"/>
  <c r="B94" i="1"/>
  <c r="C5" i="10"/>
  <c r="B5" i="10"/>
  <c r="Q5" i="10"/>
  <c r="D5" i="10"/>
  <c r="B49" i="1"/>
  <c r="C68" i="1"/>
  <c r="D68" i="1"/>
  <c r="B68" i="1"/>
  <c r="B65" i="1"/>
  <c r="C65" i="1"/>
  <c r="D54" i="1"/>
  <c r="Q85" i="1"/>
  <c r="J85" i="1"/>
  <c r="H85" i="1"/>
  <c r="B85" i="1"/>
  <c r="D85" i="1"/>
  <c r="C85" i="1"/>
  <c r="B32" i="1"/>
  <c r="B52" i="1"/>
  <c r="Q90" i="1"/>
  <c r="J90" i="1"/>
  <c r="B90" i="1"/>
  <c r="C90" i="1"/>
  <c r="Q6" i="10"/>
  <c r="D6" i="10"/>
  <c r="C6" i="10"/>
  <c r="B6" i="10"/>
  <c r="S6" i="10"/>
  <c r="H5" i="10"/>
  <c r="H6" i="10"/>
  <c r="H7" i="10"/>
  <c r="T7" i="10"/>
  <c r="R5" i="10"/>
  <c r="U6" i="10"/>
  <c r="T5" i="10"/>
  <c r="E8" i="10"/>
  <c r="I6" i="10"/>
  <c r="U7" i="10"/>
  <c r="E7" i="10"/>
  <c r="F8" i="10"/>
  <c r="U5" i="10"/>
  <c r="E6" i="10"/>
  <c r="F7" i="10"/>
  <c r="G8" i="10"/>
  <c r="E5" i="10"/>
  <c r="F6" i="10"/>
  <c r="G7" i="10"/>
  <c r="I5" i="10"/>
  <c r="T6" i="10"/>
  <c r="F5" i="10"/>
  <c r="G6" i="10"/>
  <c r="I8" i="10"/>
  <c r="L8" i="10"/>
  <c r="L7" i="10"/>
  <c r="M8" i="10"/>
  <c r="L6" i="10"/>
  <c r="M7" i="10"/>
  <c r="N8" i="10"/>
  <c r="I7" i="10"/>
  <c r="M6" i="10"/>
  <c r="N6" i="10"/>
  <c r="G5" i="10"/>
  <c r="L5" i="10"/>
  <c r="N5" i="10"/>
  <c r="R8" i="10"/>
  <c r="R7" i="10"/>
  <c r="R6" i="10"/>
  <c r="T8" i="10"/>
  <c r="N7" i="10"/>
  <c r="M5" i="10"/>
  <c r="I84" i="1"/>
  <c r="L63" i="1"/>
  <c r="L43" i="1"/>
  <c r="S61" i="1"/>
  <c r="L39" i="1"/>
  <c r="U98" i="1"/>
  <c r="M78" i="1"/>
  <c r="S38" i="1"/>
  <c r="U18" i="1"/>
  <c r="M77" i="1"/>
  <c r="L76" i="1"/>
  <c r="I36" i="1"/>
  <c r="S35" i="1"/>
  <c r="L64" i="1"/>
  <c r="L44" i="1"/>
  <c r="L62" i="1"/>
  <c r="E52" i="1"/>
  <c r="E32" i="1"/>
  <c r="L91" i="1"/>
  <c r="S71" i="1"/>
  <c r="L82" i="1"/>
  <c r="L42" i="1"/>
  <c r="U22" i="1"/>
  <c r="U49" i="1"/>
  <c r="L68" i="1"/>
  <c r="N84" i="1"/>
  <c r="T85" i="1"/>
  <c r="L24" i="1"/>
  <c r="U52" i="1"/>
  <c r="L52" i="1"/>
  <c r="E82" i="1"/>
  <c r="N82" i="1"/>
  <c r="U60" i="1"/>
  <c r="E60" i="1"/>
  <c r="E40" i="1"/>
  <c r="E39" i="1"/>
  <c r="S78" i="1"/>
  <c r="L78" i="1"/>
  <c r="G78" i="1"/>
  <c r="I58" i="1"/>
  <c r="L58" i="1"/>
  <c r="I18" i="1"/>
  <c r="T77" i="1"/>
  <c r="L61" i="1"/>
  <c r="U59" i="1"/>
  <c r="E59" i="1"/>
  <c r="L98" i="1"/>
  <c r="N97" i="1"/>
  <c r="R97" i="1"/>
  <c r="I97" i="1"/>
  <c r="L97" i="1"/>
  <c r="U75" i="1"/>
  <c r="E75" i="1"/>
  <c r="U36" i="1"/>
  <c r="E36" i="1"/>
  <c r="E43" i="1"/>
  <c r="I42" i="1"/>
  <c r="S43" i="1"/>
  <c r="S42" i="1"/>
  <c r="M84" i="1"/>
  <c r="C3" i="8"/>
  <c r="R5" i="8" s="1"/>
  <c r="O5" i="8" s="1" a="1"/>
  <c r="O5" i="8" s="1"/>
  <c r="C3" i="1" a="1"/>
  <c r="B6" i="8" l="1"/>
  <c r="I6" i="1"/>
  <c r="D6" i="8"/>
  <c r="Q6" i="8"/>
  <c r="R94" i="1"/>
  <c r="Q94" i="1"/>
  <c r="N94" i="1"/>
  <c r="M94" i="1"/>
  <c r="U94" i="1"/>
  <c r="D7" i="8"/>
  <c r="H94" i="1"/>
  <c r="Q7" i="8"/>
  <c r="C94" i="1"/>
  <c r="B7" i="8"/>
  <c r="J94" i="1"/>
  <c r="L7" i="8"/>
  <c r="L94" i="1"/>
  <c r="D94" i="1"/>
  <c r="D5" i="1"/>
  <c r="D74" i="1"/>
  <c r="D67" i="1"/>
  <c r="E67" i="1"/>
  <c r="L89" i="1"/>
  <c r="J88" i="1"/>
  <c r="Q87" i="1"/>
  <c r="I99" i="1"/>
  <c r="M81" i="1"/>
  <c r="D49" i="1"/>
  <c r="D12" i="1"/>
  <c r="D70" i="1"/>
  <c r="B66" i="1"/>
  <c r="B86" i="1"/>
  <c r="C47" i="1"/>
  <c r="S25" i="1"/>
  <c r="E69" i="1"/>
  <c r="M83" i="1"/>
  <c r="D30" i="1"/>
  <c r="D27" i="1"/>
  <c r="I28" i="1"/>
  <c r="D31" i="1"/>
  <c r="D50" i="1"/>
  <c r="B30" i="1"/>
  <c r="M79" i="1"/>
  <c r="C30" i="1"/>
  <c r="L46" i="1"/>
  <c r="C8" i="1"/>
  <c r="D51" i="1"/>
  <c r="C74" i="1"/>
  <c r="B74" i="1"/>
  <c r="I13" i="1"/>
  <c r="C7" i="1"/>
  <c r="B33" i="1"/>
  <c r="B9" i="1"/>
  <c r="D26" i="1"/>
  <c r="C45" i="1"/>
  <c r="D73" i="1"/>
  <c r="C72" i="1"/>
  <c r="I65" i="1"/>
  <c r="B67" i="1"/>
  <c r="D65" i="1"/>
  <c r="B48" i="1"/>
  <c r="B29" i="1"/>
  <c r="C93" i="1"/>
  <c r="D10" i="1"/>
  <c r="Q92" i="1"/>
  <c r="B14" i="1"/>
  <c r="B7" i="1"/>
  <c r="U14" i="1"/>
  <c r="B5" i="1"/>
  <c r="I86" i="1"/>
  <c r="H90" i="1"/>
  <c r="B73" i="1"/>
  <c r="M99" i="1"/>
  <c r="Q93" i="1"/>
  <c r="L6" i="8"/>
  <c r="I69" i="1"/>
  <c r="E27" i="1"/>
  <c r="U69" i="1"/>
  <c r="C69" i="1"/>
  <c r="C14" i="1"/>
  <c r="B93" i="1"/>
  <c r="C73" i="1"/>
  <c r="J93" i="1"/>
  <c r="D8" i="1"/>
  <c r="Q86" i="1"/>
  <c r="C88" i="1"/>
  <c r="D88" i="1"/>
  <c r="H93" i="1"/>
  <c r="U33" i="1"/>
  <c r="C66" i="1"/>
  <c r="L93" i="1"/>
  <c r="B88" i="1"/>
  <c r="D66" i="1"/>
  <c r="D93" i="1"/>
  <c r="I29" i="1"/>
  <c r="L69" i="1"/>
  <c r="C50" i="1"/>
  <c r="C87" i="1"/>
  <c r="B50" i="1"/>
  <c r="J89" i="1"/>
  <c r="D87" i="1"/>
  <c r="B12" i="1"/>
  <c r="J87" i="1"/>
  <c r="S12" i="1"/>
  <c r="H87" i="1"/>
  <c r="D8" i="8"/>
  <c r="B87" i="1"/>
  <c r="C48" i="1"/>
  <c r="B69" i="1"/>
  <c r="D69" i="1"/>
  <c r="C12" i="1"/>
  <c r="I48" i="1"/>
  <c r="H88" i="1"/>
  <c r="B8" i="1"/>
  <c r="D14" i="1"/>
  <c r="H92" i="1"/>
  <c r="U8" i="1"/>
  <c r="S33" i="1"/>
  <c r="H86" i="1"/>
  <c r="U29" i="1"/>
  <c r="J92" i="1"/>
  <c r="C86" i="1"/>
  <c r="E88" i="1"/>
  <c r="B92" i="1"/>
  <c r="D86" i="1"/>
  <c r="B72" i="1"/>
  <c r="J86" i="1"/>
  <c r="D25" i="1"/>
  <c r="L99" i="1"/>
  <c r="I31" i="1"/>
  <c r="C89" i="1"/>
  <c r="C29" i="1"/>
  <c r="D29" i="1"/>
  <c r="Q89" i="1"/>
  <c r="D72" i="1"/>
  <c r="C5" i="1"/>
  <c r="E45" i="1"/>
  <c r="T79" i="1"/>
  <c r="C92" i="1"/>
  <c r="C28" i="1"/>
  <c r="I66" i="1"/>
  <c r="D28" i="1"/>
  <c r="B28" i="1"/>
  <c r="U51" i="1"/>
  <c r="D7" i="1"/>
  <c r="B70" i="1"/>
  <c r="E10" i="1"/>
  <c r="C70" i="1"/>
  <c r="C25" i="1"/>
  <c r="Q88" i="1"/>
  <c r="B25" i="1"/>
  <c r="B51" i="1"/>
  <c r="D89" i="1"/>
  <c r="U25" i="1"/>
  <c r="C51" i="1"/>
  <c r="C33" i="1"/>
  <c r="D33" i="1"/>
  <c r="D11" i="1"/>
  <c r="H89" i="1"/>
  <c r="S92" i="1"/>
  <c r="B89" i="1"/>
  <c r="C31" i="1"/>
  <c r="I25" i="1"/>
  <c r="E25" i="1"/>
  <c r="L11" i="1"/>
  <c r="L25" i="1"/>
  <c r="C8" i="8"/>
  <c r="B45" i="1"/>
  <c r="D45" i="1"/>
  <c r="D92" i="1"/>
  <c r="C11" i="1"/>
  <c r="B13" i="1"/>
  <c r="E13" i="1"/>
  <c r="AC4" i="1" a="1"/>
  <c r="AC4" i="1" s="1"/>
  <c r="AD4" i="9" a="1"/>
  <c r="AD4" i="9" s="1"/>
  <c r="AD4" i="10" a="1"/>
  <c r="AD4" i="10" s="1"/>
  <c r="K5" i="9"/>
  <c r="D5" i="9" s="1"/>
  <c r="C27" i="1"/>
  <c r="D48" i="1"/>
  <c r="B27" i="1"/>
  <c r="B11" i="1"/>
  <c r="D47" i="1"/>
  <c r="U47" i="1"/>
  <c r="B46" i="1"/>
  <c r="N79" i="1"/>
  <c r="B10" i="1"/>
  <c r="D46" i="1"/>
  <c r="C26" i="1"/>
  <c r="B26" i="1"/>
  <c r="C10" i="1"/>
  <c r="C46" i="1"/>
  <c r="I79" i="1"/>
  <c r="G79" i="1"/>
  <c r="E79" i="1"/>
  <c r="B53" i="1"/>
  <c r="B31" i="1"/>
  <c r="P8" i="10"/>
  <c r="K7" i="9"/>
  <c r="C7" i="9" s="1"/>
  <c r="B47" i="1"/>
  <c r="D53" i="1"/>
  <c r="C53" i="1"/>
  <c r="D9" i="1"/>
  <c r="C9" i="1"/>
  <c r="D13" i="1"/>
  <c r="C13" i="1"/>
  <c r="L9" i="1"/>
  <c r="AD4" i="8" a="1"/>
  <c r="AD4" i="8" s="1"/>
  <c r="C23" i="1"/>
  <c r="D23" i="1"/>
  <c r="B23" i="1"/>
  <c r="L23" i="1"/>
  <c r="D79" i="1"/>
  <c r="Q79" i="1"/>
  <c r="H79" i="1"/>
  <c r="J79" i="1"/>
  <c r="B79" i="1"/>
  <c r="C79" i="1"/>
  <c r="O6" i="10"/>
  <c r="L8" i="8"/>
  <c r="Q8" i="8"/>
  <c r="H8" i="8" a="1"/>
  <c r="H8" i="8" s="1"/>
  <c r="B8" i="8"/>
  <c r="B83" i="1"/>
  <c r="H83" i="1"/>
  <c r="D83" i="1"/>
  <c r="C83" i="1"/>
  <c r="J83" i="1"/>
  <c r="Q83" i="1"/>
  <c r="K6" i="9"/>
  <c r="S23" i="1"/>
  <c r="D99" i="1"/>
  <c r="Q99" i="1"/>
  <c r="H99" i="1"/>
  <c r="B99" i="1"/>
  <c r="J99" i="1"/>
  <c r="C99" i="1"/>
  <c r="H81" i="1"/>
  <c r="D81" i="1"/>
  <c r="C81" i="1"/>
  <c r="Q81" i="1"/>
  <c r="B81" i="1"/>
  <c r="J81" i="1"/>
  <c r="K8" i="9"/>
  <c r="S8" i="9" s="1"/>
  <c r="O5" i="10"/>
  <c r="P5" i="10" s="1"/>
  <c r="O7" i="10"/>
  <c r="E6" i="1"/>
  <c r="D6" i="1"/>
  <c r="C6" i="1"/>
  <c r="B6" i="1"/>
  <c r="L54" i="1"/>
  <c r="S94" i="1"/>
  <c r="S97" i="1"/>
  <c r="L79" i="1"/>
  <c r="T81" i="1"/>
  <c r="T89" i="1"/>
  <c r="L47" i="1"/>
  <c r="F94" i="1"/>
  <c r="F97" i="1"/>
  <c r="L57" i="1"/>
  <c r="T82" i="1"/>
  <c r="I89" i="1"/>
  <c r="U42" i="1"/>
  <c r="I47" i="1"/>
  <c r="T99" i="1"/>
  <c r="I57" i="1"/>
  <c r="U79" i="1"/>
  <c r="R81" i="1"/>
  <c r="R82" i="1"/>
  <c r="N89" i="1"/>
  <c r="E47" i="1"/>
  <c r="S55" i="1"/>
  <c r="U57" i="1"/>
  <c r="S79" i="1"/>
  <c r="N81" i="1"/>
  <c r="S57" i="1"/>
  <c r="F79" i="1"/>
  <c r="G81" i="1"/>
  <c r="L75" i="1"/>
  <c r="I96" i="1"/>
  <c r="G77" i="1"/>
  <c r="E42" i="1"/>
  <c r="I75" i="1"/>
  <c r="L77" i="1"/>
  <c r="F81" i="1"/>
  <c r="I77" i="1"/>
  <c r="S75" i="1"/>
  <c r="R77" i="1"/>
  <c r="S52" i="1"/>
  <c r="E63" i="1"/>
  <c r="L33" i="1"/>
  <c r="L59" i="1"/>
  <c r="E77" i="1"/>
  <c r="S18" i="1"/>
  <c r="U39" i="1"/>
  <c r="U77" i="1"/>
  <c r="L36" i="1"/>
  <c r="G97" i="1"/>
  <c r="I59" i="1"/>
  <c r="S36" i="1"/>
  <c r="M97" i="1"/>
  <c r="S59" i="1"/>
  <c r="R79" i="1"/>
  <c r="L40" i="1"/>
  <c r="S29" i="1"/>
  <c r="T94" i="1"/>
  <c r="T97" i="1"/>
  <c r="E58" i="1"/>
  <c r="S40" i="1"/>
  <c r="I62" i="1"/>
  <c r="I93" i="1"/>
  <c r="R99" i="1"/>
  <c r="L20" i="1"/>
  <c r="L56" i="1"/>
  <c r="N99" i="1"/>
  <c r="I20" i="1"/>
  <c r="T93" i="1"/>
  <c r="U54" i="1"/>
  <c r="I56" i="1"/>
  <c r="G94" i="1"/>
  <c r="U99" i="1"/>
  <c r="E61" i="1"/>
  <c r="N77" i="1"/>
  <c r="I81" i="1"/>
  <c r="I40" i="1"/>
  <c r="R89" i="1"/>
  <c r="U56" i="1"/>
  <c r="I95" i="1"/>
  <c r="F99" i="1"/>
  <c r="E56" i="1"/>
  <c r="S56" i="1"/>
  <c r="S77" i="1"/>
  <c r="E81" i="1"/>
  <c r="U40" i="1"/>
  <c r="I43" i="1"/>
  <c r="F77" i="1"/>
  <c r="L92" i="1"/>
  <c r="E54" i="1"/>
  <c r="I94" i="1"/>
  <c r="L81" i="1"/>
  <c r="T92" i="1"/>
  <c r="I92" i="1"/>
  <c r="S99" i="1"/>
  <c r="U13" i="1"/>
  <c r="I23" i="1"/>
  <c r="I38" i="1"/>
  <c r="U81" i="1"/>
  <c r="L60" i="1"/>
  <c r="N92" i="1"/>
  <c r="T95" i="1"/>
  <c r="S62" i="1"/>
  <c r="S47" i="1"/>
  <c r="S13" i="1"/>
  <c r="E94" i="1"/>
  <c r="E23" i="1"/>
  <c r="S81" i="1"/>
  <c r="I60" i="1"/>
  <c r="E92" i="1"/>
  <c r="E57" i="1"/>
  <c r="S60" i="1"/>
  <c r="I33" i="1"/>
  <c r="E33" i="1"/>
  <c r="S39" i="1"/>
  <c r="U95" i="1"/>
  <c r="I16" i="1"/>
  <c r="L16" i="1"/>
  <c r="L84" i="1"/>
  <c r="S95" i="1"/>
  <c r="G84" i="1"/>
  <c r="U84" i="1"/>
  <c r="F95" i="1"/>
  <c r="E99" i="1"/>
  <c r="U16" i="1"/>
  <c r="U44" i="1"/>
  <c r="E16" i="1"/>
  <c r="S16" i="1"/>
  <c r="E72" i="1"/>
  <c r="S63" i="1"/>
  <c r="E49" i="1"/>
  <c r="I55" i="1"/>
  <c r="M92" i="1"/>
  <c r="E55" i="1"/>
  <c r="U19" i="1"/>
  <c r="S98" i="1"/>
  <c r="I82" i="1"/>
  <c r="U92" i="1"/>
  <c r="U15" i="1"/>
  <c r="M95" i="1"/>
  <c r="G99" i="1"/>
  <c r="S20" i="1"/>
  <c r="G95" i="1"/>
  <c r="E31" i="1"/>
  <c r="S31" i="1"/>
  <c r="M82" i="1"/>
  <c r="S9" i="1"/>
  <c r="S51" i="1"/>
  <c r="L55" i="1"/>
  <c r="S32" i="1"/>
  <c r="U10" i="1"/>
  <c r="F87" i="1"/>
  <c r="I54" i="1"/>
  <c r="U55" i="1"/>
  <c r="S6" i="1"/>
  <c r="L18" i="1"/>
  <c r="I39" i="1"/>
  <c r="F92" i="1"/>
  <c r="E11" i="1"/>
  <c r="I9" i="1"/>
  <c r="U9" i="1"/>
  <c r="L87" i="1"/>
  <c r="L49" i="1"/>
  <c r="L6" i="1"/>
  <c r="E18" i="1"/>
  <c r="F78" i="1"/>
  <c r="I52" i="1"/>
  <c r="S11" i="1"/>
  <c r="U24" i="1"/>
  <c r="U11" i="1"/>
  <c r="U65" i="1"/>
  <c r="S87" i="1"/>
  <c r="I49" i="1"/>
  <c r="T88" i="1"/>
  <c r="U62" i="1"/>
  <c r="U87" i="1"/>
  <c r="U82" i="1"/>
  <c r="S82" i="1"/>
  <c r="R87" i="1"/>
  <c r="I87" i="1"/>
  <c r="S8" i="1"/>
  <c r="U58" i="1"/>
  <c r="G87" i="1"/>
  <c r="S44" i="1"/>
  <c r="N87" i="1"/>
  <c r="L8" i="1"/>
  <c r="S84" i="1"/>
  <c r="E87" i="1"/>
  <c r="E95" i="1"/>
  <c r="T91" i="1"/>
  <c r="S58" i="1"/>
  <c r="L32" i="1"/>
  <c r="R92" i="1"/>
  <c r="T87" i="1"/>
  <c r="U31" i="1"/>
  <c r="I68" i="1"/>
  <c r="R91" i="1"/>
  <c r="U32" i="1"/>
  <c r="E68" i="1"/>
  <c r="L30" i="1"/>
  <c r="E93" i="1"/>
  <c r="L17" i="1"/>
  <c r="F82" i="1"/>
  <c r="E89" i="1"/>
  <c r="E30" i="1"/>
  <c r="U93" i="1"/>
  <c r="I17" i="1"/>
  <c r="T80" i="1"/>
  <c r="U89" i="1"/>
  <c r="U67" i="1"/>
  <c r="U30" i="1"/>
  <c r="S93" i="1"/>
  <c r="S17" i="1"/>
  <c r="I80" i="1"/>
  <c r="U85" i="1"/>
  <c r="L29" i="1"/>
  <c r="L53" i="1"/>
  <c r="L37" i="1"/>
  <c r="L67" i="1"/>
  <c r="E9" i="1"/>
  <c r="I53" i="1"/>
  <c r="I37" i="1"/>
  <c r="U80" i="1"/>
  <c r="F85" i="1"/>
  <c r="E29" i="1"/>
  <c r="S10" i="1"/>
  <c r="S30" i="1"/>
  <c r="E53" i="1"/>
  <c r="E37" i="1"/>
  <c r="S80" i="1"/>
  <c r="I85" i="1"/>
  <c r="E65" i="1"/>
  <c r="R93" i="1"/>
  <c r="N96" i="1"/>
  <c r="I41" i="1"/>
  <c r="F93" i="1"/>
  <c r="L70" i="1"/>
  <c r="U53" i="1"/>
  <c r="L14" i="1"/>
  <c r="U37" i="1"/>
  <c r="F80" i="1"/>
  <c r="R85" i="1"/>
  <c r="F90" i="1"/>
  <c r="L65" i="1"/>
  <c r="U41" i="1"/>
  <c r="S49" i="1"/>
  <c r="I70" i="1"/>
  <c r="S53" i="1"/>
  <c r="I14" i="1"/>
  <c r="S37" i="1"/>
  <c r="G92" i="1"/>
  <c r="E85" i="1"/>
  <c r="S89" i="1"/>
  <c r="I46" i="1"/>
  <c r="N93" i="1"/>
  <c r="S45" i="1"/>
  <c r="S86" i="1"/>
  <c r="E70" i="1"/>
  <c r="L13" i="1"/>
  <c r="I45" i="1"/>
  <c r="L80" i="1"/>
  <c r="S85" i="1"/>
  <c r="S65" i="1"/>
  <c r="U86" i="1"/>
  <c r="M87" i="1"/>
  <c r="L73" i="1"/>
  <c r="E34" i="1"/>
  <c r="I91" i="1"/>
  <c r="M80" i="1"/>
  <c r="I32" i="1"/>
  <c r="M85" i="1"/>
  <c r="F89" i="1"/>
  <c r="I11" i="1"/>
  <c r="L45" i="1"/>
  <c r="U66" i="1"/>
  <c r="I73" i="1"/>
  <c r="I21" i="1"/>
  <c r="N100" i="1"/>
  <c r="M89" i="1"/>
  <c r="E73" i="1"/>
  <c r="E21" i="1"/>
  <c r="E100" i="1"/>
  <c r="G85" i="1"/>
  <c r="R96" i="1"/>
  <c r="R86" i="1"/>
  <c r="U73" i="1"/>
  <c r="L21" i="1"/>
  <c r="L85" i="1"/>
  <c r="G89" i="1"/>
  <c r="M93" i="1"/>
  <c r="U21" i="1"/>
  <c r="S46" i="1"/>
  <c r="S21" i="1"/>
  <c r="I76" i="1"/>
  <c r="U76" i="1"/>
  <c r="S66" i="1"/>
  <c r="T96" i="1"/>
  <c r="E76" i="1"/>
  <c r="S73" i="1"/>
  <c r="E62" i="1"/>
  <c r="S67" i="1"/>
  <c r="U70" i="1"/>
  <c r="S14" i="1"/>
  <c r="I35" i="1"/>
  <c r="L95" i="1"/>
  <c r="E97" i="1"/>
  <c r="U96" i="1"/>
  <c r="E91" i="1"/>
  <c r="E17" i="1"/>
  <c r="E41" i="1"/>
  <c r="E20" i="1"/>
  <c r="G80" i="1"/>
  <c r="G82" i="1"/>
  <c r="L72" i="1"/>
  <c r="E50" i="1"/>
  <c r="E8" i="1"/>
  <c r="E96" i="1"/>
  <c r="N91" i="1"/>
  <c r="T78" i="1"/>
  <c r="G100" i="1"/>
  <c r="I50" i="1"/>
  <c r="S76" i="1"/>
  <c r="U68" i="1"/>
  <c r="S69" i="1"/>
  <c r="S70" i="1"/>
  <c r="E35" i="1"/>
  <c r="U97" i="1"/>
  <c r="S96" i="1"/>
  <c r="M98" i="1"/>
  <c r="U91" i="1"/>
  <c r="I61" i="1"/>
  <c r="U17" i="1"/>
  <c r="L38" i="1"/>
  <c r="I78" i="1"/>
  <c r="L41" i="1"/>
  <c r="U20" i="1"/>
  <c r="U100" i="1"/>
  <c r="I72" i="1"/>
  <c r="E24" i="1"/>
  <c r="U50" i="1"/>
  <c r="R78" i="1"/>
  <c r="S50" i="1"/>
  <c r="F98" i="1"/>
  <c r="F96" i="1"/>
  <c r="S91" i="1"/>
  <c r="S100" i="1"/>
  <c r="F84" i="1"/>
  <c r="E38" i="1"/>
  <c r="L50" i="1"/>
  <c r="I67" i="1"/>
  <c r="S68" i="1"/>
  <c r="F91" i="1"/>
  <c r="S41" i="1"/>
  <c r="R80" i="1"/>
  <c r="F100" i="1"/>
  <c r="U72" i="1"/>
  <c r="I24" i="1"/>
  <c r="U43" i="1"/>
  <c r="L31" i="1"/>
  <c r="G93" i="1"/>
  <c r="U34" i="1"/>
  <c r="R95" i="1"/>
  <c r="L15" i="1"/>
  <c r="U23" i="1"/>
  <c r="U61" i="1"/>
  <c r="U38" i="1"/>
  <c r="E78" i="1"/>
  <c r="E19" i="1"/>
  <c r="N80" i="1"/>
  <c r="S72" i="1"/>
  <c r="S24" i="1"/>
  <c r="S48" i="1"/>
  <c r="I64" i="1"/>
  <c r="E26" i="1"/>
  <c r="S83" i="1"/>
  <c r="E84" i="1"/>
  <c r="N78" i="1"/>
  <c r="I19" i="1"/>
  <c r="I63" i="1"/>
  <c r="S54" i="1"/>
  <c r="U63" i="1"/>
  <c r="U45" i="1"/>
  <c r="M86" i="1"/>
  <c r="N95" i="1"/>
  <c r="I15" i="1"/>
  <c r="U78" i="1"/>
  <c r="E80" i="1"/>
  <c r="G90" i="1"/>
  <c r="E46" i="1"/>
  <c r="U83" i="1"/>
  <c r="E15" i="1"/>
  <c r="G98" i="1"/>
  <c r="L19" i="1"/>
  <c r="M100" i="1"/>
  <c r="E48" i="1"/>
  <c r="U46" i="1"/>
  <c r="E64" i="1"/>
  <c r="S64" i="1"/>
  <c r="S15" i="1"/>
  <c r="S19" i="1"/>
  <c r="E66" i="1"/>
  <c r="R83" i="1"/>
  <c r="L66" i="1"/>
  <c r="T83" i="1"/>
  <c r="M96" i="1"/>
  <c r="T98" i="1"/>
  <c r="M91" i="1"/>
  <c r="E44" i="1"/>
  <c r="L83" i="1"/>
  <c r="L71" i="1"/>
  <c r="G96" i="1"/>
  <c r="I98" i="1"/>
  <c r="I44" i="1"/>
  <c r="I83" i="1"/>
  <c r="G83" i="1"/>
  <c r="E83" i="1"/>
  <c r="I71" i="1"/>
  <c r="L96" i="1"/>
  <c r="R98" i="1"/>
  <c r="G91" i="1"/>
  <c r="T100" i="1"/>
  <c r="N83" i="1"/>
  <c r="F83" i="1"/>
  <c r="U64" i="1"/>
  <c r="E71" i="1"/>
  <c r="N98" i="1"/>
  <c r="L100" i="1"/>
  <c r="R84" i="1"/>
  <c r="U71" i="1"/>
  <c r="E98" i="1"/>
  <c r="I100" i="1"/>
  <c r="T84" i="1"/>
  <c r="R100" i="1"/>
  <c r="S28" i="1"/>
  <c r="I27" i="1"/>
  <c r="L51" i="1"/>
  <c r="N85" i="1"/>
  <c r="U88" i="1"/>
  <c r="S22" i="1"/>
  <c r="L74" i="1"/>
  <c r="L90" i="1"/>
  <c r="L7" i="1"/>
  <c r="I51" i="1"/>
  <c r="I74" i="1"/>
  <c r="L12" i="1"/>
  <c r="L10" i="1"/>
  <c r="T90" i="1"/>
  <c r="U28" i="1"/>
  <c r="L27" i="1"/>
  <c r="N86" i="1"/>
  <c r="U26" i="1"/>
  <c r="I7" i="1"/>
  <c r="E51" i="1"/>
  <c r="E74" i="1"/>
  <c r="L22" i="1"/>
  <c r="I12" i="1"/>
  <c r="F88" i="1"/>
  <c r="I10" i="1"/>
  <c r="I90" i="1"/>
  <c r="E28" i="1"/>
  <c r="S88" i="1"/>
  <c r="E7" i="1"/>
  <c r="U74" i="1"/>
  <c r="L35" i="1"/>
  <c r="E12" i="1"/>
  <c r="R90" i="1"/>
  <c r="S74" i="1"/>
  <c r="U12" i="1"/>
  <c r="M88" i="1"/>
  <c r="N90" i="1"/>
  <c r="U5" i="1"/>
  <c r="S5" i="1"/>
  <c r="L5" i="1"/>
  <c r="I5" i="1"/>
  <c r="E5" i="1"/>
  <c r="L28" i="1"/>
  <c r="F86" i="1"/>
  <c r="E90" i="1"/>
  <c r="E14" i="1"/>
  <c r="U35" i="1"/>
  <c r="G88" i="1"/>
  <c r="U90" i="1"/>
  <c r="I8" i="1"/>
  <c r="S26" i="1"/>
  <c r="E86" i="1"/>
  <c r="L88" i="1"/>
  <c r="S90" i="1"/>
  <c r="L34" i="1"/>
  <c r="R88" i="1"/>
  <c r="G86" i="1"/>
  <c r="U48" i="1"/>
  <c r="N88" i="1"/>
  <c r="I88" i="1"/>
  <c r="I26" i="1"/>
  <c r="U7" i="1"/>
  <c r="L86" i="1"/>
  <c r="I34" i="1"/>
  <c r="S7" i="1"/>
  <c r="S27" i="1"/>
  <c r="L26" i="1"/>
  <c r="I22" i="1"/>
  <c r="T86" i="1"/>
  <c r="S34" i="1"/>
  <c r="E22" i="1"/>
  <c r="L48" i="1"/>
  <c r="M90" i="1"/>
  <c r="U27" i="1"/>
  <c r="F5" i="1"/>
  <c r="F25" i="1"/>
  <c r="F45" i="1"/>
  <c r="F65" i="1"/>
  <c r="N9" i="1"/>
  <c r="N29" i="1"/>
  <c r="N49" i="1"/>
  <c r="N69" i="1"/>
  <c r="F6" i="1"/>
  <c r="F26" i="1"/>
  <c r="F46" i="1"/>
  <c r="F66" i="1"/>
  <c r="N10" i="1"/>
  <c r="N30" i="1"/>
  <c r="N50" i="1"/>
  <c r="N70" i="1"/>
  <c r="F20" i="1"/>
  <c r="N45" i="1"/>
  <c r="N46" i="1"/>
  <c r="N47" i="1"/>
  <c r="N68" i="1"/>
  <c r="F7" i="1"/>
  <c r="F27" i="1"/>
  <c r="F47" i="1"/>
  <c r="F67" i="1"/>
  <c r="N11" i="1"/>
  <c r="N31" i="1"/>
  <c r="N51" i="1"/>
  <c r="N71" i="1"/>
  <c r="F71" i="1"/>
  <c r="N62" i="1"/>
  <c r="N63" i="1"/>
  <c r="F8" i="1"/>
  <c r="F28" i="1"/>
  <c r="F48" i="1"/>
  <c r="F68" i="1"/>
  <c r="N12" i="1"/>
  <c r="N32" i="1"/>
  <c r="N52" i="1"/>
  <c r="N72" i="1"/>
  <c r="F31" i="1"/>
  <c r="N15" i="1"/>
  <c r="N75" i="1"/>
  <c r="F38" i="1"/>
  <c r="F39" i="1"/>
  <c r="F60" i="1"/>
  <c r="F21" i="1"/>
  <c r="F22" i="1"/>
  <c r="F23" i="1"/>
  <c r="F24" i="1"/>
  <c r="F9" i="1"/>
  <c r="F29" i="1"/>
  <c r="F49" i="1"/>
  <c r="F69" i="1"/>
  <c r="N13" i="1"/>
  <c r="N33" i="1"/>
  <c r="N53" i="1"/>
  <c r="N73" i="1"/>
  <c r="F51" i="1"/>
  <c r="N55" i="1"/>
  <c r="F19" i="1"/>
  <c r="F61" i="1"/>
  <c r="N26" i="1"/>
  <c r="N7" i="1"/>
  <c r="F64" i="1"/>
  <c r="F10" i="1"/>
  <c r="F30" i="1"/>
  <c r="F50" i="1"/>
  <c r="F70" i="1"/>
  <c r="N14" i="1"/>
  <c r="N34" i="1"/>
  <c r="N54" i="1"/>
  <c r="N74" i="1"/>
  <c r="F11" i="1"/>
  <c r="N35" i="1"/>
  <c r="N42" i="1"/>
  <c r="N44" i="1"/>
  <c r="N27" i="1"/>
  <c r="N48" i="1"/>
  <c r="F12" i="1"/>
  <c r="F32" i="1"/>
  <c r="F52" i="1"/>
  <c r="F72" i="1"/>
  <c r="N16" i="1"/>
  <c r="N36" i="1"/>
  <c r="N56" i="1"/>
  <c r="N76" i="1"/>
  <c r="F55" i="1"/>
  <c r="N19" i="1"/>
  <c r="N59" i="1"/>
  <c r="N23" i="1"/>
  <c r="N24" i="1"/>
  <c r="N5" i="1"/>
  <c r="N6" i="1"/>
  <c r="F63" i="1"/>
  <c r="N28" i="1"/>
  <c r="F13" i="1"/>
  <c r="F33" i="1"/>
  <c r="F53" i="1"/>
  <c r="F73" i="1"/>
  <c r="N17" i="1"/>
  <c r="N37" i="1"/>
  <c r="N57" i="1"/>
  <c r="F15" i="1"/>
  <c r="N22" i="1"/>
  <c r="N43" i="1"/>
  <c r="N65" i="1"/>
  <c r="F14" i="1"/>
  <c r="F34" i="1"/>
  <c r="F54" i="1"/>
  <c r="F74" i="1"/>
  <c r="N18" i="1"/>
  <c r="N38" i="1"/>
  <c r="N58" i="1"/>
  <c r="F35" i="1"/>
  <c r="F75" i="1"/>
  <c r="N39" i="1"/>
  <c r="F58" i="1"/>
  <c r="N25" i="1"/>
  <c r="F62" i="1"/>
  <c r="N8" i="1"/>
  <c r="F16" i="1"/>
  <c r="F36" i="1"/>
  <c r="F56" i="1"/>
  <c r="F76" i="1"/>
  <c r="N20" i="1"/>
  <c r="N40" i="1"/>
  <c r="N60" i="1"/>
  <c r="F17" i="1"/>
  <c r="F37" i="1"/>
  <c r="F57" i="1"/>
  <c r="N21" i="1"/>
  <c r="N41" i="1"/>
  <c r="N61" i="1"/>
  <c r="F18" i="1"/>
  <c r="F59" i="1"/>
  <c r="F40" i="1"/>
  <c r="N64" i="1"/>
  <c r="F41" i="1"/>
  <c r="F42" i="1"/>
  <c r="N66" i="1"/>
  <c r="F43" i="1"/>
  <c r="F44" i="1"/>
  <c r="N67" i="1"/>
  <c r="M69" i="1"/>
  <c r="M71" i="1"/>
  <c r="G30" i="1"/>
  <c r="G18" i="1"/>
  <c r="T61" i="1"/>
  <c r="T12" i="1"/>
  <c r="T32" i="1"/>
  <c r="T52" i="1"/>
  <c r="T72" i="1"/>
  <c r="M12" i="1"/>
  <c r="M32" i="1"/>
  <c r="M52" i="1"/>
  <c r="M72" i="1"/>
  <c r="G11" i="1"/>
  <c r="G31" i="1"/>
  <c r="G51" i="1"/>
  <c r="G71" i="1"/>
  <c r="T13" i="1"/>
  <c r="T33" i="1"/>
  <c r="T53" i="1"/>
  <c r="T73" i="1"/>
  <c r="M13" i="1"/>
  <c r="M33" i="1"/>
  <c r="M53" i="1"/>
  <c r="M73" i="1"/>
  <c r="G12" i="1"/>
  <c r="G52" i="1"/>
  <c r="G72" i="1"/>
  <c r="M37" i="1"/>
  <c r="G16" i="1"/>
  <c r="G56" i="1"/>
  <c r="M38" i="1"/>
  <c r="G57" i="1"/>
  <c r="T19" i="1"/>
  <c r="M20" i="1"/>
  <c r="T41" i="1"/>
  <c r="G32" i="1"/>
  <c r="T58" i="1"/>
  <c r="M58" i="1"/>
  <c r="G17" i="1"/>
  <c r="T59" i="1"/>
  <c r="M59" i="1"/>
  <c r="T21" i="1"/>
  <c r="M61" i="1"/>
  <c r="T14" i="1"/>
  <c r="T34" i="1"/>
  <c r="T54" i="1"/>
  <c r="T74" i="1"/>
  <c r="M14" i="1"/>
  <c r="M34" i="1"/>
  <c r="M54" i="1"/>
  <c r="M74" i="1"/>
  <c r="G13" i="1"/>
  <c r="G33" i="1"/>
  <c r="G53" i="1"/>
  <c r="G73" i="1"/>
  <c r="T36" i="1"/>
  <c r="T76" i="1"/>
  <c r="M56" i="1"/>
  <c r="G15" i="1"/>
  <c r="G55" i="1"/>
  <c r="T37" i="1"/>
  <c r="T57" i="1"/>
  <c r="G36" i="1"/>
  <c r="T38" i="1"/>
  <c r="G37" i="1"/>
  <c r="M19" i="1"/>
  <c r="G40" i="1"/>
  <c r="T15" i="1"/>
  <c r="T35" i="1"/>
  <c r="T55" i="1"/>
  <c r="T75" i="1"/>
  <c r="M15" i="1"/>
  <c r="M35" i="1"/>
  <c r="M55" i="1"/>
  <c r="M75" i="1"/>
  <c r="G14" i="1"/>
  <c r="G34" i="1"/>
  <c r="G54" i="1"/>
  <c r="G74" i="1"/>
  <c r="T16" i="1"/>
  <c r="T56" i="1"/>
  <c r="M16" i="1"/>
  <c r="M36" i="1"/>
  <c r="M76" i="1"/>
  <c r="G35" i="1"/>
  <c r="G75" i="1"/>
  <c r="T17" i="1"/>
  <c r="M17" i="1"/>
  <c r="M57" i="1"/>
  <c r="G76" i="1"/>
  <c r="T18" i="1"/>
  <c r="M18" i="1"/>
  <c r="T39" i="1"/>
  <c r="M39" i="1"/>
  <c r="G58" i="1"/>
  <c r="T22" i="1"/>
  <c r="T42" i="1"/>
  <c r="T62" i="1"/>
  <c r="M22" i="1"/>
  <c r="M42" i="1"/>
  <c r="M62" i="1"/>
  <c r="G21" i="1"/>
  <c r="G41" i="1"/>
  <c r="G61" i="1"/>
  <c r="T23" i="1"/>
  <c r="T43" i="1"/>
  <c r="T63" i="1"/>
  <c r="M23" i="1"/>
  <c r="M43" i="1"/>
  <c r="M63" i="1"/>
  <c r="G22" i="1"/>
  <c r="G42" i="1"/>
  <c r="G62" i="1"/>
  <c r="G28" i="1"/>
  <c r="T10" i="1"/>
  <c r="T70" i="1"/>
  <c r="M10" i="1"/>
  <c r="G9" i="1"/>
  <c r="T31" i="1"/>
  <c r="M31" i="1"/>
  <c r="G10" i="1"/>
  <c r="G60" i="1"/>
  <c r="T24" i="1"/>
  <c r="T44" i="1"/>
  <c r="T64" i="1"/>
  <c r="M24" i="1"/>
  <c r="M44" i="1"/>
  <c r="M64" i="1"/>
  <c r="G23" i="1"/>
  <c r="G43" i="1"/>
  <c r="G63" i="1"/>
  <c r="T67" i="1"/>
  <c r="M27" i="1"/>
  <c r="G6" i="1"/>
  <c r="G66" i="1"/>
  <c r="G47" i="1"/>
  <c r="T49" i="1"/>
  <c r="M49" i="1"/>
  <c r="G8" i="1"/>
  <c r="G50" i="1"/>
  <c r="G19" i="1"/>
  <c r="T5" i="1"/>
  <c r="T25" i="1"/>
  <c r="T45" i="1"/>
  <c r="T65" i="1"/>
  <c r="M5" i="1"/>
  <c r="M25" i="1"/>
  <c r="M45" i="1"/>
  <c r="M65" i="1"/>
  <c r="G24" i="1"/>
  <c r="G44" i="1"/>
  <c r="G64" i="1"/>
  <c r="M67" i="1"/>
  <c r="G46" i="1"/>
  <c r="M29" i="1"/>
  <c r="T50" i="1"/>
  <c r="M50" i="1"/>
  <c r="G29" i="1"/>
  <c r="T51" i="1"/>
  <c r="M51" i="1"/>
  <c r="T20" i="1"/>
  <c r="G39" i="1"/>
  <c r="M41" i="1"/>
  <c r="T6" i="1"/>
  <c r="T26" i="1"/>
  <c r="T46" i="1"/>
  <c r="T66" i="1"/>
  <c r="M6" i="1"/>
  <c r="M26" i="1"/>
  <c r="M46" i="1"/>
  <c r="M66" i="1"/>
  <c r="G5" i="1"/>
  <c r="G25" i="1"/>
  <c r="G45" i="1"/>
  <c r="G65" i="1"/>
  <c r="T7" i="1"/>
  <c r="T27" i="1"/>
  <c r="T47" i="1"/>
  <c r="M7" i="1"/>
  <c r="M47" i="1"/>
  <c r="G26" i="1"/>
  <c r="T9" i="1"/>
  <c r="T29" i="1"/>
  <c r="T69" i="1"/>
  <c r="M9" i="1"/>
  <c r="G48" i="1"/>
  <c r="T30" i="1"/>
  <c r="M30" i="1"/>
  <c r="M70" i="1"/>
  <c r="G69" i="1"/>
  <c r="T11" i="1"/>
  <c r="T71" i="1"/>
  <c r="M11" i="1"/>
  <c r="G38" i="1"/>
  <c r="T60" i="1"/>
  <c r="M60" i="1"/>
  <c r="G59" i="1"/>
  <c r="M21" i="1"/>
  <c r="G20" i="1"/>
  <c r="T8" i="1"/>
  <c r="T28" i="1"/>
  <c r="T48" i="1"/>
  <c r="T68" i="1"/>
  <c r="M8" i="1"/>
  <c r="M28" i="1"/>
  <c r="M48" i="1"/>
  <c r="M68" i="1"/>
  <c r="G7" i="1"/>
  <c r="G27" i="1"/>
  <c r="G67" i="1"/>
  <c r="G68" i="1"/>
  <c r="G49" i="1"/>
  <c r="G70" i="1"/>
  <c r="T40" i="1"/>
  <c r="M40" i="1"/>
  <c r="C3" i="1"/>
  <c r="Q50" i="1" s="1"/>
  <c r="H56" i="1" l="1"/>
  <c r="J6" i="8" a="1"/>
  <c r="J6" i="8" s="1"/>
  <c r="H7" i="8" a="1"/>
  <c r="H7" i="8" s="1"/>
  <c r="J7" i="8" a="1"/>
  <c r="J7" i="8" s="1"/>
  <c r="H5" i="8" a="1"/>
  <c r="H5" i="8" s="1"/>
  <c r="J5" i="8" a="1"/>
  <c r="J5" i="8" s="1"/>
  <c r="H6" i="8" a="1"/>
  <c r="H6" i="8" s="1"/>
  <c r="Q45" i="1"/>
  <c r="Q9" i="1"/>
  <c r="Q28" i="1"/>
  <c r="Q47" i="1"/>
  <c r="Q6" i="1"/>
  <c r="Q26" i="1"/>
  <c r="Q14" i="1"/>
  <c r="Q11" i="1"/>
  <c r="Q53" i="1"/>
  <c r="Q31" i="1"/>
  <c r="Q66" i="1"/>
  <c r="Q23" i="1"/>
  <c r="Q13" i="1"/>
  <c r="Q25" i="1"/>
  <c r="Q46" i="1"/>
  <c r="Q57" i="1"/>
  <c r="Q37" i="1"/>
  <c r="Q59" i="1"/>
  <c r="Q18" i="1"/>
  <c r="Q61" i="1"/>
  <c r="Q40" i="1"/>
  <c r="Q71" i="1"/>
  <c r="Q36" i="1"/>
  <c r="Q17" i="1"/>
  <c r="Q56" i="1"/>
  <c r="Q20" i="1"/>
  <c r="Q22" i="1"/>
  <c r="Q21" i="1"/>
  <c r="Q38" i="1"/>
  <c r="Q16" i="1"/>
  <c r="Q30" i="1"/>
  <c r="Q55" i="1"/>
  <c r="Q72" i="1"/>
  <c r="Q74" i="1"/>
  <c r="Q24" i="1"/>
  <c r="Q33" i="1"/>
  <c r="Q12" i="1"/>
  <c r="Q34" i="1"/>
  <c r="Q58" i="1"/>
  <c r="Q41" i="1"/>
  <c r="Q5" i="1"/>
  <c r="Q35" i="1"/>
  <c r="Q69" i="1"/>
  <c r="Q70" i="1"/>
  <c r="Q8" i="1"/>
  <c r="Q62" i="1"/>
  <c r="Q52" i="1"/>
  <c r="Q68" i="1"/>
  <c r="Q27" i="1"/>
  <c r="Q49" i="1"/>
  <c r="Q54" i="1"/>
  <c r="Q19" i="1"/>
  <c r="Q43" i="1"/>
  <c r="Q76" i="1"/>
  <c r="Q32" i="1"/>
  <c r="Q10" i="1"/>
  <c r="Q67" i="1"/>
  <c r="Q75" i="1"/>
  <c r="Q73" i="1"/>
  <c r="Q39" i="1"/>
  <c r="Q64" i="1"/>
  <c r="Q15" i="1"/>
  <c r="Q42" i="1"/>
  <c r="Q60" i="1"/>
  <c r="Q44" i="1"/>
  <c r="Q63" i="1"/>
  <c r="Q65" i="1"/>
  <c r="Q51" i="1"/>
  <c r="Q48" i="1"/>
  <c r="Q29" i="1"/>
  <c r="Q7" i="1"/>
  <c r="H7" i="9"/>
  <c r="B5" i="9"/>
  <c r="C5" i="9"/>
  <c r="H5" i="9"/>
  <c r="G8" i="9"/>
  <c r="B7" i="9"/>
  <c r="U8" i="9"/>
  <c r="N8" i="9"/>
  <c r="E8" i="9"/>
  <c r="R8" i="9"/>
  <c r="I8" i="9"/>
  <c r="L8" i="9"/>
  <c r="T8" i="9"/>
  <c r="D7" i="9"/>
  <c r="B6" i="9"/>
  <c r="C6" i="9"/>
  <c r="H6" i="9"/>
  <c r="D6" i="9"/>
  <c r="D8" i="9"/>
  <c r="C8" i="9"/>
  <c r="H8" i="9"/>
  <c r="O8" i="9"/>
  <c r="B8" i="9"/>
  <c r="M8" i="9"/>
  <c r="F8" i="9"/>
  <c r="Q8" i="9"/>
  <c r="Q5" i="9"/>
  <c r="Q7" i="9"/>
  <c r="S6" i="9"/>
  <c r="Q6" i="9"/>
  <c r="J63" i="1"/>
  <c r="H63" i="1"/>
  <c r="J70" i="1"/>
  <c r="H70" i="1"/>
  <c r="J30" i="1"/>
  <c r="H30" i="1"/>
  <c r="J68" i="1"/>
  <c r="H68" i="1"/>
  <c r="J41" i="1"/>
  <c r="H41" i="1"/>
  <c r="H36" i="1"/>
  <c r="J36" i="1"/>
  <c r="J61" i="1"/>
  <c r="H61" i="1"/>
  <c r="H53" i="1"/>
  <c r="J53" i="1"/>
  <c r="H16" i="1"/>
  <c r="J16" i="1"/>
  <c r="H33" i="1"/>
  <c r="J33" i="1"/>
  <c r="H57" i="1"/>
  <c r="J57" i="1"/>
  <c r="H54" i="1"/>
  <c r="J54" i="1"/>
  <c r="J45" i="1"/>
  <c r="H45" i="1"/>
  <c r="H17" i="1"/>
  <c r="J17" i="1"/>
  <c r="J5" i="1"/>
  <c r="H5" i="1"/>
  <c r="J28" i="1"/>
  <c r="H28" i="1"/>
  <c r="H62" i="1"/>
  <c r="J62" i="1"/>
  <c r="J13" i="1"/>
  <c r="H13" i="1"/>
  <c r="J31" i="1"/>
  <c r="H31" i="1"/>
  <c r="J56" i="1"/>
  <c r="H58" i="1"/>
  <c r="J58" i="1"/>
  <c r="H19" i="1"/>
  <c r="J19" i="1"/>
  <c r="H7" i="1"/>
  <c r="J7" i="1"/>
  <c r="H43" i="1"/>
  <c r="J43" i="1"/>
  <c r="H24" i="1"/>
  <c r="J24" i="1"/>
  <c r="J9" i="1"/>
  <c r="H9" i="1"/>
  <c r="J8" i="1"/>
  <c r="H8" i="1"/>
  <c r="H42" i="1"/>
  <c r="J42" i="1"/>
  <c r="J21" i="1"/>
  <c r="H21" i="1"/>
  <c r="J10" i="1"/>
  <c r="H10" i="1"/>
  <c r="H60" i="1"/>
  <c r="J60" i="1"/>
  <c r="J46" i="1"/>
  <c r="H46" i="1"/>
  <c r="J6" i="1"/>
  <c r="H6" i="1"/>
  <c r="H37" i="1"/>
  <c r="J37" i="1"/>
  <c r="J44" i="1"/>
  <c r="H44" i="1"/>
  <c r="J22" i="1"/>
  <c r="H22" i="1"/>
  <c r="H49" i="1"/>
  <c r="J49" i="1"/>
  <c r="J50" i="1"/>
  <c r="H50" i="1"/>
  <c r="J40" i="1"/>
  <c r="H40" i="1"/>
  <c r="J29" i="1"/>
  <c r="H29" i="1"/>
  <c r="J75" i="1"/>
  <c r="H75" i="1"/>
  <c r="H34" i="1"/>
  <c r="J34" i="1"/>
  <c r="H14" i="1"/>
  <c r="J14" i="1"/>
  <c r="J25" i="1"/>
  <c r="H25" i="1"/>
  <c r="H73" i="1"/>
  <c r="J73" i="1"/>
  <c r="H59" i="1"/>
  <c r="J59" i="1"/>
  <c r="H32" i="1"/>
  <c r="J32" i="1"/>
  <c r="J65" i="1"/>
  <c r="H65" i="1"/>
  <c r="H12" i="1"/>
  <c r="J12" i="1"/>
  <c r="J64" i="1"/>
  <c r="H64" i="1"/>
  <c r="J48" i="1"/>
  <c r="H48" i="1"/>
  <c r="H71" i="1"/>
  <c r="J71" i="1"/>
  <c r="H47" i="1"/>
  <c r="J47" i="1"/>
  <c r="J69" i="1"/>
  <c r="H69" i="1"/>
  <c r="J39" i="1"/>
  <c r="H39" i="1"/>
  <c r="J11" i="1"/>
  <c r="H11" i="1"/>
  <c r="J67" i="1"/>
  <c r="H67" i="1"/>
  <c r="J27" i="1"/>
  <c r="H27" i="1"/>
  <c r="H35" i="1"/>
  <c r="J35" i="1"/>
  <c r="H20" i="1"/>
  <c r="J20" i="1"/>
  <c r="J18" i="1"/>
  <c r="H18" i="1"/>
  <c r="H15" i="1"/>
  <c r="J15" i="1"/>
  <c r="H72" i="1"/>
  <c r="J72" i="1"/>
  <c r="J26" i="1"/>
  <c r="H26" i="1"/>
  <c r="H23" i="1"/>
  <c r="J23" i="1"/>
  <c r="H76" i="1"/>
  <c r="J76" i="1"/>
  <c r="J51" i="1"/>
  <c r="H51" i="1"/>
  <c r="J55" i="1"/>
  <c r="H55" i="1"/>
  <c r="J66" i="1"/>
  <c r="H66" i="1"/>
  <c r="H74" i="1"/>
  <c r="J74" i="1"/>
  <c r="H38" i="1"/>
  <c r="J38" i="1"/>
  <c r="H52" i="1"/>
  <c r="J52" i="1"/>
  <c r="L6" i="9"/>
  <c r="R6" i="9"/>
  <c r="O6" i="9" s="1"/>
  <c r="T6" i="9"/>
  <c r="E6" i="9"/>
  <c r="I6" i="9"/>
  <c r="M7" i="9"/>
  <c r="F6" i="9"/>
  <c r="S7" i="9"/>
  <c r="E7" i="9"/>
  <c r="G6" i="9"/>
  <c r="U6" i="9"/>
  <c r="M6" i="9"/>
  <c r="N6" i="9"/>
  <c r="F7" i="9"/>
  <c r="T7" i="9"/>
  <c r="N7" i="9"/>
  <c r="G7" i="9"/>
  <c r="R7" i="9"/>
  <c r="O7" i="9" s="1"/>
  <c r="U7" i="9"/>
  <c r="L7" i="9"/>
  <c r="I7" i="9"/>
  <c r="P7" i="10"/>
  <c r="U5" i="9"/>
  <c r="T5" i="9"/>
  <c r="G5" i="9"/>
  <c r="R5" i="9"/>
  <c r="O5" i="9" s="1"/>
  <c r="L5" i="9"/>
  <c r="N5" i="9"/>
  <c r="M5" i="9"/>
  <c r="I5" i="9"/>
  <c r="S5" i="9"/>
  <c r="F5" i="9"/>
  <c r="E5" i="9"/>
  <c r="P6" i="10"/>
  <c r="R17" i="1"/>
  <c r="O17" i="1" s="1" a="1"/>
  <c r="O17" i="1" s="1"/>
  <c r="R49" i="1"/>
  <c r="O49" i="1" s="1" a="1"/>
  <c r="O49" i="1" s="1"/>
  <c r="R20" i="1"/>
  <c r="O20" i="1" s="1" a="1"/>
  <c r="O20" i="1" s="1"/>
  <c r="R40" i="1"/>
  <c r="O40" i="1" s="1" a="1"/>
  <c r="O40" i="1" s="1"/>
  <c r="R60" i="1"/>
  <c r="O60" i="1" s="1" a="1"/>
  <c r="O60" i="1" s="1"/>
  <c r="R21" i="1"/>
  <c r="O21" i="1" s="1" a="1"/>
  <c r="O21" i="1" s="1"/>
  <c r="R41" i="1"/>
  <c r="O41" i="1" s="1" a="1"/>
  <c r="O41" i="1" s="1"/>
  <c r="R61" i="1"/>
  <c r="O61" i="1" s="1" a="1"/>
  <c r="O61" i="1" s="1"/>
  <c r="R65" i="1"/>
  <c r="O65" i="1" s="1" a="1"/>
  <c r="O65" i="1" s="1"/>
  <c r="R66" i="1"/>
  <c r="O66" i="1" s="1" a="1"/>
  <c r="O66" i="1" s="1"/>
  <c r="R47" i="1"/>
  <c r="O47" i="1" s="1" a="1"/>
  <c r="O47" i="1" s="1"/>
  <c r="R68" i="1"/>
  <c r="O68" i="1" s="1" a="1"/>
  <c r="O68" i="1" s="1"/>
  <c r="R26" i="1"/>
  <c r="O26" i="1" s="1" a="1"/>
  <c r="O26" i="1" s="1"/>
  <c r="R69" i="1"/>
  <c r="O69" i="1" s="1" a="1"/>
  <c r="O69" i="1" s="1"/>
  <c r="R22" i="1"/>
  <c r="O22" i="1" s="1" a="1"/>
  <c r="O22" i="1" s="1"/>
  <c r="R42" i="1"/>
  <c r="O42" i="1" s="1" a="1"/>
  <c r="O42" i="1" s="1"/>
  <c r="R62" i="1"/>
  <c r="O62" i="1" s="1" a="1"/>
  <c r="O62" i="1" s="1"/>
  <c r="R24" i="1"/>
  <c r="O24" i="1" s="1" a="1"/>
  <c r="O24" i="1" s="1"/>
  <c r="R64" i="1"/>
  <c r="O64" i="1" s="1" a="1"/>
  <c r="O64" i="1" s="1"/>
  <c r="R5" i="1"/>
  <c r="O5" i="1" s="1" a="1"/>
  <c r="O5" i="1" s="1"/>
  <c r="R45" i="1"/>
  <c r="O45" i="1" s="1" a="1"/>
  <c r="O45" i="1" s="1"/>
  <c r="R46" i="1"/>
  <c r="O46" i="1" s="1" a="1"/>
  <c r="O46" i="1" s="1"/>
  <c r="R23" i="1"/>
  <c r="O23" i="1" s="1" a="1"/>
  <c r="O23" i="1" s="1"/>
  <c r="R43" i="1"/>
  <c r="O43" i="1" s="1" a="1"/>
  <c r="O43" i="1" s="1"/>
  <c r="R63" i="1"/>
  <c r="O63" i="1" s="1" a="1"/>
  <c r="O63" i="1" s="1"/>
  <c r="R44" i="1"/>
  <c r="O44" i="1" s="1" a="1"/>
  <c r="O44" i="1" s="1"/>
  <c r="R25" i="1"/>
  <c r="O25" i="1" s="1" a="1"/>
  <c r="O25" i="1" s="1"/>
  <c r="R6" i="1"/>
  <c r="O6" i="1" s="1" a="1"/>
  <c r="O6" i="1" s="1"/>
  <c r="R27" i="1"/>
  <c r="O27" i="1" s="1" a="1"/>
  <c r="O27" i="1" s="1"/>
  <c r="R10" i="1"/>
  <c r="O10" i="1" s="1" a="1"/>
  <c r="O10" i="1" s="1"/>
  <c r="R30" i="1"/>
  <c r="O30" i="1" s="1" a="1"/>
  <c r="O30" i="1" s="1"/>
  <c r="R50" i="1"/>
  <c r="O50" i="1" s="1" a="1"/>
  <c r="O50" i="1" s="1"/>
  <c r="R70" i="1"/>
  <c r="O70" i="1" s="1" a="1"/>
  <c r="O70" i="1" s="1"/>
  <c r="R11" i="1"/>
  <c r="O11" i="1" s="1" a="1"/>
  <c r="O11" i="1" s="1"/>
  <c r="R31" i="1"/>
  <c r="O31" i="1" s="1" a="1"/>
  <c r="O31" i="1" s="1"/>
  <c r="R51" i="1"/>
  <c r="O51" i="1" s="1" a="1"/>
  <c r="O51" i="1" s="1"/>
  <c r="R71" i="1"/>
  <c r="O71" i="1" s="1" a="1"/>
  <c r="O71" i="1" s="1"/>
  <c r="R18" i="1"/>
  <c r="O18" i="1" s="1" a="1"/>
  <c r="O18" i="1" s="1"/>
  <c r="R19" i="1"/>
  <c r="O19" i="1" s="1" a="1"/>
  <c r="O19" i="1" s="1"/>
  <c r="R12" i="1"/>
  <c r="O12" i="1" s="1" a="1"/>
  <c r="O12" i="1" s="1"/>
  <c r="R32" i="1"/>
  <c r="O32" i="1" s="1" a="1"/>
  <c r="O32" i="1" s="1"/>
  <c r="R52" i="1"/>
  <c r="O52" i="1" s="1" a="1"/>
  <c r="O52" i="1" s="1"/>
  <c r="R72" i="1"/>
  <c r="O72" i="1" s="1" a="1"/>
  <c r="O72" i="1" s="1"/>
  <c r="R35" i="1"/>
  <c r="O35" i="1" s="1" a="1"/>
  <c r="O35" i="1" s="1"/>
  <c r="R67" i="1"/>
  <c r="O67" i="1" s="1" a="1"/>
  <c r="O67" i="1" s="1"/>
  <c r="R9" i="1"/>
  <c r="O9" i="1" s="1" a="1"/>
  <c r="O9" i="1" s="1"/>
  <c r="R13" i="1"/>
  <c r="O13" i="1" s="1" a="1"/>
  <c r="O13" i="1" s="1"/>
  <c r="R33" i="1"/>
  <c r="O33" i="1" s="1" a="1"/>
  <c r="O33" i="1" s="1"/>
  <c r="R53" i="1"/>
  <c r="O53" i="1" s="1" a="1"/>
  <c r="O53" i="1" s="1"/>
  <c r="R73" i="1"/>
  <c r="O73" i="1" s="1" a="1"/>
  <c r="O73" i="1" s="1"/>
  <c r="R75" i="1"/>
  <c r="O75" i="1" s="1" a="1"/>
  <c r="O75" i="1" s="1"/>
  <c r="R7" i="1"/>
  <c r="O7" i="1" s="1" a="1"/>
  <c r="O7" i="1" s="1"/>
  <c r="R28" i="1"/>
  <c r="O28" i="1" s="1" a="1"/>
  <c r="O28" i="1" s="1"/>
  <c r="R29" i="1"/>
  <c r="O29" i="1" s="1" a="1"/>
  <c r="O29" i="1" s="1"/>
  <c r="R14" i="1"/>
  <c r="O14" i="1" s="1" a="1"/>
  <c r="O14" i="1" s="1"/>
  <c r="R34" i="1"/>
  <c r="O34" i="1" s="1" a="1"/>
  <c r="O34" i="1" s="1"/>
  <c r="R54" i="1"/>
  <c r="O54" i="1" s="1" a="1"/>
  <c r="O54" i="1" s="1"/>
  <c r="R74" i="1"/>
  <c r="O74" i="1" s="1" a="1"/>
  <c r="O74" i="1" s="1"/>
  <c r="R15" i="1"/>
  <c r="O15" i="1" s="1" a="1"/>
  <c r="O15" i="1" s="1"/>
  <c r="R55" i="1"/>
  <c r="O55" i="1" s="1" a="1"/>
  <c r="O55" i="1" s="1"/>
  <c r="R37" i="1"/>
  <c r="O37" i="1" s="1" a="1"/>
  <c r="O37" i="1" s="1"/>
  <c r="R58" i="1"/>
  <c r="O58" i="1" s="1" a="1"/>
  <c r="O58" i="1" s="1"/>
  <c r="R39" i="1"/>
  <c r="O39" i="1" s="1" a="1"/>
  <c r="O39" i="1" s="1"/>
  <c r="R48" i="1"/>
  <c r="O48" i="1" s="1" a="1"/>
  <c r="O48" i="1" s="1"/>
  <c r="R16" i="1"/>
  <c r="O16" i="1" s="1" a="1"/>
  <c r="O16" i="1" s="1"/>
  <c r="R36" i="1"/>
  <c r="O36" i="1" s="1" a="1"/>
  <c r="O36" i="1" s="1"/>
  <c r="R56" i="1"/>
  <c r="O56" i="1" s="1" a="1"/>
  <c r="O56" i="1" s="1"/>
  <c r="R76" i="1"/>
  <c r="O76" i="1" s="1" a="1"/>
  <c r="O76" i="1" s="1"/>
  <c r="R57" i="1"/>
  <c r="O57" i="1" s="1" a="1"/>
  <c r="O57" i="1" s="1"/>
  <c r="R38" i="1"/>
  <c r="O38" i="1" s="1" a="1"/>
  <c r="O38" i="1" s="1"/>
  <c r="R59" i="1"/>
  <c r="O59" i="1" s="1" a="1"/>
  <c r="O59" i="1" s="1"/>
  <c r="R8" i="1"/>
  <c r="O8" i="1" s="1" a="1"/>
  <c r="O8" i="1" s="1"/>
  <c r="P54" i="1" l="1"/>
  <c r="P87" i="1"/>
  <c r="P88" i="1"/>
  <c r="P89" i="1"/>
  <c r="P90" i="1"/>
  <c r="P34" i="1"/>
  <c r="P71" i="1"/>
  <c r="P91" i="1"/>
  <c r="P92" i="1"/>
  <c r="P17" i="1"/>
  <c r="P93" i="1"/>
  <c r="P83" i="1"/>
  <c r="P84" i="1"/>
  <c r="P73" i="1"/>
  <c r="P27" i="1"/>
  <c r="P18" i="1"/>
  <c r="P36" i="1"/>
  <c r="P94" i="1"/>
  <c r="P19" i="1"/>
  <c r="P55" i="1"/>
  <c r="P95" i="1"/>
  <c r="P8" i="1"/>
  <c r="P96" i="1"/>
  <c r="P99" i="1"/>
  <c r="P64" i="1"/>
  <c r="P77" i="1"/>
  <c r="P97" i="1"/>
  <c r="P79" i="1"/>
  <c r="P100" i="1"/>
  <c r="P40" i="1"/>
  <c r="P58" i="1"/>
  <c r="P78" i="1"/>
  <c r="P98" i="1"/>
  <c r="P80" i="1"/>
  <c r="P7" i="1"/>
  <c r="P86" i="1"/>
  <c r="P24" i="1"/>
  <c r="P42" i="1"/>
  <c r="P60" i="1"/>
  <c r="P82" i="1"/>
  <c r="P45" i="1"/>
  <c r="P61" i="1"/>
  <c r="P81" i="1"/>
  <c r="P9" i="1"/>
  <c r="P28" i="1"/>
  <c r="P85" i="1"/>
  <c r="P11" i="1"/>
  <c r="P8" i="9"/>
  <c r="P6" i="9"/>
  <c r="P5" i="9"/>
  <c r="P7" i="9"/>
  <c r="P48" i="1"/>
  <c r="P37" i="1"/>
  <c r="P20" i="1"/>
  <c r="P22" i="1"/>
  <c r="P59" i="1"/>
  <c r="P65" i="1"/>
  <c r="P47" i="1"/>
  <c r="P33" i="1"/>
  <c r="P38" i="1"/>
  <c r="P15" i="1"/>
  <c r="P13" i="1"/>
  <c r="P5" i="1"/>
  <c r="P25" i="1"/>
  <c r="P51" i="1"/>
  <c r="P31" i="1"/>
  <c r="P68" i="1"/>
  <c r="P49" i="1"/>
  <c r="P6" i="1"/>
  <c r="P67" i="1"/>
  <c r="P76" i="1"/>
  <c r="P63" i="1"/>
  <c r="P21" i="1"/>
  <c r="P35" i="1"/>
  <c r="P32" i="1"/>
  <c r="P39" i="1"/>
  <c r="P57" i="1"/>
  <c r="P29" i="1"/>
  <c r="P41" i="1"/>
  <c r="P16" i="1"/>
  <c r="P72" i="1"/>
  <c r="P23" i="1"/>
  <c r="P69" i="1"/>
  <c r="P14" i="1"/>
  <c r="P62" i="1"/>
  <c r="P43" i="1"/>
  <c r="P75" i="1"/>
  <c r="P52" i="1"/>
  <c r="P70" i="1"/>
  <c r="P66" i="1"/>
  <c r="P50" i="1"/>
  <c r="P74" i="1"/>
  <c r="P12" i="1"/>
  <c r="P30" i="1"/>
  <c r="P56" i="1"/>
  <c r="P10" i="1"/>
  <c r="P46" i="1"/>
  <c r="P26" i="1"/>
  <c r="P44" i="1"/>
  <c r="P53" i="1"/>
  <c r="U7" i="8"/>
  <c r="G6" i="8" l="1"/>
  <c r="R7" i="8"/>
  <c r="O7" i="8" s="1" a="1"/>
  <c r="O7" i="8" s="1"/>
  <c r="R6" i="8"/>
  <c r="O6" i="8" s="1" a="1"/>
  <c r="O6" i="8" s="1"/>
  <c r="T6" i="8"/>
  <c r="R8" i="8"/>
  <c r="G8" i="8"/>
  <c r="E8" i="8"/>
  <c r="I8" i="8"/>
  <c r="S8" i="8"/>
  <c r="N8" i="8"/>
  <c r="U8" i="8"/>
  <c r="T8" i="8"/>
  <c r="M8" i="8"/>
  <c r="F8" i="8"/>
  <c r="M5" i="8"/>
  <c r="M7" i="8"/>
  <c r="S7" i="8"/>
  <c r="F7" i="8"/>
  <c r="G7" i="8"/>
  <c r="F6" i="8"/>
  <c r="N5" i="8"/>
  <c r="G5" i="8"/>
  <c r="E6" i="8"/>
  <c r="U6" i="8"/>
  <c r="N6" i="8"/>
  <c r="I5" i="8"/>
  <c r="S6" i="8"/>
  <c r="T5" i="8"/>
  <c r="E7" i="8"/>
  <c r="U5" i="8"/>
  <c r="I7" i="8"/>
  <c r="I6" i="8"/>
  <c r="E5" i="8"/>
  <c r="S5" i="8"/>
  <c r="N7" i="8"/>
  <c r="F5" i="8"/>
  <c r="T7" i="8"/>
  <c r="M6" i="8"/>
  <c r="P7" i="8" l="1"/>
  <c r="P5" i="8"/>
  <c r="P6" i="8"/>
  <c r="P8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DEA0A2-88DE-4F2D-AED8-9D856263DB87}" keepAlive="1" name="Query - calculation_arguments" description="Connection to the 'calculation_arguments' query in the workbook." type="5" refreshedVersion="8" background="1" saveData="1">
    <dbPr connection="Provider=Microsoft.Mashup.OleDb.1;Data Source=$Workbook$;Location=calculation_arguments;Extended Properties=&quot;&quot;" command="SELECT * FROM [calculation_arguments]"/>
  </connection>
  <connection id="2" xr16:uid="{D77086A5-2770-4826-8305-24DC7E96C2D2}" keepAlive="1" name="Query - charge_link_periods" description="Connection to the 'charge_link_periods' query in the workbook." type="5" refreshedVersion="8" background="1" saveData="1">
    <dbPr connection="Provider=Microsoft.Mashup.OleDb.1;Data Source=$Workbook$;Location=charge_link_periods;Extended Properties=&quot;&quot;" command="SELECT * FROM [charge_link_periods]"/>
  </connection>
  <connection id="3" xr16:uid="{D0D63BA2-10BF-4D3E-ABDD-2001B5F2EB17}" keepAlive="1" name="Query - charge_price_information_periods" description="Connection to the 'charge_price_information_periods' query in the workbook." type="5" refreshedVersion="8" background="1" saveData="1">
    <dbPr connection="Provider=Microsoft.Mashup.OleDb.1;Data Source=$Workbook$;Location=charge_price_information_periods;Extended Properties=&quot;&quot;" command="SELECT * FROM [charge_price_information_periods]"/>
  </connection>
  <connection id="4" xr16:uid="{085984F3-3543-4CCD-AA61-D71397F04F49}" keepAlive="1" name="Query - charge_price_points" description="Connection to the 'charge_price_points' query in the workbook." type="5" refreshedVersion="8" background="1" saveData="1">
    <dbPr connection="Provider=Microsoft.Mashup.OleDb.1;Data Source=$Workbook$;Location=charge_price_points;Extended Properties=&quot;&quot;" command="SELECT * FROM [charge_price_points]"/>
  </connection>
  <connection id="5" xr16:uid="{1916C1FB-11E3-4722-818C-5A4AF05D4451}" keepAlive="1" name="Query - metering_point_periods" description="Connection to the 'metering_point_periods' query in the workbook." type="5" refreshedVersion="8" background="1" saveData="1">
    <dbPr connection="Provider=Microsoft.Mashup.OleDb.1;Data Source=$Workbook$;Location=metering_point_periods;Extended Properties=&quot;&quot;" command="SELECT * FROM [metering_point_periods]"/>
  </connection>
  <connection id="6" xr16:uid="{51D2991C-2315-4603-ADBE-AD30E33FCD3D}" keepAlive="1" name="Query - time_series_points" description="Connection to the 'time_series_points' query in the workbook." type="5" refreshedVersion="8" background="1" saveData="1">
    <dbPr connection="Provider=Microsoft.Mashup.OleDb.1;Data Source=$Workbook$;Location=time_series_points;Extended Properties=&quot;&quot;" command="SELECT * FROM [time_series_point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<sst xmlns="http://schemas.openxmlformats.org/spreadsheetml/2006/main" count="949" uniqueCount="195">
  <si>
    <t>charge_price</t>
  </si>
  <si>
    <t>170000000000000101</t>
  </si>
  <si>
    <t>tariff</t>
  </si>
  <si>
    <t>180000000000000001</t>
  </si>
  <si>
    <t>090000000000180001</t>
  </si>
  <si>
    <t>180000000000000002</t>
  </si>
  <si>
    <t>170000000000000201</t>
  </si>
  <si>
    <t>charge_code</t>
  </si>
  <si>
    <t>charge_type</t>
  </si>
  <si>
    <t>charge_owner_id</t>
  </si>
  <si>
    <t>metering_point_id</t>
  </si>
  <si>
    <t>quantity</t>
  </si>
  <si>
    <t>resolution</t>
  </si>
  <si>
    <t>is_tax</t>
  </si>
  <si>
    <t>fee</t>
  </si>
  <si>
    <t>subscription</t>
  </si>
  <si>
    <t>PT1H</t>
  </si>
  <si>
    <t>E17</t>
  </si>
  <si>
    <t>D01</t>
  </si>
  <si>
    <t>PT15M</t>
  </si>
  <si>
    <t>E18</t>
  </si>
  <si>
    <t>D07</t>
  </si>
  <si>
    <t>E02</t>
  </si>
  <si>
    <t>D09</t>
  </si>
  <si>
    <t>E20</t>
  </si>
  <si>
    <t>170000000150001000</t>
  </si>
  <si>
    <t>180000000150001000</t>
  </si>
  <si>
    <t>070000000000170201</t>
  </si>
  <si>
    <t>170000000000000102</t>
  </si>
  <si>
    <t>200000000000000001</t>
  </si>
  <si>
    <t>type</t>
  </si>
  <si>
    <t>calculation_type</t>
  </si>
  <si>
    <t>settlement_method</t>
  </si>
  <si>
    <t>grid_area_code</t>
  </si>
  <si>
    <t>from_grid_area_code</t>
  </si>
  <si>
    <t>to_grid_area_code</t>
  </si>
  <si>
    <t>parent_metering_point_id</t>
  </si>
  <si>
    <t>energy_supplier_id</t>
  </si>
  <si>
    <t>1000000000000</t>
  </si>
  <si>
    <t>2000000000000</t>
  </si>
  <si>
    <t>3000000000000</t>
  </si>
  <si>
    <t>4000000000000</t>
  </si>
  <si>
    <t>1100000000000</t>
  </si>
  <si>
    <t>2200000000000</t>
  </si>
  <si>
    <t>3300000000000</t>
  </si>
  <si>
    <t>4400000000000</t>
  </si>
  <si>
    <t>metering_point_type</t>
  </si>
  <si>
    <t>price</t>
  </si>
  <si>
    <t>amount</t>
  </si>
  <si>
    <t>MP type mapping</t>
  </si>
  <si>
    <t>consumption</t>
  </si>
  <si>
    <t>production</t>
  </si>
  <si>
    <t>own_production</t>
  </si>
  <si>
    <t>consumption_from_grid</t>
  </si>
  <si>
    <t>Settlement method mapping</t>
  </si>
  <si>
    <t>flex</t>
  </si>
  <si>
    <t>non_profiled</t>
  </si>
  <si>
    <t>1</t>
  </si>
  <si>
    <t>quality</t>
  </si>
  <si>
    <t>observation_time</t>
  </si>
  <si>
    <t>measured</t>
  </si>
  <si>
    <t>charge_time</t>
  </si>
  <si>
    <t>2023-02-01 23:00:00.000000</t>
  </si>
  <si>
    <t>2023-02-02 23:00:00.000000</t>
  </si>
  <si>
    <t>2023-01-31 23:00:00.000000</t>
  </si>
  <si>
    <t>2023-02-01 02:00:00.000000</t>
  </si>
  <si>
    <t>2023-02-01 02:00:00</t>
  </si>
  <si>
    <t>2023-02-01 02:15:00</t>
  </si>
  <si>
    <t>2023-02-01 02:30:00</t>
  </si>
  <si>
    <t>2023-02-01 02:45:00</t>
  </si>
  <si>
    <t>charge_time_shortened</t>
  </si>
  <si>
    <t>Aggregations</t>
  </si>
  <si>
    <t>quantity_qualities</t>
  </si>
  <si>
    <t>time</t>
  </si>
  <si>
    <t>exchange</t>
  </si>
  <si>
    <t>hour</t>
  </si>
  <si>
    <t>quantity_unit</t>
  </si>
  <si>
    <t>false</t>
  </si>
  <si>
    <t>P1M</t>
  </si>
  <si>
    <t>tariff-hourly-4-co_is_tax</t>
  </si>
  <si>
    <t>from_date</t>
  </si>
  <si>
    <t>to_date</t>
  </si>
  <si>
    <t>6660000000666</t>
  </si>
  <si>
    <t>true</t>
  </si>
  <si>
    <t>calculation_id</t>
  </si>
  <si>
    <t>calculation_execution_time_start</t>
  </si>
  <si>
    <t>calculation_result_id</t>
  </si>
  <si>
    <t>amount_type</t>
  </si>
  <si>
    <t>2023-02-03 02:00:00.000000</t>
  </si>
  <si>
    <t>2023-02-03 02:00:00</t>
  </si>
  <si>
    <t>OutputCombination</t>
  </si>
  <si>
    <t>fee-1</t>
  </si>
  <si>
    <t>fee-2</t>
  </si>
  <si>
    <t>fee-3</t>
  </si>
  <si>
    <t>subscription-1</t>
  </si>
  <si>
    <t>subscription-2</t>
  </si>
  <si>
    <t>subscription-3</t>
  </si>
  <si>
    <t>tariff-hourly-1</t>
  </si>
  <si>
    <t>tariff-hourly-2</t>
  </si>
  <si>
    <t>tariff-hourly-3</t>
  </si>
  <si>
    <t>tariff-daily-1</t>
  </si>
  <si>
    <t>tariff-daily-2</t>
  </si>
  <si>
    <t>tariff-daily-3-co_is_tax</t>
  </si>
  <si>
    <t>0000000000800</t>
  </si>
  <si>
    <t>P1D</t>
  </si>
  <si>
    <t>tariff-daily-4-co_is_not_tax</t>
  </si>
  <si>
    <t>800</t>
  </si>
  <si>
    <t>801</t>
  </si>
  <si>
    <t>180000000000000111</t>
  </si>
  <si>
    <t>111</t>
  </si>
  <si>
    <t>170000000000000111</t>
  </si>
  <si>
    <t>balance_responsible_party_id</t>
  </si>
  <si>
    <t>2016-12-31 23:00:00</t>
  </si>
  <si>
    <t>2.5</t>
  </si>
  <si>
    <t>quantity_quantified</t>
  </si>
  <si>
    <t>2023-01-31 23:00:00</t>
  </si>
  <si>
    <t>2023-02-03 23:00:00</t>
  </si>
  <si>
    <t>mapped</t>
  </si>
  <si>
    <t>Mapped</t>
  </si>
  <si>
    <t>0.908602</t>
  </si>
  <si>
    <t>0.001</t>
  </si>
  <si>
    <t>charge_price_quantified</t>
  </si>
  <si>
    <t>20</t>
  </si>
  <si>
    <t>3</t>
  </si>
  <si>
    <t>10</t>
  </si>
  <si>
    <t>7.654321</t>
  </si>
  <si>
    <t>666.666666</t>
  </si>
  <si>
    <t>5</t>
  </si>
  <si>
    <t>3.357</t>
  </si>
  <si>
    <t>40.159</t>
  </si>
  <si>
    <t>100000</t>
  </si>
  <si>
    <t>ga</t>
  </si>
  <si>
    <t>es</t>
  </si>
  <si>
    <t>Charge_resolution</t>
  </si>
  <si>
    <t>Date range - day by day</t>
  </si>
  <si>
    <t>day</t>
  </si>
  <si>
    <t>grid_area</t>
  </si>
  <si>
    <t>charge_time_day</t>
  </si>
  <si>
    <t>Select tariff:</t>
  </si>
  <si>
    <t>Limitations</t>
  </si>
  <si>
    <t>Does not calculate grid loss - if your GLMP/SKMP has tariffs, these will not be properly calculated and aggregated</t>
  </si>
  <si>
    <t xml:space="preserve">Does  not account for charge elements or charge links stopping in calculation period. E.g. it is assumed that price element and charge links exists for all of calculation period. </t>
  </si>
  <si>
    <t>Does not properly assess quantity_qualities (can only distinguish between 'missing' and 'measured')</t>
  </si>
  <si>
    <t>Day1</t>
  </si>
  <si>
    <t>Day2</t>
  </si>
  <si>
    <t>Day3</t>
  </si>
  <si>
    <t>Day4</t>
  </si>
  <si>
    <t>whichday</t>
  </si>
  <si>
    <t>whichdayFromDay</t>
  </si>
  <si>
    <t>whichToDay</t>
  </si>
  <si>
    <t>2023-02-01 23:00:00</t>
  </si>
  <si>
    <t>2023-02-02 23:00:00</t>
  </si>
  <si>
    <t>2019-06-06 23:00:00</t>
  </si>
  <si>
    <t>2</t>
  </si>
  <si>
    <t>2023-02-04 23:00:00</t>
  </si>
  <si>
    <t>Quantity_quantified</t>
  </si>
  <si>
    <t>subscription-1--0000000000800--2000000000000--production--111</t>
  </si>
  <si>
    <t/>
  </si>
  <si>
    <t>2016-01-31 23:00:00</t>
  </si>
  <si>
    <t>Original_content</t>
  </si>
  <si>
    <t xml:space="preserve">  calculation_id: '0b15a420-9fc8-409a-a169-fbd49479d718'</t>
  </si>
  <si>
    <t xml:space="preserve">  period_start: '2023-01-31 23:00:00'</t>
  </si>
  <si>
    <t xml:space="preserve">  period_end: '2023-02-03 23:00:00'</t>
  </si>
  <si>
    <t xml:space="preserve">  calculation_type: 'wholesale_fixing'</t>
  </si>
  <si>
    <t xml:space="preserve">  calculation_execution_time_start: '2024-01-01 23:00:00'</t>
  </si>
  <si>
    <t xml:space="preserve">  created_by_user_id: '00000000-0000-0000-00000000000000001'</t>
  </si>
  <si>
    <t>- grid_areas: [ '800', '111' ]</t>
  </si>
  <si>
    <t>180000000000001111</t>
  </si>
  <si>
    <t>170000000000001111</t>
  </si>
  <si>
    <t>200000000000000111</t>
  </si>
  <si>
    <t>112</t>
  </si>
  <si>
    <t>Grid areas:</t>
  </si>
  <si>
    <t>Period start:</t>
  </si>
  <si>
    <t>Period end:</t>
  </si>
  <si>
    <t>Calculation type</t>
  </si>
  <si>
    <t>Calculation execution time start</t>
  </si>
  <si>
    <t>Calculation id:</t>
  </si>
  <si>
    <t>2023-02-01 03:00:00</t>
  </si>
  <si>
    <t>2.01</t>
  </si>
  <si>
    <t>7</t>
  </si>
  <si>
    <t>2023-02-01 03:15:00</t>
  </si>
  <si>
    <t>2023-02-01 03:30:00</t>
  </si>
  <si>
    <t>2023-02-01 03:45:00</t>
  </si>
  <si>
    <t>600</t>
  </si>
  <si>
    <t>2023-02-01 04:00:00</t>
  </si>
  <si>
    <t>99</t>
  </si>
  <si>
    <t>55</t>
  </si>
  <si>
    <t>22</t>
  </si>
  <si>
    <t>19</t>
  </si>
  <si>
    <t>2.99</t>
  </si>
  <si>
    <t>2023-02-03 03:00:00.000000</t>
  </si>
  <si>
    <t>2023-02-03 04:00:00.000000</t>
  </si>
  <si>
    <t>fee-3--0000000000800--2000000000000--production--800</t>
  </si>
  <si>
    <t>tariff-hourly-3--0000000000800--2000000000000--production--800</t>
  </si>
  <si>
    <t>tariff-daily-1--0000000000800--3000000000000--consumption--800--non_profiled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</si>
</sst>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\ hh:mm:ss"/>
    <numFmt numFmtId="165" formatCode="0.000"/>
    <numFmt numFmtId="166" formatCode="yyyy/mm/dd"/>
  </numFmts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0" tint="-0.499984740745262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165" fontId="0" fillId="2" borderId="0" xfId="0" applyNumberFormat="1" applyFill="1"/>
    <xf numFmtId="0" fontId="2" fillId="2" borderId="0" xfId="0" applyFont="1" applyFill="1"/>
    <xf numFmtId="49" fontId="0" fillId="2" borderId="0" xfId="0" applyNumberFormat="1" applyFill="1"/>
    <xf numFmtId="0" fontId="3" fillId="2" borderId="0" xfId="0" applyFont="1" applyFill="1"/>
    <xf numFmtId="0" fontId="3" fillId="4" borderId="0" xfId="0" applyFont="1" applyFill="1"/>
    <xf numFmtId="165" fontId="3" fillId="4" borderId="0" xfId="0" applyNumberFormat="1" applyFont="1" applyFill="1"/>
    <xf numFmtId="0" fontId="4" fillId="2" borderId="0" xfId="0" applyFont="1" applyFill="1"/>
    <xf numFmtId="0" fontId="5" fillId="2" borderId="0" xfId="0" applyFont="1" applyFill="1"/>
    <xf numFmtId="0" fontId="0" fillId="4" borderId="0" xfId="0" applyFill="1"/>
    <xf numFmtId="165" fontId="0" fillId="4" borderId="0" xfId="0" applyNumberFormat="1" applyFill="1"/>
    <xf numFmtId="49" fontId="2" fillId="2" borderId="0" xfId="0" applyNumberFormat="1" applyFont="1" applyFill="1"/>
    <xf numFmtId="0" fontId="6" fillId="5" borderId="0" xfId="0" applyFont="1" applyFill="1"/>
    <xf numFmtId="166" fontId="6" fillId="5" borderId="0" xfId="0" applyNumberFormat="1" applyFont="1" applyFill="1"/>
    <xf numFmtId="164" fontId="6" fillId="5" borderId="0" xfId="0" applyNumberFormat="1" applyFont="1" applyFill="1"/>
    <xf numFmtId="49" fontId="6" fillId="5" borderId="0" xfId="0" applyNumberFormat="1" applyFont="1" applyFill="1"/>
    <xf numFmtId="0" fontId="3" fillId="0" borderId="0" xfId="0" applyFont="1"/>
    <xf numFmtId="49" fontId="3" fillId="0" borderId="0" xfId="0" applyNumberFormat="1" applyFont="1"/>
    <xf numFmtId="49" fontId="4" fillId="3" borderId="1" xfId="0" applyNumberFormat="1" applyFont="1" applyFill="1" applyBorder="1" applyAlignment="1">
      <alignment horizontal="left"/>
    </xf>
    <xf numFmtId="49" fontId="4" fillId="3" borderId="2" xfId="0" applyNumberFormat="1" applyFont="1" applyFill="1" applyBorder="1" applyAlignment="1">
      <alignment horizontal="left"/>
    </xf>
    <xf numFmtId="49" fontId="4" fillId="3" borderId="3" xfId="0" applyNumberFormat="1" applyFont="1" applyFill="1" applyBorder="1" applyAlignment="1">
      <alignment horizontal="left"/>
    </xf>
    <xf numFmtId="0" fontId="3" fillId="0" borderId="0" xfId="0" applyNumberFormat="1" applyFont="1" applyFill="1"/>
    <xf numFmtId="0" fontId="7" fillId="6" borderId="0" xfId="0" applyFont="1" applyFill="1"/>
    <xf numFmtId="0" fontId="3" fillId="0" borderId="0" xfId="0" applyFont="1" applyFill="1"/>
    <xf numFmtId="0" fontId="6" fillId="6" borderId="0" xfId="0" applyFont="1" applyFill="1"/>
    <xf numFmtId="49" fontId="3" fillId="0" borderId="0" xfId="0" applyNumberFormat="1" applyFont="1" applyFill="1"/>
  </cellXfs>
  <cellStyles count="1">
    <cellStyle name="Normal" xfId="0" builtinId="0"/>
  </cellStyles>
  <dxfs count="166"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0.000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numFmt numFmtId="165" formatCode="0.000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Aptos Narrow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Aptos Narrow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theme="0" tint="-0.34998626667073579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0.000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0.000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0.000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fill>
        <patternFill patternType="solid">
          <fgColor rgb="FF000000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165" formatCode="0.000"/>
      <fill>
        <patternFill patternType="solid">
          <fgColor indexed="64"/>
          <bgColor rgb="FFFFFFCC"/>
        </patternFill>
      </fill>
    </dxf>
    <dxf>
      <numFmt numFmtId="165" formatCode="0.000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0.000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0.000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0.000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0.000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0.000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fill>
        <patternFill patternType="solid">
          <fgColor rgb="FF000000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2BB081-86F6-4754-A2AB-DFA238DF1A97}" autoFormatId="16" applyNumberFormats="0" applyBorderFormats="0" applyFontFormats="0" applyPatternFormats="0" applyAlignmentFormats="0" applyWidthHeightFormats="0">
  <queryTableRefresh nextId="2">
    <queryTableFields count="1">
      <queryTableField id="1" name="Original_content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EA50269-F714-474D-873A-BB08C030C74B}" autoFormatId="16" applyNumberFormats="0" applyBorderFormats="0" applyFontFormats="0" applyPatternFormats="0" applyAlignmentFormats="0" applyWidthHeightFormats="0">
  <queryTableRefresh nextId="16" unboundColumnsRight="1">
    <queryTableFields count="14">
      <queryTableField id="1" name="metering_point_id" tableColumnId="1"/>
      <queryTableField id="2" name="type" tableColumnId="2"/>
      <queryTableField id="3" name="calculation_type" tableColumnId="3"/>
      <queryTableField id="4" name="settlement_method" tableColumnId="4"/>
      <queryTableField id="5" name="grid_area_code" tableColumnId="5"/>
      <queryTableField id="6" name="resolution" tableColumnId="6"/>
      <queryTableField id="7" name="from_grid_area_code" tableColumnId="7"/>
      <queryTableField id="8" name="to_grid_area_code" tableColumnId="8"/>
      <queryTableField id="9" name="parent_metering_point_id" tableColumnId="9"/>
      <queryTableField id="10" name="energy_supplier_id" tableColumnId="10"/>
      <queryTableField id="11" name="balance_responsible_party_id" tableColumnId="11"/>
      <queryTableField id="12" name="from_date" tableColumnId="12"/>
      <queryTableField id="13" name="to_date" tableColumnId="13"/>
      <queryTableField id="15" dataBound="0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0E223011-D80E-486F-8524-22F49C9EFD60}" autoFormatId="16" applyNumberFormats="0" applyBorderFormats="0" applyFontFormats="0" applyPatternFormats="0" applyAlignmentFormats="0" applyWidthHeightFormats="0">
  <queryTableRefresh nextId="13" unboundColumnsRight="8">
    <queryTableFields count="12">
      <queryTableField id="1" name="metering_point_id" tableColumnId="1"/>
      <queryTableField id="2" name="quantity" tableColumnId="2"/>
      <queryTableField id="3" name="quality" tableColumnId="3"/>
      <queryTableField id="4" name="observation_time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CF6C49F-1CC5-412A-A26A-9BDF1BEE6183}" autoFormatId="16" applyNumberFormats="0" applyBorderFormats="0" applyFontFormats="0" applyPatternFormats="0" applyAlignmentFormats="0" applyWidthHeightFormats="0">
  <queryTableRefresh nextId="8">
    <queryTableFields count="7">
      <queryTableField id="1" name="charge_code" tableColumnId="1"/>
      <queryTableField id="2" name="charge_type" tableColumnId="2"/>
      <queryTableField id="3" name="charge_owner_id" tableColumnId="3"/>
      <queryTableField id="4" name="resolution" tableColumnId="4"/>
      <queryTableField id="5" name="is_tax" tableColumnId="5"/>
      <queryTableField id="6" name="from_date" tableColumnId="6"/>
      <queryTableField id="7" name="to_date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4728047-3585-4204-8D84-9CBF37C7BFC2}" autoFormatId="16" applyNumberFormats="0" applyBorderFormats="0" applyFontFormats="0" applyPatternFormats="0" applyAlignmentFormats="0" applyWidthHeightFormats="0">
  <queryTableRefresh nextId="17" unboundColumnsRight="9">
    <queryTableFields count="16">
      <queryTableField id="1" name="charge_code" tableColumnId="1"/>
      <queryTableField id="2" name="charge_type" tableColumnId="2"/>
      <queryTableField id="3" name="charge_owner_id" tableColumnId="3"/>
      <queryTableField id="4" name="metering_point_id" tableColumnId="4"/>
      <queryTableField id="5" name="quantity" tableColumnId="5"/>
      <queryTableField id="6" name="from_date" tableColumnId="6"/>
      <queryTableField id="7" name="to_date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F903BC94-0172-4029-977A-67204200023F}" autoFormatId="16" applyNumberFormats="0" applyBorderFormats="0" applyFontFormats="0" applyPatternFormats="0" applyAlignmentFormats="0" applyWidthHeightFormats="0">
  <queryTableRefresh nextId="9" unboundColumnsRight="3">
    <queryTableFields count="8">
      <queryTableField id="1" name="charge_code" tableColumnId="1"/>
      <queryTableField id="2" name="charge_type" tableColumnId="2"/>
      <queryTableField id="3" name="charge_owner_id" tableColumnId="3"/>
      <queryTableField id="4" name="charge_price" tableColumnId="4"/>
      <queryTableField id="5" name="charge_time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AADA5DB-0BFB-429D-972F-F9681FB8402D}" name="OutPut1011" displayName="OutPut1011" ref="B4:U8" totalsRowShown="0" headerRowDxfId="165" dataDxfId="164">
  <autoFilter ref="B4:U8" xr:uid="{D2FF87A6-8F25-416A-AF7A-DA3500DDFC40}"/>
  <tableColumns count="20">
    <tableColumn id="17" xr3:uid="{6C4FF581-7A09-4E03-A877-4D6DE30695C1}" name="calculation_id" dataDxfId="163">
      <calculatedColumnFormula>IF(OutPut1011[[#This Row],[time]]="","",CalculationId)</calculatedColumnFormula>
    </tableColumn>
    <tableColumn id="18" xr3:uid="{9FC972C6-093D-4EEB-A2BC-4C5568B583DC}" name="calculation_type" dataDxfId="162">
      <calculatedColumnFormula>IF(OutPut1011[[#This Row],[time]]="","",CalculationType)</calculatedColumnFormula>
    </tableColumn>
    <tableColumn id="19" xr3:uid="{28EF63D3-20C6-47B9-B732-D9DBCE627E44}" name="calculation_execution_time_start" dataDxfId="161">
      <calculatedColumnFormula>IF(OutPut1011[[#This Row],[time]]="","",CalculationExecutionTimeStart)</calculatedColumnFormula>
    </tableColumn>
    <tableColumn id="20" xr3:uid="{B542ECDE-75E5-46BE-BA7F-BF0AE34B7430}" name="calculation_result_id" dataDxfId="160">
      <calculatedColumnFormula>IF(OutPut1011[[#This Row],[time]]="","","IGNORED")</calculatedColumnFormula>
    </tableColumn>
    <tableColumn id="2" xr3:uid="{A55242AB-2425-4412-9647-30D9C10BB124}" name="grid_area_code" dataDxfId="159">
      <calculatedColumnFormula>IF(OutPut1011[[#This Row],[time]]="","",G$3)</calculatedColumnFormula>
    </tableColumn>
    <tableColumn id="3" xr3:uid="{30B16759-23FA-47E3-9652-58F49E19581C}" name="energy_supplier_id" dataDxfId="158">
      <calculatedColumnFormula>IF(OutPut1011[[#This Row],[time]]="","",$E$3)</calculatedColumnFormula>
    </tableColumn>
    <tableColumn id="4" xr3:uid="{257418CC-C4DA-433E-9656-71A609B017D1}" name="quantity" dataDxfId="157">
      <calculatedColumnFormula>IF(OutPut1011[[#This Row],[time]]="","",SUMIFS(charge_link_periods[Quantity_quantified],charge_link_periods[OutputCombination],C$1,charge_link_periods[whichdayFromDay],X5))</calculatedColumnFormula>
    </tableColumn>
    <tableColumn id="5" xr3:uid="{7A0A3EE7-8623-4064-B5FB-B201DD517F49}" name="quantity_unit" dataDxfId="156">
      <calculatedColumnFormula>IF(OutPut1011[[#This Row],[time]]="","","pcs")</calculatedColumnFormula>
    </tableColumn>
    <tableColumn id="6" xr3:uid="{6BB672EB-598A-4007-A2F8-99E3651F2EEA}" name="quantity_qualities" dataDxfId="155"/>
    <tableColumn id="7" xr3:uid="{BD29D916-4FAA-4BD8-ABF3-2BADA65D3AD2}" name="time" dataDxfId="154">
      <calculatedColumnFormula>IF(COUNTIFS(charge_link_periods[whichdayFromDay],X5,charge_link_periods[OutputCombination],C$1)&gt;0,IF('calculation_arguments'!J4="","",_xlfn.CONCAT('calculation_arguments'!J4," 23:00:00")),"")</calculatedColumnFormula>
    </tableColumn>
    <tableColumn id="8" xr3:uid="{35574B58-0F97-474C-B3D1-2AF6E9BEBC36}" name="resolution" dataDxfId="153">
      <calculatedColumnFormula>IF(OutPut1011[[#This Row],[time]]="","","P1D")</calculatedColumnFormula>
    </tableColumn>
    <tableColumn id="9" xr3:uid="{848A124C-B8AD-4613-A315-5DC0A487C6AD}" name="metering_point_type" dataDxfId="152">
      <calculatedColumnFormula>IF(OutPut1011[[#This Row],[time]]="","",$F$3)</calculatedColumnFormula>
    </tableColumn>
    <tableColumn id="10" xr3:uid="{F2B6D6BB-6B09-4FD9-8060-469C2836998D}" name="settlement_method" dataDxfId="151">
      <calculatedColumnFormula>IF(OutPut1011[[#This Row],[time]]="","",IF($H$3="","",$H$3))</calculatedColumnFormula>
    </tableColumn>
    <tableColumn id="11" xr3:uid="{CBA1B0CA-6822-4844-8F48-97E1A46D661A}" name="price" dataDxfId="150">
      <calculatedColumnFormula>IF(OutPut1011[[#This Row],[time]]="","",IF(SUMIFS(charge_price_points[charge_price_quantified],charge_price_points[charge_time_shortened],OutPut1011[[#This Row],[time]],charge_price_points[charge_code],OutPut1011[[#This Row],[charge_code]])=0,"",SUBSTITUTE(SUMIFS(charge_price_points[charge_price_quantified],charge_price_points[charge_time_shortened],OutPut1011[[#This Row],[time]],charge_price_points[charge_code],OutPut1011[[#This Row],[charge_code]]),",",".")))</calculatedColumnFormula>
    </tableColumn>
    <tableColumn id="12" xr3:uid="{E81279EE-62EA-4B15-BEBC-10AD734B9CF7}" name="amount" dataDxfId="149">
      <calculatedColumnFormula>IFERROR(SUBSTITUTE(SUBSTITUTE(OutPut1011[[#This Row],[price]],".",",")*SUBSTITUTE(OutPut1011[[#This Row],[quantity]],".",","),",","."),"")</calculatedColumnFormula>
    </tableColumn>
    <tableColumn id="13" xr3:uid="{12F2C78F-1A47-4355-8665-B23F65E21FD3}" name="is_tax" dataDxfId="148">
      <calculatedColumnFormula>IF(OutPut1011[[#This Row],[time]]="","",VLOOKUP(C$3,charge_price_information_periods[],5,FALSE))</calculatedColumnFormula>
    </tableColumn>
    <tableColumn id="14" xr3:uid="{49179731-BB1F-4F6B-9415-9540A3A8A74E}" name="charge_code" dataDxfId="147">
      <calculatedColumnFormula>IF(OutPut1011[[#This Row],[time]]="","",$C$3)</calculatedColumnFormula>
    </tableColumn>
    <tableColumn id="15" xr3:uid="{55B814FF-5E3E-4095-90AC-0E2CBE99DEAA}" name="charge_type" dataDxfId="146">
      <calculatedColumnFormula>IF(OutPut1011[[#This Row],[time]]="","","fee")</calculatedColumnFormula>
    </tableColumn>
    <tableColumn id="16" xr3:uid="{D074830B-6D39-46E5-93EB-0EAEE96C54A1}" name="charge_owner_id" dataDxfId="145">
      <calculatedColumnFormula>IF(OutPut1011[[#This Row],[time]]="","",$D$3)</calculatedColumnFormula>
    </tableColumn>
    <tableColumn id="1" xr3:uid="{22C171CE-7BFD-4CBA-AF95-D75D809F7C62}" name="amount_type" dataDxfId="144">
      <calculatedColumnFormula>IF(OutPut1011[[#This Row],[time]]="","","amount_per_charge")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42DE6EC-43FD-4733-9934-D05A3193884B}" name="OutPut101112" displayName="OutPut101112" ref="B4:U8" totalsRowShown="0" headerRowDxfId="101" dataDxfId="100">
  <autoFilter ref="B4:U8" xr:uid="{D2FF87A6-8F25-416A-AF7A-DA3500DDFC40}"/>
  <tableColumns count="20">
    <tableColumn id="17" xr3:uid="{BC5F005A-5086-4086-9AC9-20060BA07EA6}" name="calculation_id" dataDxfId="99">
      <calculatedColumnFormula>IF(OutPut101112[[#This Row],[time]]="","",CalculationId)</calculatedColumnFormula>
    </tableColumn>
    <tableColumn id="18" xr3:uid="{4B48CCE8-95E7-4DAC-8F81-FD6914E28F7D}" name="calculation_type" dataDxfId="98">
      <calculatedColumnFormula>IF(OutPut101112[[#This Row],[time]]="","",CalculationType)</calculatedColumnFormula>
    </tableColumn>
    <tableColumn id="19" xr3:uid="{776CEC28-C1F5-45F3-8D4E-D8A6E74F097C}" name="calculation_execution_time_start" dataDxfId="97">
      <calculatedColumnFormula>IF(OutPut101112[[#This Row],[time]]="","",CalculationExecutionTimeStart)</calculatedColumnFormula>
    </tableColumn>
    <tableColumn id="20" xr3:uid="{5F6299EA-100B-44B7-B9E9-24AF333175FB}" name="calculation_result_id" dataDxfId="96">
      <calculatedColumnFormula>IF(OutPut101112[[#This Row],[time]]="","","IGNORED")</calculatedColumnFormula>
    </tableColumn>
    <tableColumn id="2" xr3:uid="{61F58A90-C71C-4743-BDD8-FCD02DD09DE0}" name="grid_area_code" dataDxfId="95">
      <calculatedColumnFormula>IF(OutPut101112[[#This Row],[time]]="","",G$3)</calculatedColumnFormula>
    </tableColumn>
    <tableColumn id="3" xr3:uid="{D71B4F24-D202-4340-B2F3-3E5909835F92}" name="energy_supplier_id" dataDxfId="94">
      <calculatedColumnFormula>IF(OutPut101112[[#This Row],[time]]="","",$E$3)</calculatedColumnFormula>
    </tableColumn>
    <tableColumn id="4" xr3:uid="{A8787DE5-9489-4CAE-9EC4-A58389C7890D}" name="quantity" dataDxfId="93">
      <calculatedColumnFormula>IF(OutPut101112[[#This Row],[time]]="","",SUMIF(charge_link_periods[OutputCombination],C$1,charge_link_periods[Quantity_quantified]))</calculatedColumnFormula>
    </tableColumn>
    <tableColumn id="5" xr3:uid="{5C16E795-E71A-4086-BF86-C18E08F56469}" name="quantity_unit" dataDxfId="92">
      <calculatedColumnFormula>IF(OutPut101112[[#This Row],[time]]="","","pcs")</calculatedColumnFormula>
    </tableColumn>
    <tableColumn id="6" xr3:uid="{24397C5D-D342-452A-A3FC-7130C49BB2DA}" name="quantity_qualities" dataDxfId="91"/>
    <tableColumn id="7" xr3:uid="{4C307E2F-D6CA-4917-BDE4-F31C59B548AE}" name="time" dataDxfId="90">
      <calculatedColumnFormula>IF('calculation_arguments'!J4="","",_xlfn.CONCAT('calculation_arguments'!J4," 23:00:00"))</calculatedColumnFormula>
    </tableColumn>
    <tableColumn id="8" xr3:uid="{8CE849A3-6B68-436B-BB04-BE9026316703}" name="resolution" dataDxfId="89">
      <calculatedColumnFormula>IF(OutPut101112[[#This Row],[time]]="","","P1D")</calculatedColumnFormula>
    </tableColumn>
    <tableColumn id="9" xr3:uid="{69B0EDC9-439E-40F4-A0BB-E677B6AAA850}" name="metering_point_type" dataDxfId="88">
      <calculatedColumnFormula>IF(OutPut101112[[#This Row],[time]]="","",$F$3)</calculatedColumnFormula>
    </tableColumn>
    <tableColumn id="10" xr3:uid="{DE94DC75-A9D1-41BE-BF6E-8EDF4071788D}" name="settlement_method" dataDxfId="87">
      <calculatedColumnFormula>IF(OutPut101112[[#This Row],[time]]="","",IF($H$3="","",$H$3))</calculatedColumnFormula>
    </tableColumn>
    <tableColumn id="11" xr3:uid="{A33FFDCD-3983-4454-AFE9-93A385A9177D}" name="price" dataDxfId="86">
      <calculatedColumnFormula>IF(OutPut101112[[#This Row],[time]]="","",SUBSTITUTE(ROUND(SUMIFS(charge_price_points[charge_price_quantified],charge_price_points[charge_code],OutPut101112[[#This Row],[charge_code]])/COUNTIF(OutPut101112[resolution],"P1D"),6),",","."))</calculatedColumnFormula>
    </tableColumn>
    <tableColumn id="12" xr3:uid="{B223B745-F9DE-4513-A856-41F70B79D979}" name="amount" dataDxfId="85">
      <calculatedColumnFormula>IFERROR(SUBSTITUTE(SUBSTITUTE(OutPut101112[[#This Row],[price]],".",",")*SUBSTITUTE(OutPut101112[[#This Row],[quantity]],".",","),",","."),"")</calculatedColumnFormula>
    </tableColumn>
    <tableColumn id="13" xr3:uid="{CF5360BC-022B-49CB-BEF6-FD2960F34EBF}" name="is_tax" dataDxfId="84">
      <calculatedColumnFormula>IF(OutPut101112[[#This Row],[time]]="","",VLOOKUP(C$3,charge_price_information_periods[],5,FALSE))</calculatedColumnFormula>
    </tableColumn>
    <tableColumn id="14" xr3:uid="{C195B9B6-595D-4175-B98A-DB083AA3365F}" name="charge_code" dataDxfId="83">
      <calculatedColumnFormula>IF(OutPut101112[[#This Row],[time]]="","",$C$3)</calculatedColumnFormula>
    </tableColumn>
    <tableColumn id="15" xr3:uid="{D67AAB62-93D3-49CB-B35A-6162CBB77E28}" name="charge_type" dataDxfId="82">
      <calculatedColumnFormula>IF(OutPut101112[[#This Row],[time]]="","","subscription")</calculatedColumnFormula>
    </tableColumn>
    <tableColumn id="16" xr3:uid="{7DA72576-56D5-44F0-8E21-E21820BD8424}" name="charge_owner_id" dataDxfId="81">
      <calculatedColumnFormula>IF(OutPut101112[[#This Row],[time]]="","",$D$3)</calculatedColumnFormula>
    </tableColumn>
    <tableColumn id="1" xr3:uid="{6049258A-0DC2-421B-831B-D6DA7A5426C4}" name="amount_type" dataDxfId="80">
      <calculatedColumnFormula>IF(OutPut101112[[#This Row],[time]]="","","amount_per_charge")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FF87A6-8F25-416A-AF7A-DA3500DDFC40}" name="OutPut" displayName="OutPut" ref="B4:U100" totalsRowShown="0" headerRowDxfId="122" dataDxfId="121">
  <autoFilter ref="B4:U100" xr:uid="{D2FF87A6-8F25-416A-AF7A-DA3500DDFC40}"/>
  <tableColumns count="20">
    <tableColumn id="17" xr3:uid="{F4A59025-41CA-47AD-952B-2428959E8A50}" name="calculation_id" dataDxfId="120">
      <calculatedColumnFormula>IF(OutPut[[#This Row],[time]]="","",CalculationId)</calculatedColumnFormula>
    </tableColumn>
    <tableColumn id="18" xr3:uid="{F095173D-E1DC-4697-B288-D95D5945D253}" name="calculation_type" dataDxfId="119">
      <calculatedColumnFormula>IF(OutPut[[#This Row],[time]]="","",CalculationType)</calculatedColumnFormula>
    </tableColumn>
    <tableColumn id="19" xr3:uid="{2C01FBCF-AEED-47E5-874A-D9CB2BD9D409}" name="calculation_execution_time_start" dataDxfId="118">
      <calculatedColumnFormula>IF(OutPut[[#This Row],[time]]="","",CalculationExecutionTimeStart)</calculatedColumnFormula>
    </tableColumn>
    <tableColumn id="20" xr3:uid="{37341BB6-4D32-46E1-825A-6DF5D1A0D770}" name="calculation_result_id" dataDxfId="117">
      <calculatedColumnFormula>IF(OutPut[[#This Row],[time]]="","","IGNORED")</calculatedColumnFormula>
    </tableColumn>
    <tableColumn id="2" xr3:uid="{0DDB3581-9EFD-4CD5-A5E4-AA25CC64A8EA}" name="grid_area_code" dataDxfId="116">
      <calculatedColumnFormula>IF(OutPut[[#This Row],[time]]="","",G$3)</calculatedColumnFormula>
    </tableColumn>
    <tableColumn id="3" xr3:uid="{9ECD4A31-B204-4AAA-BCE0-A55479D4D6F9}" name="energy_supplier_id" dataDxfId="115">
      <calculatedColumnFormula>IF(OutPut[[#This Row],[time]]="","",$E$3)</calculatedColumnFormula>
    </tableColumn>
    <tableColumn id="4" xr3:uid="{08094514-49A8-4D25-A69E-A75EB3232592}" name="quantity" dataDxfId="114">
      <calculatedColumnFormula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calculatedColumnFormula>
    </tableColumn>
    <tableColumn id="5" xr3:uid="{88D10A42-9475-42BD-ADCA-A3FFA72BC973}" name="quantity_unit" dataDxfId="113">
      <calculatedColumnFormula>IF(OutPut[[#This Row],[time]]="","","kWh")</calculatedColumnFormula>
    </tableColumn>
    <tableColumn id="6" xr3:uid="{A3DD608C-4E56-40B0-B1F7-95AC815014A7}" name="quantity_qualities" dataDxfId="112">
      <calculatedColumnFormula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calculatedColumnFormula>
    </tableColumn>
    <tableColumn id="7" xr3:uid="{FBD9FA55-93F5-4E1A-96F5-ED949010179F}" name="time" dataDxfId="111">
      <calculatedColumnFormula>'calculation_arguments'!H3</calculatedColumnFormula>
    </tableColumn>
    <tableColumn id="8" xr3:uid="{9932B718-7F22-4D96-BEE4-F0152DC66C3C}" name="resolution" dataDxfId="110">
      <calculatedColumnFormula>IF(OutPut[[#This Row],[time]]="","","PT1H")</calculatedColumnFormula>
    </tableColumn>
    <tableColumn id="9" xr3:uid="{E64C45EC-3ECC-46FF-85E7-A6E4C66A6B05}" name="metering_point_type" dataDxfId="109">
      <calculatedColumnFormula>IF(OutPut[[#This Row],[time]]="","",$F$3)</calculatedColumnFormula>
    </tableColumn>
    <tableColumn id="10" xr3:uid="{0EF4D2F5-DCAF-46F8-9394-603FD6C1F55C}" name="settlement_method" dataDxfId="108">
      <calculatedColumnFormula>IF(OutPut[[#This Row],[time]]="","",IF($H$3="","",$H$3))</calculatedColumnFormula>
    </tableColumn>
    <tableColumn id="11" xr3:uid="{DBC31B41-AB04-4AC3-9F13-BFC4F3EEAA92}" name="price" dataDxfId="59">
      <calculatedColumnFormula array="1">IF(OutPut[[#This Row],[time]]="","",IFERROR(_xlfn.UNIQUE(INDEX(_xlfn._xlws.FILTER(charge_price_points[],(charge_price_points[charge_time_shortened]=OutPut[[#This Row],[time]])*(charge_price_points[charge_code]=OutPut[[#This Row],[charge_code]])),,4)),""))</calculatedColumnFormula>
    </tableColumn>
    <tableColumn id="12" xr3:uid="{D1E8A453-6F3B-41B3-A143-A8DCE8CA5BCA}" name="amount" dataDxfId="107">
      <calculatedColumnFormula>IFERROR(SUBSTITUTE(SUBSTITUTE(OutPut[[#This Row],[price]],".",",")*SUBSTITUTE(OutPut[[#This Row],[quantity]],".",","),",","."),"")</calculatedColumnFormula>
    </tableColumn>
    <tableColumn id="13" xr3:uid="{1EB903FD-EE7B-4893-8B3E-F5CD1AE80C04}" name="is_tax" dataDxfId="106">
      <calculatedColumnFormula>IF(OutPut[[#This Row],[time]]="","",VLOOKUP(C$3,charge_price_information_periods[],5,FALSE))</calculatedColumnFormula>
    </tableColumn>
    <tableColumn id="14" xr3:uid="{6EA78CDA-CA22-44EA-8F2B-84698D2E2563}" name="charge_code" dataDxfId="105">
      <calculatedColumnFormula>IF(OutPut[[#This Row],[time]]="","",$C$3)</calculatedColumnFormula>
    </tableColumn>
    <tableColumn id="15" xr3:uid="{736A1B4A-102F-483A-AA11-B763F06372FC}" name="charge_type" dataDxfId="104">
      <calculatedColumnFormula>IF(OutPut[[#This Row],[time]]="","","tariff")</calculatedColumnFormula>
    </tableColumn>
    <tableColumn id="16" xr3:uid="{64C92314-FA8E-4583-B04E-521FB24FEAD6}" name="charge_owner_id" dataDxfId="103">
      <calculatedColumnFormula>IF(OutPut[[#This Row],[time]]="","",$D$3)</calculatedColumnFormula>
    </tableColumn>
    <tableColumn id="1" xr3:uid="{F22DD871-796B-4BA4-81DC-7842494D2C98}" name="amount_type" dataDxfId="102">
      <calculatedColumnFormula>IF(OutPut[[#This Row],[time]]="","","amount_per_charge")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C1F9529-110B-40F9-8C26-ABDA713BFD15}" name="OutPut10" displayName="OutPut10" ref="B4:U8" totalsRowShown="0" headerRowDxfId="143" dataDxfId="142">
  <autoFilter ref="B4:U8" xr:uid="{D2FF87A6-8F25-416A-AF7A-DA3500DDFC40}"/>
  <tableColumns count="20">
    <tableColumn id="17" xr3:uid="{940A16E7-F84C-4270-B1A9-57FBF6F2994B}" name="calculation_id" dataDxfId="141">
      <calculatedColumnFormula>IF(OutPut10[[#This Row],[time]]="","",CalculationId)</calculatedColumnFormula>
    </tableColumn>
    <tableColumn id="18" xr3:uid="{6EE4D5AC-3136-4CFB-96B5-508251133DF0}" name="calculation_type" dataDxfId="140">
      <calculatedColumnFormula>IF(OutPut10[[#This Row],[time]]="","",CalculationType)</calculatedColumnFormula>
    </tableColumn>
    <tableColumn id="19" xr3:uid="{C21B7ED5-A5B4-4A4B-83CF-13E86DA51D9B}" name="calculation_execution_time_start" dataDxfId="139">
      <calculatedColumnFormula>IF(OutPut10[[#This Row],[time]]="","",CalculationExecutionTimeStart)</calculatedColumnFormula>
    </tableColumn>
    <tableColumn id="20" xr3:uid="{726B2AD0-3C52-4881-9A1E-39F084A8516A}" name="calculation_result_id" dataDxfId="138">
      <calculatedColumnFormula>IF(OutPut10[[#This Row],[time]]="","","IGNORED")</calculatedColumnFormula>
    </tableColumn>
    <tableColumn id="2" xr3:uid="{BC71DDD9-BD82-458C-8818-3422A0CA67E1}" name="grid_area_code" dataDxfId="137">
      <calculatedColumnFormula>IF(OutPut10[[#This Row],[time]]="","",G$3)</calculatedColumnFormula>
    </tableColumn>
    <tableColumn id="3" xr3:uid="{C7B284DD-6E01-4FF2-98DD-0C68007ED9C4}" name="energy_supplier_id" dataDxfId="136">
      <calculatedColumnFormula>IF(OutPut10[[#This Row],[time]]="","",$E$3)</calculatedColumnFormula>
    </tableColumn>
    <tableColumn id="4" xr3:uid="{BB70289C-E05D-4CBF-8163-BCB1670CB7B4}" name="quantity" dataDxfId="135">
      <calculatedColumnFormula array="1">IF(OutPut10[[#This Row],[time]]="","",IFERROR(SUBSTITUTE(SUM(_xlfn._xlws.FILTER(time_series_points[quantity_quantified],ISNUMBER(MATCH(time_series_points[metering_point_id],INDEX(_xlfn._xlws.FILTER(charge_link_periods[],charge_link_periods[OutputCombination]=C$1),,4),0))*(time_series_points[whichday]=X5))),",","."),0))</calculatedColumnFormula>
    </tableColumn>
    <tableColumn id="5" xr3:uid="{9BC4E831-16AB-4A9C-A05C-41C9B8BCA61B}" name="quantity_unit" dataDxfId="134">
      <calculatedColumnFormula>IF(OutPut10[[#This Row],[time]]="","","kWh")</calculatedColumnFormula>
    </tableColumn>
    <tableColumn id="6" xr3:uid="{5E508F52-F245-4252-A053-3A4CF96A1E64}" name="quantity_qualities" dataDxfId="133">
      <calculatedColumnFormula array="1">IF(OutPut10[[#This Row],[time]]="","",IFERROR(IF(SUM(_xlfn._xlws.FILTER(time_series_points[quantity_quantified],ISNUMBER(MATCH(time_series_points[metering_point_id],INDEX(_xlfn._xlws.FILTER(charge_link_periods[],charge_link_periods[OutputCombination]=C$1),,4),0))*(time_series_points[whichday]=X5)))&gt;0,"['missing', 'measured']","'missing'"),"['missing]"))</calculatedColumnFormula>
    </tableColumn>
    <tableColumn id="7" xr3:uid="{09DDC3DF-BD86-4667-82E3-A93BC5449F84}" name="time" dataDxfId="132">
      <calculatedColumnFormula>IF('calculation_arguments'!J4="","",_xlfn.CONCAT('calculation_arguments'!J4," 23:00:00"))</calculatedColumnFormula>
    </tableColumn>
    <tableColumn id="8" xr3:uid="{A90DE32A-2A31-4C61-9DBB-EF94C4547149}" name="resolution" dataDxfId="131">
      <calculatedColumnFormula>IF(OutPut10[[#This Row],[time]]="","","P1D")</calculatedColumnFormula>
    </tableColumn>
    <tableColumn id="9" xr3:uid="{9004D9C9-21EC-45BA-9606-EB0F82E2D0B0}" name="metering_point_type" dataDxfId="130">
      <calculatedColumnFormula>IF(OutPut10[[#This Row],[time]]="","",$F$3)</calculatedColumnFormula>
    </tableColumn>
    <tableColumn id="10" xr3:uid="{9687C2B3-5DA9-4486-9B8D-0594A95BB9D3}" name="settlement_method" dataDxfId="129">
      <calculatedColumnFormula>IF(OutPut10[[#This Row],[time]]="","",IF($H$3="","",$H$3))</calculatedColumnFormula>
    </tableColumn>
    <tableColumn id="11" xr3:uid="{32A90718-8212-4196-9024-26AA9AD07D21}" name="price" dataDxfId="0">
      <calculatedColumnFormula array="1">IF(OutPut10[[#This Row],[time]]="","",IFERROR(_xlfn.UNIQUE(INDEX(_xlfn._xlws.FILTER(charge_price_points[],(charge_price_points[charge_time_shortened]=OutPut10[[#This Row],[time]])*(charge_price_points[charge_code]=OutPut10[[#This Row],[charge_code]])),,4)),""))</calculatedColumnFormula>
    </tableColumn>
    <tableColumn id="12" xr3:uid="{BD375783-A03A-49F3-877C-6BBFC098DC79}" name="amount" dataDxfId="128">
      <calculatedColumnFormula>IFERROR(SUBSTITUTE(SUBSTITUTE(OutPut10[[#This Row],[price]],".",",")*SUBSTITUTE(OutPut10[[#This Row],[quantity]],".",","),",","."),"")</calculatedColumnFormula>
    </tableColumn>
    <tableColumn id="13" xr3:uid="{89F57AB7-40BD-42BE-89B4-ECEB2C36D1FF}" name="is_tax" dataDxfId="127">
      <calculatedColumnFormula>IF(OutPut10[[#This Row],[time]]="","",VLOOKUP(C$3,charge_price_information_periods[],5,FALSE))</calculatedColumnFormula>
    </tableColumn>
    <tableColumn id="14" xr3:uid="{646C9EED-02AB-4F33-B2CA-7ED3272E9FD1}" name="charge_code" dataDxfId="126">
      <calculatedColumnFormula>IF(OutPut10[[#This Row],[time]]="","",$C$3)</calculatedColumnFormula>
    </tableColumn>
    <tableColumn id="15" xr3:uid="{2124DB4B-D05E-4FF3-B11A-3C2CD2DB489F}" name="charge_type" dataDxfId="125">
      <calculatedColumnFormula>IF(OutPut10[[#This Row],[time]]="","","tariff")</calculatedColumnFormula>
    </tableColumn>
    <tableColumn id="16" xr3:uid="{E3ACC620-F20E-489D-83FF-8FAB25088A35}" name="charge_owner_id" dataDxfId="124">
      <calculatedColumnFormula>IF(OutPut10[[#This Row],[time]]="","",$D$3)</calculatedColumnFormula>
    </tableColumn>
    <tableColumn id="1" xr3:uid="{4E6498E7-69CC-46BD-AAC2-4F8C3C54B573}" name="amount_type" dataDxfId="123">
      <calculatedColumnFormula>IF(OutPut10[[#This Row],[time]]="","","amount_per_charge")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85D19B9-3CB2-4C97-ABA9-11D3E54A51D9}" name="calculation_arguments" displayName="calculation_arguments" ref="A1:A8" tableType="queryTable" totalsRowShown="0" headerRowDxfId="79" dataDxfId="78">
  <autoFilter ref="A1:A8" xr:uid="{885D19B9-3CB2-4C97-ABA9-11D3E54A51D9}"/>
  <tableColumns count="1">
    <tableColumn id="1" xr3:uid="{0D781D97-06F5-4ECC-913B-3B01906FB3C0}" uniqueName="1" name="Original_content" queryTableFieldId="1" dataDxfId="44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9288B3-D090-4897-AD89-5C04D501F267}" name="MPTypeMapping" displayName="MPTypeMapping" ref="A18:B30" totalsRowShown="0" headerRowDxfId="77" dataDxfId="76">
  <autoFilter ref="A18:B30" xr:uid="{4D9288B3-D090-4897-AD89-5C04D501F267}"/>
  <tableColumns count="2">
    <tableColumn id="1" xr3:uid="{7A432737-3E15-4ECB-BE3F-D5902A6BDC2B}" name="MP type mapping" dataDxfId="75"/>
    <tableColumn id="2" xr3:uid="{FDB8F8B6-CF45-4A18-8759-8120EBE28034}" name="Mapped" dataDxfId="74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8218855-94F9-4AAF-B51E-818503732FDE}" name="SettlementMapping" displayName="SettlementMapping" ref="A14:B16" totalsRowShown="0" headerRowDxfId="73" dataDxfId="72">
  <autoFilter ref="A14:B16" xr:uid="{78218855-94F9-4AAF-B51E-818503732FDE}"/>
  <tableColumns count="2">
    <tableColumn id="1" xr3:uid="{09776318-E643-49BC-83B0-C37A38FFE072}" name="Settlement method mapping" dataDxfId="71"/>
    <tableColumn id="2" xr3:uid="{D6412985-2D80-4076-945F-216E94C8E760}" name="mapped" dataDxfId="70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2269BCE-9D16-4BEA-88A7-1738459D6D0B}" name="metering_point_periods" displayName="metering_point_periods" ref="A1:N16" tableType="queryTable" totalsRowShown="0" headerRowDxfId="69" dataDxfId="68">
  <autoFilter ref="A1:N16" xr:uid="{F2269BCE-9D16-4BEA-88A7-1738459D6D0B}"/>
  <tableColumns count="14">
    <tableColumn id="1" xr3:uid="{5186C4A1-DB60-4E2C-9317-BC93727D3F43}" uniqueName="1" name="metering_point_id" queryTableFieldId="1" dataDxfId="58"/>
    <tableColumn id="2" xr3:uid="{73C27330-805E-4E8B-A92D-A1BDC91ED4E5}" uniqueName="2" name="type" queryTableFieldId="2" dataDxfId="57"/>
    <tableColumn id="3" xr3:uid="{2FA109A9-6240-43D8-8A80-232F6CADD835}" uniqueName="3" name="calculation_type" queryTableFieldId="3" dataDxfId="56"/>
    <tableColumn id="4" xr3:uid="{B1B8B784-DF14-4313-AC2D-394FA1E1D94A}" uniqueName="4" name="settlement_method" queryTableFieldId="4" dataDxfId="55"/>
    <tableColumn id="5" xr3:uid="{CA66C0F0-86A9-41B6-872F-7E50507616AC}" uniqueName="5" name="grid_area_code" queryTableFieldId="5" dataDxfId="54"/>
    <tableColumn id="6" xr3:uid="{15FB1702-1C65-44CE-B5DB-819E2B4760BE}" uniqueName="6" name="resolution" queryTableFieldId="6" dataDxfId="53"/>
    <tableColumn id="7" xr3:uid="{BDB2BA1C-BCB6-46D8-97D7-ED0A9A0B5AFB}" uniqueName="7" name="from_grid_area_code" queryTableFieldId="7" dataDxfId="52"/>
    <tableColumn id="8" xr3:uid="{44575FC9-FCE5-4B7C-8479-CAE1606FB0E0}" uniqueName="8" name="to_grid_area_code" queryTableFieldId="8" dataDxfId="51"/>
    <tableColumn id="9" xr3:uid="{1EBA195C-A617-47BC-828B-70BE776E07EC}" uniqueName="9" name="parent_metering_point_id" queryTableFieldId="9" dataDxfId="50"/>
    <tableColumn id="10" xr3:uid="{6F70AD34-1312-4966-89D2-3C64CC73BECF}" uniqueName="10" name="energy_supplier_id" queryTableFieldId="10" dataDxfId="49"/>
    <tableColumn id="11" xr3:uid="{4BFF429A-0540-457B-A2D3-F64B5D70C714}" uniqueName="11" name="balance_responsible_party_id" queryTableFieldId="11" dataDxfId="48"/>
    <tableColumn id="12" xr3:uid="{C801F736-7A9C-4973-938D-76E9F8E8AF28}" uniqueName="12" name="from_date" queryTableFieldId="12" dataDxfId="47"/>
    <tableColumn id="13" xr3:uid="{4E4F9535-C990-4AFC-80D8-9617177D4486}" uniqueName="13" name="to_date" queryTableFieldId="13" dataDxfId="46"/>
    <tableColumn id="14" xr3:uid="{0A8A0251-9A8A-4FF5-AE7A-73F76502BCE4}" uniqueName="14" name="es" queryTableFieldId="15" dataDxfId="45">
      <calculatedColumnFormula>IF(metering_point_periods[[#This Row],[energy_supplier_id]]="",IFERROR(INDEX(metering_point_periods[],MATCH(metering_point_periods[[#This Row],[parent_metering_point_id]],metering_point_periods[metering_point_id],0),10),""),metering_point_periods[[#This Row],[energy_supplier_id]])</calculatedColumnFormula>
    </tableColumn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97476E-22E0-4A07-A5AE-9F1E56B0F766}" name="time_series_points" displayName="time_series_points" ref="A1:L17" tableType="queryTable" totalsRowShown="0" headerRowDxfId="67" dataDxfId="66">
  <autoFilter ref="A1:L17" xr:uid="{D497476E-22E0-4A07-A5AE-9F1E56B0F766}"/>
  <tableColumns count="12">
    <tableColumn id="1" xr3:uid="{D17835F9-5D14-4A46-A60D-BFE474A32932}" uniqueName="1" name="metering_point_id" queryTableFieldId="1" dataDxfId="43"/>
    <tableColumn id="2" xr3:uid="{AC91EA90-78A6-4842-A5E6-4388B027B232}" uniqueName="2" name="quantity" queryTableFieldId="2" dataDxfId="42"/>
    <tableColumn id="3" xr3:uid="{80219AE3-4A56-45AD-82A2-91E835938654}" uniqueName="3" name="quality" queryTableFieldId="3" dataDxfId="41"/>
    <tableColumn id="4" xr3:uid="{1F4B384B-3C71-49FE-A466-A6D3C3E87BE7}" uniqueName="4" name="observation_time" queryTableFieldId="4" dataDxfId="40"/>
    <tableColumn id="5" xr3:uid="{2DF521EC-55B0-42E2-AA62-20246AA8BA93}" uniqueName="5" name="quantity_quantified" queryTableFieldId="5" dataDxfId="39">
      <calculatedColumnFormula>IFERROR(VALUE(SUBSTITUTE(time_series_points[[#This Row],[quantity]],".",",")),"")</calculatedColumnFormula>
    </tableColumn>
    <tableColumn id="6" xr3:uid="{A2737CE6-F769-497A-9719-EBBCDD6BC2D7}" uniqueName="6" name="grid_area" queryTableFieldId="6" dataDxfId="38">
      <calculatedColumnFormula>_xlfn.IFNA(INDEX(metering_point_periods[],MATCH(time_series_points[[#This Row],[metering_point_id]],metering_point_periods[metering_point_id],0),5),"")</calculatedColumnFormula>
    </tableColumn>
    <tableColumn id="7" xr3:uid="{40164CAC-D7BA-4112-AE8E-10E7249B8773}" uniqueName="7" name="metering_point_type" queryTableFieldId="7" dataDxfId="37">
      <calculatedColumnFormula>_xlfn.IFNA(VLOOKUP(VLOOKUP(time_series_points[[#This Row],[metering_point_id]],metering_point_periods[],2,FALSE),MPTypeMapping[],2,FALSE),"")</calculatedColumnFormula>
    </tableColumn>
    <tableColumn id="8" xr3:uid="{79F7DF12-06EF-44F0-BC4E-8DD2BCD81735}" uniqueName="8" name="settlement_method" queryTableFieldId="8" dataDxfId="36">
      <calculatedColumnFormula>_xlfn.IFNA(VLOOKUP(VLOOKUP(time_series_points[[#This Row],[metering_point_id]],metering_point_periods[],4,FALSE),SettlementMapping[],2,FALSE),"")</calculatedColumnFormula>
    </tableColumn>
    <tableColumn id="9" xr3:uid="{100B3A8D-E8B6-4CE2-9681-526FD9A889C0}" uniqueName="9" name="hour" queryTableFieldId="9" dataDxfId="35">
      <calculatedColumnFormula>SUBSTITUTE(SUBSTITUTE(SUBSTITUTE(time_series_points[[#This Row],[observation_time]],":15:00",":00:00"),":30:00",":00:00"),":45:00",":00:00")</calculatedColumnFormula>
    </tableColumn>
    <tableColumn id="10" xr3:uid="{609C3853-68EC-4B53-BF46-B2A697AACEAF}" uniqueName="10" name="day" queryTableFieldId="10" dataDxfId="34">
      <calculatedColumnFormula>LEFT(time_series_points[[#This Row],[observation_time]],10)</calculatedColumnFormula>
    </tableColumn>
    <tableColumn id="11" xr3:uid="{836ABFF6-DA8B-4FA2-AC79-B51C6D388284}" uniqueName="11" name="whichday" queryTableFieldId="11" dataDxfId="33">
      <calculatedColumnFormula>IF(time_series_points[[#This Row],[metering_point_id]]&lt;&gt;"",INDEX('calculation_arguments'!F$3:H$98,MATCH(LEFT(time_series_points[[#This Row],[day]],10),'calculation_arguments'!G$3:G$98,0),1),"")</calculatedColumnFormula>
    </tableColumn>
    <tableColumn id="12" xr3:uid="{541F8927-B849-45B4-83F9-DFF370E4927C}" uniqueName="12" name="es" queryTableFieldId="12" dataDxfId="32">
      <calculatedColumnFormula>_xlfn.IFNA(INDEX(metering_point_periods[],MATCH(time_series_points[[#This Row],[metering_point_id]],metering_point_periods[metering_point_id],0),14),"")</calculatedColumnFormula>
    </tableColumn>
  </tableColumns>
  <tableStyleInfo name="TableStyleMedium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D12F7C7-6C49-4DEF-B9DA-3339145D6C24}" name="charge_price_information_periods" displayName="charge_price_information_periods" ref="A1:G15" tableType="queryTable" totalsRowShown="0" headerRowDxfId="65" dataDxfId="64">
  <autoFilter ref="A1:G15" xr:uid="{2D12F7C7-6C49-4DEF-B9DA-3339145D6C24}"/>
  <tableColumns count="7">
    <tableColumn id="1" xr3:uid="{AEEEBAAD-9017-43B5-857C-AEB63483CBBA}" uniqueName="1" name="charge_code" queryTableFieldId="1" dataDxfId="31"/>
    <tableColumn id="2" xr3:uid="{0F0A6A75-9E04-4EAC-B453-2094B5B79C70}" uniqueName="2" name="charge_type" queryTableFieldId="2" dataDxfId="30"/>
    <tableColumn id="3" xr3:uid="{6D8F8782-DE2D-4087-B463-848877576AA3}" uniqueName="3" name="charge_owner_id" queryTableFieldId="3" dataDxfId="29"/>
    <tableColumn id="4" xr3:uid="{C162AC0D-3303-4FC8-B88B-C11E08C83E48}" uniqueName="4" name="resolution" queryTableFieldId="4" dataDxfId="28"/>
    <tableColumn id="5" xr3:uid="{5145F946-F54B-42C2-80E8-1CF924594E53}" uniqueName="5" name="is_tax" queryTableFieldId="5" dataDxfId="27"/>
    <tableColumn id="6" xr3:uid="{0416FB58-0F66-42CF-8DA3-5C7129CDE3CC}" uniqueName="6" name="from_date" queryTableFieldId="6" dataDxfId="26"/>
    <tableColumn id="7" xr3:uid="{88734FCF-CBE1-4E91-8E45-154D68F4C411}" uniqueName="7" name="to_date" queryTableFieldId="7" dataDxfId="25"/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3BB6AB1-C995-4688-90AA-66156986B290}" name="charge_link_periods" displayName="charge_link_periods" ref="A1:P30" tableType="queryTable" totalsRowShown="0" headerRowDxfId="63" dataDxfId="62">
  <autoFilter ref="A1:P30" xr:uid="{A3BB6AB1-C995-4688-90AA-66156986B290}"/>
  <tableColumns count="16">
    <tableColumn id="1" xr3:uid="{F1785E2C-84AD-4DA3-82A9-E3112EA3F5C6}" uniqueName="1" name="charge_code" queryTableFieldId="1" dataDxfId="24"/>
    <tableColumn id="2" xr3:uid="{075FD231-1731-4E2D-866F-ED8DB5D7B6EE}" uniqueName="2" name="charge_type" queryTableFieldId="2" dataDxfId="23"/>
    <tableColumn id="3" xr3:uid="{60A6D2DC-0AA9-4BD7-94EC-7928FB3CFB81}" uniqueName="3" name="charge_owner_id" queryTableFieldId="3" dataDxfId="22"/>
    <tableColumn id="4" xr3:uid="{4B60CC57-3CD7-4D40-B964-D3B6AB82E46C}" uniqueName="4" name="metering_point_id" queryTableFieldId="4" dataDxfId="21"/>
    <tableColumn id="5" xr3:uid="{A074E787-4995-4179-A491-558180A37AA0}" uniqueName="5" name="quantity" queryTableFieldId="5" dataDxfId="20"/>
    <tableColumn id="6" xr3:uid="{2B04B3A3-BCB1-46B2-90B4-AE3288E7A0E1}" uniqueName="6" name="from_date" queryTableFieldId="6" dataDxfId="19"/>
    <tableColumn id="7" xr3:uid="{C1802C4E-0BBE-4F97-A01A-2699EC0B5F46}" uniqueName="7" name="to_date" queryTableFieldId="7" dataDxfId="18"/>
    <tableColumn id="8" xr3:uid="{08F315D7-0532-48AC-BBA6-83577B3039D5}" uniqueName="8" name="Charge_resolution" queryTableFieldId="8" dataDxfId="17">
      <calculatedColumnFormula>IFERROR(INDEX(charge_price_information_periods[],MATCH(charge_link_periods[[#This Row],[charge_code]],charge_price_information_periods[charge_code],0),4),"")</calculatedColumnFormula>
    </tableColumn>
    <tableColumn id="9" xr3:uid="{9E075521-4C26-41B9-87E5-96A8369D2FE3}" uniqueName="9" name="Quantity_quantified" queryTableFieldId="9" dataDxfId="16">
      <calculatedColumnFormula>IF(charge_link_periods[[#This Row],[quantity]]="","",VALUE(charge_link_periods[[#This Row],[quantity]]))</calculatedColumnFormula>
    </tableColumn>
    <tableColumn id="10" xr3:uid="{2EEA7498-820F-4A94-B3BE-A09B0985147E}" uniqueName="10" name="energy_supplier_id" queryTableFieldId="10" dataDxfId="15">
      <calculatedColumnFormula>_xlfn.IFNA(IF(AND(VLOOKUP(charge_link_periods[[#This Row],[metering_point_id]],metering_point_periods[],2,FALSE)&lt;&gt;"E17",VLOOKUP(charge_link_periods[[#This Row],[metering_point_id]],metering_point_periods[],2,FALSE)&lt;&gt;"E18"),VLOOKUP(VLOOKUP(charge_link_periods[[#This Row],[metering_point_id]],metering_point_periods[],9,FALSE),metering_point_periods[],10,FALSE),VLOOKUP(charge_link_periods[[#This Row],[metering_point_id]],metering_point_periods[],10,FALSE)),"")</calculatedColumnFormula>
    </tableColumn>
    <tableColumn id="11" xr3:uid="{480219A8-E355-4595-A7AB-D11C07C1F137}" uniqueName="11" name="metering_point_type" queryTableFieldId="11" dataDxfId="14">
      <calculatedColumnFormula>_xlfn.IFNA(VLOOKUP(VLOOKUP(charge_link_periods[[#This Row],[metering_point_id]],metering_point_periods[],2,FALSE),MPTypeMapping[],2,FALSE),"")</calculatedColumnFormula>
    </tableColumn>
    <tableColumn id="12" xr3:uid="{68CE986D-BA5B-459E-A5EE-1C1384C39FE7}" uniqueName="12" name="settlement_method" queryTableFieldId="12" dataDxfId="13">
      <calculatedColumnFormula>_xlfn.IFNA(VLOOKUP(VLOOKUP(charge_link_periods[[#This Row],[metering_point_id]],metering_point_periods[],4,FALSE),SettlementMapping[],2,FALSE),"")</calculatedColumnFormula>
    </tableColumn>
    <tableColumn id="13" xr3:uid="{62936F2A-839A-4701-94FE-A15DD742857E}" uniqueName="13" name="whichdayFromDay" queryTableFieldId="13" dataDxfId="12">
      <calculatedColumnFormula>IFERROR(INDEX('calculation_arguments'!F$3:H$98,MATCH(charge_link_periods[[#This Row],[from_date]],'calculation_arguments'!H$3:H$98,0),1),"")</calculatedColumnFormula>
    </tableColumn>
    <tableColumn id="14" xr3:uid="{F8612A72-34AE-495A-8B46-FB6A393B1C42}" uniqueName="14" name="whichToDay" queryTableFieldId="14" dataDxfId="11">
      <calculatedColumnFormula>IFERROR(INDEX('calculation_arguments'!F$3:H$98,MATCH(charge_link_periods[[#This Row],[to_date]],'calculation_arguments'!H$3:H$98,0),1),"")</calculatedColumnFormula>
    </tableColumn>
    <tableColumn id="15" xr3:uid="{786A65EC-501B-40AA-A6AB-B6EFBAE064F5}" uniqueName="15" name="ga" queryTableFieldId="15" dataDxfId="10">
      <calculatedColumnFormula>IFERROR(INDEX(metering_point_periods[],MATCH(charge_link_periods[[#This Row],[metering_point_id]],metering_point_periods[metering_point_id],0),5),"")</calculatedColumnFormula>
    </tableColumn>
    <tableColumn id="16" xr3:uid="{325EFC18-52C0-4814-9706-34B8F0067ACE}" uniqueName="16" name="OutputCombination" queryTableFieldId="16" dataDxfId="9">
      <calculatedColumnFormula>_xlfn.TEXTJOIN("--",TRUE,charge_link_periods[[#This Row],[charge_code]],charge_link_periods[[#This Row],[charge_owner_id]],charge_link_periods[[#This Row],[energy_supplier_id]],charge_link_periods[[#This Row],[metering_point_type]],charge_link_periods[[#This Row],[ga]],charge_link_periods[[#This Row],[settlement_method]])</calculatedColumnFormula>
    </tableColumn>
  </tableColumns>
  <tableStyleInfo name="TableStyleMedium1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84E8660-07CB-468D-AE16-9463488223AC}" name="charge_price_points" displayName="charge_price_points" ref="A1:H20" tableType="queryTable" totalsRowShown="0" headerRowDxfId="61" dataDxfId="60">
  <autoFilter ref="A1:H20" xr:uid="{684E8660-07CB-468D-AE16-9463488223AC}"/>
  <tableColumns count="8">
    <tableColumn id="1" xr3:uid="{2BD4D681-9CF5-4B07-B868-87642FC95A6E}" uniqueName="1" name="charge_code" queryTableFieldId="1" dataDxfId="8"/>
    <tableColumn id="2" xr3:uid="{1A19C793-1548-4149-9573-6719C72DF2F0}" uniqueName="2" name="charge_type" queryTableFieldId="2" dataDxfId="7"/>
    <tableColumn id="3" xr3:uid="{93F88726-9363-44EE-8A43-22385ACB71A9}" uniqueName="3" name="charge_owner_id" queryTableFieldId="3" dataDxfId="6"/>
    <tableColumn id="4" xr3:uid="{BCF6F3D1-2413-4754-8F43-A3DDE149B074}" uniqueName="4" name="charge_price" queryTableFieldId="4" dataDxfId="5"/>
    <tableColumn id="5" xr3:uid="{927502C9-F01D-49B2-9723-909BBFD6B899}" uniqueName="5" name="charge_time" queryTableFieldId="5" dataDxfId="4"/>
    <tableColumn id="6" xr3:uid="{91F77BC8-2AF1-4F7A-99E6-9E4F3448E960}" uniqueName="6" name="charge_price_quantified" queryTableFieldId="6" dataDxfId="3">
      <calculatedColumnFormula>IFERROR(VALUE(SUBSTITUTE(charge_price_points[[#This Row],[charge_price]],".",",")),"")</calculatedColumnFormula>
    </tableColumn>
    <tableColumn id="7" xr3:uid="{2579D0E7-DB45-482D-A096-F83905FA57B9}" uniqueName="7" name="charge_time_shortened" queryTableFieldId="7" dataDxfId="2">
      <calculatedColumnFormula>LEFT(E2,19)</calculatedColumnFormula>
    </tableColumn>
    <tableColumn id="8" xr3:uid="{D09DBC95-8D13-47B4-8226-A643D75E488D}" uniqueName="8" name="charge_time_day" queryTableFieldId="8" dataDxfId="1">
      <calculatedColumnFormula>LEFT(charge_price_points[[#This Row],[charge_time]],10)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8B59-85FB-47ED-807C-3BC947FE93AD}">
  <sheetPr>
    <tabColor rgb="FFFFFF00"/>
  </sheetPr>
  <dimension ref="B1:AD100"/>
  <sheetViews>
    <sheetView tabSelected="1" zoomScaleNormal="100" workbookViewId="0"/>
  </sheetViews>
  <sheetFormatPr defaultColWidth="8.7265625" defaultRowHeight="14.5" x14ac:dyDescent="0.35"/>
  <cols>
    <col min="1" max="1" width="8.7265625" style="1"/>
    <col min="2" max="2" width="36.81640625" style="1" bestFit="1" customWidth="1"/>
    <col min="3" max="3" width="36.81640625" style="1" customWidth="1"/>
    <col min="4" max="4" width="31.26953125" style="1" bestFit="1" customWidth="1"/>
    <col min="5" max="5" width="19" style="1" bestFit="1" customWidth="1"/>
    <col min="6" max="6" width="19.7265625" style="1" bestFit="1" customWidth="1"/>
    <col min="7" max="7" width="19.1796875" style="1" customWidth="1"/>
    <col min="8" max="8" width="20.453125" style="1" bestFit="1" customWidth="1"/>
    <col min="9" max="9" width="19.54296875" style="1" bestFit="1" customWidth="1"/>
    <col min="10" max="10" width="20.7265625" style="1" customWidth="1"/>
    <col min="11" max="11" width="19" style="1" bestFit="1" customWidth="1"/>
    <col min="12" max="12" width="13.54296875" style="1" bestFit="1" customWidth="1"/>
    <col min="13" max="13" width="22.453125" style="1" bestFit="1" customWidth="1"/>
    <col min="14" max="14" width="30.1796875" style="1" customWidth="1"/>
    <col min="15" max="15" width="15.1796875" style="1" customWidth="1"/>
    <col min="16" max="16" width="17.1796875" style="1" bestFit="1" customWidth="1"/>
    <col min="17" max="17" width="19.54296875" style="1" customWidth="1"/>
    <col min="18" max="18" width="20.1796875" style="1" bestFit="1" customWidth="1"/>
    <col min="19" max="19" width="29.453125" style="1" bestFit="1" customWidth="1"/>
    <col min="20" max="21" width="22.1796875" style="1" bestFit="1" customWidth="1"/>
    <col min="22" max="22" width="26.7265625" style="1" bestFit="1" customWidth="1"/>
    <col min="23" max="23" width="24.453125" style="1" bestFit="1" customWidth="1"/>
    <col min="24" max="24" width="21.81640625" style="3" customWidth="1"/>
    <col min="25" max="25" width="31.26953125" style="1" bestFit="1" customWidth="1"/>
    <col min="26" max="26" width="29.453125" style="1" bestFit="1" customWidth="1"/>
    <col min="27" max="27" width="22.453125" style="1" bestFit="1" customWidth="1"/>
    <col min="28" max="28" width="17.1796875" style="1" bestFit="1" customWidth="1"/>
    <col min="29" max="29" width="25" style="1" bestFit="1" customWidth="1"/>
    <col min="30" max="30" width="73.1796875" style="3" bestFit="1" customWidth="1"/>
    <col min="31" max="31" width="24.81640625" style="1" bestFit="1" customWidth="1"/>
    <col min="32" max="32" width="17.1796875" style="1" bestFit="1" customWidth="1"/>
    <col min="33" max="33" width="10.81640625" style="1" customWidth="1"/>
    <col min="34" max="34" width="8.7265625" style="1"/>
    <col min="35" max="35" width="17.7265625" style="1" bestFit="1" customWidth="1"/>
    <col min="36" max="36" width="8.81640625" style="1" customWidth="1"/>
    <col min="37" max="16384" width="8.7265625" style="1"/>
  </cols>
  <sheetData>
    <row r="1" spans="2:30" ht="18.5" x14ac:dyDescent="0.45">
      <c r="B1" s="8" t="s">
        <v>138</v>
      </c>
      <c r="C1" s="19" t="s">
        <v>192</v>
      </c>
      <c r="D1" s="20"/>
      <c r="E1" s="20"/>
      <c r="F1" s="21"/>
      <c r="X1" s="1"/>
    </row>
    <row r="2" spans="2:30" x14ac:dyDescent="0.35">
      <c r="X2" s="1"/>
    </row>
    <row r="3" spans="2:30" x14ac:dyDescent="0.35">
      <c r="C3" s="3" t="str" cm="1">
        <f t="array" ref="C3:G3">_xlfn.TEXTSPLIT(C1,"--")</f>
        <v>fee-3</v>
      </c>
      <c r="D3" s="3" t="str">
        <v>0000000000800</v>
      </c>
      <c r="E3" s="3" t="str">
        <v>2000000000000</v>
      </c>
      <c r="F3" s="3" t="str">
        <v>production</v>
      </c>
      <c r="G3" s="3" t="str">
        <v>800</v>
      </c>
      <c r="H3" s="3"/>
      <c r="X3" s="1"/>
      <c r="AD3" s="9" t="s">
        <v>71</v>
      </c>
    </row>
    <row r="4" spans="2:30" x14ac:dyDescent="0.35">
      <c r="B4" s="5" t="s">
        <v>84</v>
      </c>
      <c r="C4" s="5" t="s">
        <v>31</v>
      </c>
      <c r="D4" s="5" t="s">
        <v>85</v>
      </c>
      <c r="E4" s="5" t="s">
        <v>86</v>
      </c>
      <c r="F4" s="5" t="s">
        <v>33</v>
      </c>
      <c r="G4" s="5" t="s">
        <v>37</v>
      </c>
      <c r="H4" s="5" t="s">
        <v>11</v>
      </c>
      <c r="I4" s="5" t="s">
        <v>76</v>
      </c>
      <c r="J4" s="5" t="s">
        <v>72</v>
      </c>
      <c r="K4" s="5" t="s">
        <v>73</v>
      </c>
      <c r="L4" s="5" t="s">
        <v>12</v>
      </c>
      <c r="M4" s="5" t="s">
        <v>46</v>
      </c>
      <c r="N4" s="5" t="s">
        <v>32</v>
      </c>
      <c r="O4" s="5" t="s">
        <v>47</v>
      </c>
      <c r="P4" s="5" t="s">
        <v>48</v>
      </c>
      <c r="Q4" s="5" t="s">
        <v>13</v>
      </c>
      <c r="R4" s="5" t="s">
        <v>7</v>
      </c>
      <c r="S4" s="5" t="s">
        <v>8</v>
      </c>
      <c r="T4" s="5" t="s">
        <v>9</v>
      </c>
      <c r="U4" s="5" t="s">
        <v>87</v>
      </c>
      <c r="AD4" s="3" t="str" cm="1">
        <f t="array" ref="AD4:AD7">_xlfn.UNIQUE(INDEX(_xlfn._xlws.FILTER(charge_link_periods[],charge_link_periods[charge_type]="Fee"),,16))</f>
        <v>fee-1--0000000000800--1000000000000--consumption--800--flex</v>
      </c>
    </row>
    <row r="5" spans="2:30" x14ac:dyDescent="0.35">
      <c r="B5" s="6" t="str">
        <f>IF(OutPut1011[[#This Row],[time]]="","",CalculationId)</f>
        <v/>
      </c>
      <c r="C5" s="6" t="str">
        <f>IF(OutPut1011[[#This Row],[time]]="","",CalculationType)</f>
        <v/>
      </c>
      <c r="D5" s="6" t="str">
        <f>IF(OutPut1011[[#This Row],[time]]="","",CalculationExecutionTimeStart)</f>
        <v/>
      </c>
      <c r="E5" s="6" t="str">
        <f>IF(OutPut1011[[#This Row],[time]]="","","IGNORED")</f>
        <v/>
      </c>
      <c r="F5" s="6" t="str">
        <f>IF(OutPut1011[[#This Row],[time]]="","",G$3)</f>
        <v/>
      </c>
      <c r="G5" s="6" t="str">
        <f>IF(OutPut1011[[#This Row],[time]]="","",$E$3)</f>
        <v/>
      </c>
      <c r="H5" s="6" t="str">
        <f>IF(OutPut1011[[#This Row],[time]]="","",SUMIFS(charge_link_periods[Quantity_quantified],charge_link_periods[OutputCombination],C$1,charge_link_periods[whichdayFromDay],X5))</f>
        <v/>
      </c>
      <c r="I5" s="6" t="str">
        <f>IF(OutPut1011[[#This Row],[time]]="","","pcs")</f>
        <v/>
      </c>
      <c r="J5" s="6"/>
      <c r="K5" s="6" t="str">
        <f>IF(COUNTIFS(charge_link_periods[whichdayFromDay],X5,charge_link_periods[OutputCombination],C$1)&gt;0,IF('calculation_arguments'!J4="","",_xlfn.CONCAT('calculation_arguments'!J4," 23:00:00")),"")</f>
        <v/>
      </c>
      <c r="L5" s="6" t="str">
        <f>IF(OutPut1011[[#This Row],[time]]="","","P1D")</f>
        <v/>
      </c>
      <c r="M5" s="6" t="str">
        <f>IF(OutPut1011[[#This Row],[time]]="","",$F$3)</f>
        <v/>
      </c>
      <c r="N5" s="7" t="str">
        <f>IF(OutPut1011[[#This Row],[time]]="","",IF($H$3="","",$H$3))</f>
        <v/>
      </c>
      <c r="O5" s="7" t="str">
        <f>IF(OutPut1011[[#This Row],[time]]="","",IF(SUMIFS(charge_price_points[charge_price_quantified],charge_price_points[charge_time_shortened],OutPut1011[[#This Row],[time]],charge_price_points[charge_code],OutPut1011[[#This Row],[charge_code]])=0,"",SUBSTITUTE(SUMIFS(charge_price_points[charge_price_quantified],charge_price_points[charge_time_shortened],OutPut1011[[#This Row],[time]],charge_price_points[charge_code],OutPut1011[[#This Row],[charge_code]]),",",".")))</f>
        <v/>
      </c>
      <c r="P5" s="7" t="str">
        <f>IFERROR(SUBSTITUTE(SUBSTITUTE(OutPut1011[[#This Row],[price]],".",",")*SUBSTITUTE(OutPut1011[[#This Row],[quantity]],".",","),",","."),"")</f>
        <v/>
      </c>
      <c r="Q5" s="6" t="str">
        <f>IF(OutPut1011[[#This Row],[time]]="","",VLOOKUP(C$3,charge_price_information_periods[],5,FALSE))</f>
        <v/>
      </c>
      <c r="R5" s="6" t="str">
        <f>IF(OutPut1011[[#This Row],[time]]="","",$C$3)</f>
        <v/>
      </c>
      <c r="S5" s="6" t="str">
        <f>IF(OutPut1011[[#This Row],[time]]="","","fee")</f>
        <v/>
      </c>
      <c r="T5" s="6" t="str">
        <f>IF(OutPut1011[[#This Row],[time]]="","",$D$3)</f>
        <v/>
      </c>
      <c r="U5" s="6" t="str">
        <f>IF(OutPut1011[[#This Row],[time]]="","","amount_per_charge")</f>
        <v/>
      </c>
      <c r="X5" s="3" t="s">
        <v>143</v>
      </c>
      <c r="AD5" s="3" t="str">
        <v>fee-2--0000000000800--1000000000000--consumption_from_grid--800</v>
      </c>
    </row>
    <row r="6" spans="2:30" x14ac:dyDescent="0.35">
      <c r="B6" s="6" t="str">
        <f>IF(OutPut1011[[#This Row],[time]]="","",CalculationId)</f>
        <v>0b15a420-9fc8-409a-a169-fbd49479d718</v>
      </c>
      <c r="C6" s="6" t="str">
        <f>IF(OutPut1011[[#This Row],[time]]="","",CalculationType)</f>
        <v>wholesale_fixing</v>
      </c>
      <c r="D6" s="6" t="str">
        <f>IF(OutPut1011[[#This Row],[time]]="","",CalculationExecutionTimeStart)</f>
        <v>2024-01-01 23:00:00</v>
      </c>
      <c r="E6" s="6" t="str">
        <f>IF(OutPut1011[[#This Row],[time]]="","","IGNORED")</f>
        <v>IGNORED</v>
      </c>
      <c r="F6" s="6" t="str">
        <f>IF(OutPut1011[[#This Row],[time]]="","",G$3)</f>
        <v>800</v>
      </c>
      <c r="G6" s="6" t="str">
        <f>IF(OutPut1011[[#This Row],[time]]="","",$E$3)</f>
        <v>2000000000000</v>
      </c>
      <c r="H6" s="6">
        <f>IF(OutPut1011[[#This Row],[time]]="","",SUMIFS(charge_link_periods[Quantity_quantified],charge_link_periods[OutputCombination],C$1,charge_link_periods[whichdayFromDay],X6))</f>
        <v>1</v>
      </c>
      <c r="I6" s="6" t="str">
        <f>IF(OutPut1011[[#This Row],[time]]="","","pcs")</f>
        <v>pcs</v>
      </c>
      <c r="J6" s="6"/>
      <c r="K6" s="6" t="str">
        <f>IF(COUNTIFS(charge_link_periods[whichdayFromDay],X6,charge_link_periods[OutputCombination],C$1)&gt;0,IF('calculation_arguments'!J5="","",_xlfn.CONCAT('calculation_arguments'!J5," 23:00:00")),"")</f>
        <v>2023-02-01 23:00:00</v>
      </c>
      <c r="L6" s="6" t="str">
        <f>IF(OutPut1011[[#This Row],[time]]="","","P1D")</f>
        <v>P1D</v>
      </c>
      <c r="M6" s="6" t="str">
        <f>IF(OutPut1011[[#This Row],[time]]="","",$F$3)</f>
        <v>production</v>
      </c>
      <c r="N6" s="7" t="str">
        <f>IF(OutPut1011[[#This Row],[time]]="","",IF($H$3="","",$H$3))</f>
        <v/>
      </c>
      <c r="O6" s="7" t="str">
        <f>IF(OutPut1011[[#This Row],[time]]="","",IF(SUMIFS(charge_price_points[charge_price_quantified],charge_price_points[charge_time_shortened],OutPut1011[[#This Row],[time]],charge_price_points[charge_code],OutPut1011[[#This Row],[charge_code]])=0,"",SUBSTITUTE(SUMIFS(charge_price_points[charge_price_quantified],charge_price_points[charge_time_shortened],OutPut1011[[#This Row],[time]],charge_price_points[charge_code],OutPut1011[[#This Row],[charge_code]]),",",".")))</f>
        <v/>
      </c>
      <c r="P6" s="7" t="str">
        <f>IFERROR(SUBSTITUTE(SUBSTITUTE(OutPut1011[[#This Row],[price]],".",",")*SUBSTITUTE(OutPut1011[[#This Row],[quantity]],".",","),",","."),"")</f>
        <v/>
      </c>
      <c r="Q6" s="6" t="str">
        <f>IF(OutPut1011[[#This Row],[time]]="","",VLOOKUP(C$3,charge_price_information_periods[],5,FALSE))</f>
        <v>false</v>
      </c>
      <c r="R6" s="6" t="str">
        <f>IF(OutPut1011[[#This Row],[time]]="","",$C$3)</f>
        <v>fee-3</v>
      </c>
      <c r="S6" s="6" t="str">
        <f>IF(OutPut1011[[#This Row],[time]]="","","fee")</f>
        <v>fee</v>
      </c>
      <c r="T6" s="6" t="str">
        <f>IF(OutPut1011[[#This Row],[time]]="","",$D$3)</f>
        <v>0000000000800</v>
      </c>
      <c r="U6" s="6" t="str">
        <f>IF(OutPut1011[[#This Row],[time]]="","","amount_per_charge")</f>
        <v>amount_per_charge</v>
      </c>
      <c r="X6" s="3" t="s">
        <v>144</v>
      </c>
      <c r="AD6" s="3" t="str">
        <v>fee-2--0000000000800--3000000000000--consumption--800--non_profiled</v>
      </c>
    </row>
    <row r="7" spans="2:30" x14ac:dyDescent="0.35">
      <c r="B7" s="6" t="str">
        <f>IF(OutPut1011[[#This Row],[time]]="","",CalculationId)</f>
        <v>0b15a420-9fc8-409a-a169-fbd49479d718</v>
      </c>
      <c r="C7" s="6" t="str">
        <f>IF(OutPut1011[[#This Row],[time]]="","",CalculationType)</f>
        <v>wholesale_fixing</v>
      </c>
      <c r="D7" s="6" t="str">
        <f>IF(OutPut1011[[#This Row],[time]]="","",CalculationExecutionTimeStart)</f>
        <v>2024-01-01 23:00:00</v>
      </c>
      <c r="E7" s="6" t="str">
        <f>IF(OutPut1011[[#This Row],[time]]="","","IGNORED")</f>
        <v>IGNORED</v>
      </c>
      <c r="F7" s="6" t="str">
        <f>IF(OutPut1011[[#This Row],[time]]="","",G$3)</f>
        <v>800</v>
      </c>
      <c r="G7" s="6" t="str">
        <f>IF(OutPut1011[[#This Row],[time]]="","",$E$3)</f>
        <v>2000000000000</v>
      </c>
      <c r="H7" s="6">
        <f>IF(OutPut1011[[#This Row],[time]]="","",SUMIFS(charge_link_periods[Quantity_quantified],charge_link_periods[OutputCombination],C$1,charge_link_periods[whichdayFromDay],X7))</f>
        <v>1</v>
      </c>
      <c r="I7" s="6" t="str">
        <f>IF(OutPut1011[[#This Row],[time]]="","","pcs")</f>
        <v>pcs</v>
      </c>
      <c r="J7" s="6"/>
      <c r="K7" s="6" t="str">
        <f>IF(COUNTIFS(charge_link_periods[whichdayFromDay],X7,charge_link_periods[OutputCombination],C$1)&gt;0,IF('calculation_arguments'!J6="","",_xlfn.CONCAT('calculation_arguments'!J6," 23:00:00")),"")</f>
        <v>2023-02-02 23:00:00</v>
      </c>
      <c r="L7" s="6" t="str">
        <f>IF(OutPut1011[[#This Row],[time]]="","","P1D")</f>
        <v>P1D</v>
      </c>
      <c r="M7" s="6" t="str">
        <f>IF(OutPut1011[[#This Row],[time]]="","",$F$3)</f>
        <v>production</v>
      </c>
      <c r="N7" s="7" t="str">
        <f>IF(OutPut1011[[#This Row],[time]]="","",IF($H$3="","",$H$3))</f>
        <v/>
      </c>
      <c r="O7" s="7" t="str">
        <f>IF(OutPut1011[[#This Row],[time]]="","",IF(SUMIFS(charge_price_points[charge_price_quantified],charge_price_points[charge_time_shortened],OutPut1011[[#This Row],[time]],charge_price_points[charge_code],OutPut1011[[#This Row],[charge_code]])=0,"",SUBSTITUTE(SUMIFS(charge_price_points[charge_price_quantified],charge_price_points[charge_time_shortened],OutPut1011[[#This Row],[time]],charge_price_points[charge_code],OutPut1011[[#This Row],[charge_code]]),",",".")))</f>
        <v>19</v>
      </c>
      <c r="P7" s="7" t="str">
        <f>IFERROR(SUBSTITUTE(SUBSTITUTE(OutPut1011[[#This Row],[price]],".",",")*SUBSTITUTE(OutPut1011[[#This Row],[quantity]],".",","),",","."),"")</f>
        <v>19</v>
      </c>
      <c r="Q7" s="6" t="str">
        <f>IF(OutPut1011[[#This Row],[time]]="","",VLOOKUP(C$3,charge_price_information_periods[],5,FALSE))</f>
        <v>false</v>
      </c>
      <c r="R7" s="6" t="str">
        <f>IF(OutPut1011[[#This Row],[time]]="","",$C$3)</f>
        <v>fee-3</v>
      </c>
      <c r="S7" s="6" t="str">
        <f>IF(OutPut1011[[#This Row],[time]]="","","fee")</f>
        <v>fee</v>
      </c>
      <c r="T7" s="6" t="str">
        <f>IF(OutPut1011[[#This Row],[time]]="","",$D$3)</f>
        <v>0000000000800</v>
      </c>
      <c r="U7" s="6" t="str">
        <f>IF(OutPut1011[[#This Row],[time]]="","","amount_per_charge")</f>
        <v>amount_per_charge</v>
      </c>
      <c r="X7" s="3" t="s">
        <v>145</v>
      </c>
      <c r="AD7" s="3" t="str">
        <v>fee-3--0000000000800--2000000000000--production--800</v>
      </c>
    </row>
    <row r="8" spans="2:30" x14ac:dyDescent="0.35">
      <c r="B8" s="6" t="str">
        <f>IF(OutPut1011[[#This Row],[time]]="","",CalculationId)</f>
        <v/>
      </c>
      <c r="C8" s="6" t="str">
        <f>IF(OutPut1011[[#This Row],[time]]="","",CalculationType)</f>
        <v/>
      </c>
      <c r="D8" s="6" t="str">
        <f>IF(OutPut1011[[#This Row],[time]]="","",CalculationExecutionTimeStart)</f>
        <v/>
      </c>
      <c r="E8" s="6" t="str">
        <f>IF(OutPut1011[[#This Row],[time]]="","","IGNORED")</f>
        <v/>
      </c>
      <c r="F8" s="6" t="str">
        <f>IF(OutPut1011[[#This Row],[time]]="","",G$3)</f>
        <v/>
      </c>
      <c r="G8" s="6" t="str">
        <f>IF(OutPut1011[[#This Row],[time]]="","",$E$3)</f>
        <v/>
      </c>
      <c r="H8" s="6" t="str">
        <f>IF(OutPut1011[[#This Row],[time]]="","",SUMIFS(charge_link_periods[Quantity_quantified],charge_link_periods[OutputCombination],C$1,charge_link_periods[whichdayFromDay],X8))</f>
        <v/>
      </c>
      <c r="I8" s="6" t="str">
        <f>IF(OutPut1011[[#This Row],[time]]="","","pcs")</f>
        <v/>
      </c>
      <c r="J8" s="6"/>
      <c r="K8" s="6" t="str">
        <f>IF(COUNTIFS(charge_link_periods[whichdayFromDay],X8,charge_link_periods[OutputCombination],C$1)&gt;0,IF('calculation_arguments'!J7="","",_xlfn.CONCAT('calculation_arguments'!J7," 23:00:00")),"")</f>
        <v/>
      </c>
      <c r="L8" s="6" t="str">
        <f>IF(OutPut1011[[#This Row],[time]]="","","P1D")</f>
        <v/>
      </c>
      <c r="M8" s="6" t="str">
        <f>IF(OutPut1011[[#This Row],[time]]="","",$F$3)</f>
        <v/>
      </c>
      <c r="N8" s="7" t="str">
        <f>IF(OutPut1011[[#This Row],[time]]="","",IF($H$3="","",$H$3))</f>
        <v/>
      </c>
      <c r="O8" s="7" t="str">
        <f>IF(OutPut1011[[#This Row],[time]]="","",IF(SUMIFS(charge_price_points[charge_price_quantified],charge_price_points[charge_time_shortened],OutPut1011[[#This Row],[time]],charge_price_points[charge_code],OutPut1011[[#This Row],[charge_code]])=0,"",SUBSTITUTE(SUMIFS(charge_price_points[charge_price_quantified],charge_price_points[charge_time_shortened],OutPut1011[[#This Row],[time]],charge_price_points[charge_code],OutPut1011[[#This Row],[charge_code]]),",",".")))</f>
        <v/>
      </c>
      <c r="P8" s="7" t="str">
        <f>IFERROR(SUBSTITUTE(SUBSTITUTE(OutPut1011[[#This Row],[price]],".",",")*SUBSTITUTE(OutPut1011[[#This Row],[quantity]],".",","),",","."),"")</f>
        <v/>
      </c>
      <c r="Q8" s="6" t="str">
        <f>IF(OutPut1011[[#This Row],[time]]="","",VLOOKUP(C$3,charge_price_information_periods[],5,FALSE))</f>
        <v/>
      </c>
      <c r="R8" s="6" t="str">
        <f>IF(OutPut1011[[#This Row],[time]]="","",$C$3)</f>
        <v/>
      </c>
      <c r="S8" s="6" t="str">
        <f>IF(OutPut1011[[#This Row],[time]]="","","fee")</f>
        <v/>
      </c>
      <c r="T8" s="6" t="str">
        <f>IF(OutPut1011[[#This Row],[time]]="","",$D$3)</f>
        <v/>
      </c>
      <c r="U8" s="6" t="str">
        <f>IF(OutPut1011[[#This Row],[time]]="","","amount_per_charge")</f>
        <v/>
      </c>
      <c r="X8" s="3" t="s">
        <v>146</v>
      </c>
    </row>
    <row r="9" spans="2:30" x14ac:dyDescent="0.35">
      <c r="N9" s="2"/>
      <c r="O9" s="2"/>
      <c r="P9" s="2"/>
    </row>
    <row r="10" spans="2:30" x14ac:dyDescent="0.35">
      <c r="N10" s="2"/>
      <c r="O10" s="2"/>
      <c r="P10" s="2"/>
    </row>
    <row r="11" spans="2:30" x14ac:dyDescent="0.35">
      <c r="N11" s="2"/>
      <c r="O11" s="2"/>
      <c r="P11" s="2"/>
    </row>
    <row r="12" spans="2:30" x14ac:dyDescent="0.35">
      <c r="N12" s="2"/>
      <c r="O12" s="2"/>
      <c r="P12" s="2"/>
    </row>
    <row r="13" spans="2:30" x14ac:dyDescent="0.35">
      <c r="N13" s="2"/>
      <c r="O13" s="2"/>
      <c r="P13" s="2"/>
    </row>
    <row r="14" spans="2:30" x14ac:dyDescent="0.35">
      <c r="N14" s="2"/>
      <c r="O14" s="2"/>
      <c r="P14" s="2"/>
    </row>
    <row r="15" spans="2:30" x14ac:dyDescent="0.35">
      <c r="N15" s="2"/>
      <c r="O15" s="2"/>
      <c r="P15" s="2"/>
    </row>
    <row r="16" spans="2:30" x14ac:dyDescent="0.35">
      <c r="N16" s="2"/>
      <c r="O16" s="2"/>
      <c r="P16" s="2"/>
    </row>
    <row r="17" spans="14:25" x14ac:dyDescent="0.35">
      <c r="N17" s="2"/>
      <c r="O17" s="2"/>
      <c r="P17" s="2"/>
    </row>
    <row r="18" spans="14:25" x14ac:dyDescent="0.35">
      <c r="N18" s="2"/>
      <c r="O18" s="2"/>
      <c r="P18" s="2"/>
    </row>
    <row r="19" spans="14:25" x14ac:dyDescent="0.35">
      <c r="N19" s="2"/>
      <c r="O19" s="2"/>
      <c r="P19" s="2"/>
    </row>
    <row r="20" spans="14:25" x14ac:dyDescent="0.35">
      <c r="N20" s="2"/>
      <c r="O20" s="2"/>
      <c r="P20" s="2"/>
    </row>
    <row r="21" spans="14:25" x14ac:dyDescent="0.35">
      <c r="N21" s="2"/>
      <c r="O21" s="2"/>
      <c r="P21" s="2"/>
    </row>
    <row r="22" spans="14:25" x14ac:dyDescent="0.35">
      <c r="N22" s="2"/>
      <c r="O22" s="2"/>
      <c r="P22" s="2"/>
    </row>
    <row r="23" spans="14:25" x14ac:dyDescent="0.35">
      <c r="N23" s="2"/>
      <c r="O23" s="2"/>
      <c r="P23" s="2"/>
    </row>
    <row r="24" spans="14:25" x14ac:dyDescent="0.35">
      <c r="N24" s="2"/>
      <c r="O24" s="2"/>
      <c r="P24" s="2"/>
    </row>
    <row r="25" spans="14:25" x14ac:dyDescent="0.35">
      <c r="N25" s="2"/>
      <c r="O25" s="2"/>
      <c r="P25" s="2"/>
    </row>
    <row r="26" spans="14:25" x14ac:dyDescent="0.35">
      <c r="N26" s="2"/>
      <c r="O26" s="2"/>
      <c r="P26" s="2"/>
    </row>
    <row r="27" spans="14:25" x14ac:dyDescent="0.35">
      <c r="N27" s="2"/>
      <c r="O27" s="2"/>
      <c r="P27" s="2"/>
    </row>
    <row r="28" spans="14:25" x14ac:dyDescent="0.35">
      <c r="N28" s="2"/>
      <c r="O28" s="2"/>
      <c r="P28" s="2"/>
    </row>
    <row r="29" spans="14:25" x14ac:dyDescent="0.35">
      <c r="N29" s="2"/>
      <c r="O29" s="2"/>
      <c r="P29" s="2"/>
    </row>
    <row r="30" spans="14:25" x14ac:dyDescent="0.35">
      <c r="N30" s="2"/>
      <c r="O30" s="2"/>
      <c r="P30" s="2"/>
      <c r="V30" s="4"/>
      <c r="Y30" s="4"/>
    </row>
    <row r="31" spans="14:25" x14ac:dyDescent="0.35">
      <c r="N31" s="2"/>
      <c r="O31" s="2"/>
      <c r="P31" s="2"/>
      <c r="V31" s="4"/>
      <c r="Y31" s="4"/>
    </row>
    <row r="32" spans="14:25" x14ac:dyDescent="0.35">
      <c r="N32" s="2"/>
      <c r="O32" s="2"/>
      <c r="P32" s="2"/>
      <c r="Y32" s="4"/>
    </row>
    <row r="33" spans="14:25" x14ac:dyDescent="0.35">
      <c r="N33" s="2"/>
      <c r="O33" s="2"/>
      <c r="P33" s="2"/>
      <c r="Y33" s="4"/>
    </row>
    <row r="34" spans="14:25" x14ac:dyDescent="0.35">
      <c r="N34" s="2"/>
      <c r="O34" s="2"/>
      <c r="P34" s="2"/>
      <c r="Y34" s="4"/>
    </row>
    <row r="35" spans="14:25" x14ac:dyDescent="0.35">
      <c r="N35" s="2"/>
      <c r="O35" s="2"/>
      <c r="P35" s="2"/>
      <c r="Y35" s="4"/>
    </row>
    <row r="36" spans="14:25" x14ac:dyDescent="0.35">
      <c r="N36" s="2"/>
      <c r="O36" s="2"/>
      <c r="P36" s="2"/>
      <c r="Y36" s="4"/>
    </row>
    <row r="37" spans="14:25" x14ac:dyDescent="0.35">
      <c r="N37" s="2"/>
      <c r="O37" s="2"/>
      <c r="P37" s="2"/>
      <c r="Y37" s="4"/>
    </row>
    <row r="38" spans="14:25" x14ac:dyDescent="0.35">
      <c r="N38" s="2"/>
      <c r="O38" s="2"/>
      <c r="P38" s="2"/>
      <c r="Y38" s="4"/>
    </row>
    <row r="39" spans="14:25" x14ac:dyDescent="0.35">
      <c r="N39" s="2"/>
      <c r="O39" s="2"/>
      <c r="P39" s="2"/>
      <c r="Y39" s="4"/>
    </row>
    <row r="40" spans="14:25" x14ac:dyDescent="0.35">
      <c r="N40" s="2"/>
      <c r="O40" s="2"/>
      <c r="P40" s="2"/>
      <c r="Y40" s="4"/>
    </row>
    <row r="41" spans="14:25" x14ac:dyDescent="0.35">
      <c r="N41" s="2"/>
      <c r="O41" s="2"/>
      <c r="P41" s="2"/>
      <c r="Y41" s="4"/>
    </row>
    <row r="42" spans="14:25" x14ac:dyDescent="0.35">
      <c r="N42" s="2"/>
      <c r="O42" s="2"/>
      <c r="P42" s="2"/>
      <c r="Y42" s="4"/>
    </row>
    <row r="43" spans="14:25" x14ac:dyDescent="0.35">
      <c r="N43" s="2"/>
      <c r="O43" s="2"/>
      <c r="P43" s="2"/>
      <c r="Y43" s="4"/>
    </row>
    <row r="44" spans="14:25" x14ac:dyDescent="0.35">
      <c r="N44" s="2"/>
      <c r="O44" s="2"/>
      <c r="P44" s="2"/>
      <c r="Y44" s="4"/>
    </row>
    <row r="45" spans="14:25" x14ac:dyDescent="0.35">
      <c r="N45" s="2"/>
      <c r="O45" s="2"/>
      <c r="P45" s="2"/>
      <c r="Y45" s="4"/>
    </row>
    <row r="46" spans="14:25" x14ac:dyDescent="0.35">
      <c r="N46" s="2"/>
      <c r="O46" s="2"/>
      <c r="P46" s="2"/>
      <c r="Y46" s="4"/>
    </row>
    <row r="47" spans="14:25" x14ac:dyDescent="0.35">
      <c r="N47" s="2"/>
      <c r="O47" s="2"/>
      <c r="P47" s="2"/>
      <c r="Y47" s="4"/>
    </row>
    <row r="48" spans="14:25" x14ac:dyDescent="0.35">
      <c r="N48" s="2"/>
      <c r="O48" s="2"/>
      <c r="P48" s="2"/>
      <c r="Y48" s="4"/>
    </row>
    <row r="49" spans="14:25" x14ac:dyDescent="0.35">
      <c r="N49" s="2"/>
      <c r="O49" s="2"/>
      <c r="P49" s="2"/>
      <c r="Y49" s="4"/>
    </row>
    <row r="50" spans="14:25" x14ac:dyDescent="0.35">
      <c r="N50" s="2"/>
      <c r="O50" s="2"/>
      <c r="P50" s="2"/>
      <c r="Y50" s="4"/>
    </row>
    <row r="51" spans="14:25" x14ac:dyDescent="0.35">
      <c r="N51" s="2"/>
      <c r="O51" s="2"/>
      <c r="P51" s="2"/>
      <c r="Y51" s="4"/>
    </row>
    <row r="52" spans="14:25" x14ac:dyDescent="0.35">
      <c r="N52" s="2"/>
      <c r="O52" s="2"/>
      <c r="P52" s="2"/>
      <c r="Y52" s="4"/>
    </row>
    <row r="53" spans="14:25" x14ac:dyDescent="0.35">
      <c r="N53" s="2"/>
      <c r="O53" s="2"/>
      <c r="P53" s="2"/>
      <c r="Y53" s="4"/>
    </row>
    <row r="54" spans="14:25" x14ac:dyDescent="0.35">
      <c r="N54" s="2"/>
      <c r="O54" s="2"/>
      <c r="P54" s="2"/>
      <c r="Y54" s="4"/>
    </row>
    <row r="55" spans="14:25" x14ac:dyDescent="0.35">
      <c r="N55" s="2"/>
      <c r="O55" s="2"/>
      <c r="P55" s="2"/>
      <c r="Y55" s="4"/>
    </row>
    <row r="56" spans="14:25" x14ac:dyDescent="0.35">
      <c r="N56" s="2"/>
      <c r="O56" s="2"/>
      <c r="P56" s="2"/>
      <c r="Y56" s="4"/>
    </row>
    <row r="57" spans="14:25" x14ac:dyDescent="0.35">
      <c r="N57" s="2"/>
      <c r="O57" s="2"/>
      <c r="P57" s="2"/>
      <c r="Y57" s="4"/>
    </row>
    <row r="58" spans="14:25" x14ac:dyDescent="0.35">
      <c r="N58" s="2"/>
      <c r="O58" s="2"/>
      <c r="P58" s="2"/>
      <c r="V58" s="4"/>
      <c r="W58" s="4"/>
      <c r="X58" s="12"/>
      <c r="Y58" s="4"/>
    </row>
    <row r="59" spans="14:25" x14ac:dyDescent="0.35">
      <c r="N59" s="2"/>
      <c r="O59" s="2"/>
      <c r="P59" s="2"/>
      <c r="V59" s="4"/>
      <c r="W59" s="4"/>
      <c r="X59" s="12"/>
      <c r="Y59" s="4"/>
    </row>
    <row r="60" spans="14:25" x14ac:dyDescent="0.35">
      <c r="N60" s="2"/>
      <c r="O60" s="2"/>
      <c r="P60" s="2"/>
      <c r="V60" s="4"/>
      <c r="W60" s="4"/>
      <c r="X60" s="12"/>
      <c r="Y60" s="4"/>
    </row>
    <row r="61" spans="14:25" x14ac:dyDescent="0.35">
      <c r="N61" s="2"/>
      <c r="O61" s="2"/>
      <c r="P61" s="2"/>
      <c r="V61" s="4"/>
      <c r="W61" s="4"/>
      <c r="X61" s="12"/>
      <c r="Y61" s="4"/>
    </row>
    <row r="62" spans="14:25" x14ac:dyDescent="0.35">
      <c r="N62" s="2"/>
      <c r="O62" s="2"/>
      <c r="P62" s="2"/>
      <c r="V62" s="4"/>
      <c r="W62" s="4"/>
      <c r="X62" s="12"/>
      <c r="Y62" s="4"/>
    </row>
    <row r="63" spans="14:25" x14ac:dyDescent="0.35">
      <c r="N63" s="2"/>
      <c r="O63" s="2"/>
      <c r="P63" s="2"/>
      <c r="V63" s="4"/>
      <c r="W63" s="4"/>
      <c r="X63" s="12"/>
      <c r="Y63" s="4"/>
    </row>
    <row r="64" spans="14:25" x14ac:dyDescent="0.35">
      <c r="N64" s="2"/>
      <c r="O64" s="2"/>
      <c r="P64" s="2"/>
      <c r="V64" s="4"/>
      <c r="W64" s="4"/>
      <c r="X64" s="12"/>
      <c r="Y64" s="4"/>
    </row>
    <row r="65" spans="14:25" x14ac:dyDescent="0.35">
      <c r="N65" s="2"/>
      <c r="O65" s="2"/>
      <c r="P65" s="2"/>
      <c r="V65" s="4"/>
      <c r="W65" s="4"/>
      <c r="X65" s="12"/>
      <c r="Y65" s="4"/>
    </row>
    <row r="66" spans="14:25" x14ac:dyDescent="0.35">
      <c r="N66" s="2"/>
      <c r="O66" s="2"/>
      <c r="P66" s="2"/>
      <c r="V66" s="4"/>
      <c r="W66" s="4"/>
      <c r="X66" s="12"/>
      <c r="Y66" s="4"/>
    </row>
    <row r="67" spans="14:25" x14ac:dyDescent="0.35">
      <c r="N67" s="2"/>
      <c r="O67" s="2"/>
      <c r="P67" s="2"/>
      <c r="V67" s="4"/>
      <c r="W67" s="4"/>
      <c r="X67" s="12"/>
      <c r="Y67" s="4"/>
    </row>
    <row r="68" spans="14:25" x14ac:dyDescent="0.35">
      <c r="N68" s="2"/>
      <c r="O68" s="2"/>
      <c r="P68" s="2"/>
    </row>
    <row r="69" spans="14:25" x14ac:dyDescent="0.35">
      <c r="N69" s="2"/>
      <c r="O69" s="2"/>
      <c r="P69" s="2"/>
    </row>
    <row r="70" spans="14:25" x14ac:dyDescent="0.35">
      <c r="N70" s="2"/>
      <c r="O70" s="2"/>
      <c r="P70" s="2"/>
    </row>
    <row r="71" spans="14:25" x14ac:dyDescent="0.35">
      <c r="N71" s="2"/>
      <c r="O71" s="2"/>
      <c r="P71" s="2"/>
    </row>
    <row r="72" spans="14:25" x14ac:dyDescent="0.35">
      <c r="N72" s="2"/>
      <c r="O72" s="2"/>
      <c r="P72" s="2"/>
    </row>
    <row r="73" spans="14:25" x14ac:dyDescent="0.35">
      <c r="N73" s="2"/>
      <c r="O73" s="2"/>
      <c r="P73" s="2"/>
    </row>
    <row r="74" spans="14:25" x14ac:dyDescent="0.35">
      <c r="N74" s="2"/>
      <c r="O74" s="2"/>
      <c r="P74" s="2"/>
    </row>
    <row r="75" spans="14:25" x14ac:dyDescent="0.35">
      <c r="N75" s="2"/>
      <c r="O75" s="2"/>
      <c r="P75" s="2"/>
    </row>
    <row r="76" spans="14:25" x14ac:dyDescent="0.35">
      <c r="N76" s="2"/>
      <c r="O76" s="2"/>
      <c r="P76" s="2"/>
    </row>
    <row r="77" spans="14:25" x14ac:dyDescent="0.35">
      <c r="N77" s="2"/>
      <c r="O77" s="2"/>
      <c r="P77" s="2"/>
    </row>
    <row r="78" spans="14:25" x14ac:dyDescent="0.35">
      <c r="N78" s="2"/>
      <c r="O78" s="2"/>
      <c r="P78" s="2"/>
    </row>
    <row r="79" spans="14:25" x14ac:dyDescent="0.35">
      <c r="N79" s="2"/>
      <c r="O79" s="2"/>
      <c r="P79" s="2"/>
    </row>
    <row r="80" spans="14:25" x14ac:dyDescent="0.35">
      <c r="N80" s="2"/>
      <c r="O80" s="2"/>
      <c r="P80" s="2"/>
    </row>
    <row r="81" spans="14:16" x14ac:dyDescent="0.35">
      <c r="N81" s="2"/>
      <c r="O81" s="2"/>
      <c r="P81" s="2"/>
    </row>
    <row r="82" spans="14:16" x14ac:dyDescent="0.35">
      <c r="N82" s="2"/>
      <c r="O82" s="2"/>
      <c r="P82" s="2"/>
    </row>
    <row r="83" spans="14:16" x14ac:dyDescent="0.35">
      <c r="N83" s="2"/>
      <c r="O83" s="2"/>
      <c r="P83" s="2"/>
    </row>
    <row r="84" spans="14:16" x14ac:dyDescent="0.35">
      <c r="N84" s="2"/>
      <c r="O84" s="2"/>
      <c r="P84" s="2"/>
    </row>
    <row r="85" spans="14:16" x14ac:dyDescent="0.35">
      <c r="N85" s="2"/>
      <c r="O85" s="2"/>
      <c r="P85" s="2"/>
    </row>
    <row r="86" spans="14:16" x14ac:dyDescent="0.35">
      <c r="N86" s="2"/>
      <c r="O86" s="2"/>
      <c r="P86" s="2"/>
    </row>
    <row r="87" spans="14:16" x14ac:dyDescent="0.35">
      <c r="N87" s="2"/>
      <c r="O87" s="2"/>
      <c r="P87" s="2"/>
    </row>
    <row r="88" spans="14:16" x14ac:dyDescent="0.35">
      <c r="N88" s="2"/>
      <c r="O88" s="2"/>
      <c r="P88" s="2"/>
    </row>
    <row r="89" spans="14:16" x14ac:dyDescent="0.35">
      <c r="N89" s="2"/>
      <c r="O89" s="2"/>
      <c r="P89" s="2"/>
    </row>
    <row r="90" spans="14:16" x14ac:dyDescent="0.35">
      <c r="N90" s="2"/>
      <c r="O90" s="2"/>
      <c r="P90" s="2"/>
    </row>
    <row r="91" spans="14:16" x14ac:dyDescent="0.35">
      <c r="N91" s="2"/>
      <c r="O91" s="2"/>
      <c r="P91" s="2"/>
    </row>
    <row r="92" spans="14:16" x14ac:dyDescent="0.35">
      <c r="N92" s="2"/>
      <c r="O92" s="2"/>
      <c r="P92" s="2"/>
    </row>
    <row r="93" spans="14:16" x14ac:dyDescent="0.35">
      <c r="N93" s="2"/>
      <c r="O93" s="2"/>
      <c r="P93" s="2"/>
    </row>
    <row r="94" spans="14:16" x14ac:dyDescent="0.35">
      <c r="N94" s="2"/>
      <c r="O94" s="2"/>
      <c r="P94" s="2"/>
    </row>
    <row r="95" spans="14:16" x14ac:dyDescent="0.35">
      <c r="N95" s="2"/>
      <c r="O95" s="2"/>
      <c r="P95" s="2"/>
    </row>
    <row r="96" spans="14:16" x14ac:dyDescent="0.35">
      <c r="N96" s="2"/>
      <c r="O96" s="2"/>
      <c r="P96" s="2"/>
    </row>
    <row r="97" spans="14:16" x14ac:dyDescent="0.35">
      <c r="N97" s="2"/>
      <c r="O97" s="2"/>
      <c r="P97" s="2"/>
    </row>
    <row r="98" spans="14:16" x14ac:dyDescent="0.35">
      <c r="N98" s="2"/>
      <c r="O98" s="2"/>
      <c r="P98" s="2"/>
    </row>
    <row r="99" spans="14:16" x14ac:dyDescent="0.35">
      <c r="N99" s="2"/>
      <c r="O99" s="2"/>
      <c r="P99" s="2"/>
    </row>
    <row r="100" spans="14:16" x14ac:dyDescent="0.35">
      <c r="N100" s="2"/>
      <c r="O100" s="2"/>
      <c r="P100" s="2"/>
    </row>
  </sheetData>
  <mergeCells count="1">
    <mergeCell ref="C1:F1"/>
  </mergeCells>
  <dataValidations count="1">
    <dataValidation type="list" allowBlank="1" showInputMessage="1" showErrorMessage="1" sqref="C1" xr:uid="{291C9C82-946C-4F70-B4B8-F453C4BF5243}">
      <formula1>$AD$4:$AD$40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37E6-63E5-4A24-9C1A-400C0E8E9CFE}">
  <sheetPr>
    <tabColor rgb="FFFFFF00"/>
  </sheetPr>
  <dimension ref="B1:AD100"/>
  <sheetViews>
    <sheetView zoomScaleNormal="100" workbookViewId="0">
      <selection activeCell="B6" sqref="B6:U7"/>
    </sheetView>
  </sheetViews>
  <sheetFormatPr defaultColWidth="8.7265625" defaultRowHeight="14.5" x14ac:dyDescent="0.35"/>
  <cols>
    <col min="1" max="1" width="8.7265625" style="1"/>
    <col min="2" max="2" width="36.81640625" style="1" bestFit="1" customWidth="1"/>
    <col min="3" max="3" width="36.81640625" style="1" customWidth="1"/>
    <col min="4" max="4" width="31.26953125" style="1" bestFit="1" customWidth="1"/>
    <col min="5" max="5" width="19" style="1" bestFit="1" customWidth="1"/>
    <col min="6" max="6" width="19.7265625" style="1" bestFit="1" customWidth="1"/>
    <col min="7" max="7" width="19.1796875" style="1" customWidth="1"/>
    <col min="8" max="8" width="20.453125" style="1" bestFit="1" customWidth="1"/>
    <col min="9" max="9" width="19.54296875" style="1" bestFit="1" customWidth="1"/>
    <col min="10" max="10" width="20.7265625" style="1" customWidth="1"/>
    <col min="11" max="11" width="19" style="1" bestFit="1" customWidth="1"/>
    <col min="12" max="12" width="13.54296875" style="1" bestFit="1" customWidth="1"/>
    <col min="13" max="13" width="22.453125" style="1" bestFit="1" customWidth="1"/>
    <col min="14" max="14" width="30.1796875" style="1" customWidth="1"/>
    <col min="15" max="15" width="15.1796875" style="1" customWidth="1"/>
    <col min="16" max="16" width="17.1796875" style="1" bestFit="1" customWidth="1"/>
    <col min="17" max="17" width="19.54296875" style="1" customWidth="1"/>
    <col min="18" max="18" width="20.1796875" style="1" bestFit="1" customWidth="1"/>
    <col min="19" max="19" width="29.453125" style="1" bestFit="1" customWidth="1"/>
    <col min="20" max="21" width="22.1796875" style="1" bestFit="1" customWidth="1"/>
    <col min="22" max="22" width="26.7265625" style="1" bestFit="1" customWidth="1"/>
    <col min="23" max="23" width="24.453125" style="1" bestFit="1" customWidth="1"/>
    <col min="24" max="24" width="21.81640625" style="3" customWidth="1"/>
    <col min="25" max="25" width="31.26953125" style="1" bestFit="1" customWidth="1"/>
    <col min="26" max="26" width="29.453125" style="1" bestFit="1" customWidth="1"/>
    <col min="27" max="27" width="22.453125" style="1" bestFit="1" customWidth="1"/>
    <col min="28" max="28" width="17.1796875" style="1" bestFit="1" customWidth="1"/>
    <col min="29" max="29" width="25" style="1" bestFit="1" customWidth="1"/>
    <col min="30" max="30" width="73.1796875" style="3" bestFit="1" customWidth="1"/>
    <col min="31" max="31" width="24.81640625" style="1" bestFit="1" customWidth="1"/>
    <col min="32" max="32" width="17.1796875" style="1" bestFit="1" customWidth="1"/>
    <col min="33" max="33" width="10.81640625" style="1" customWidth="1"/>
    <col min="34" max="34" width="8.7265625" style="1"/>
    <col min="35" max="35" width="17.7265625" style="1" bestFit="1" customWidth="1"/>
    <col min="36" max="36" width="8.81640625" style="1" customWidth="1"/>
    <col min="37" max="16384" width="8.7265625" style="1"/>
  </cols>
  <sheetData>
    <row r="1" spans="2:30" ht="18.5" x14ac:dyDescent="0.45">
      <c r="B1" s="8" t="s">
        <v>138</v>
      </c>
      <c r="C1" s="19" t="s">
        <v>156</v>
      </c>
      <c r="D1" s="20"/>
      <c r="E1" s="20"/>
      <c r="F1" s="21"/>
      <c r="X1" s="1"/>
    </row>
    <row r="2" spans="2:30" x14ac:dyDescent="0.35">
      <c r="X2" s="1"/>
    </row>
    <row r="3" spans="2:30" x14ac:dyDescent="0.35">
      <c r="C3" s="3" t="str" cm="1">
        <f t="array" ref="C3:G3">_xlfn.TEXTSPLIT(C1,"--")</f>
        <v>subscription-1</v>
      </c>
      <c r="D3" s="3" t="str">
        <v>0000000000800</v>
      </c>
      <c r="E3" s="3" t="str">
        <v>2000000000000</v>
      </c>
      <c r="F3" s="3" t="str">
        <v>production</v>
      </c>
      <c r="G3" s="3" t="str">
        <v>111</v>
      </c>
      <c r="H3" s="3"/>
      <c r="X3" s="1"/>
      <c r="AD3" s="9" t="s">
        <v>71</v>
      </c>
    </row>
    <row r="4" spans="2:30" x14ac:dyDescent="0.35">
      <c r="B4" s="5" t="s">
        <v>84</v>
      </c>
      <c r="C4" s="5" t="s">
        <v>31</v>
      </c>
      <c r="D4" s="5" t="s">
        <v>85</v>
      </c>
      <c r="E4" s="5" t="s">
        <v>86</v>
      </c>
      <c r="F4" s="5" t="s">
        <v>33</v>
      </c>
      <c r="G4" s="5" t="s">
        <v>37</v>
      </c>
      <c r="H4" s="5" t="s">
        <v>11</v>
      </c>
      <c r="I4" s="5" t="s">
        <v>76</v>
      </c>
      <c r="J4" s="5" t="s">
        <v>72</v>
      </c>
      <c r="K4" s="5" t="s">
        <v>73</v>
      </c>
      <c r="L4" s="5" t="s">
        <v>12</v>
      </c>
      <c r="M4" s="5" t="s">
        <v>46</v>
      </c>
      <c r="N4" s="5" t="s">
        <v>32</v>
      </c>
      <c r="O4" s="5" t="s">
        <v>47</v>
      </c>
      <c r="P4" s="5" t="s">
        <v>48</v>
      </c>
      <c r="Q4" s="5" t="s">
        <v>13</v>
      </c>
      <c r="R4" s="5" t="s">
        <v>7</v>
      </c>
      <c r="S4" s="5" t="s">
        <v>8</v>
      </c>
      <c r="T4" s="5" t="s">
        <v>9</v>
      </c>
      <c r="U4" s="5" t="s">
        <v>87</v>
      </c>
      <c r="AD4" s="3" t="str" cm="1">
        <f t="array" ref="AD4:AD9">_xlfn.UNIQUE(INDEX(_xlfn._xlws.FILTER(charge_link_periods[],charge_link_periods[charge_type]="Subscription"),,16))</f>
        <v>subscription-1--0000000000800--1000000000000--consumption--800--flex</v>
      </c>
    </row>
    <row r="5" spans="2:30" x14ac:dyDescent="0.35">
      <c r="B5" s="6" t="str">
        <f>IF(OutPut101112[[#This Row],[time]]="","",CalculationId)</f>
        <v>0b15a420-9fc8-409a-a169-fbd49479d718</v>
      </c>
      <c r="C5" s="6" t="str">
        <f>IF(OutPut101112[[#This Row],[time]]="","",CalculationType)</f>
        <v>wholesale_fixing</v>
      </c>
      <c r="D5" s="6" t="str">
        <f>IF(OutPut101112[[#This Row],[time]]="","",CalculationExecutionTimeStart)</f>
        <v>2024-01-01 23:00:00</v>
      </c>
      <c r="E5" s="6" t="str">
        <f>IF(OutPut101112[[#This Row],[time]]="","","IGNORED")</f>
        <v>IGNORED</v>
      </c>
      <c r="F5" s="6" t="str">
        <f>IF(OutPut101112[[#This Row],[time]]="","",G$3)</f>
        <v>111</v>
      </c>
      <c r="G5" s="6" t="str">
        <f>IF(OutPut101112[[#This Row],[time]]="","",$E$3)</f>
        <v>2000000000000</v>
      </c>
      <c r="H5" s="6">
        <f>IF(OutPut101112[[#This Row],[time]]="","",SUMIF(charge_link_periods[OutputCombination],C$1,charge_link_periods[Quantity_quantified]))</f>
        <v>2</v>
      </c>
      <c r="I5" s="6" t="str">
        <f>IF(OutPut101112[[#This Row],[time]]="","","pcs")</f>
        <v>pcs</v>
      </c>
      <c r="J5" s="6"/>
      <c r="K5" s="6" t="str">
        <f>IF('calculation_arguments'!J4="","",_xlfn.CONCAT('calculation_arguments'!J4," 23:00:00"))</f>
        <v>2023-01-31 23:00:00</v>
      </c>
      <c r="L5" s="6" t="str">
        <f>IF(OutPut101112[[#This Row],[time]]="","","P1D")</f>
        <v>P1D</v>
      </c>
      <c r="M5" s="6" t="str">
        <f>IF(OutPut101112[[#This Row],[time]]="","",$F$3)</f>
        <v>production</v>
      </c>
      <c r="N5" s="7" t="str">
        <f>IF(OutPut101112[[#This Row],[time]]="","",IF($H$3="","",$H$3))</f>
        <v/>
      </c>
      <c r="O5" s="7" t="str">
        <f>IF(OutPut101112[[#This Row],[time]]="","",SUBSTITUTE(ROUND(SUMIFS(charge_price_points[charge_price_quantified],charge_price_points[charge_code],OutPut101112[[#This Row],[charge_code]])/COUNTIF(OutPut101112[resolution],"P1D"),6),",","."))</f>
        <v>0.302867</v>
      </c>
      <c r="P5" s="7" t="str">
        <f>IFERROR(SUBSTITUTE(SUBSTITUTE(OutPut101112[[#This Row],[price]],".",",")*SUBSTITUTE(OutPut101112[[#This Row],[quantity]],".",","),",","."),"")</f>
        <v>0.605734</v>
      </c>
      <c r="Q5" s="6" t="str">
        <f>IF(OutPut101112[[#This Row],[time]]="","",VLOOKUP(C$3,charge_price_information_periods[],5,FALSE))</f>
        <v>false</v>
      </c>
      <c r="R5" s="6" t="str">
        <f>IF(OutPut101112[[#This Row],[time]]="","",$C$3)</f>
        <v>subscription-1</v>
      </c>
      <c r="S5" s="6" t="str">
        <f>IF(OutPut101112[[#This Row],[time]]="","","subscription")</f>
        <v>subscription</v>
      </c>
      <c r="T5" s="6" t="str">
        <f>IF(OutPut101112[[#This Row],[time]]="","",$D$3)</f>
        <v>0000000000800</v>
      </c>
      <c r="U5" s="6" t="str">
        <f>IF(OutPut101112[[#This Row],[time]]="","","amount_per_charge")</f>
        <v>amount_per_charge</v>
      </c>
      <c r="X5" s="3" t="s">
        <v>143</v>
      </c>
      <c r="AD5" s="3" t="str">
        <v>subscription-2--0000000000800--3000000000000--consumption--800--non_profiled</v>
      </c>
    </row>
    <row r="6" spans="2:30" x14ac:dyDescent="0.35">
      <c r="B6" s="6" t="str">
        <f>IF(OutPut101112[[#This Row],[time]]="","",CalculationId)</f>
        <v>0b15a420-9fc8-409a-a169-fbd49479d718</v>
      </c>
      <c r="C6" s="6" t="str">
        <f>IF(OutPut101112[[#This Row],[time]]="","",CalculationType)</f>
        <v>wholesale_fixing</v>
      </c>
      <c r="D6" s="6" t="str">
        <f>IF(OutPut101112[[#This Row],[time]]="","",CalculationExecutionTimeStart)</f>
        <v>2024-01-01 23:00:00</v>
      </c>
      <c r="E6" s="6" t="str">
        <f>IF(OutPut101112[[#This Row],[time]]="","","IGNORED")</f>
        <v>IGNORED</v>
      </c>
      <c r="F6" s="6" t="str">
        <f>IF(OutPut101112[[#This Row],[time]]="","",G$3)</f>
        <v>111</v>
      </c>
      <c r="G6" s="6" t="str">
        <f>IF(OutPut101112[[#This Row],[time]]="","",$E$3)</f>
        <v>2000000000000</v>
      </c>
      <c r="H6" s="6">
        <f>IF(OutPut101112[[#This Row],[time]]="","",SUMIF(charge_link_periods[OutputCombination],C$1,charge_link_periods[Quantity_quantified]))</f>
        <v>2</v>
      </c>
      <c r="I6" s="6" t="str">
        <f>IF(OutPut101112[[#This Row],[time]]="","","pcs")</f>
        <v>pcs</v>
      </c>
      <c r="J6" s="6"/>
      <c r="K6" s="6" t="str">
        <f>IF('calculation_arguments'!J5="","",_xlfn.CONCAT('calculation_arguments'!J5," 23:00:00"))</f>
        <v>2023-02-01 23:00:00</v>
      </c>
      <c r="L6" s="6" t="str">
        <f>IF(OutPut101112[[#This Row],[time]]="","","P1D")</f>
        <v>P1D</v>
      </c>
      <c r="M6" s="6" t="str">
        <f>IF(OutPut101112[[#This Row],[time]]="","",$F$3)</f>
        <v>production</v>
      </c>
      <c r="N6" s="7" t="str">
        <f>IF(OutPut101112[[#This Row],[time]]="","",IF($H$3="","",$H$3))</f>
        <v/>
      </c>
      <c r="O6" s="7" t="str">
        <f>IF(OutPut101112[[#This Row],[time]]="","",SUBSTITUTE(ROUND(SUMIFS(charge_price_points[charge_price_quantified],charge_price_points[charge_code],OutPut101112[[#This Row],[charge_code]])/COUNTIF(OutPut101112[resolution],"P1D"),6),",","."))</f>
        <v>0.302867</v>
      </c>
      <c r="P6" s="7" t="str">
        <f>IFERROR(SUBSTITUTE(SUBSTITUTE(OutPut101112[[#This Row],[price]],".",",")*SUBSTITUTE(OutPut101112[[#This Row],[quantity]],".",","),",","."),"")</f>
        <v>0.605734</v>
      </c>
      <c r="Q6" s="6" t="str">
        <f>IF(OutPut101112[[#This Row],[time]]="","",VLOOKUP(C$3,charge_price_information_periods[],5,FALSE))</f>
        <v>false</v>
      </c>
      <c r="R6" s="6" t="str">
        <f>IF(OutPut101112[[#This Row],[time]]="","",$C$3)</f>
        <v>subscription-1</v>
      </c>
      <c r="S6" s="6" t="str">
        <f>IF(OutPut101112[[#This Row],[time]]="","","subscription")</f>
        <v>subscription</v>
      </c>
      <c r="T6" s="6" t="str">
        <f>IF(OutPut101112[[#This Row],[time]]="","",$D$3)</f>
        <v>0000000000800</v>
      </c>
      <c r="U6" s="6" t="str">
        <f>IF(OutPut101112[[#This Row],[time]]="","","amount_per_charge")</f>
        <v>amount_per_charge</v>
      </c>
      <c r="X6" s="3" t="s">
        <v>144</v>
      </c>
      <c r="AD6" s="3" t="str">
        <v>subscription-2--0000000000800--2000000000000--production--800</v>
      </c>
    </row>
    <row r="7" spans="2:30" x14ac:dyDescent="0.35">
      <c r="B7" s="6" t="str">
        <f>IF(OutPut101112[[#This Row],[time]]="","",CalculationId)</f>
        <v>0b15a420-9fc8-409a-a169-fbd49479d718</v>
      </c>
      <c r="C7" s="6" t="str">
        <f>IF(OutPut101112[[#This Row],[time]]="","",CalculationType)</f>
        <v>wholesale_fixing</v>
      </c>
      <c r="D7" s="6" t="str">
        <f>IF(OutPut101112[[#This Row],[time]]="","",CalculationExecutionTimeStart)</f>
        <v>2024-01-01 23:00:00</v>
      </c>
      <c r="E7" s="6" t="str">
        <f>IF(OutPut101112[[#This Row],[time]]="","","IGNORED")</f>
        <v>IGNORED</v>
      </c>
      <c r="F7" s="6" t="str">
        <f>IF(OutPut101112[[#This Row],[time]]="","",G$3)</f>
        <v>111</v>
      </c>
      <c r="G7" s="6" t="str">
        <f>IF(OutPut101112[[#This Row],[time]]="","",$E$3)</f>
        <v>2000000000000</v>
      </c>
      <c r="H7" s="6">
        <f>IF(OutPut101112[[#This Row],[time]]="","",SUMIF(charge_link_periods[OutputCombination],C$1,charge_link_periods[Quantity_quantified]))</f>
        <v>2</v>
      </c>
      <c r="I7" s="6" t="str">
        <f>IF(OutPut101112[[#This Row],[time]]="","","pcs")</f>
        <v>pcs</v>
      </c>
      <c r="J7" s="6"/>
      <c r="K7" s="6" t="str">
        <f>IF('calculation_arguments'!J6="","",_xlfn.CONCAT('calculation_arguments'!J6," 23:00:00"))</f>
        <v>2023-02-02 23:00:00</v>
      </c>
      <c r="L7" s="6" t="str">
        <f>IF(OutPut101112[[#This Row],[time]]="","","P1D")</f>
        <v>P1D</v>
      </c>
      <c r="M7" s="6" t="str">
        <f>IF(OutPut101112[[#This Row],[time]]="","",$F$3)</f>
        <v>production</v>
      </c>
      <c r="N7" s="7" t="str">
        <f>IF(OutPut101112[[#This Row],[time]]="","",IF($H$3="","",$H$3))</f>
        <v/>
      </c>
      <c r="O7" s="7" t="str">
        <f>IF(OutPut101112[[#This Row],[time]]="","",SUBSTITUTE(ROUND(SUMIFS(charge_price_points[charge_price_quantified],charge_price_points[charge_code],OutPut101112[[#This Row],[charge_code]])/COUNTIF(OutPut101112[resolution],"P1D"),6),",","."))</f>
        <v>0.302867</v>
      </c>
      <c r="P7" s="7" t="str">
        <f>IFERROR(SUBSTITUTE(SUBSTITUTE(OutPut101112[[#This Row],[price]],".",",")*SUBSTITUTE(OutPut101112[[#This Row],[quantity]],".",","),",","."),"")</f>
        <v>0.605734</v>
      </c>
      <c r="Q7" s="6" t="str">
        <f>IF(OutPut101112[[#This Row],[time]]="","",VLOOKUP(C$3,charge_price_information_periods[],5,FALSE))</f>
        <v>false</v>
      </c>
      <c r="R7" s="6" t="str">
        <f>IF(OutPut101112[[#This Row],[time]]="","",$C$3)</f>
        <v>subscription-1</v>
      </c>
      <c r="S7" s="6" t="str">
        <f>IF(OutPut101112[[#This Row],[time]]="","","subscription")</f>
        <v>subscription</v>
      </c>
      <c r="T7" s="6" t="str">
        <f>IF(OutPut101112[[#This Row],[time]]="","",$D$3)</f>
        <v>0000000000800</v>
      </c>
      <c r="U7" s="6" t="str">
        <f>IF(OutPut101112[[#This Row],[time]]="","","amount_per_charge")</f>
        <v>amount_per_charge</v>
      </c>
      <c r="X7" s="3" t="s">
        <v>145</v>
      </c>
      <c r="AD7" s="3" t="str">
        <v>subscription-3--0000000000800--2000000000000--own_production--800</v>
      </c>
    </row>
    <row r="8" spans="2:30" x14ac:dyDescent="0.35">
      <c r="B8" s="6" t="str">
        <f>IF(OutPut101112[[#This Row],[time]]="","",CalculationId)</f>
        <v/>
      </c>
      <c r="C8" s="6" t="str">
        <f>IF(OutPut101112[[#This Row],[time]]="","",CalculationType)</f>
        <v/>
      </c>
      <c r="D8" s="6" t="str">
        <f>IF(OutPut101112[[#This Row],[time]]="","",CalculationExecutionTimeStart)</f>
        <v/>
      </c>
      <c r="E8" s="6" t="str">
        <f>IF(OutPut101112[[#This Row],[time]]="","","IGNORED")</f>
        <v/>
      </c>
      <c r="F8" s="6" t="str">
        <f>IF(OutPut101112[[#This Row],[time]]="","",G$3)</f>
        <v/>
      </c>
      <c r="G8" s="6" t="str">
        <f>IF(OutPut101112[[#This Row],[time]]="","",$E$3)</f>
        <v/>
      </c>
      <c r="H8" s="6" t="str">
        <f>IF(OutPut101112[[#This Row],[time]]="","",SUMIF(charge_link_periods[OutputCombination],C$1,charge_link_periods[Quantity_quantified]))</f>
        <v/>
      </c>
      <c r="I8" s="6" t="str">
        <f>IF(OutPut101112[[#This Row],[time]]="","","pcs")</f>
        <v/>
      </c>
      <c r="J8" s="6"/>
      <c r="K8" s="6" t="str">
        <f>IF('calculation_arguments'!J7="","",_xlfn.CONCAT('calculation_arguments'!J7," 23:00:00"))</f>
        <v/>
      </c>
      <c r="L8" s="6" t="str">
        <f>IF(OutPut101112[[#This Row],[time]]="","","P1D")</f>
        <v/>
      </c>
      <c r="M8" s="6" t="str">
        <f>IF(OutPut101112[[#This Row],[time]]="","",$F$3)</f>
        <v/>
      </c>
      <c r="N8" s="7" t="str">
        <f>IF(OutPut101112[[#This Row],[time]]="","",IF($H$3="","",$H$3))</f>
        <v/>
      </c>
      <c r="O8" s="7" t="str">
        <f>IF(OutPut101112[[#This Row],[time]]="","",SUBSTITUTE(ROUND(SUMIFS(charge_price_points[charge_price_quantified],charge_price_points[charge_code],OutPut101112[[#This Row],[charge_code]])/COUNTIF(OutPut101112[resolution],"P1D"),6),",","."))</f>
        <v/>
      </c>
      <c r="P8" s="7" t="str">
        <f>IFERROR(SUBSTITUTE(SUBSTITUTE(OutPut101112[[#This Row],[price]],".",",")*SUBSTITUTE(OutPut101112[[#This Row],[quantity]],".",","),",","."),"")</f>
        <v/>
      </c>
      <c r="Q8" s="6" t="str">
        <f>IF(OutPut101112[[#This Row],[time]]="","",VLOOKUP(C$3,charge_price_information_periods[],5,FALSE))</f>
        <v/>
      </c>
      <c r="R8" s="6" t="str">
        <f>IF(OutPut101112[[#This Row],[time]]="","",$C$3)</f>
        <v/>
      </c>
      <c r="S8" s="6" t="str">
        <f>IF(OutPut101112[[#This Row],[time]]="","","subscription")</f>
        <v/>
      </c>
      <c r="T8" s="6" t="str">
        <f>IF(OutPut101112[[#This Row],[time]]="","",$D$3)</f>
        <v/>
      </c>
      <c r="U8" s="6" t="str">
        <f>IF(OutPut101112[[#This Row],[time]]="","","amount_per_charge")</f>
        <v/>
      </c>
      <c r="X8" s="3" t="s">
        <v>146</v>
      </c>
      <c r="AD8" s="3" t="str">
        <v>subscription-3--0000000000800--4000000000000--production--800</v>
      </c>
    </row>
    <row r="9" spans="2:30" x14ac:dyDescent="0.35">
      <c r="N9" s="2"/>
      <c r="O9" s="2"/>
      <c r="P9" s="2"/>
      <c r="AD9" s="3" t="str">
        <v>subscription-1--0000000000800--2000000000000--production--111</v>
      </c>
    </row>
    <row r="10" spans="2:30" x14ac:dyDescent="0.35">
      <c r="N10" s="2"/>
      <c r="O10" s="2"/>
      <c r="P10" s="2"/>
    </row>
    <row r="11" spans="2:30" x14ac:dyDescent="0.35">
      <c r="N11" s="2"/>
      <c r="O11" s="2"/>
      <c r="P11" s="2"/>
    </row>
    <row r="12" spans="2:30" x14ac:dyDescent="0.35">
      <c r="N12" s="2"/>
      <c r="O12" s="2"/>
      <c r="P12" s="2"/>
    </row>
    <row r="13" spans="2:30" x14ac:dyDescent="0.35">
      <c r="N13" s="2"/>
      <c r="O13" s="2"/>
      <c r="P13" s="2"/>
    </row>
    <row r="14" spans="2:30" x14ac:dyDescent="0.35">
      <c r="N14" s="2"/>
      <c r="O14" s="2"/>
      <c r="P14" s="2"/>
    </row>
    <row r="15" spans="2:30" x14ac:dyDescent="0.35">
      <c r="N15" s="2"/>
      <c r="O15" s="2"/>
      <c r="P15" s="2"/>
    </row>
    <row r="16" spans="2:30" x14ac:dyDescent="0.35">
      <c r="N16" s="2"/>
      <c r="O16" s="2"/>
      <c r="P16" s="2"/>
    </row>
    <row r="17" spans="14:25" x14ac:dyDescent="0.35">
      <c r="N17" s="2"/>
      <c r="O17" s="2"/>
      <c r="P17" s="2"/>
    </row>
    <row r="18" spans="14:25" x14ac:dyDescent="0.35">
      <c r="N18" s="2"/>
      <c r="O18" s="2"/>
      <c r="P18" s="2"/>
    </row>
    <row r="19" spans="14:25" x14ac:dyDescent="0.35">
      <c r="N19" s="2"/>
      <c r="O19" s="2"/>
      <c r="P19" s="2"/>
    </row>
    <row r="20" spans="14:25" x14ac:dyDescent="0.35">
      <c r="N20" s="2"/>
      <c r="O20" s="2"/>
      <c r="P20" s="2"/>
    </row>
    <row r="21" spans="14:25" x14ac:dyDescent="0.35">
      <c r="N21" s="2"/>
      <c r="O21" s="2"/>
      <c r="P21" s="2"/>
    </row>
    <row r="22" spans="14:25" x14ac:dyDescent="0.35">
      <c r="N22" s="2"/>
      <c r="O22" s="2"/>
      <c r="P22" s="2"/>
    </row>
    <row r="23" spans="14:25" x14ac:dyDescent="0.35">
      <c r="N23" s="2"/>
      <c r="O23" s="2"/>
      <c r="P23" s="2"/>
    </row>
    <row r="24" spans="14:25" x14ac:dyDescent="0.35">
      <c r="N24" s="2"/>
      <c r="O24" s="2"/>
      <c r="P24" s="2"/>
    </row>
    <row r="25" spans="14:25" x14ac:dyDescent="0.35">
      <c r="N25" s="2"/>
      <c r="O25" s="2"/>
      <c r="P25" s="2"/>
    </row>
    <row r="26" spans="14:25" x14ac:dyDescent="0.35">
      <c r="N26" s="2"/>
      <c r="O26" s="2"/>
      <c r="P26" s="2"/>
    </row>
    <row r="27" spans="14:25" x14ac:dyDescent="0.35">
      <c r="N27" s="2"/>
      <c r="O27" s="2"/>
      <c r="P27" s="2"/>
    </row>
    <row r="28" spans="14:25" x14ac:dyDescent="0.35">
      <c r="N28" s="2"/>
      <c r="O28" s="2"/>
      <c r="P28" s="2"/>
    </row>
    <row r="29" spans="14:25" x14ac:dyDescent="0.35">
      <c r="N29" s="2"/>
      <c r="O29" s="2"/>
      <c r="P29" s="2"/>
    </row>
    <row r="30" spans="14:25" x14ac:dyDescent="0.35">
      <c r="N30" s="2"/>
      <c r="O30" s="2"/>
      <c r="P30" s="2"/>
      <c r="V30" s="4"/>
      <c r="Y30" s="4"/>
    </row>
    <row r="31" spans="14:25" x14ac:dyDescent="0.35">
      <c r="N31" s="2"/>
      <c r="O31" s="2"/>
      <c r="P31" s="2"/>
      <c r="V31" s="4"/>
      <c r="Y31" s="4"/>
    </row>
    <row r="32" spans="14:25" x14ac:dyDescent="0.35">
      <c r="N32" s="2"/>
      <c r="O32" s="2"/>
      <c r="P32" s="2"/>
      <c r="Y32" s="4"/>
    </row>
    <row r="33" spans="14:25" x14ac:dyDescent="0.35">
      <c r="N33" s="2"/>
      <c r="O33" s="2"/>
      <c r="P33" s="2"/>
      <c r="Y33" s="4"/>
    </row>
    <row r="34" spans="14:25" x14ac:dyDescent="0.35">
      <c r="N34" s="2"/>
      <c r="O34" s="2"/>
      <c r="P34" s="2"/>
      <c r="Y34" s="4"/>
    </row>
    <row r="35" spans="14:25" x14ac:dyDescent="0.35">
      <c r="N35" s="2"/>
      <c r="O35" s="2"/>
      <c r="P35" s="2"/>
      <c r="Y35" s="4"/>
    </row>
    <row r="36" spans="14:25" x14ac:dyDescent="0.35">
      <c r="N36" s="2"/>
      <c r="O36" s="2"/>
      <c r="P36" s="2"/>
      <c r="Y36" s="4"/>
    </row>
    <row r="37" spans="14:25" x14ac:dyDescent="0.35">
      <c r="N37" s="2"/>
      <c r="O37" s="2"/>
      <c r="P37" s="2"/>
      <c r="Y37" s="4"/>
    </row>
    <row r="38" spans="14:25" x14ac:dyDescent="0.35">
      <c r="N38" s="2"/>
      <c r="O38" s="2"/>
      <c r="P38" s="2"/>
      <c r="Y38" s="4"/>
    </row>
    <row r="39" spans="14:25" x14ac:dyDescent="0.35">
      <c r="N39" s="2"/>
      <c r="O39" s="2"/>
      <c r="P39" s="2"/>
      <c r="Y39" s="4"/>
    </row>
    <row r="40" spans="14:25" x14ac:dyDescent="0.35">
      <c r="N40" s="2"/>
      <c r="O40" s="2"/>
      <c r="P40" s="2"/>
      <c r="Y40" s="4"/>
    </row>
    <row r="41" spans="14:25" x14ac:dyDescent="0.35">
      <c r="N41" s="2"/>
      <c r="O41" s="2"/>
      <c r="P41" s="2"/>
      <c r="Y41" s="4"/>
    </row>
    <row r="42" spans="14:25" x14ac:dyDescent="0.35">
      <c r="N42" s="2"/>
      <c r="O42" s="2"/>
      <c r="P42" s="2"/>
      <c r="Y42" s="4"/>
    </row>
    <row r="43" spans="14:25" x14ac:dyDescent="0.35">
      <c r="N43" s="2"/>
      <c r="O43" s="2"/>
      <c r="P43" s="2"/>
      <c r="Y43" s="4"/>
    </row>
    <row r="44" spans="14:25" x14ac:dyDescent="0.35">
      <c r="N44" s="2"/>
      <c r="O44" s="2"/>
      <c r="P44" s="2"/>
      <c r="Y44" s="4"/>
    </row>
    <row r="45" spans="14:25" x14ac:dyDescent="0.35">
      <c r="N45" s="2"/>
      <c r="O45" s="2"/>
      <c r="P45" s="2"/>
      <c r="Y45" s="4"/>
    </row>
    <row r="46" spans="14:25" x14ac:dyDescent="0.35">
      <c r="N46" s="2"/>
      <c r="O46" s="2"/>
      <c r="P46" s="2"/>
      <c r="Y46" s="4"/>
    </row>
    <row r="47" spans="14:25" x14ac:dyDescent="0.35">
      <c r="N47" s="2"/>
      <c r="O47" s="2"/>
      <c r="P47" s="2"/>
      <c r="Y47" s="4"/>
    </row>
    <row r="48" spans="14:25" x14ac:dyDescent="0.35">
      <c r="N48" s="2"/>
      <c r="O48" s="2"/>
      <c r="P48" s="2"/>
      <c r="Y48" s="4"/>
    </row>
    <row r="49" spans="14:25" x14ac:dyDescent="0.35">
      <c r="N49" s="2"/>
      <c r="O49" s="2"/>
      <c r="P49" s="2"/>
      <c r="Y49" s="4"/>
    </row>
    <row r="50" spans="14:25" x14ac:dyDescent="0.35">
      <c r="N50" s="2"/>
      <c r="O50" s="2"/>
      <c r="P50" s="2"/>
      <c r="Y50" s="4"/>
    </row>
    <row r="51" spans="14:25" x14ac:dyDescent="0.35">
      <c r="N51" s="2"/>
      <c r="O51" s="2"/>
      <c r="P51" s="2"/>
      <c r="Y51" s="4"/>
    </row>
    <row r="52" spans="14:25" x14ac:dyDescent="0.35">
      <c r="N52" s="2"/>
      <c r="O52" s="2"/>
      <c r="P52" s="2"/>
      <c r="Y52" s="4"/>
    </row>
    <row r="53" spans="14:25" x14ac:dyDescent="0.35">
      <c r="N53" s="2"/>
      <c r="O53" s="2"/>
      <c r="P53" s="2"/>
      <c r="Y53" s="4"/>
    </row>
    <row r="54" spans="14:25" x14ac:dyDescent="0.35">
      <c r="N54" s="2"/>
      <c r="O54" s="2"/>
      <c r="P54" s="2"/>
      <c r="Y54" s="4"/>
    </row>
    <row r="55" spans="14:25" x14ac:dyDescent="0.35">
      <c r="N55" s="2"/>
      <c r="O55" s="2"/>
      <c r="P55" s="2"/>
      <c r="Y55" s="4"/>
    </row>
    <row r="56" spans="14:25" x14ac:dyDescent="0.35">
      <c r="N56" s="2"/>
      <c r="O56" s="2"/>
      <c r="P56" s="2"/>
      <c r="Y56" s="4"/>
    </row>
    <row r="57" spans="14:25" x14ac:dyDescent="0.35">
      <c r="N57" s="2"/>
      <c r="O57" s="2"/>
      <c r="P57" s="2"/>
      <c r="Y57" s="4"/>
    </row>
    <row r="58" spans="14:25" x14ac:dyDescent="0.35">
      <c r="N58" s="2"/>
      <c r="O58" s="2"/>
      <c r="P58" s="2"/>
      <c r="V58" s="4"/>
      <c r="W58" s="4"/>
      <c r="X58" s="12"/>
      <c r="Y58" s="4"/>
    </row>
    <row r="59" spans="14:25" x14ac:dyDescent="0.35">
      <c r="N59" s="2"/>
      <c r="O59" s="2"/>
      <c r="P59" s="2"/>
      <c r="V59" s="4"/>
      <c r="W59" s="4"/>
      <c r="X59" s="12"/>
      <c r="Y59" s="4"/>
    </row>
    <row r="60" spans="14:25" x14ac:dyDescent="0.35">
      <c r="N60" s="2"/>
      <c r="O60" s="2"/>
      <c r="P60" s="2"/>
      <c r="V60" s="4"/>
      <c r="W60" s="4"/>
      <c r="X60" s="12"/>
      <c r="Y60" s="4"/>
    </row>
    <row r="61" spans="14:25" x14ac:dyDescent="0.35">
      <c r="N61" s="2"/>
      <c r="O61" s="2"/>
      <c r="P61" s="2"/>
      <c r="V61" s="4"/>
      <c r="W61" s="4"/>
      <c r="X61" s="12"/>
      <c r="Y61" s="4"/>
    </row>
    <row r="62" spans="14:25" x14ac:dyDescent="0.35">
      <c r="N62" s="2"/>
      <c r="O62" s="2"/>
      <c r="P62" s="2"/>
      <c r="V62" s="4"/>
      <c r="W62" s="4"/>
      <c r="X62" s="12"/>
      <c r="Y62" s="4"/>
    </row>
    <row r="63" spans="14:25" x14ac:dyDescent="0.35">
      <c r="N63" s="2"/>
      <c r="O63" s="2"/>
      <c r="P63" s="2"/>
      <c r="V63" s="4"/>
      <c r="W63" s="4"/>
      <c r="X63" s="12"/>
      <c r="Y63" s="4"/>
    </row>
    <row r="64" spans="14:25" x14ac:dyDescent="0.35">
      <c r="N64" s="2"/>
      <c r="O64" s="2"/>
      <c r="P64" s="2"/>
      <c r="V64" s="4"/>
      <c r="W64" s="4"/>
      <c r="X64" s="12"/>
      <c r="Y64" s="4"/>
    </row>
    <row r="65" spans="14:25" x14ac:dyDescent="0.35">
      <c r="N65" s="2"/>
      <c r="O65" s="2"/>
      <c r="P65" s="2"/>
      <c r="V65" s="4"/>
      <c r="W65" s="4"/>
      <c r="X65" s="12"/>
      <c r="Y65" s="4"/>
    </row>
    <row r="66" spans="14:25" x14ac:dyDescent="0.35">
      <c r="N66" s="2"/>
      <c r="O66" s="2"/>
      <c r="P66" s="2"/>
      <c r="V66" s="4"/>
      <c r="W66" s="4"/>
      <c r="X66" s="12"/>
      <c r="Y66" s="4"/>
    </row>
    <row r="67" spans="14:25" x14ac:dyDescent="0.35">
      <c r="N67" s="2"/>
      <c r="O67" s="2"/>
      <c r="P67" s="2"/>
      <c r="V67" s="4"/>
      <c r="W67" s="4"/>
      <c r="X67" s="12"/>
      <c r="Y67" s="4"/>
    </row>
    <row r="68" spans="14:25" x14ac:dyDescent="0.35">
      <c r="N68" s="2"/>
      <c r="O68" s="2"/>
      <c r="P68" s="2"/>
    </row>
    <row r="69" spans="14:25" x14ac:dyDescent="0.35">
      <c r="N69" s="2"/>
      <c r="O69" s="2"/>
      <c r="P69" s="2"/>
    </row>
    <row r="70" spans="14:25" x14ac:dyDescent="0.35">
      <c r="N70" s="2"/>
      <c r="O70" s="2"/>
      <c r="P70" s="2"/>
    </row>
    <row r="71" spans="14:25" x14ac:dyDescent="0.35">
      <c r="N71" s="2"/>
      <c r="O71" s="2"/>
      <c r="P71" s="2"/>
    </row>
    <row r="72" spans="14:25" x14ac:dyDescent="0.35">
      <c r="N72" s="2"/>
      <c r="O72" s="2"/>
      <c r="P72" s="2"/>
    </row>
    <row r="73" spans="14:25" x14ac:dyDescent="0.35">
      <c r="N73" s="2"/>
      <c r="O73" s="2"/>
      <c r="P73" s="2"/>
    </row>
    <row r="74" spans="14:25" x14ac:dyDescent="0.35">
      <c r="N74" s="2"/>
      <c r="O74" s="2"/>
      <c r="P74" s="2"/>
    </row>
    <row r="75" spans="14:25" x14ac:dyDescent="0.35">
      <c r="N75" s="2"/>
      <c r="O75" s="2"/>
      <c r="P75" s="2"/>
    </row>
    <row r="76" spans="14:25" x14ac:dyDescent="0.35">
      <c r="N76" s="2"/>
      <c r="O76" s="2"/>
      <c r="P76" s="2"/>
    </row>
    <row r="77" spans="14:25" x14ac:dyDescent="0.35">
      <c r="N77" s="2"/>
      <c r="O77" s="2"/>
      <c r="P77" s="2"/>
    </row>
    <row r="78" spans="14:25" x14ac:dyDescent="0.35">
      <c r="N78" s="2"/>
      <c r="O78" s="2"/>
      <c r="P78" s="2"/>
    </row>
    <row r="79" spans="14:25" x14ac:dyDescent="0.35">
      <c r="N79" s="2"/>
      <c r="O79" s="2"/>
      <c r="P79" s="2"/>
    </row>
    <row r="80" spans="14:25" x14ac:dyDescent="0.35">
      <c r="N80" s="2"/>
      <c r="O80" s="2"/>
      <c r="P80" s="2"/>
    </row>
    <row r="81" spans="14:16" x14ac:dyDescent="0.35">
      <c r="N81" s="2"/>
      <c r="O81" s="2"/>
      <c r="P81" s="2"/>
    </row>
    <row r="82" spans="14:16" x14ac:dyDescent="0.35">
      <c r="N82" s="2"/>
      <c r="O82" s="2"/>
      <c r="P82" s="2"/>
    </row>
    <row r="83" spans="14:16" x14ac:dyDescent="0.35">
      <c r="N83" s="2"/>
      <c r="O83" s="2"/>
      <c r="P83" s="2"/>
    </row>
    <row r="84" spans="14:16" x14ac:dyDescent="0.35">
      <c r="N84" s="2"/>
      <c r="O84" s="2"/>
      <c r="P84" s="2"/>
    </row>
    <row r="85" spans="14:16" x14ac:dyDescent="0.35">
      <c r="N85" s="2"/>
      <c r="O85" s="2"/>
      <c r="P85" s="2"/>
    </row>
    <row r="86" spans="14:16" x14ac:dyDescent="0.35">
      <c r="N86" s="2"/>
      <c r="O86" s="2"/>
      <c r="P86" s="2"/>
    </row>
    <row r="87" spans="14:16" x14ac:dyDescent="0.35">
      <c r="N87" s="2"/>
      <c r="O87" s="2"/>
      <c r="P87" s="2"/>
    </row>
    <row r="88" spans="14:16" x14ac:dyDescent="0.35">
      <c r="N88" s="2"/>
      <c r="O88" s="2"/>
      <c r="P88" s="2"/>
    </row>
    <row r="89" spans="14:16" x14ac:dyDescent="0.35">
      <c r="N89" s="2"/>
      <c r="O89" s="2"/>
      <c r="P89" s="2"/>
    </row>
    <row r="90" spans="14:16" x14ac:dyDescent="0.35">
      <c r="N90" s="2"/>
      <c r="O90" s="2"/>
      <c r="P90" s="2"/>
    </row>
    <row r="91" spans="14:16" x14ac:dyDescent="0.35">
      <c r="N91" s="2"/>
      <c r="O91" s="2"/>
      <c r="P91" s="2"/>
    </row>
    <row r="92" spans="14:16" x14ac:dyDescent="0.35">
      <c r="N92" s="2"/>
      <c r="O92" s="2"/>
      <c r="P92" s="2"/>
    </row>
    <row r="93" spans="14:16" x14ac:dyDescent="0.35">
      <c r="N93" s="2"/>
      <c r="O93" s="2"/>
      <c r="P93" s="2"/>
    </row>
    <row r="94" spans="14:16" x14ac:dyDescent="0.35">
      <c r="N94" s="2"/>
      <c r="O94" s="2"/>
      <c r="P94" s="2"/>
    </row>
    <row r="95" spans="14:16" x14ac:dyDescent="0.35">
      <c r="N95" s="2"/>
      <c r="O95" s="2"/>
      <c r="P95" s="2"/>
    </row>
    <row r="96" spans="14:16" x14ac:dyDescent="0.35">
      <c r="N96" s="2"/>
      <c r="O96" s="2"/>
      <c r="P96" s="2"/>
    </row>
    <row r="97" spans="14:16" x14ac:dyDescent="0.35">
      <c r="N97" s="2"/>
      <c r="O97" s="2"/>
      <c r="P97" s="2"/>
    </row>
    <row r="98" spans="14:16" x14ac:dyDescent="0.35">
      <c r="N98" s="2"/>
      <c r="O98" s="2"/>
      <c r="P98" s="2"/>
    </row>
    <row r="99" spans="14:16" x14ac:dyDescent="0.35">
      <c r="N99" s="2"/>
      <c r="O99" s="2"/>
      <c r="P99" s="2"/>
    </row>
    <row r="100" spans="14:16" x14ac:dyDescent="0.35">
      <c r="N100" s="2"/>
      <c r="O100" s="2"/>
      <c r="P100" s="2"/>
    </row>
  </sheetData>
  <mergeCells count="1">
    <mergeCell ref="C1:F1"/>
  </mergeCells>
  <dataValidations count="1">
    <dataValidation type="list" allowBlank="1" showInputMessage="1" showErrorMessage="1" sqref="C1" xr:uid="{65E1318F-29FA-43E2-BAC2-B79F63DE091D}">
      <formula1>$AD$4:$AD$40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B6AB-141A-4E8A-8579-9357A3BEFD45}">
  <sheetPr>
    <tabColor rgb="FFFFFF00"/>
  </sheetPr>
  <dimension ref="B1:AC100"/>
  <sheetViews>
    <sheetView topLeftCell="B5" zoomScaleNormal="100" workbookViewId="0">
      <selection activeCell="O5" sqref="O5"/>
    </sheetView>
  </sheetViews>
  <sheetFormatPr defaultColWidth="8.7265625" defaultRowHeight="14.5" x14ac:dyDescent="0.35"/>
  <cols>
    <col min="1" max="1" width="8.7265625" style="1"/>
    <col min="2" max="2" width="35" style="1" bestFit="1" customWidth="1"/>
    <col min="3" max="3" width="36.81640625" style="1" customWidth="1"/>
    <col min="4" max="4" width="31.26953125" style="1" bestFit="1" customWidth="1"/>
    <col min="5" max="5" width="19" style="1" bestFit="1" customWidth="1"/>
    <col min="6" max="6" width="19.7265625" style="1" bestFit="1" customWidth="1"/>
    <col min="7" max="7" width="19.1796875" style="1" customWidth="1"/>
    <col min="8" max="8" width="20.453125" style="1" bestFit="1" customWidth="1"/>
    <col min="9" max="9" width="19.54296875" style="1" bestFit="1" customWidth="1"/>
    <col min="10" max="10" width="20.7265625" style="1" customWidth="1"/>
    <col min="11" max="11" width="19" style="1" bestFit="1" customWidth="1"/>
    <col min="12" max="12" width="13.54296875" style="1" bestFit="1" customWidth="1"/>
    <col min="13" max="13" width="20.453125" style="1" bestFit="1" customWidth="1"/>
    <col min="14" max="14" width="30.1796875" style="1" customWidth="1"/>
    <col min="15" max="15" width="15.1796875" style="1" customWidth="1"/>
    <col min="16" max="16" width="17.1796875" style="1" bestFit="1" customWidth="1"/>
    <col min="17" max="17" width="19.54296875" style="1" customWidth="1"/>
    <col min="18" max="18" width="20.1796875" style="1" bestFit="1" customWidth="1"/>
    <col min="19" max="19" width="29.453125" style="1" bestFit="1" customWidth="1"/>
    <col min="20" max="21" width="22.1796875" style="1" bestFit="1" customWidth="1"/>
    <col min="22" max="22" width="24.453125" style="1" bestFit="1" customWidth="1"/>
    <col min="23" max="23" width="21.81640625" style="1" customWidth="1"/>
    <col min="24" max="24" width="31.26953125" style="1" bestFit="1" customWidth="1"/>
    <col min="25" max="25" width="29.453125" style="1" bestFit="1" customWidth="1"/>
    <col min="26" max="26" width="22.453125" style="1" bestFit="1" customWidth="1"/>
    <col min="27" max="27" width="17.1796875" style="1" bestFit="1" customWidth="1"/>
    <col min="28" max="28" width="25" style="1" bestFit="1" customWidth="1"/>
    <col min="29" max="29" width="73.1796875" style="3" bestFit="1" customWidth="1"/>
    <col min="30" max="30" width="24.81640625" style="1" bestFit="1" customWidth="1"/>
    <col min="31" max="31" width="17.1796875" style="1" bestFit="1" customWidth="1"/>
    <col min="32" max="32" width="10.81640625" style="1" customWidth="1"/>
    <col min="33" max="33" width="8.7265625" style="1"/>
    <col min="34" max="34" width="17.7265625" style="1" bestFit="1" customWidth="1"/>
    <col min="35" max="35" width="8.81640625" style="1" customWidth="1"/>
    <col min="36" max="16384" width="8.7265625" style="1"/>
  </cols>
  <sheetData>
    <row r="1" spans="2:29" ht="18.5" x14ac:dyDescent="0.45">
      <c r="B1" s="8" t="s">
        <v>138</v>
      </c>
      <c r="C1" s="19" t="s">
        <v>193</v>
      </c>
      <c r="D1" s="20"/>
      <c r="E1" s="20"/>
      <c r="F1" s="21"/>
    </row>
    <row r="3" spans="2:29" x14ac:dyDescent="0.35">
      <c r="C3" s="3" t="str" cm="1">
        <f t="array" ref="C3:G3">_xlfn.TEXTSPLIT(C1,"--")</f>
        <v>tariff-hourly-3</v>
      </c>
      <c r="D3" s="3" t="str">
        <v>0000000000800</v>
      </c>
      <c r="E3" s="3" t="str">
        <v>2000000000000</v>
      </c>
      <c r="F3" s="3" t="str">
        <v>production</v>
      </c>
      <c r="G3" s="3" t="str">
        <v>800</v>
      </c>
      <c r="AC3" s="3" t="s">
        <v>71</v>
      </c>
    </row>
    <row r="4" spans="2:29" x14ac:dyDescent="0.35">
      <c r="B4" s="5" t="s">
        <v>84</v>
      </c>
      <c r="C4" s="5" t="s">
        <v>31</v>
      </c>
      <c r="D4" s="5" t="s">
        <v>85</v>
      </c>
      <c r="E4" s="5" t="s">
        <v>86</v>
      </c>
      <c r="F4" s="5" t="s">
        <v>33</v>
      </c>
      <c r="G4" s="5" t="s">
        <v>37</v>
      </c>
      <c r="H4" s="5" t="s">
        <v>11</v>
      </c>
      <c r="I4" s="5" t="s">
        <v>76</v>
      </c>
      <c r="J4" s="5" t="s">
        <v>72</v>
      </c>
      <c r="K4" s="5" t="s">
        <v>73</v>
      </c>
      <c r="L4" s="5" t="s">
        <v>12</v>
      </c>
      <c r="M4" s="5" t="s">
        <v>46</v>
      </c>
      <c r="N4" s="5" t="s">
        <v>32</v>
      </c>
      <c r="O4" s="5" t="s">
        <v>47</v>
      </c>
      <c r="P4" s="5" t="s">
        <v>48</v>
      </c>
      <c r="Q4" s="5" t="s">
        <v>13</v>
      </c>
      <c r="R4" s="5" t="s">
        <v>7</v>
      </c>
      <c r="S4" s="5" t="s">
        <v>8</v>
      </c>
      <c r="T4" s="5" t="s">
        <v>9</v>
      </c>
      <c r="U4" s="5" t="s">
        <v>87</v>
      </c>
      <c r="AC4" s="3" t="str" cm="1">
        <f t="array" ref="AC4:AC9">_xlfn.UNIQUE(INDEX(_xlfn._xlws.FILTER(charge_link_periods[],(charge_link_periods[charge_type]="Tariff")*(charge_link_periods[Charge_resolution]="PT1H")),,16))</f>
        <v>tariff-hourly-1--0000000000800--3000000000000--consumption--800--non_profiled</v>
      </c>
    </row>
    <row r="5" spans="2:29" x14ac:dyDescent="0.35">
      <c r="B5" s="10" t="str">
        <f>IF(OutPut[[#This Row],[time]]="","",CalculationId)</f>
        <v>0b15a420-9fc8-409a-a169-fbd49479d718</v>
      </c>
      <c r="C5" s="10" t="str">
        <f>IF(OutPut[[#This Row],[time]]="","",CalculationType)</f>
        <v>wholesale_fixing</v>
      </c>
      <c r="D5" s="10" t="str">
        <f>IF(OutPut[[#This Row],[time]]="","",CalculationExecutionTimeStart)</f>
        <v>2024-01-01 23:00:00</v>
      </c>
      <c r="E5" s="10" t="str">
        <f>IF(OutPut[[#This Row],[time]]="","","IGNORED")</f>
        <v>IGNORED</v>
      </c>
      <c r="F5" s="10" t="str">
        <f>IF(OutPut[[#This Row],[time]]="","",G$3)</f>
        <v>800</v>
      </c>
      <c r="G5" s="10" t="str">
        <f>IF(OutPut[[#This Row],[time]]="","",$E$3)</f>
        <v>2000000000000</v>
      </c>
      <c r="H5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5" s="10" t="str">
        <f>IF(OutPut[[#This Row],[time]]="","","kWh")</f>
        <v>kWh</v>
      </c>
      <c r="J5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5" s="10" t="str">
        <f>'calculation_arguments'!H3</f>
        <v>2023-01-31 23:00:00</v>
      </c>
      <c r="L5" s="10" t="str">
        <f>IF(OutPut[[#This Row],[time]]="","","PT1H")</f>
        <v>PT1H</v>
      </c>
      <c r="M5" s="10" t="str">
        <f>IF(OutPut[[#This Row],[time]]="","",$F$3)</f>
        <v>production</v>
      </c>
      <c r="N5" s="11" t="str">
        <f>IF(OutPut[[#This Row],[time]]="","",IF($H$3="","",$H$3))</f>
        <v/>
      </c>
      <c r="O5" s="11" t="str" cm="1">
        <f t="array" ref="O5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5" s="11" t="str">
        <f>IFERROR(SUBSTITUTE(SUBSTITUTE(OutPut[[#This Row],[price]],".",",")*SUBSTITUTE(OutPut[[#This Row],[quantity]],".",","),",","."),"")</f>
        <v/>
      </c>
      <c r="Q5" s="10" t="str">
        <f>IF(OutPut[[#This Row],[time]]="","",VLOOKUP(C$3,charge_price_information_periods[],5,FALSE))</f>
        <v>false</v>
      </c>
      <c r="R5" s="10" t="str">
        <f>IF(OutPut[[#This Row],[time]]="","",$C$3)</f>
        <v>tariff-hourly-3</v>
      </c>
      <c r="S5" s="10" t="str">
        <f>IF(OutPut[[#This Row],[time]]="","","tariff")</f>
        <v>tariff</v>
      </c>
      <c r="T5" s="10" t="str">
        <f>IF(OutPut[[#This Row],[time]]="","",$D$3)</f>
        <v>0000000000800</v>
      </c>
      <c r="U5" s="10" t="str">
        <f>IF(OutPut[[#This Row],[time]]="","","amount_per_charge")</f>
        <v>amount_per_charge</v>
      </c>
      <c r="AC5" s="3" t="str">
        <v>tariff-hourly-1--0000000000800--1000000000000--consumption--800--flex</v>
      </c>
    </row>
    <row r="6" spans="2:29" x14ac:dyDescent="0.35">
      <c r="B6" s="10" t="str">
        <f>IF(OutPut[[#This Row],[time]]="","",CalculationId)</f>
        <v>0b15a420-9fc8-409a-a169-fbd49479d718</v>
      </c>
      <c r="C6" s="10" t="str">
        <f>IF(OutPut[[#This Row],[time]]="","",CalculationType)</f>
        <v>wholesale_fixing</v>
      </c>
      <c r="D6" s="10" t="str">
        <f>IF(OutPut[[#This Row],[time]]="","",CalculationExecutionTimeStart)</f>
        <v>2024-01-01 23:00:00</v>
      </c>
      <c r="E6" s="10" t="str">
        <f>IF(OutPut[[#This Row],[time]]="","","IGNORED")</f>
        <v>IGNORED</v>
      </c>
      <c r="F6" s="10" t="str">
        <f>IF(OutPut[[#This Row],[time]]="","",G$3)</f>
        <v>800</v>
      </c>
      <c r="G6" s="10" t="str">
        <f>IF(OutPut[[#This Row],[time]]="","",$E$3)</f>
        <v>2000000000000</v>
      </c>
      <c r="H6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6" s="10" t="str">
        <f>IF(OutPut[[#This Row],[time]]="","","kWh")</f>
        <v>kWh</v>
      </c>
      <c r="J6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6" s="10" t="str">
        <f>'calculation_arguments'!H4</f>
        <v>2023-02-01 00:00:00</v>
      </c>
      <c r="L6" s="10" t="str">
        <f>IF(OutPut[[#This Row],[time]]="","","PT1H")</f>
        <v>PT1H</v>
      </c>
      <c r="M6" s="10" t="str">
        <f>IF(OutPut[[#This Row],[time]]="","",$F$3)</f>
        <v>production</v>
      </c>
      <c r="N6" s="11" t="str">
        <f>IF(OutPut[[#This Row],[time]]="","",IF($H$3="","",$H$3))</f>
        <v/>
      </c>
      <c r="O6" s="11" t="str" cm="1">
        <f t="array" ref="O6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6" s="11" t="str">
        <f>IFERROR(SUBSTITUTE(SUBSTITUTE(OutPut[[#This Row],[price]],".",",")*SUBSTITUTE(OutPut[[#This Row],[quantity]],".",","),",","."),"")</f>
        <v/>
      </c>
      <c r="Q6" s="10" t="str">
        <f>IF(OutPut[[#This Row],[time]]="","",VLOOKUP(C$3,charge_price_information_periods[],5,FALSE))</f>
        <v>false</v>
      </c>
      <c r="R6" s="10" t="str">
        <f>IF(OutPut[[#This Row],[time]]="","",$C$3)</f>
        <v>tariff-hourly-3</v>
      </c>
      <c r="S6" s="10" t="str">
        <f>IF(OutPut[[#This Row],[time]]="","","tariff")</f>
        <v>tariff</v>
      </c>
      <c r="T6" s="10" t="str">
        <f>IF(OutPut[[#This Row],[time]]="","",$D$3)</f>
        <v>0000000000800</v>
      </c>
      <c r="U6" s="10" t="str">
        <f>IF(OutPut[[#This Row],[time]]="","","amount_per_charge")</f>
        <v>amount_per_charge</v>
      </c>
      <c r="AC6" s="3" t="str">
        <v>tariff-hourly-2--0000000000800--1000000000000--consumption_from_grid--800</v>
      </c>
    </row>
    <row r="7" spans="2:29" x14ac:dyDescent="0.35">
      <c r="B7" s="10" t="str">
        <f>IF(OutPut[[#This Row],[time]]="","",CalculationId)</f>
        <v>0b15a420-9fc8-409a-a169-fbd49479d718</v>
      </c>
      <c r="C7" s="10" t="str">
        <f>IF(OutPut[[#This Row],[time]]="","",CalculationType)</f>
        <v>wholesale_fixing</v>
      </c>
      <c r="D7" s="10" t="str">
        <f>IF(OutPut[[#This Row],[time]]="","",CalculationExecutionTimeStart)</f>
        <v>2024-01-01 23:00:00</v>
      </c>
      <c r="E7" s="10" t="str">
        <f>IF(OutPut[[#This Row],[time]]="","","IGNORED")</f>
        <v>IGNORED</v>
      </c>
      <c r="F7" s="10" t="str">
        <f>IF(OutPut[[#This Row],[time]]="","",G$3)</f>
        <v>800</v>
      </c>
      <c r="G7" s="10" t="str">
        <f>IF(OutPut[[#This Row],[time]]="","",$E$3)</f>
        <v>2000000000000</v>
      </c>
      <c r="H7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7" s="10" t="str">
        <f>IF(OutPut[[#This Row],[time]]="","","kWh")</f>
        <v>kWh</v>
      </c>
      <c r="J7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7" s="10" t="str">
        <f>'calculation_arguments'!H5</f>
        <v>2023-02-01 01:00:00</v>
      </c>
      <c r="L7" s="10" t="str">
        <f>IF(OutPut[[#This Row],[time]]="","","PT1H")</f>
        <v>PT1H</v>
      </c>
      <c r="M7" s="10" t="str">
        <f>IF(OutPut[[#This Row],[time]]="","",$F$3)</f>
        <v>production</v>
      </c>
      <c r="N7" s="11" t="str">
        <f>IF(OutPut[[#This Row],[time]]="","",IF($H$3="","",$H$3))</f>
        <v/>
      </c>
      <c r="O7" s="11" t="str" cm="1">
        <f t="array" ref="O7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7" s="11" t="str">
        <f>IFERROR(SUBSTITUTE(SUBSTITUTE(OutPut[[#This Row],[price]],".",",")*SUBSTITUTE(OutPut[[#This Row],[quantity]],".",","),",","."),"")</f>
        <v/>
      </c>
      <c r="Q7" s="10" t="str">
        <f>IF(OutPut[[#This Row],[time]]="","",VLOOKUP(C$3,charge_price_information_periods[],5,FALSE))</f>
        <v>false</v>
      </c>
      <c r="R7" s="10" t="str">
        <f>IF(OutPut[[#This Row],[time]]="","",$C$3)</f>
        <v>tariff-hourly-3</v>
      </c>
      <c r="S7" s="10" t="str">
        <f>IF(OutPut[[#This Row],[time]]="","","tariff")</f>
        <v>tariff</v>
      </c>
      <c r="T7" s="10" t="str">
        <f>IF(OutPut[[#This Row],[time]]="","",$D$3)</f>
        <v>0000000000800</v>
      </c>
      <c r="U7" s="10" t="str">
        <f>IF(OutPut[[#This Row],[time]]="","","amount_per_charge")</f>
        <v>amount_per_charge</v>
      </c>
      <c r="AC7" s="3" t="str">
        <v>tariff-hourly-2--0000000000800--4000000000000--production--800</v>
      </c>
    </row>
    <row r="8" spans="2:29" x14ac:dyDescent="0.35">
      <c r="B8" s="10" t="str">
        <f>IF(OutPut[[#This Row],[time]]="","",CalculationId)</f>
        <v>0b15a420-9fc8-409a-a169-fbd49479d718</v>
      </c>
      <c r="C8" s="10" t="str">
        <f>IF(OutPut[[#This Row],[time]]="","",CalculationType)</f>
        <v>wholesale_fixing</v>
      </c>
      <c r="D8" s="10" t="str">
        <f>IF(OutPut[[#This Row],[time]]="","",CalculationExecutionTimeStart)</f>
        <v>2024-01-01 23:00:00</v>
      </c>
      <c r="E8" s="10" t="str">
        <f>IF(OutPut[[#This Row],[time]]="","","IGNORED")</f>
        <v>IGNORED</v>
      </c>
      <c r="F8" s="10" t="str">
        <f>IF(OutPut[[#This Row],[time]]="","",G$3)</f>
        <v>800</v>
      </c>
      <c r="G8" s="10" t="str">
        <f>IF(OutPut[[#This Row],[time]]="","",$E$3)</f>
        <v>2000000000000</v>
      </c>
      <c r="H8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40.159</v>
      </c>
      <c r="I8" s="10" t="str">
        <f>IF(OutPut[[#This Row],[time]]="","","kWh")</f>
        <v>kWh</v>
      </c>
      <c r="J8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['measured']</v>
      </c>
      <c r="K8" s="10" t="str">
        <f>'calculation_arguments'!H6</f>
        <v>2023-02-01 02:00:00</v>
      </c>
      <c r="L8" s="10" t="str">
        <f>IF(OutPut[[#This Row],[time]]="","","PT1H")</f>
        <v>PT1H</v>
      </c>
      <c r="M8" s="10" t="str">
        <f>IF(OutPut[[#This Row],[time]]="","",$F$3)</f>
        <v>production</v>
      </c>
      <c r="N8" s="11" t="str">
        <f>IF(OutPut[[#This Row],[time]]="","",IF($H$3="","",$H$3))</f>
        <v/>
      </c>
      <c r="O8" s="11" t="str" cm="1">
        <f t="array" ref="O8">IF(OutPut[[#This Row],[time]]="","",IFERROR(_xlfn.UNIQUE(INDEX(_xlfn._xlws.FILTER(charge_price_points[],(charge_price_points[charge_time_shortened]=OutPut[[#This Row],[time]])*(charge_price_points[charge_code]=OutPut[[#This Row],[charge_code]])),,4)),""))</f>
        <v>7.654321</v>
      </c>
      <c r="P8" s="11" t="str">
        <f>IFERROR(SUBSTITUTE(SUBSTITUTE(OutPut[[#This Row],[price]],".",",")*SUBSTITUTE(OutPut[[#This Row],[quantity]],".",","),",","."),"")</f>
        <v>307.389877039</v>
      </c>
      <c r="Q8" s="10" t="str">
        <f>IF(OutPut[[#This Row],[time]]="","",VLOOKUP(C$3,charge_price_information_periods[],5,FALSE))</f>
        <v>false</v>
      </c>
      <c r="R8" s="10" t="str">
        <f>IF(OutPut[[#This Row],[time]]="","",$C$3)</f>
        <v>tariff-hourly-3</v>
      </c>
      <c r="S8" s="10" t="str">
        <f>IF(OutPut[[#This Row],[time]]="","","tariff")</f>
        <v>tariff</v>
      </c>
      <c r="T8" s="10" t="str">
        <f>IF(OutPut[[#This Row],[time]]="","",$D$3)</f>
        <v>0000000000800</v>
      </c>
      <c r="U8" s="10" t="str">
        <f>IF(OutPut[[#This Row],[time]]="","","amount_per_charge")</f>
        <v>amount_per_charge</v>
      </c>
      <c r="AC8" s="3" t="str">
        <v>tariff-hourly-2--0000000000800--2000000000000--own_production--800</v>
      </c>
    </row>
    <row r="9" spans="2:29" x14ac:dyDescent="0.35">
      <c r="B9" s="10" t="str">
        <f>IF(OutPut[[#This Row],[time]]="","",CalculationId)</f>
        <v>0b15a420-9fc8-409a-a169-fbd49479d718</v>
      </c>
      <c r="C9" s="10" t="str">
        <f>IF(OutPut[[#This Row],[time]]="","",CalculationType)</f>
        <v>wholesale_fixing</v>
      </c>
      <c r="D9" s="10" t="str">
        <f>IF(OutPut[[#This Row],[time]]="","",CalculationExecutionTimeStart)</f>
        <v>2024-01-01 23:00:00</v>
      </c>
      <c r="E9" s="10" t="str">
        <f>IF(OutPut[[#This Row],[time]]="","","IGNORED")</f>
        <v>IGNORED</v>
      </c>
      <c r="F9" s="10" t="str">
        <f>IF(OutPut[[#This Row],[time]]="","",G$3)</f>
        <v>800</v>
      </c>
      <c r="G9" s="10" t="str">
        <f>IF(OutPut[[#This Row],[time]]="","",$E$3)</f>
        <v>2000000000000</v>
      </c>
      <c r="H9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9" s="10" t="str">
        <f>IF(OutPut[[#This Row],[time]]="","","kWh")</f>
        <v>kWh</v>
      </c>
      <c r="J9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9" s="10" t="str">
        <f>'calculation_arguments'!H7</f>
        <v>2023-02-01 03:00:00</v>
      </c>
      <c r="L9" s="10" t="str">
        <f>IF(OutPut[[#This Row],[time]]="","","PT1H")</f>
        <v>PT1H</v>
      </c>
      <c r="M9" s="10" t="str">
        <f>IF(OutPut[[#This Row],[time]]="","",$F$3)</f>
        <v>production</v>
      </c>
      <c r="N9" s="11" t="str">
        <f>IF(OutPut[[#This Row],[time]]="","",IF($H$3="","",$H$3))</f>
        <v/>
      </c>
      <c r="O9" s="11" t="str" cm="1">
        <f t="array" ref="O9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9" s="11" t="str">
        <f>IFERROR(SUBSTITUTE(SUBSTITUTE(OutPut[[#This Row],[price]],".",",")*SUBSTITUTE(OutPut[[#This Row],[quantity]],".",","),",","."),"")</f>
        <v/>
      </c>
      <c r="Q9" s="10" t="str">
        <f>IF(OutPut[[#This Row],[time]]="","",VLOOKUP(C$3,charge_price_information_periods[],5,FALSE))</f>
        <v>false</v>
      </c>
      <c r="R9" s="10" t="str">
        <f>IF(OutPut[[#This Row],[time]]="","",$C$3)</f>
        <v>tariff-hourly-3</v>
      </c>
      <c r="S9" s="10" t="str">
        <f>IF(OutPut[[#This Row],[time]]="","","tariff")</f>
        <v>tariff</v>
      </c>
      <c r="T9" s="10" t="str">
        <f>IF(OutPut[[#This Row],[time]]="","",$D$3)</f>
        <v>0000000000800</v>
      </c>
      <c r="U9" s="10" t="str">
        <f>IF(OutPut[[#This Row],[time]]="","","amount_per_charge")</f>
        <v>amount_per_charge</v>
      </c>
      <c r="AC9" s="3" t="str">
        <v>tariff-hourly-3--0000000000800--2000000000000--production--800</v>
      </c>
    </row>
    <row r="10" spans="2:29" x14ac:dyDescent="0.35">
      <c r="B10" s="10" t="str">
        <f>IF(OutPut[[#This Row],[time]]="","",CalculationId)</f>
        <v>0b15a420-9fc8-409a-a169-fbd49479d718</v>
      </c>
      <c r="C10" s="10" t="str">
        <f>IF(OutPut[[#This Row],[time]]="","",CalculationType)</f>
        <v>wholesale_fixing</v>
      </c>
      <c r="D10" s="10" t="str">
        <f>IF(OutPut[[#This Row],[time]]="","",CalculationExecutionTimeStart)</f>
        <v>2024-01-01 23:00:00</v>
      </c>
      <c r="E10" s="10" t="str">
        <f>IF(OutPut[[#This Row],[time]]="","","IGNORED")</f>
        <v>IGNORED</v>
      </c>
      <c r="F10" s="10" t="str">
        <f>IF(OutPut[[#This Row],[time]]="","",G$3)</f>
        <v>800</v>
      </c>
      <c r="G10" s="10" t="str">
        <f>IF(OutPut[[#This Row],[time]]="","",$E$3)</f>
        <v>2000000000000</v>
      </c>
      <c r="H10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10" s="10" t="str">
        <f>IF(OutPut[[#This Row],[time]]="","","kWh")</f>
        <v>kWh</v>
      </c>
      <c r="J10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10" s="10" t="str">
        <f>'calculation_arguments'!H8</f>
        <v>2023-02-01 04:00:00</v>
      </c>
      <c r="L10" s="10" t="str">
        <f>IF(OutPut[[#This Row],[time]]="","","PT1H")</f>
        <v>PT1H</v>
      </c>
      <c r="M10" s="10" t="str">
        <f>IF(OutPut[[#This Row],[time]]="","",$F$3)</f>
        <v>production</v>
      </c>
      <c r="N10" s="11" t="str">
        <f>IF(OutPut[[#This Row],[time]]="","",IF($H$3="","",$H$3))</f>
        <v/>
      </c>
      <c r="O10" s="11" t="str" cm="1">
        <f t="array" ref="O10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10" s="11" t="str">
        <f>IFERROR(SUBSTITUTE(SUBSTITUTE(OutPut[[#This Row],[price]],".",",")*SUBSTITUTE(OutPut[[#This Row],[quantity]],".",","),",","."),"")</f>
        <v/>
      </c>
      <c r="Q10" s="10" t="str">
        <f>IF(OutPut[[#This Row],[time]]="","",VLOOKUP(C$3,charge_price_information_periods[],5,FALSE))</f>
        <v>false</v>
      </c>
      <c r="R10" s="10" t="str">
        <f>IF(OutPut[[#This Row],[time]]="","",$C$3)</f>
        <v>tariff-hourly-3</v>
      </c>
      <c r="S10" s="10" t="str">
        <f>IF(OutPut[[#This Row],[time]]="","","tariff")</f>
        <v>tariff</v>
      </c>
      <c r="T10" s="10" t="str">
        <f>IF(OutPut[[#This Row],[time]]="","",$D$3)</f>
        <v>0000000000800</v>
      </c>
      <c r="U10" s="10" t="str">
        <f>IF(OutPut[[#This Row],[time]]="","","amount_per_charge")</f>
        <v>amount_per_charge</v>
      </c>
    </row>
    <row r="11" spans="2:29" x14ac:dyDescent="0.35">
      <c r="B11" s="10" t="str">
        <f>IF(OutPut[[#This Row],[time]]="","",CalculationId)</f>
        <v>0b15a420-9fc8-409a-a169-fbd49479d718</v>
      </c>
      <c r="C11" s="10" t="str">
        <f>IF(OutPut[[#This Row],[time]]="","",CalculationType)</f>
        <v>wholesale_fixing</v>
      </c>
      <c r="D11" s="10" t="str">
        <f>IF(OutPut[[#This Row],[time]]="","",CalculationExecutionTimeStart)</f>
        <v>2024-01-01 23:00:00</v>
      </c>
      <c r="E11" s="10" t="str">
        <f>IF(OutPut[[#This Row],[time]]="","","IGNORED")</f>
        <v>IGNORED</v>
      </c>
      <c r="F11" s="10" t="str">
        <f>IF(OutPut[[#This Row],[time]]="","",G$3)</f>
        <v>800</v>
      </c>
      <c r="G11" s="10" t="str">
        <f>IF(OutPut[[#This Row],[time]]="","",$E$3)</f>
        <v>2000000000000</v>
      </c>
      <c r="H11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11" s="10" t="str">
        <f>IF(OutPut[[#This Row],[time]]="","","kWh")</f>
        <v>kWh</v>
      </c>
      <c r="J11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11" s="10" t="str">
        <f>'calculation_arguments'!H9</f>
        <v>2023-02-01 05:00:00</v>
      </c>
      <c r="L11" s="10" t="str">
        <f>IF(OutPut[[#This Row],[time]]="","","PT1H")</f>
        <v>PT1H</v>
      </c>
      <c r="M11" s="10" t="str">
        <f>IF(OutPut[[#This Row],[time]]="","",$F$3)</f>
        <v>production</v>
      </c>
      <c r="N11" s="11" t="str">
        <f>IF(OutPut[[#This Row],[time]]="","",IF($H$3="","",$H$3))</f>
        <v/>
      </c>
      <c r="O11" s="11" t="str" cm="1">
        <f t="array" ref="O11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11" s="11" t="str">
        <f>IFERROR(SUBSTITUTE(SUBSTITUTE(OutPut[[#This Row],[price]],".",",")*SUBSTITUTE(OutPut[[#This Row],[quantity]],".",","),",","."),"")</f>
        <v/>
      </c>
      <c r="Q11" s="10" t="str">
        <f>IF(OutPut[[#This Row],[time]]="","",VLOOKUP(C$3,charge_price_information_periods[],5,FALSE))</f>
        <v>false</v>
      </c>
      <c r="R11" s="10" t="str">
        <f>IF(OutPut[[#This Row],[time]]="","",$C$3)</f>
        <v>tariff-hourly-3</v>
      </c>
      <c r="S11" s="10" t="str">
        <f>IF(OutPut[[#This Row],[time]]="","","tariff")</f>
        <v>tariff</v>
      </c>
      <c r="T11" s="10" t="str">
        <f>IF(OutPut[[#This Row],[time]]="","",$D$3)</f>
        <v>0000000000800</v>
      </c>
      <c r="U11" s="10" t="str">
        <f>IF(OutPut[[#This Row],[time]]="","","amount_per_charge")</f>
        <v>amount_per_charge</v>
      </c>
    </row>
    <row r="12" spans="2:29" x14ac:dyDescent="0.35">
      <c r="B12" s="10" t="str">
        <f>IF(OutPut[[#This Row],[time]]="","",CalculationId)</f>
        <v>0b15a420-9fc8-409a-a169-fbd49479d718</v>
      </c>
      <c r="C12" s="10" t="str">
        <f>IF(OutPut[[#This Row],[time]]="","",CalculationType)</f>
        <v>wholesale_fixing</v>
      </c>
      <c r="D12" s="10" t="str">
        <f>IF(OutPut[[#This Row],[time]]="","",CalculationExecutionTimeStart)</f>
        <v>2024-01-01 23:00:00</v>
      </c>
      <c r="E12" s="10" t="str">
        <f>IF(OutPut[[#This Row],[time]]="","","IGNORED")</f>
        <v>IGNORED</v>
      </c>
      <c r="F12" s="10" t="str">
        <f>IF(OutPut[[#This Row],[time]]="","",G$3)</f>
        <v>800</v>
      </c>
      <c r="G12" s="10" t="str">
        <f>IF(OutPut[[#This Row],[time]]="","",$E$3)</f>
        <v>2000000000000</v>
      </c>
      <c r="H12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12" s="10" t="str">
        <f>IF(OutPut[[#This Row],[time]]="","","kWh")</f>
        <v>kWh</v>
      </c>
      <c r="J12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12" s="10" t="str">
        <f>'calculation_arguments'!H10</f>
        <v>2023-02-01 06:00:00</v>
      </c>
      <c r="L12" s="10" t="str">
        <f>IF(OutPut[[#This Row],[time]]="","","PT1H")</f>
        <v>PT1H</v>
      </c>
      <c r="M12" s="10" t="str">
        <f>IF(OutPut[[#This Row],[time]]="","",$F$3)</f>
        <v>production</v>
      </c>
      <c r="N12" s="11" t="str">
        <f>IF(OutPut[[#This Row],[time]]="","",IF($H$3="","",$H$3))</f>
        <v/>
      </c>
      <c r="O12" s="11" t="str" cm="1">
        <f t="array" ref="O12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12" s="11" t="str">
        <f>IFERROR(SUBSTITUTE(SUBSTITUTE(OutPut[[#This Row],[price]],".",",")*SUBSTITUTE(OutPut[[#This Row],[quantity]],".",","),",","."),"")</f>
        <v/>
      </c>
      <c r="Q12" s="10" t="str">
        <f>IF(OutPut[[#This Row],[time]]="","",VLOOKUP(C$3,charge_price_information_periods[],5,FALSE))</f>
        <v>false</v>
      </c>
      <c r="R12" s="10" t="str">
        <f>IF(OutPut[[#This Row],[time]]="","",$C$3)</f>
        <v>tariff-hourly-3</v>
      </c>
      <c r="S12" s="10" t="str">
        <f>IF(OutPut[[#This Row],[time]]="","","tariff")</f>
        <v>tariff</v>
      </c>
      <c r="T12" s="10" t="str">
        <f>IF(OutPut[[#This Row],[time]]="","",$D$3)</f>
        <v>0000000000800</v>
      </c>
      <c r="U12" s="10" t="str">
        <f>IF(OutPut[[#This Row],[time]]="","","amount_per_charge")</f>
        <v>amount_per_charge</v>
      </c>
    </row>
    <row r="13" spans="2:29" x14ac:dyDescent="0.35">
      <c r="B13" s="10" t="str">
        <f>IF(OutPut[[#This Row],[time]]="","",CalculationId)</f>
        <v>0b15a420-9fc8-409a-a169-fbd49479d718</v>
      </c>
      <c r="C13" s="10" t="str">
        <f>IF(OutPut[[#This Row],[time]]="","",CalculationType)</f>
        <v>wholesale_fixing</v>
      </c>
      <c r="D13" s="10" t="str">
        <f>IF(OutPut[[#This Row],[time]]="","",CalculationExecutionTimeStart)</f>
        <v>2024-01-01 23:00:00</v>
      </c>
      <c r="E13" s="10" t="str">
        <f>IF(OutPut[[#This Row],[time]]="","","IGNORED")</f>
        <v>IGNORED</v>
      </c>
      <c r="F13" s="10" t="str">
        <f>IF(OutPut[[#This Row],[time]]="","",G$3)</f>
        <v>800</v>
      </c>
      <c r="G13" s="10" t="str">
        <f>IF(OutPut[[#This Row],[time]]="","",$E$3)</f>
        <v>2000000000000</v>
      </c>
      <c r="H13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13" s="10" t="str">
        <f>IF(OutPut[[#This Row],[time]]="","","kWh")</f>
        <v>kWh</v>
      </c>
      <c r="J13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13" s="10" t="str">
        <f>'calculation_arguments'!H11</f>
        <v>2023-02-01 07:00:00</v>
      </c>
      <c r="L13" s="10" t="str">
        <f>IF(OutPut[[#This Row],[time]]="","","PT1H")</f>
        <v>PT1H</v>
      </c>
      <c r="M13" s="10" t="str">
        <f>IF(OutPut[[#This Row],[time]]="","",$F$3)</f>
        <v>production</v>
      </c>
      <c r="N13" s="11" t="str">
        <f>IF(OutPut[[#This Row],[time]]="","",IF($H$3="","",$H$3))</f>
        <v/>
      </c>
      <c r="O13" s="11" t="str" cm="1">
        <f t="array" ref="O13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13" s="11" t="str">
        <f>IFERROR(SUBSTITUTE(SUBSTITUTE(OutPut[[#This Row],[price]],".",",")*SUBSTITUTE(OutPut[[#This Row],[quantity]],".",","),",","."),"")</f>
        <v/>
      </c>
      <c r="Q13" s="10" t="str">
        <f>IF(OutPut[[#This Row],[time]]="","",VLOOKUP(C$3,charge_price_information_periods[],5,FALSE))</f>
        <v>false</v>
      </c>
      <c r="R13" s="10" t="str">
        <f>IF(OutPut[[#This Row],[time]]="","",$C$3)</f>
        <v>tariff-hourly-3</v>
      </c>
      <c r="S13" s="10" t="str">
        <f>IF(OutPut[[#This Row],[time]]="","","tariff")</f>
        <v>tariff</v>
      </c>
      <c r="T13" s="10" t="str">
        <f>IF(OutPut[[#This Row],[time]]="","",$D$3)</f>
        <v>0000000000800</v>
      </c>
      <c r="U13" s="10" t="str">
        <f>IF(OutPut[[#This Row],[time]]="","","amount_per_charge")</f>
        <v>amount_per_charge</v>
      </c>
    </row>
    <row r="14" spans="2:29" x14ac:dyDescent="0.35">
      <c r="B14" s="10" t="str">
        <f>IF(OutPut[[#This Row],[time]]="","",CalculationId)</f>
        <v>0b15a420-9fc8-409a-a169-fbd49479d718</v>
      </c>
      <c r="C14" s="10" t="str">
        <f>IF(OutPut[[#This Row],[time]]="","",CalculationType)</f>
        <v>wholesale_fixing</v>
      </c>
      <c r="D14" s="10" t="str">
        <f>IF(OutPut[[#This Row],[time]]="","",CalculationExecutionTimeStart)</f>
        <v>2024-01-01 23:00:00</v>
      </c>
      <c r="E14" s="10" t="str">
        <f>IF(OutPut[[#This Row],[time]]="","","IGNORED")</f>
        <v>IGNORED</v>
      </c>
      <c r="F14" s="10" t="str">
        <f>IF(OutPut[[#This Row],[time]]="","",G$3)</f>
        <v>800</v>
      </c>
      <c r="G14" s="10" t="str">
        <f>IF(OutPut[[#This Row],[time]]="","",$E$3)</f>
        <v>2000000000000</v>
      </c>
      <c r="H14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14" s="10" t="str">
        <f>IF(OutPut[[#This Row],[time]]="","","kWh")</f>
        <v>kWh</v>
      </c>
      <c r="J14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14" s="10" t="str">
        <f>'calculation_arguments'!H12</f>
        <v>2023-02-01 08:00:00</v>
      </c>
      <c r="L14" s="10" t="str">
        <f>IF(OutPut[[#This Row],[time]]="","","PT1H")</f>
        <v>PT1H</v>
      </c>
      <c r="M14" s="10" t="str">
        <f>IF(OutPut[[#This Row],[time]]="","",$F$3)</f>
        <v>production</v>
      </c>
      <c r="N14" s="11" t="str">
        <f>IF(OutPut[[#This Row],[time]]="","",IF($H$3="","",$H$3))</f>
        <v/>
      </c>
      <c r="O14" s="11" t="str" cm="1">
        <f t="array" ref="O14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14" s="11" t="str">
        <f>IFERROR(SUBSTITUTE(SUBSTITUTE(OutPut[[#This Row],[price]],".",",")*SUBSTITUTE(OutPut[[#This Row],[quantity]],".",","),",","."),"")</f>
        <v/>
      </c>
      <c r="Q14" s="10" t="str">
        <f>IF(OutPut[[#This Row],[time]]="","",VLOOKUP(C$3,charge_price_information_periods[],5,FALSE))</f>
        <v>false</v>
      </c>
      <c r="R14" s="10" t="str">
        <f>IF(OutPut[[#This Row],[time]]="","",$C$3)</f>
        <v>tariff-hourly-3</v>
      </c>
      <c r="S14" s="10" t="str">
        <f>IF(OutPut[[#This Row],[time]]="","","tariff")</f>
        <v>tariff</v>
      </c>
      <c r="T14" s="10" t="str">
        <f>IF(OutPut[[#This Row],[time]]="","",$D$3)</f>
        <v>0000000000800</v>
      </c>
      <c r="U14" s="10" t="str">
        <f>IF(OutPut[[#This Row],[time]]="","","amount_per_charge")</f>
        <v>amount_per_charge</v>
      </c>
    </row>
    <row r="15" spans="2:29" x14ac:dyDescent="0.35">
      <c r="B15" s="10" t="str">
        <f>IF(OutPut[[#This Row],[time]]="","",CalculationId)</f>
        <v>0b15a420-9fc8-409a-a169-fbd49479d718</v>
      </c>
      <c r="C15" s="10" t="str">
        <f>IF(OutPut[[#This Row],[time]]="","",CalculationType)</f>
        <v>wholesale_fixing</v>
      </c>
      <c r="D15" s="10" t="str">
        <f>IF(OutPut[[#This Row],[time]]="","",CalculationExecutionTimeStart)</f>
        <v>2024-01-01 23:00:00</v>
      </c>
      <c r="E15" s="10" t="str">
        <f>IF(OutPut[[#This Row],[time]]="","","IGNORED")</f>
        <v>IGNORED</v>
      </c>
      <c r="F15" s="10" t="str">
        <f>IF(OutPut[[#This Row],[time]]="","",G$3)</f>
        <v>800</v>
      </c>
      <c r="G15" s="10" t="str">
        <f>IF(OutPut[[#This Row],[time]]="","",$E$3)</f>
        <v>2000000000000</v>
      </c>
      <c r="H15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15" s="10" t="str">
        <f>IF(OutPut[[#This Row],[time]]="","","kWh")</f>
        <v>kWh</v>
      </c>
      <c r="J15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15" s="10" t="str">
        <f>'calculation_arguments'!H13</f>
        <v>2023-02-01 09:00:00</v>
      </c>
      <c r="L15" s="10" t="str">
        <f>IF(OutPut[[#This Row],[time]]="","","PT1H")</f>
        <v>PT1H</v>
      </c>
      <c r="M15" s="10" t="str">
        <f>IF(OutPut[[#This Row],[time]]="","",$F$3)</f>
        <v>production</v>
      </c>
      <c r="N15" s="11" t="str">
        <f>IF(OutPut[[#This Row],[time]]="","",IF($H$3="","",$H$3))</f>
        <v/>
      </c>
      <c r="O15" s="11" t="str" cm="1">
        <f t="array" ref="O15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15" s="11" t="str">
        <f>IFERROR(SUBSTITUTE(SUBSTITUTE(OutPut[[#This Row],[price]],".",",")*SUBSTITUTE(OutPut[[#This Row],[quantity]],".",","),",","."),"")</f>
        <v/>
      </c>
      <c r="Q15" s="10" t="str">
        <f>IF(OutPut[[#This Row],[time]]="","",VLOOKUP(C$3,charge_price_information_periods[],5,FALSE))</f>
        <v>false</v>
      </c>
      <c r="R15" s="10" t="str">
        <f>IF(OutPut[[#This Row],[time]]="","",$C$3)</f>
        <v>tariff-hourly-3</v>
      </c>
      <c r="S15" s="10" t="str">
        <f>IF(OutPut[[#This Row],[time]]="","","tariff")</f>
        <v>tariff</v>
      </c>
      <c r="T15" s="10" t="str">
        <f>IF(OutPut[[#This Row],[time]]="","",$D$3)</f>
        <v>0000000000800</v>
      </c>
      <c r="U15" s="10" t="str">
        <f>IF(OutPut[[#This Row],[time]]="","","amount_per_charge")</f>
        <v>amount_per_charge</v>
      </c>
    </row>
    <row r="16" spans="2:29" x14ac:dyDescent="0.35">
      <c r="B16" s="10" t="str">
        <f>IF(OutPut[[#This Row],[time]]="","",CalculationId)</f>
        <v>0b15a420-9fc8-409a-a169-fbd49479d718</v>
      </c>
      <c r="C16" s="10" t="str">
        <f>IF(OutPut[[#This Row],[time]]="","",CalculationType)</f>
        <v>wholesale_fixing</v>
      </c>
      <c r="D16" s="10" t="str">
        <f>IF(OutPut[[#This Row],[time]]="","",CalculationExecutionTimeStart)</f>
        <v>2024-01-01 23:00:00</v>
      </c>
      <c r="E16" s="10" t="str">
        <f>IF(OutPut[[#This Row],[time]]="","","IGNORED")</f>
        <v>IGNORED</v>
      </c>
      <c r="F16" s="10" t="str">
        <f>IF(OutPut[[#This Row],[time]]="","",G$3)</f>
        <v>800</v>
      </c>
      <c r="G16" s="10" t="str">
        <f>IF(OutPut[[#This Row],[time]]="","",$E$3)</f>
        <v>2000000000000</v>
      </c>
      <c r="H16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16" s="10" t="str">
        <f>IF(OutPut[[#This Row],[time]]="","","kWh")</f>
        <v>kWh</v>
      </c>
      <c r="J16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16" s="10" t="str">
        <f>'calculation_arguments'!H14</f>
        <v>2023-02-01 10:00:00</v>
      </c>
      <c r="L16" s="10" t="str">
        <f>IF(OutPut[[#This Row],[time]]="","","PT1H")</f>
        <v>PT1H</v>
      </c>
      <c r="M16" s="10" t="str">
        <f>IF(OutPut[[#This Row],[time]]="","",$F$3)</f>
        <v>production</v>
      </c>
      <c r="N16" s="11" t="str">
        <f>IF(OutPut[[#This Row],[time]]="","",IF($H$3="","",$H$3))</f>
        <v/>
      </c>
      <c r="O16" s="11" t="str" cm="1">
        <f t="array" ref="O16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16" s="11" t="str">
        <f>IFERROR(SUBSTITUTE(SUBSTITUTE(OutPut[[#This Row],[price]],".",",")*SUBSTITUTE(OutPut[[#This Row],[quantity]],".",","),",","."),"")</f>
        <v/>
      </c>
      <c r="Q16" s="10" t="str">
        <f>IF(OutPut[[#This Row],[time]]="","",VLOOKUP(C$3,charge_price_information_periods[],5,FALSE))</f>
        <v>false</v>
      </c>
      <c r="R16" s="10" t="str">
        <f>IF(OutPut[[#This Row],[time]]="","",$C$3)</f>
        <v>tariff-hourly-3</v>
      </c>
      <c r="S16" s="10" t="str">
        <f>IF(OutPut[[#This Row],[time]]="","","tariff")</f>
        <v>tariff</v>
      </c>
      <c r="T16" s="10" t="str">
        <f>IF(OutPut[[#This Row],[time]]="","",$D$3)</f>
        <v>0000000000800</v>
      </c>
      <c r="U16" s="10" t="str">
        <f>IF(OutPut[[#This Row],[time]]="","","amount_per_charge")</f>
        <v>amount_per_charge</v>
      </c>
    </row>
    <row r="17" spans="2:27" x14ac:dyDescent="0.35">
      <c r="B17" s="10" t="str">
        <f>IF(OutPut[[#This Row],[time]]="","",CalculationId)</f>
        <v>0b15a420-9fc8-409a-a169-fbd49479d718</v>
      </c>
      <c r="C17" s="10" t="str">
        <f>IF(OutPut[[#This Row],[time]]="","",CalculationType)</f>
        <v>wholesale_fixing</v>
      </c>
      <c r="D17" s="10" t="str">
        <f>IF(OutPut[[#This Row],[time]]="","",CalculationExecutionTimeStart)</f>
        <v>2024-01-01 23:00:00</v>
      </c>
      <c r="E17" s="10" t="str">
        <f>IF(OutPut[[#This Row],[time]]="","","IGNORED")</f>
        <v>IGNORED</v>
      </c>
      <c r="F17" s="10" t="str">
        <f>IF(OutPut[[#This Row],[time]]="","",G$3)</f>
        <v>800</v>
      </c>
      <c r="G17" s="10" t="str">
        <f>IF(OutPut[[#This Row],[time]]="","",$E$3)</f>
        <v>2000000000000</v>
      </c>
      <c r="H17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17" s="10" t="str">
        <f>IF(OutPut[[#This Row],[time]]="","","kWh")</f>
        <v>kWh</v>
      </c>
      <c r="J17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17" s="10" t="str">
        <f>'calculation_arguments'!H15</f>
        <v>2023-02-01 11:00:00</v>
      </c>
      <c r="L17" s="10" t="str">
        <f>IF(OutPut[[#This Row],[time]]="","","PT1H")</f>
        <v>PT1H</v>
      </c>
      <c r="M17" s="10" t="str">
        <f>IF(OutPut[[#This Row],[time]]="","",$F$3)</f>
        <v>production</v>
      </c>
      <c r="N17" s="11" t="str">
        <f>IF(OutPut[[#This Row],[time]]="","",IF($H$3="","",$H$3))</f>
        <v/>
      </c>
      <c r="O17" s="11" t="str" cm="1">
        <f t="array" ref="O17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17" s="11" t="str">
        <f>IFERROR(SUBSTITUTE(SUBSTITUTE(OutPut[[#This Row],[price]],".",",")*SUBSTITUTE(OutPut[[#This Row],[quantity]],".",","),",","."),"")</f>
        <v/>
      </c>
      <c r="Q17" s="10" t="str">
        <f>IF(OutPut[[#This Row],[time]]="","",VLOOKUP(C$3,charge_price_information_periods[],5,FALSE))</f>
        <v>false</v>
      </c>
      <c r="R17" s="10" t="str">
        <f>IF(OutPut[[#This Row],[time]]="","",$C$3)</f>
        <v>tariff-hourly-3</v>
      </c>
      <c r="S17" s="10" t="str">
        <f>IF(OutPut[[#This Row],[time]]="","","tariff")</f>
        <v>tariff</v>
      </c>
      <c r="T17" s="10" t="str">
        <f>IF(OutPut[[#This Row],[time]]="","",$D$3)</f>
        <v>0000000000800</v>
      </c>
      <c r="U17" s="10" t="str">
        <f>IF(OutPut[[#This Row],[time]]="","","amount_per_charge")</f>
        <v>amount_per_charge</v>
      </c>
    </row>
    <row r="18" spans="2:27" x14ac:dyDescent="0.35">
      <c r="B18" s="10" t="str">
        <f>IF(OutPut[[#This Row],[time]]="","",CalculationId)</f>
        <v>0b15a420-9fc8-409a-a169-fbd49479d718</v>
      </c>
      <c r="C18" s="10" t="str">
        <f>IF(OutPut[[#This Row],[time]]="","",CalculationType)</f>
        <v>wholesale_fixing</v>
      </c>
      <c r="D18" s="10" t="str">
        <f>IF(OutPut[[#This Row],[time]]="","",CalculationExecutionTimeStart)</f>
        <v>2024-01-01 23:00:00</v>
      </c>
      <c r="E18" s="10" t="str">
        <f>IF(OutPut[[#This Row],[time]]="","","IGNORED")</f>
        <v>IGNORED</v>
      </c>
      <c r="F18" s="10" t="str">
        <f>IF(OutPut[[#This Row],[time]]="","",G$3)</f>
        <v>800</v>
      </c>
      <c r="G18" s="10" t="str">
        <f>IF(OutPut[[#This Row],[time]]="","",$E$3)</f>
        <v>2000000000000</v>
      </c>
      <c r="H18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18" s="10" t="str">
        <f>IF(OutPut[[#This Row],[time]]="","","kWh")</f>
        <v>kWh</v>
      </c>
      <c r="J18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18" s="10" t="str">
        <f>'calculation_arguments'!H16</f>
        <v>2023-02-01 12:00:00</v>
      </c>
      <c r="L18" s="10" t="str">
        <f>IF(OutPut[[#This Row],[time]]="","","PT1H")</f>
        <v>PT1H</v>
      </c>
      <c r="M18" s="10" t="str">
        <f>IF(OutPut[[#This Row],[time]]="","",$F$3)</f>
        <v>production</v>
      </c>
      <c r="N18" s="11" t="str">
        <f>IF(OutPut[[#This Row],[time]]="","",IF($H$3="","",$H$3))</f>
        <v/>
      </c>
      <c r="O18" s="11" t="str" cm="1">
        <f t="array" ref="O18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18" s="11" t="str">
        <f>IFERROR(SUBSTITUTE(SUBSTITUTE(OutPut[[#This Row],[price]],".",",")*SUBSTITUTE(OutPut[[#This Row],[quantity]],".",","),",","."),"")</f>
        <v/>
      </c>
      <c r="Q18" s="10" t="str">
        <f>IF(OutPut[[#This Row],[time]]="","",VLOOKUP(C$3,charge_price_information_periods[],5,FALSE))</f>
        <v>false</v>
      </c>
      <c r="R18" s="10" t="str">
        <f>IF(OutPut[[#This Row],[time]]="","",$C$3)</f>
        <v>tariff-hourly-3</v>
      </c>
      <c r="S18" s="10" t="str">
        <f>IF(OutPut[[#This Row],[time]]="","","tariff")</f>
        <v>tariff</v>
      </c>
      <c r="T18" s="10" t="str">
        <f>IF(OutPut[[#This Row],[time]]="","",$D$3)</f>
        <v>0000000000800</v>
      </c>
      <c r="U18" s="10" t="str">
        <f>IF(OutPut[[#This Row],[time]]="","","amount_per_charge")</f>
        <v>amount_per_charge</v>
      </c>
    </row>
    <row r="19" spans="2:27" x14ac:dyDescent="0.35">
      <c r="B19" s="10" t="str">
        <f>IF(OutPut[[#This Row],[time]]="","",CalculationId)</f>
        <v>0b15a420-9fc8-409a-a169-fbd49479d718</v>
      </c>
      <c r="C19" s="10" t="str">
        <f>IF(OutPut[[#This Row],[time]]="","",CalculationType)</f>
        <v>wholesale_fixing</v>
      </c>
      <c r="D19" s="10" t="str">
        <f>IF(OutPut[[#This Row],[time]]="","",CalculationExecutionTimeStart)</f>
        <v>2024-01-01 23:00:00</v>
      </c>
      <c r="E19" s="10" t="str">
        <f>IF(OutPut[[#This Row],[time]]="","","IGNORED")</f>
        <v>IGNORED</v>
      </c>
      <c r="F19" s="10" t="str">
        <f>IF(OutPut[[#This Row],[time]]="","",G$3)</f>
        <v>800</v>
      </c>
      <c r="G19" s="10" t="str">
        <f>IF(OutPut[[#This Row],[time]]="","",$E$3)</f>
        <v>2000000000000</v>
      </c>
      <c r="H19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19" s="10" t="str">
        <f>IF(OutPut[[#This Row],[time]]="","","kWh")</f>
        <v>kWh</v>
      </c>
      <c r="J19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19" s="10" t="str">
        <f>'calculation_arguments'!H17</f>
        <v>2023-02-01 13:00:00</v>
      </c>
      <c r="L19" s="10" t="str">
        <f>IF(OutPut[[#This Row],[time]]="","","PT1H")</f>
        <v>PT1H</v>
      </c>
      <c r="M19" s="10" t="str">
        <f>IF(OutPut[[#This Row],[time]]="","",$F$3)</f>
        <v>production</v>
      </c>
      <c r="N19" s="11" t="str">
        <f>IF(OutPut[[#This Row],[time]]="","",IF($H$3="","",$H$3))</f>
        <v/>
      </c>
      <c r="O19" s="11" t="str" cm="1">
        <f t="array" ref="O19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19" s="11" t="str">
        <f>IFERROR(SUBSTITUTE(SUBSTITUTE(OutPut[[#This Row],[price]],".",",")*SUBSTITUTE(OutPut[[#This Row],[quantity]],".",","),",","."),"")</f>
        <v/>
      </c>
      <c r="Q19" s="10" t="str">
        <f>IF(OutPut[[#This Row],[time]]="","",VLOOKUP(C$3,charge_price_information_periods[],5,FALSE))</f>
        <v>false</v>
      </c>
      <c r="R19" s="10" t="str">
        <f>IF(OutPut[[#This Row],[time]]="","",$C$3)</f>
        <v>tariff-hourly-3</v>
      </c>
      <c r="S19" s="10" t="str">
        <f>IF(OutPut[[#This Row],[time]]="","","tariff")</f>
        <v>tariff</v>
      </c>
      <c r="T19" s="10" t="str">
        <f>IF(OutPut[[#This Row],[time]]="","",$D$3)</f>
        <v>0000000000800</v>
      </c>
      <c r="U19" s="10" t="str">
        <f>IF(OutPut[[#This Row],[time]]="","","amount_per_charge")</f>
        <v>amount_per_charge</v>
      </c>
    </row>
    <row r="20" spans="2:27" x14ac:dyDescent="0.35">
      <c r="B20" s="10" t="str">
        <f>IF(OutPut[[#This Row],[time]]="","",CalculationId)</f>
        <v>0b15a420-9fc8-409a-a169-fbd49479d718</v>
      </c>
      <c r="C20" s="10" t="str">
        <f>IF(OutPut[[#This Row],[time]]="","",CalculationType)</f>
        <v>wholesale_fixing</v>
      </c>
      <c r="D20" s="10" t="str">
        <f>IF(OutPut[[#This Row],[time]]="","",CalculationExecutionTimeStart)</f>
        <v>2024-01-01 23:00:00</v>
      </c>
      <c r="E20" s="10" t="str">
        <f>IF(OutPut[[#This Row],[time]]="","","IGNORED")</f>
        <v>IGNORED</v>
      </c>
      <c r="F20" s="10" t="str">
        <f>IF(OutPut[[#This Row],[time]]="","",G$3)</f>
        <v>800</v>
      </c>
      <c r="G20" s="10" t="str">
        <f>IF(OutPut[[#This Row],[time]]="","",$E$3)</f>
        <v>2000000000000</v>
      </c>
      <c r="H20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20" s="10" t="str">
        <f>IF(OutPut[[#This Row],[time]]="","","kWh")</f>
        <v>kWh</v>
      </c>
      <c r="J20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20" s="10" t="str">
        <f>'calculation_arguments'!H18</f>
        <v>2023-02-01 14:00:00</v>
      </c>
      <c r="L20" s="10" t="str">
        <f>IF(OutPut[[#This Row],[time]]="","","PT1H")</f>
        <v>PT1H</v>
      </c>
      <c r="M20" s="10" t="str">
        <f>IF(OutPut[[#This Row],[time]]="","",$F$3)</f>
        <v>production</v>
      </c>
      <c r="N20" s="11" t="str">
        <f>IF(OutPut[[#This Row],[time]]="","",IF($H$3="","",$H$3))</f>
        <v/>
      </c>
      <c r="O20" s="11" t="str" cm="1">
        <f t="array" ref="O20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20" s="11" t="str">
        <f>IFERROR(SUBSTITUTE(SUBSTITUTE(OutPut[[#This Row],[price]],".",",")*SUBSTITUTE(OutPut[[#This Row],[quantity]],".",","),",","."),"")</f>
        <v/>
      </c>
      <c r="Q20" s="10" t="str">
        <f>IF(OutPut[[#This Row],[time]]="","",VLOOKUP(C$3,charge_price_information_periods[],5,FALSE))</f>
        <v>false</v>
      </c>
      <c r="R20" s="10" t="str">
        <f>IF(OutPut[[#This Row],[time]]="","",$C$3)</f>
        <v>tariff-hourly-3</v>
      </c>
      <c r="S20" s="10" t="str">
        <f>IF(OutPut[[#This Row],[time]]="","","tariff")</f>
        <v>tariff</v>
      </c>
      <c r="T20" s="10" t="str">
        <f>IF(OutPut[[#This Row],[time]]="","",$D$3)</f>
        <v>0000000000800</v>
      </c>
      <c r="U20" s="10" t="str">
        <f>IF(OutPut[[#This Row],[time]]="","","amount_per_charge")</f>
        <v>amount_per_charge</v>
      </c>
    </row>
    <row r="21" spans="2:27" x14ac:dyDescent="0.35">
      <c r="B21" s="10" t="str">
        <f>IF(OutPut[[#This Row],[time]]="","",CalculationId)</f>
        <v>0b15a420-9fc8-409a-a169-fbd49479d718</v>
      </c>
      <c r="C21" s="10" t="str">
        <f>IF(OutPut[[#This Row],[time]]="","",CalculationType)</f>
        <v>wholesale_fixing</v>
      </c>
      <c r="D21" s="10" t="str">
        <f>IF(OutPut[[#This Row],[time]]="","",CalculationExecutionTimeStart)</f>
        <v>2024-01-01 23:00:00</v>
      </c>
      <c r="E21" s="10" t="str">
        <f>IF(OutPut[[#This Row],[time]]="","","IGNORED")</f>
        <v>IGNORED</v>
      </c>
      <c r="F21" s="10" t="str">
        <f>IF(OutPut[[#This Row],[time]]="","",G$3)</f>
        <v>800</v>
      </c>
      <c r="G21" s="10" t="str">
        <f>IF(OutPut[[#This Row],[time]]="","",$E$3)</f>
        <v>2000000000000</v>
      </c>
      <c r="H21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21" s="10" t="str">
        <f>IF(OutPut[[#This Row],[time]]="","","kWh")</f>
        <v>kWh</v>
      </c>
      <c r="J21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21" s="10" t="str">
        <f>'calculation_arguments'!H19</f>
        <v>2023-02-01 15:00:00</v>
      </c>
      <c r="L21" s="10" t="str">
        <f>IF(OutPut[[#This Row],[time]]="","","PT1H")</f>
        <v>PT1H</v>
      </c>
      <c r="M21" s="10" t="str">
        <f>IF(OutPut[[#This Row],[time]]="","",$F$3)</f>
        <v>production</v>
      </c>
      <c r="N21" s="11" t="str">
        <f>IF(OutPut[[#This Row],[time]]="","",IF($H$3="","",$H$3))</f>
        <v/>
      </c>
      <c r="O21" s="11" t="str" cm="1">
        <f t="array" ref="O21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21" s="11" t="str">
        <f>IFERROR(SUBSTITUTE(SUBSTITUTE(OutPut[[#This Row],[price]],".",",")*SUBSTITUTE(OutPut[[#This Row],[quantity]],".",","),",","."),"")</f>
        <v/>
      </c>
      <c r="Q21" s="10" t="str">
        <f>IF(OutPut[[#This Row],[time]]="","",VLOOKUP(C$3,charge_price_information_periods[],5,FALSE))</f>
        <v>false</v>
      </c>
      <c r="R21" s="10" t="str">
        <f>IF(OutPut[[#This Row],[time]]="","",$C$3)</f>
        <v>tariff-hourly-3</v>
      </c>
      <c r="S21" s="10" t="str">
        <f>IF(OutPut[[#This Row],[time]]="","","tariff")</f>
        <v>tariff</v>
      </c>
      <c r="T21" s="10" t="str">
        <f>IF(OutPut[[#This Row],[time]]="","",$D$3)</f>
        <v>0000000000800</v>
      </c>
      <c r="U21" s="10" t="str">
        <f>IF(OutPut[[#This Row],[time]]="","","amount_per_charge")</f>
        <v>amount_per_charge</v>
      </c>
    </row>
    <row r="22" spans="2:27" x14ac:dyDescent="0.35">
      <c r="B22" s="10" t="str">
        <f>IF(OutPut[[#This Row],[time]]="","",CalculationId)</f>
        <v>0b15a420-9fc8-409a-a169-fbd49479d718</v>
      </c>
      <c r="C22" s="10" t="str">
        <f>IF(OutPut[[#This Row],[time]]="","",CalculationType)</f>
        <v>wholesale_fixing</v>
      </c>
      <c r="D22" s="10" t="str">
        <f>IF(OutPut[[#This Row],[time]]="","",CalculationExecutionTimeStart)</f>
        <v>2024-01-01 23:00:00</v>
      </c>
      <c r="E22" s="10" t="str">
        <f>IF(OutPut[[#This Row],[time]]="","","IGNORED")</f>
        <v>IGNORED</v>
      </c>
      <c r="F22" s="10" t="str">
        <f>IF(OutPut[[#This Row],[time]]="","",G$3)</f>
        <v>800</v>
      </c>
      <c r="G22" s="10" t="str">
        <f>IF(OutPut[[#This Row],[time]]="","",$E$3)</f>
        <v>2000000000000</v>
      </c>
      <c r="H22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22" s="10" t="str">
        <f>IF(OutPut[[#This Row],[time]]="","","kWh")</f>
        <v>kWh</v>
      </c>
      <c r="J22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22" s="10" t="str">
        <f>'calculation_arguments'!H20</f>
        <v>2023-02-01 16:00:00</v>
      </c>
      <c r="L22" s="10" t="str">
        <f>IF(OutPut[[#This Row],[time]]="","","PT1H")</f>
        <v>PT1H</v>
      </c>
      <c r="M22" s="10" t="str">
        <f>IF(OutPut[[#This Row],[time]]="","",$F$3)</f>
        <v>production</v>
      </c>
      <c r="N22" s="11" t="str">
        <f>IF(OutPut[[#This Row],[time]]="","",IF($H$3="","",$H$3))</f>
        <v/>
      </c>
      <c r="O22" s="11" t="str" cm="1">
        <f t="array" ref="O22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22" s="11" t="str">
        <f>IFERROR(SUBSTITUTE(SUBSTITUTE(OutPut[[#This Row],[price]],".",",")*SUBSTITUTE(OutPut[[#This Row],[quantity]],".",","),",","."),"")</f>
        <v/>
      </c>
      <c r="Q22" s="10" t="str">
        <f>IF(OutPut[[#This Row],[time]]="","",VLOOKUP(C$3,charge_price_information_periods[],5,FALSE))</f>
        <v>false</v>
      </c>
      <c r="R22" s="10" t="str">
        <f>IF(OutPut[[#This Row],[time]]="","",$C$3)</f>
        <v>tariff-hourly-3</v>
      </c>
      <c r="S22" s="10" t="str">
        <f>IF(OutPut[[#This Row],[time]]="","","tariff")</f>
        <v>tariff</v>
      </c>
      <c r="T22" s="10" t="str">
        <f>IF(OutPut[[#This Row],[time]]="","",$D$3)</f>
        <v>0000000000800</v>
      </c>
      <c r="U22" s="10" t="str">
        <f>IF(OutPut[[#This Row],[time]]="","","amount_per_charge")</f>
        <v>amount_per_charge</v>
      </c>
    </row>
    <row r="23" spans="2:27" x14ac:dyDescent="0.35">
      <c r="B23" s="10" t="str">
        <f>IF(OutPut[[#This Row],[time]]="","",CalculationId)</f>
        <v>0b15a420-9fc8-409a-a169-fbd49479d718</v>
      </c>
      <c r="C23" s="10" t="str">
        <f>IF(OutPut[[#This Row],[time]]="","",CalculationType)</f>
        <v>wholesale_fixing</v>
      </c>
      <c r="D23" s="10" t="str">
        <f>IF(OutPut[[#This Row],[time]]="","",CalculationExecutionTimeStart)</f>
        <v>2024-01-01 23:00:00</v>
      </c>
      <c r="E23" s="10" t="str">
        <f>IF(OutPut[[#This Row],[time]]="","","IGNORED")</f>
        <v>IGNORED</v>
      </c>
      <c r="F23" s="10" t="str">
        <f>IF(OutPut[[#This Row],[time]]="","",G$3)</f>
        <v>800</v>
      </c>
      <c r="G23" s="10" t="str">
        <f>IF(OutPut[[#This Row],[time]]="","",$E$3)</f>
        <v>2000000000000</v>
      </c>
      <c r="H23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23" s="10" t="str">
        <f>IF(OutPut[[#This Row],[time]]="","","kWh")</f>
        <v>kWh</v>
      </c>
      <c r="J23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23" s="10" t="str">
        <f>'calculation_arguments'!H21</f>
        <v>2023-02-01 17:00:00</v>
      </c>
      <c r="L23" s="10" t="str">
        <f>IF(OutPut[[#This Row],[time]]="","","PT1H")</f>
        <v>PT1H</v>
      </c>
      <c r="M23" s="10" t="str">
        <f>IF(OutPut[[#This Row],[time]]="","",$F$3)</f>
        <v>production</v>
      </c>
      <c r="N23" s="11" t="str">
        <f>IF(OutPut[[#This Row],[time]]="","",IF($H$3="","",$H$3))</f>
        <v/>
      </c>
      <c r="O23" s="11" t="str" cm="1">
        <f t="array" ref="O23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23" s="11" t="str">
        <f>IFERROR(SUBSTITUTE(SUBSTITUTE(OutPut[[#This Row],[price]],".",",")*SUBSTITUTE(OutPut[[#This Row],[quantity]],".",","),",","."),"")</f>
        <v/>
      </c>
      <c r="Q23" s="10" t="str">
        <f>IF(OutPut[[#This Row],[time]]="","",VLOOKUP(C$3,charge_price_information_periods[],5,FALSE))</f>
        <v>false</v>
      </c>
      <c r="R23" s="10" t="str">
        <f>IF(OutPut[[#This Row],[time]]="","",$C$3)</f>
        <v>tariff-hourly-3</v>
      </c>
      <c r="S23" s="10" t="str">
        <f>IF(OutPut[[#This Row],[time]]="","","tariff")</f>
        <v>tariff</v>
      </c>
      <c r="T23" s="10" t="str">
        <f>IF(OutPut[[#This Row],[time]]="","",$D$3)</f>
        <v>0000000000800</v>
      </c>
      <c r="U23" s="10" t="str">
        <f>IF(OutPut[[#This Row],[time]]="","","amount_per_charge")</f>
        <v>amount_per_charge</v>
      </c>
    </row>
    <row r="24" spans="2:27" x14ac:dyDescent="0.35">
      <c r="B24" s="10" t="str">
        <f>IF(OutPut[[#This Row],[time]]="","",CalculationId)</f>
        <v>0b15a420-9fc8-409a-a169-fbd49479d718</v>
      </c>
      <c r="C24" s="10" t="str">
        <f>IF(OutPut[[#This Row],[time]]="","",CalculationType)</f>
        <v>wholesale_fixing</v>
      </c>
      <c r="D24" s="10" t="str">
        <f>IF(OutPut[[#This Row],[time]]="","",CalculationExecutionTimeStart)</f>
        <v>2024-01-01 23:00:00</v>
      </c>
      <c r="E24" s="10" t="str">
        <f>IF(OutPut[[#This Row],[time]]="","","IGNORED")</f>
        <v>IGNORED</v>
      </c>
      <c r="F24" s="10" t="str">
        <f>IF(OutPut[[#This Row],[time]]="","",G$3)</f>
        <v>800</v>
      </c>
      <c r="G24" s="10" t="str">
        <f>IF(OutPut[[#This Row],[time]]="","",$E$3)</f>
        <v>2000000000000</v>
      </c>
      <c r="H24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24" s="10" t="str">
        <f>IF(OutPut[[#This Row],[time]]="","","kWh")</f>
        <v>kWh</v>
      </c>
      <c r="J24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24" s="10" t="str">
        <f>'calculation_arguments'!H22</f>
        <v>2023-02-01 18:00:00</v>
      </c>
      <c r="L24" s="10" t="str">
        <f>IF(OutPut[[#This Row],[time]]="","","PT1H")</f>
        <v>PT1H</v>
      </c>
      <c r="M24" s="10" t="str">
        <f>IF(OutPut[[#This Row],[time]]="","",$F$3)</f>
        <v>production</v>
      </c>
      <c r="N24" s="11" t="str">
        <f>IF(OutPut[[#This Row],[time]]="","",IF($H$3="","",$H$3))</f>
        <v/>
      </c>
      <c r="O24" s="11" t="str" cm="1">
        <f t="array" ref="O24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24" s="11" t="str">
        <f>IFERROR(SUBSTITUTE(SUBSTITUTE(OutPut[[#This Row],[price]],".",",")*SUBSTITUTE(OutPut[[#This Row],[quantity]],".",","),",","."),"")</f>
        <v/>
      </c>
      <c r="Q24" s="10" t="str">
        <f>IF(OutPut[[#This Row],[time]]="","",VLOOKUP(C$3,charge_price_information_periods[],5,FALSE))</f>
        <v>false</v>
      </c>
      <c r="R24" s="10" t="str">
        <f>IF(OutPut[[#This Row],[time]]="","",$C$3)</f>
        <v>tariff-hourly-3</v>
      </c>
      <c r="S24" s="10" t="str">
        <f>IF(OutPut[[#This Row],[time]]="","","tariff")</f>
        <v>tariff</v>
      </c>
      <c r="T24" s="10" t="str">
        <f>IF(OutPut[[#This Row],[time]]="","",$D$3)</f>
        <v>0000000000800</v>
      </c>
      <c r="U24" s="10" t="str">
        <f>IF(OutPut[[#This Row],[time]]="","","amount_per_charge")</f>
        <v>amount_per_charge</v>
      </c>
    </row>
    <row r="25" spans="2:27" x14ac:dyDescent="0.35">
      <c r="B25" s="10" t="str">
        <f>IF(OutPut[[#This Row],[time]]="","",CalculationId)</f>
        <v>0b15a420-9fc8-409a-a169-fbd49479d718</v>
      </c>
      <c r="C25" s="10" t="str">
        <f>IF(OutPut[[#This Row],[time]]="","",CalculationType)</f>
        <v>wholesale_fixing</v>
      </c>
      <c r="D25" s="10" t="str">
        <f>IF(OutPut[[#This Row],[time]]="","",CalculationExecutionTimeStart)</f>
        <v>2024-01-01 23:00:00</v>
      </c>
      <c r="E25" s="10" t="str">
        <f>IF(OutPut[[#This Row],[time]]="","","IGNORED")</f>
        <v>IGNORED</v>
      </c>
      <c r="F25" s="10" t="str">
        <f>IF(OutPut[[#This Row],[time]]="","",G$3)</f>
        <v>800</v>
      </c>
      <c r="G25" s="10" t="str">
        <f>IF(OutPut[[#This Row],[time]]="","",$E$3)</f>
        <v>2000000000000</v>
      </c>
      <c r="H25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25" s="10" t="str">
        <f>IF(OutPut[[#This Row],[time]]="","","kWh")</f>
        <v>kWh</v>
      </c>
      <c r="J25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25" s="10" t="str">
        <f>'calculation_arguments'!H23</f>
        <v>2023-02-01 19:00:00</v>
      </c>
      <c r="L25" s="10" t="str">
        <f>IF(OutPut[[#This Row],[time]]="","","PT1H")</f>
        <v>PT1H</v>
      </c>
      <c r="M25" s="10" t="str">
        <f>IF(OutPut[[#This Row],[time]]="","",$F$3)</f>
        <v>production</v>
      </c>
      <c r="N25" s="11" t="str">
        <f>IF(OutPut[[#This Row],[time]]="","",IF($H$3="","",$H$3))</f>
        <v/>
      </c>
      <c r="O25" s="11" t="str" cm="1">
        <f t="array" ref="O25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25" s="11" t="str">
        <f>IFERROR(SUBSTITUTE(SUBSTITUTE(OutPut[[#This Row],[price]],".",",")*SUBSTITUTE(OutPut[[#This Row],[quantity]],".",","),",","."),"")</f>
        <v/>
      </c>
      <c r="Q25" s="10" t="str">
        <f>IF(OutPut[[#This Row],[time]]="","",VLOOKUP(C$3,charge_price_information_periods[],5,FALSE))</f>
        <v>false</v>
      </c>
      <c r="R25" s="10" t="str">
        <f>IF(OutPut[[#This Row],[time]]="","",$C$3)</f>
        <v>tariff-hourly-3</v>
      </c>
      <c r="S25" s="10" t="str">
        <f>IF(OutPut[[#This Row],[time]]="","","tariff")</f>
        <v>tariff</v>
      </c>
      <c r="T25" s="10" t="str">
        <f>IF(OutPut[[#This Row],[time]]="","",$D$3)</f>
        <v>0000000000800</v>
      </c>
      <c r="U25" s="10" t="str">
        <f>IF(OutPut[[#This Row],[time]]="","","amount_per_charge")</f>
        <v>amount_per_charge</v>
      </c>
    </row>
    <row r="26" spans="2:27" x14ac:dyDescent="0.35">
      <c r="B26" s="10" t="str">
        <f>IF(OutPut[[#This Row],[time]]="","",CalculationId)</f>
        <v>0b15a420-9fc8-409a-a169-fbd49479d718</v>
      </c>
      <c r="C26" s="10" t="str">
        <f>IF(OutPut[[#This Row],[time]]="","",CalculationType)</f>
        <v>wholesale_fixing</v>
      </c>
      <c r="D26" s="10" t="str">
        <f>IF(OutPut[[#This Row],[time]]="","",CalculationExecutionTimeStart)</f>
        <v>2024-01-01 23:00:00</v>
      </c>
      <c r="E26" s="10" t="str">
        <f>IF(OutPut[[#This Row],[time]]="","","IGNORED")</f>
        <v>IGNORED</v>
      </c>
      <c r="F26" s="10" t="str">
        <f>IF(OutPut[[#This Row],[time]]="","",G$3)</f>
        <v>800</v>
      </c>
      <c r="G26" s="10" t="str">
        <f>IF(OutPut[[#This Row],[time]]="","",$E$3)</f>
        <v>2000000000000</v>
      </c>
      <c r="H26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26" s="10" t="str">
        <f>IF(OutPut[[#This Row],[time]]="","","kWh")</f>
        <v>kWh</v>
      </c>
      <c r="J26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26" s="10" t="str">
        <f>'calculation_arguments'!H24</f>
        <v>2023-02-01 20:00:00</v>
      </c>
      <c r="L26" s="10" t="str">
        <f>IF(OutPut[[#This Row],[time]]="","","PT1H")</f>
        <v>PT1H</v>
      </c>
      <c r="M26" s="10" t="str">
        <f>IF(OutPut[[#This Row],[time]]="","",$F$3)</f>
        <v>production</v>
      </c>
      <c r="N26" s="11" t="str">
        <f>IF(OutPut[[#This Row],[time]]="","",IF($H$3="","",$H$3))</f>
        <v/>
      </c>
      <c r="O26" s="11" t="str" cm="1">
        <f t="array" ref="O26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26" s="11" t="str">
        <f>IFERROR(SUBSTITUTE(SUBSTITUTE(OutPut[[#This Row],[price]],".",",")*SUBSTITUTE(OutPut[[#This Row],[quantity]],".",","),",","."),"")</f>
        <v/>
      </c>
      <c r="Q26" s="10" t="str">
        <f>IF(OutPut[[#This Row],[time]]="","",VLOOKUP(C$3,charge_price_information_periods[],5,FALSE))</f>
        <v>false</v>
      </c>
      <c r="R26" s="10" t="str">
        <f>IF(OutPut[[#This Row],[time]]="","",$C$3)</f>
        <v>tariff-hourly-3</v>
      </c>
      <c r="S26" s="10" t="str">
        <f>IF(OutPut[[#This Row],[time]]="","","tariff")</f>
        <v>tariff</v>
      </c>
      <c r="T26" s="10" t="str">
        <f>IF(OutPut[[#This Row],[time]]="","",$D$3)</f>
        <v>0000000000800</v>
      </c>
      <c r="U26" s="10" t="str">
        <f>IF(OutPut[[#This Row],[time]]="","","amount_per_charge")</f>
        <v>amount_per_charge</v>
      </c>
    </row>
    <row r="27" spans="2:27" x14ac:dyDescent="0.35">
      <c r="B27" s="10" t="str">
        <f>IF(OutPut[[#This Row],[time]]="","",CalculationId)</f>
        <v>0b15a420-9fc8-409a-a169-fbd49479d718</v>
      </c>
      <c r="C27" s="10" t="str">
        <f>IF(OutPut[[#This Row],[time]]="","",CalculationType)</f>
        <v>wholesale_fixing</v>
      </c>
      <c r="D27" s="10" t="str">
        <f>IF(OutPut[[#This Row],[time]]="","",CalculationExecutionTimeStart)</f>
        <v>2024-01-01 23:00:00</v>
      </c>
      <c r="E27" s="10" t="str">
        <f>IF(OutPut[[#This Row],[time]]="","","IGNORED")</f>
        <v>IGNORED</v>
      </c>
      <c r="F27" s="10" t="str">
        <f>IF(OutPut[[#This Row],[time]]="","",G$3)</f>
        <v>800</v>
      </c>
      <c r="G27" s="10" t="str">
        <f>IF(OutPut[[#This Row],[time]]="","",$E$3)</f>
        <v>2000000000000</v>
      </c>
      <c r="H27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27" s="10" t="str">
        <f>IF(OutPut[[#This Row],[time]]="","","kWh")</f>
        <v>kWh</v>
      </c>
      <c r="J27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27" s="10" t="str">
        <f>'calculation_arguments'!H25</f>
        <v>2023-02-01 21:00:00</v>
      </c>
      <c r="L27" s="10" t="str">
        <f>IF(OutPut[[#This Row],[time]]="","","PT1H")</f>
        <v>PT1H</v>
      </c>
      <c r="M27" s="10" t="str">
        <f>IF(OutPut[[#This Row],[time]]="","",$F$3)</f>
        <v>production</v>
      </c>
      <c r="N27" s="11" t="str">
        <f>IF(OutPut[[#This Row],[time]]="","",IF($H$3="","",$H$3))</f>
        <v/>
      </c>
      <c r="O27" s="11" t="str" cm="1">
        <f t="array" ref="O27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27" s="11" t="str">
        <f>IFERROR(SUBSTITUTE(SUBSTITUTE(OutPut[[#This Row],[price]],".",",")*SUBSTITUTE(OutPut[[#This Row],[quantity]],".",","),",","."),"")</f>
        <v/>
      </c>
      <c r="Q27" s="10" t="str">
        <f>IF(OutPut[[#This Row],[time]]="","",VLOOKUP(C$3,charge_price_information_periods[],5,FALSE))</f>
        <v>false</v>
      </c>
      <c r="R27" s="10" t="str">
        <f>IF(OutPut[[#This Row],[time]]="","",$C$3)</f>
        <v>tariff-hourly-3</v>
      </c>
      <c r="S27" s="10" t="str">
        <f>IF(OutPut[[#This Row],[time]]="","","tariff")</f>
        <v>tariff</v>
      </c>
      <c r="T27" s="10" t="str">
        <f>IF(OutPut[[#This Row],[time]]="","",$D$3)</f>
        <v>0000000000800</v>
      </c>
      <c r="U27" s="10" t="str">
        <f>IF(OutPut[[#This Row],[time]]="","","amount_per_charge")</f>
        <v>amount_per_charge</v>
      </c>
    </row>
    <row r="28" spans="2:27" x14ac:dyDescent="0.35">
      <c r="B28" s="10" t="str">
        <f>IF(OutPut[[#This Row],[time]]="","",CalculationId)</f>
        <v>0b15a420-9fc8-409a-a169-fbd49479d718</v>
      </c>
      <c r="C28" s="10" t="str">
        <f>IF(OutPut[[#This Row],[time]]="","",CalculationType)</f>
        <v>wholesale_fixing</v>
      </c>
      <c r="D28" s="10" t="str">
        <f>IF(OutPut[[#This Row],[time]]="","",CalculationExecutionTimeStart)</f>
        <v>2024-01-01 23:00:00</v>
      </c>
      <c r="E28" s="10" t="str">
        <f>IF(OutPut[[#This Row],[time]]="","","IGNORED")</f>
        <v>IGNORED</v>
      </c>
      <c r="F28" s="10" t="str">
        <f>IF(OutPut[[#This Row],[time]]="","",G$3)</f>
        <v>800</v>
      </c>
      <c r="G28" s="10" t="str">
        <f>IF(OutPut[[#This Row],[time]]="","",$E$3)</f>
        <v>2000000000000</v>
      </c>
      <c r="H28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28" s="10" t="str">
        <f>IF(OutPut[[#This Row],[time]]="","","kWh")</f>
        <v>kWh</v>
      </c>
      <c r="J28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28" s="10" t="str">
        <f>'calculation_arguments'!H26</f>
        <v>2023-02-01 22:00:00</v>
      </c>
      <c r="L28" s="10" t="str">
        <f>IF(OutPut[[#This Row],[time]]="","","PT1H")</f>
        <v>PT1H</v>
      </c>
      <c r="M28" s="10" t="str">
        <f>IF(OutPut[[#This Row],[time]]="","",$F$3)</f>
        <v>production</v>
      </c>
      <c r="N28" s="11" t="str">
        <f>IF(OutPut[[#This Row],[time]]="","",IF($H$3="","",$H$3))</f>
        <v/>
      </c>
      <c r="O28" s="11" t="str" cm="1">
        <f t="array" ref="O28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28" s="11" t="str">
        <f>IFERROR(SUBSTITUTE(SUBSTITUTE(OutPut[[#This Row],[price]],".",",")*SUBSTITUTE(OutPut[[#This Row],[quantity]],".",","),",","."),"")</f>
        <v/>
      </c>
      <c r="Q28" s="10" t="str">
        <f>IF(OutPut[[#This Row],[time]]="","",VLOOKUP(C$3,charge_price_information_periods[],5,FALSE))</f>
        <v>false</v>
      </c>
      <c r="R28" s="10" t="str">
        <f>IF(OutPut[[#This Row],[time]]="","",$C$3)</f>
        <v>tariff-hourly-3</v>
      </c>
      <c r="S28" s="10" t="str">
        <f>IF(OutPut[[#This Row],[time]]="","","tariff")</f>
        <v>tariff</v>
      </c>
      <c r="T28" s="10" t="str">
        <f>IF(OutPut[[#This Row],[time]]="","",$D$3)</f>
        <v>0000000000800</v>
      </c>
      <c r="U28" s="10" t="str">
        <f>IF(OutPut[[#This Row],[time]]="","","amount_per_charge")</f>
        <v>amount_per_charge</v>
      </c>
    </row>
    <row r="29" spans="2:27" x14ac:dyDescent="0.35">
      <c r="B29" s="10" t="str">
        <f>IF(OutPut[[#This Row],[time]]="","",CalculationId)</f>
        <v>0b15a420-9fc8-409a-a169-fbd49479d718</v>
      </c>
      <c r="C29" s="10" t="str">
        <f>IF(OutPut[[#This Row],[time]]="","",CalculationType)</f>
        <v>wholesale_fixing</v>
      </c>
      <c r="D29" s="10" t="str">
        <f>IF(OutPut[[#This Row],[time]]="","",CalculationExecutionTimeStart)</f>
        <v>2024-01-01 23:00:00</v>
      </c>
      <c r="E29" s="10" t="str">
        <f>IF(OutPut[[#This Row],[time]]="","","IGNORED")</f>
        <v>IGNORED</v>
      </c>
      <c r="F29" s="10" t="str">
        <f>IF(OutPut[[#This Row],[time]]="","",G$3)</f>
        <v>800</v>
      </c>
      <c r="G29" s="10" t="str">
        <f>IF(OutPut[[#This Row],[time]]="","",$E$3)</f>
        <v>2000000000000</v>
      </c>
      <c r="H29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29" s="10" t="str">
        <f>IF(OutPut[[#This Row],[time]]="","","kWh")</f>
        <v>kWh</v>
      </c>
      <c r="J29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29" s="10" t="str">
        <f>'calculation_arguments'!H27</f>
        <v>2023-02-01 23:00:00</v>
      </c>
      <c r="L29" s="10" t="str">
        <f>IF(OutPut[[#This Row],[time]]="","","PT1H")</f>
        <v>PT1H</v>
      </c>
      <c r="M29" s="10" t="str">
        <f>IF(OutPut[[#This Row],[time]]="","",$F$3)</f>
        <v>production</v>
      </c>
      <c r="N29" s="11" t="str">
        <f>IF(OutPut[[#This Row],[time]]="","",IF($H$3="","",$H$3))</f>
        <v/>
      </c>
      <c r="O29" s="11" t="str" cm="1">
        <f t="array" ref="O29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29" s="11" t="str">
        <f>IFERROR(SUBSTITUTE(SUBSTITUTE(OutPut[[#This Row],[price]],".",",")*SUBSTITUTE(OutPut[[#This Row],[quantity]],".",","),",","."),"")</f>
        <v/>
      </c>
      <c r="Q29" s="10" t="str">
        <f>IF(OutPut[[#This Row],[time]]="","",VLOOKUP(C$3,charge_price_information_periods[],5,FALSE))</f>
        <v>false</v>
      </c>
      <c r="R29" s="10" t="str">
        <f>IF(OutPut[[#This Row],[time]]="","",$C$3)</f>
        <v>tariff-hourly-3</v>
      </c>
      <c r="S29" s="10" t="str">
        <f>IF(OutPut[[#This Row],[time]]="","","tariff")</f>
        <v>tariff</v>
      </c>
      <c r="T29" s="10" t="str">
        <f>IF(OutPut[[#This Row],[time]]="","",$D$3)</f>
        <v>0000000000800</v>
      </c>
      <c r="U29" s="10" t="str">
        <f>IF(OutPut[[#This Row],[time]]="","","amount_per_charge")</f>
        <v>amount_per_charge</v>
      </c>
    </row>
    <row r="30" spans="2:27" x14ac:dyDescent="0.35">
      <c r="B30" s="10" t="str">
        <f>IF(OutPut[[#This Row],[time]]="","",CalculationId)</f>
        <v>0b15a420-9fc8-409a-a169-fbd49479d718</v>
      </c>
      <c r="C30" s="10" t="str">
        <f>IF(OutPut[[#This Row],[time]]="","",CalculationType)</f>
        <v>wholesale_fixing</v>
      </c>
      <c r="D30" s="10" t="str">
        <f>IF(OutPut[[#This Row],[time]]="","",CalculationExecutionTimeStart)</f>
        <v>2024-01-01 23:00:00</v>
      </c>
      <c r="E30" s="10" t="str">
        <f>IF(OutPut[[#This Row],[time]]="","","IGNORED")</f>
        <v>IGNORED</v>
      </c>
      <c r="F30" s="10" t="str">
        <f>IF(OutPut[[#This Row],[time]]="","",G$3)</f>
        <v>800</v>
      </c>
      <c r="G30" s="10" t="str">
        <f>IF(OutPut[[#This Row],[time]]="","",$E$3)</f>
        <v>2000000000000</v>
      </c>
      <c r="H30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30" s="10" t="str">
        <f>IF(OutPut[[#This Row],[time]]="","","kWh")</f>
        <v>kWh</v>
      </c>
      <c r="J30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30" s="10" t="str">
        <f>'calculation_arguments'!H28</f>
        <v>2023-02-02 00:00:00</v>
      </c>
      <c r="L30" s="10" t="str">
        <f>IF(OutPut[[#This Row],[time]]="","","PT1H")</f>
        <v>PT1H</v>
      </c>
      <c r="M30" s="10" t="str">
        <f>IF(OutPut[[#This Row],[time]]="","",$F$3)</f>
        <v>production</v>
      </c>
      <c r="N30" s="11" t="str">
        <f>IF(OutPut[[#This Row],[time]]="","",IF($H$3="","",$H$3))</f>
        <v/>
      </c>
      <c r="O30" s="11" t="str" cm="1">
        <f t="array" ref="O30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30" s="11" t="str">
        <f>IFERROR(SUBSTITUTE(SUBSTITUTE(OutPut[[#This Row],[price]],".",",")*SUBSTITUTE(OutPut[[#This Row],[quantity]],".",","),",","."),"")</f>
        <v/>
      </c>
      <c r="Q30" s="10" t="str">
        <f>IF(OutPut[[#This Row],[time]]="","",VLOOKUP(C$3,charge_price_information_periods[],5,FALSE))</f>
        <v>false</v>
      </c>
      <c r="R30" s="10" t="str">
        <f>IF(OutPut[[#This Row],[time]]="","",$C$3)</f>
        <v>tariff-hourly-3</v>
      </c>
      <c r="S30" s="10" t="str">
        <f>IF(OutPut[[#This Row],[time]]="","","tariff")</f>
        <v>tariff</v>
      </c>
      <c r="T30" s="10" t="str">
        <f>IF(OutPut[[#This Row],[time]]="","",$D$3)</f>
        <v>0000000000800</v>
      </c>
      <c r="U30" s="10" t="str">
        <f>IF(OutPut[[#This Row],[time]]="","","amount_per_charge")</f>
        <v>amount_per_charge</v>
      </c>
      <c r="X30" s="4"/>
      <c r="AA30" s="4"/>
    </row>
    <row r="31" spans="2:27" x14ac:dyDescent="0.35">
      <c r="B31" s="10" t="str">
        <f>IF(OutPut[[#This Row],[time]]="","",CalculationId)</f>
        <v>0b15a420-9fc8-409a-a169-fbd49479d718</v>
      </c>
      <c r="C31" s="10" t="str">
        <f>IF(OutPut[[#This Row],[time]]="","",CalculationType)</f>
        <v>wholesale_fixing</v>
      </c>
      <c r="D31" s="10" t="str">
        <f>IF(OutPut[[#This Row],[time]]="","",CalculationExecutionTimeStart)</f>
        <v>2024-01-01 23:00:00</v>
      </c>
      <c r="E31" s="10" t="str">
        <f>IF(OutPut[[#This Row],[time]]="","","IGNORED")</f>
        <v>IGNORED</v>
      </c>
      <c r="F31" s="10" t="str">
        <f>IF(OutPut[[#This Row],[time]]="","",G$3)</f>
        <v>800</v>
      </c>
      <c r="G31" s="10" t="str">
        <f>IF(OutPut[[#This Row],[time]]="","",$E$3)</f>
        <v>2000000000000</v>
      </c>
      <c r="H31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31" s="10" t="str">
        <f>IF(OutPut[[#This Row],[time]]="","","kWh")</f>
        <v>kWh</v>
      </c>
      <c r="J31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31" s="10" t="str">
        <f>'calculation_arguments'!H29</f>
        <v>2023-02-02 01:00:00</v>
      </c>
      <c r="L31" s="10" t="str">
        <f>IF(OutPut[[#This Row],[time]]="","","PT1H")</f>
        <v>PT1H</v>
      </c>
      <c r="M31" s="10" t="str">
        <f>IF(OutPut[[#This Row],[time]]="","",$F$3)</f>
        <v>production</v>
      </c>
      <c r="N31" s="11" t="str">
        <f>IF(OutPut[[#This Row],[time]]="","",IF($H$3="","",$H$3))</f>
        <v/>
      </c>
      <c r="O31" s="11" t="str" cm="1">
        <f t="array" ref="O31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31" s="11" t="str">
        <f>IFERROR(SUBSTITUTE(SUBSTITUTE(OutPut[[#This Row],[price]],".",",")*SUBSTITUTE(OutPut[[#This Row],[quantity]],".",","),",","."),"")</f>
        <v/>
      </c>
      <c r="Q31" s="10" t="str">
        <f>IF(OutPut[[#This Row],[time]]="","",VLOOKUP(C$3,charge_price_information_periods[],5,FALSE))</f>
        <v>false</v>
      </c>
      <c r="R31" s="10" t="str">
        <f>IF(OutPut[[#This Row],[time]]="","",$C$3)</f>
        <v>tariff-hourly-3</v>
      </c>
      <c r="S31" s="10" t="str">
        <f>IF(OutPut[[#This Row],[time]]="","","tariff")</f>
        <v>tariff</v>
      </c>
      <c r="T31" s="10" t="str">
        <f>IF(OutPut[[#This Row],[time]]="","",$D$3)</f>
        <v>0000000000800</v>
      </c>
      <c r="U31" s="10" t="str">
        <f>IF(OutPut[[#This Row],[time]]="","","amount_per_charge")</f>
        <v>amount_per_charge</v>
      </c>
      <c r="X31" s="4"/>
      <c r="AA31" s="4"/>
    </row>
    <row r="32" spans="2:27" x14ac:dyDescent="0.35">
      <c r="B32" s="10" t="str">
        <f>IF(OutPut[[#This Row],[time]]="","",CalculationId)</f>
        <v>0b15a420-9fc8-409a-a169-fbd49479d718</v>
      </c>
      <c r="C32" s="10" t="str">
        <f>IF(OutPut[[#This Row],[time]]="","",CalculationType)</f>
        <v>wholesale_fixing</v>
      </c>
      <c r="D32" s="10" t="str">
        <f>IF(OutPut[[#This Row],[time]]="","",CalculationExecutionTimeStart)</f>
        <v>2024-01-01 23:00:00</v>
      </c>
      <c r="E32" s="10" t="str">
        <f>IF(OutPut[[#This Row],[time]]="","","IGNORED")</f>
        <v>IGNORED</v>
      </c>
      <c r="F32" s="10" t="str">
        <f>IF(OutPut[[#This Row],[time]]="","",G$3)</f>
        <v>800</v>
      </c>
      <c r="G32" s="10" t="str">
        <f>IF(OutPut[[#This Row],[time]]="","",$E$3)</f>
        <v>2000000000000</v>
      </c>
      <c r="H32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32" s="10" t="str">
        <f>IF(OutPut[[#This Row],[time]]="","","kWh")</f>
        <v>kWh</v>
      </c>
      <c r="J32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32" s="10" t="str">
        <f>'calculation_arguments'!H30</f>
        <v>2023-02-02 02:00:00</v>
      </c>
      <c r="L32" s="10" t="str">
        <f>IF(OutPut[[#This Row],[time]]="","","PT1H")</f>
        <v>PT1H</v>
      </c>
      <c r="M32" s="10" t="str">
        <f>IF(OutPut[[#This Row],[time]]="","",$F$3)</f>
        <v>production</v>
      </c>
      <c r="N32" s="11" t="str">
        <f>IF(OutPut[[#This Row],[time]]="","",IF($H$3="","",$H$3))</f>
        <v/>
      </c>
      <c r="O32" s="11" t="str" cm="1">
        <f t="array" ref="O32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32" s="11" t="str">
        <f>IFERROR(SUBSTITUTE(SUBSTITUTE(OutPut[[#This Row],[price]],".",",")*SUBSTITUTE(OutPut[[#This Row],[quantity]],".",","),",","."),"")</f>
        <v/>
      </c>
      <c r="Q32" s="10" t="str">
        <f>IF(OutPut[[#This Row],[time]]="","",VLOOKUP(C$3,charge_price_information_periods[],5,FALSE))</f>
        <v>false</v>
      </c>
      <c r="R32" s="10" t="str">
        <f>IF(OutPut[[#This Row],[time]]="","",$C$3)</f>
        <v>tariff-hourly-3</v>
      </c>
      <c r="S32" s="10" t="str">
        <f>IF(OutPut[[#This Row],[time]]="","","tariff")</f>
        <v>tariff</v>
      </c>
      <c r="T32" s="10" t="str">
        <f>IF(OutPut[[#This Row],[time]]="","",$D$3)</f>
        <v>0000000000800</v>
      </c>
      <c r="U32" s="10" t="str">
        <f>IF(OutPut[[#This Row],[time]]="","","amount_per_charge")</f>
        <v>amount_per_charge</v>
      </c>
      <c r="X32" s="4"/>
      <c r="AA32" s="4"/>
    </row>
    <row r="33" spans="2:27" x14ac:dyDescent="0.35">
      <c r="B33" s="10" t="str">
        <f>IF(OutPut[[#This Row],[time]]="","",CalculationId)</f>
        <v>0b15a420-9fc8-409a-a169-fbd49479d718</v>
      </c>
      <c r="C33" s="10" t="str">
        <f>IF(OutPut[[#This Row],[time]]="","",CalculationType)</f>
        <v>wholesale_fixing</v>
      </c>
      <c r="D33" s="10" t="str">
        <f>IF(OutPut[[#This Row],[time]]="","",CalculationExecutionTimeStart)</f>
        <v>2024-01-01 23:00:00</v>
      </c>
      <c r="E33" s="10" t="str">
        <f>IF(OutPut[[#This Row],[time]]="","","IGNORED")</f>
        <v>IGNORED</v>
      </c>
      <c r="F33" s="10" t="str">
        <f>IF(OutPut[[#This Row],[time]]="","",G$3)</f>
        <v>800</v>
      </c>
      <c r="G33" s="10" t="str">
        <f>IF(OutPut[[#This Row],[time]]="","",$E$3)</f>
        <v>2000000000000</v>
      </c>
      <c r="H33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33" s="10" t="str">
        <f>IF(OutPut[[#This Row],[time]]="","","kWh")</f>
        <v>kWh</v>
      </c>
      <c r="J33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33" s="10" t="str">
        <f>'calculation_arguments'!H31</f>
        <v>2023-02-02 03:00:00</v>
      </c>
      <c r="L33" s="10" t="str">
        <f>IF(OutPut[[#This Row],[time]]="","","PT1H")</f>
        <v>PT1H</v>
      </c>
      <c r="M33" s="10" t="str">
        <f>IF(OutPut[[#This Row],[time]]="","",$F$3)</f>
        <v>production</v>
      </c>
      <c r="N33" s="11" t="str">
        <f>IF(OutPut[[#This Row],[time]]="","",IF($H$3="","",$H$3))</f>
        <v/>
      </c>
      <c r="O33" s="11" t="str" cm="1">
        <f t="array" ref="O33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33" s="11" t="str">
        <f>IFERROR(SUBSTITUTE(SUBSTITUTE(OutPut[[#This Row],[price]],".",",")*SUBSTITUTE(OutPut[[#This Row],[quantity]],".",","),",","."),"")</f>
        <v/>
      </c>
      <c r="Q33" s="10" t="str">
        <f>IF(OutPut[[#This Row],[time]]="","",VLOOKUP(C$3,charge_price_information_periods[],5,FALSE))</f>
        <v>false</v>
      </c>
      <c r="R33" s="10" t="str">
        <f>IF(OutPut[[#This Row],[time]]="","",$C$3)</f>
        <v>tariff-hourly-3</v>
      </c>
      <c r="S33" s="10" t="str">
        <f>IF(OutPut[[#This Row],[time]]="","","tariff")</f>
        <v>tariff</v>
      </c>
      <c r="T33" s="10" t="str">
        <f>IF(OutPut[[#This Row],[time]]="","",$D$3)</f>
        <v>0000000000800</v>
      </c>
      <c r="U33" s="10" t="str">
        <f>IF(OutPut[[#This Row],[time]]="","","amount_per_charge")</f>
        <v>amount_per_charge</v>
      </c>
      <c r="X33" s="4"/>
      <c r="AA33" s="4"/>
    </row>
    <row r="34" spans="2:27" x14ac:dyDescent="0.35">
      <c r="B34" s="10" t="str">
        <f>IF(OutPut[[#This Row],[time]]="","",CalculationId)</f>
        <v>0b15a420-9fc8-409a-a169-fbd49479d718</v>
      </c>
      <c r="C34" s="10" t="str">
        <f>IF(OutPut[[#This Row],[time]]="","",CalculationType)</f>
        <v>wholesale_fixing</v>
      </c>
      <c r="D34" s="10" t="str">
        <f>IF(OutPut[[#This Row],[time]]="","",CalculationExecutionTimeStart)</f>
        <v>2024-01-01 23:00:00</v>
      </c>
      <c r="E34" s="10" t="str">
        <f>IF(OutPut[[#This Row],[time]]="","","IGNORED")</f>
        <v>IGNORED</v>
      </c>
      <c r="F34" s="10" t="str">
        <f>IF(OutPut[[#This Row],[time]]="","",G$3)</f>
        <v>800</v>
      </c>
      <c r="G34" s="10" t="str">
        <f>IF(OutPut[[#This Row],[time]]="","",$E$3)</f>
        <v>2000000000000</v>
      </c>
      <c r="H34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34" s="10" t="str">
        <f>IF(OutPut[[#This Row],[time]]="","","kWh")</f>
        <v>kWh</v>
      </c>
      <c r="J34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34" s="10" t="str">
        <f>'calculation_arguments'!H32</f>
        <v>2023-02-02 04:00:00</v>
      </c>
      <c r="L34" s="10" t="str">
        <f>IF(OutPut[[#This Row],[time]]="","","PT1H")</f>
        <v>PT1H</v>
      </c>
      <c r="M34" s="10" t="str">
        <f>IF(OutPut[[#This Row],[time]]="","",$F$3)</f>
        <v>production</v>
      </c>
      <c r="N34" s="11" t="str">
        <f>IF(OutPut[[#This Row],[time]]="","",IF($H$3="","",$H$3))</f>
        <v/>
      </c>
      <c r="O34" s="11" t="str" cm="1">
        <f t="array" ref="O34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34" s="11" t="str">
        <f>IFERROR(SUBSTITUTE(SUBSTITUTE(OutPut[[#This Row],[price]],".",",")*SUBSTITUTE(OutPut[[#This Row],[quantity]],".",","),",","."),"")</f>
        <v/>
      </c>
      <c r="Q34" s="10" t="str">
        <f>IF(OutPut[[#This Row],[time]]="","",VLOOKUP(C$3,charge_price_information_periods[],5,FALSE))</f>
        <v>false</v>
      </c>
      <c r="R34" s="10" t="str">
        <f>IF(OutPut[[#This Row],[time]]="","",$C$3)</f>
        <v>tariff-hourly-3</v>
      </c>
      <c r="S34" s="10" t="str">
        <f>IF(OutPut[[#This Row],[time]]="","","tariff")</f>
        <v>tariff</v>
      </c>
      <c r="T34" s="10" t="str">
        <f>IF(OutPut[[#This Row],[time]]="","",$D$3)</f>
        <v>0000000000800</v>
      </c>
      <c r="U34" s="10" t="str">
        <f>IF(OutPut[[#This Row],[time]]="","","amount_per_charge")</f>
        <v>amount_per_charge</v>
      </c>
      <c r="X34" s="4"/>
      <c r="AA34" s="4"/>
    </row>
    <row r="35" spans="2:27" x14ac:dyDescent="0.35">
      <c r="B35" s="10" t="str">
        <f>IF(OutPut[[#This Row],[time]]="","",CalculationId)</f>
        <v>0b15a420-9fc8-409a-a169-fbd49479d718</v>
      </c>
      <c r="C35" s="10" t="str">
        <f>IF(OutPut[[#This Row],[time]]="","",CalculationType)</f>
        <v>wholesale_fixing</v>
      </c>
      <c r="D35" s="10" t="str">
        <f>IF(OutPut[[#This Row],[time]]="","",CalculationExecutionTimeStart)</f>
        <v>2024-01-01 23:00:00</v>
      </c>
      <c r="E35" s="10" t="str">
        <f>IF(OutPut[[#This Row],[time]]="","","IGNORED")</f>
        <v>IGNORED</v>
      </c>
      <c r="F35" s="10" t="str">
        <f>IF(OutPut[[#This Row],[time]]="","",G$3)</f>
        <v>800</v>
      </c>
      <c r="G35" s="10" t="str">
        <f>IF(OutPut[[#This Row],[time]]="","",$E$3)</f>
        <v>2000000000000</v>
      </c>
      <c r="H35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35" s="10" t="str">
        <f>IF(OutPut[[#This Row],[time]]="","","kWh")</f>
        <v>kWh</v>
      </c>
      <c r="J35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35" s="10" t="str">
        <f>'calculation_arguments'!H33</f>
        <v>2023-02-02 05:00:00</v>
      </c>
      <c r="L35" s="10" t="str">
        <f>IF(OutPut[[#This Row],[time]]="","","PT1H")</f>
        <v>PT1H</v>
      </c>
      <c r="M35" s="10" t="str">
        <f>IF(OutPut[[#This Row],[time]]="","",$F$3)</f>
        <v>production</v>
      </c>
      <c r="N35" s="11" t="str">
        <f>IF(OutPut[[#This Row],[time]]="","",IF($H$3="","",$H$3))</f>
        <v/>
      </c>
      <c r="O35" s="11" t="str" cm="1">
        <f t="array" ref="O35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35" s="11" t="str">
        <f>IFERROR(SUBSTITUTE(SUBSTITUTE(OutPut[[#This Row],[price]],".",",")*SUBSTITUTE(OutPut[[#This Row],[quantity]],".",","),",","."),"")</f>
        <v/>
      </c>
      <c r="Q35" s="10" t="str">
        <f>IF(OutPut[[#This Row],[time]]="","",VLOOKUP(C$3,charge_price_information_periods[],5,FALSE))</f>
        <v>false</v>
      </c>
      <c r="R35" s="10" t="str">
        <f>IF(OutPut[[#This Row],[time]]="","",$C$3)</f>
        <v>tariff-hourly-3</v>
      </c>
      <c r="S35" s="10" t="str">
        <f>IF(OutPut[[#This Row],[time]]="","","tariff")</f>
        <v>tariff</v>
      </c>
      <c r="T35" s="10" t="str">
        <f>IF(OutPut[[#This Row],[time]]="","",$D$3)</f>
        <v>0000000000800</v>
      </c>
      <c r="U35" s="10" t="str">
        <f>IF(OutPut[[#This Row],[time]]="","","amount_per_charge")</f>
        <v>amount_per_charge</v>
      </c>
      <c r="X35" s="4"/>
      <c r="AA35" s="4"/>
    </row>
    <row r="36" spans="2:27" x14ac:dyDescent="0.35">
      <c r="B36" s="10" t="str">
        <f>IF(OutPut[[#This Row],[time]]="","",CalculationId)</f>
        <v>0b15a420-9fc8-409a-a169-fbd49479d718</v>
      </c>
      <c r="C36" s="10" t="str">
        <f>IF(OutPut[[#This Row],[time]]="","",CalculationType)</f>
        <v>wholesale_fixing</v>
      </c>
      <c r="D36" s="10" t="str">
        <f>IF(OutPut[[#This Row],[time]]="","",CalculationExecutionTimeStart)</f>
        <v>2024-01-01 23:00:00</v>
      </c>
      <c r="E36" s="10" t="str">
        <f>IF(OutPut[[#This Row],[time]]="","","IGNORED")</f>
        <v>IGNORED</v>
      </c>
      <c r="F36" s="10" t="str">
        <f>IF(OutPut[[#This Row],[time]]="","",G$3)</f>
        <v>800</v>
      </c>
      <c r="G36" s="10" t="str">
        <f>IF(OutPut[[#This Row],[time]]="","",$E$3)</f>
        <v>2000000000000</v>
      </c>
      <c r="H36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36" s="10" t="str">
        <f>IF(OutPut[[#This Row],[time]]="","","kWh")</f>
        <v>kWh</v>
      </c>
      <c r="J36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36" s="10" t="str">
        <f>'calculation_arguments'!H34</f>
        <v>2023-02-02 06:00:00</v>
      </c>
      <c r="L36" s="10" t="str">
        <f>IF(OutPut[[#This Row],[time]]="","","PT1H")</f>
        <v>PT1H</v>
      </c>
      <c r="M36" s="10" t="str">
        <f>IF(OutPut[[#This Row],[time]]="","",$F$3)</f>
        <v>production</v>
      </c>
      <c r="N36" s="11" t="str">
        <f>IF(OutPut[[#This Row],[time]]="","",IF($H$3="","",$H$3))</f>
        <v/>
      </c>
      <c r="O36" s="11" t="str" cm="1">
        <f t="array" ref="O36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36" s="11" t="str">
        <f>IFERROR(SUBSTITUTE(SUBSTITUTE(OutPut[[#This Row],[price]],".",",")*SUBSTITUTE(OutPut[[#This Row],[quantity]],".",","),",","."),"")</f>
        <v/>
      </c>
      <c r="Q36" s="10" t="str">
        <f>IF(OutPut[[#This Row],[time]]="","",VLOOKUP(C$3,charge_price_information_periods[],5,FALSE))</f>
        <v>false</v>
      </c>
      <c r="R36" s="10" t="str">
        <f>IF(OutPut[[#This Row],[time]]="","",$C$3)</f>
        <v>tariff-hourly-3</v>
      </c>
      <c r="S36" s="10" t="str">
        <f>IF(OutPut[[#This Row],[time]]="","","tariff")</f>
        <v>tariff</v>
      </c>
      <c r="T36" s="10" t="str">
        <f>IF(OutPut[[#This Row],[time]]="","",$D$3)</f>
        <v>0000000000800</v>
      </c>
      <c r="U36" s="10" t="str">
        <f>IF(OutPut[[#This Row],[time]]="","","amount_per_charge")</f>
        <v>amount_per_charge</v>
      </c>
      <c r="X36" s="4"/>
      <c r="AA36" s="4"/>
    </row>
    <row r="37" spans="2:27" x14ac:dyDescent="0.35">
      <c r="B37" s="10" t="str">
        <f>IF(OutPut[[#This Row],[time]]="","",CalculationId)</f>
        <v>0b15a420-9fc8-409a-a169-fbd49479d718</v>
      </c>
      <c r="C37" s="10" t="str">
        <f>IF(OutPut[[#This Row],[time]]="","",CalculationType)</f>
        <v>wholesale_fixing</v>
      </c>
      <c r="D37" s="10" t="str">
        <f>IF(OutPut[[#This Row],[time]]="","",CalculationExecutionTimeStart)</f>
        <v>2024-01-01 23:00:00</v>
      </c>
      <c r="E37" s="10" t="str">
        <f>IF(OutPut[[#This Row],[time]]="","","IGNORED")</f>
        <v>IGNORED</v>
      </c>
      <c r="F37" s="10" t="str">
        <f>IF(OutPut[[#This Row],[time]]="","",G$3)</f>
        <v>800</v>
      </c>
      <c r="G37" s="10" t="str">
        <f>IF(OutPut[[#This Row],[time]]="","",$E$3)</f>
        <v>2000000000000</v>
      </c>
      <c r="H37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37" s="10" t="str">
        <f>IF(OutPut[[#This Row],[time]]="","","kWh")</f>
        <v>kWh</v>
      </c>
      <c r="J37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37" s="10" t="str">
        <f>'calculation_arguments'!H35</f>
        <v>2023-02-02 07:00:00</v>
      </c>
      <c r="L37" s="10" t="str">
        <f>IF(OutPut[[#This Row],[time]]="","","PT1H")</f>
        <v>PT1H</v>
      </c>
      <c r="M37" s="10" t="str">
        <f>IF(OutPut[[#This Row],[time]]="","",$F$3)</f>
        <v>production</v>
      </c>
      <c r="N37" s="11" t="str">
        <f>IF(OutPut[[#This Row],[time]]="","",IF($H$3="","",$H$3))</f>
        <v/>
      </c>
      <c r="O37" s="11" t="str" cm="1">
        <f t="array" ref="O37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37" s="11" t="str">
        <f>IFERROR(SUBSTITUTE(SUBSTITUTE(OutPut[[#This Row],[price]],".",",")*SUBSTITUTE(OutPut[[#This Row],[quantity]],".",","),",","."),"")</f>
        <v/>
      </c>
      <c r="Q37" s="10" t="str">
        <f>IF(OutPut[[#This Row],[time]]="","",VLOOKUP(C$3,charge_price_information_periods[],5,FALSE))</f>
        <v>false</v>
      </c>
      <c r="R37" s="10" t="str">
        <f>IF(OutPut[[#This Row],[time]]="","",$C$3)</f>
        <v>tariff-hourly-3</v>
      </c>
      <c r="S37" s="10" t="str">
        <f>IF(OutPut[[#This Row],[time]]="","","tariff")</f>
        <v>tariff</v>
      </c>
      <c r="T37" s="10" t="str">
        <f>IF(OutPut[[#This Row],[time]]="","",$D$3)</f>
        <v>0000000000800</v>
      </c>
      <c r="U37" s="10" t="str">
        <f>IF(OutPut[[#This Row],[time]]="","","amount_per_charge")</f>
        <v>amount_per_charge</v>
      </c>
      <c r="X37" s="4"/>
      <c r="AA37" s="4"/>
    </row>
    <row r="38" spans="2:27" x14ac:dyDescent="0.35">
      <c r="B38" s="10" t="str">
        <f>IF(OutPut[[#This Row],[time]]="","",CalculationId)</f>
        <v>0b15a420-9fc8-409a-a169-fbd49479d718</v>
      </c>
      <c r="C38" s="10" t="str">
        <f>IF(OutPut[[#This Row],[time]]="","",CalculationType)</f>
        <v>wholesale_fixing</v>
      </c>
      <c r="D38" s="10" t="str">
        <f>IF(OutPut[[#This Row],[time]]="","",CalculationExecutionTimeStart)</f>
        <v>2024-01-01 23:00:00</v>
      </c>
      <c r="E38" s="10" t="str">
        <f>IF(OutPut[[#This Row],[time]]="","","IGNORED")</f>
        <v>IGNORED</v>
      </c>
      <c r="F38" s="10" t="str">
        <f>IF(OutPut[[#This Row],[time]]="","",G$3)</f>
        <v>800</v>
      </c>
      <c r="G38" s="10" t="str">
        <f>IF(OutPut[[#This Row],[time]]="","",$E$3)</f>
        <v>2000000000000</v>
      </c>
      <c r="H38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38" s="10" t="str">
        <f>IF(OutPut[[#This Row],[time]]="","","kWh")</f>
        <v>kWh</v>
      </c>
      <c r="J38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38" s="10" t="str">
        <f>'calculation_arguments'!H36</f>
        <v>2023-02-02 08:00:00</v>
      </c>
      <c r="L38" s="10" t="str">
        <f>IF(OutPut[[#This Row],[time]]="","","PT1H")</f>
        <v>PT1H</v>
      </c>
      <c r="M38" s="10" t="str">
        <f>IF(OutPut[[#This Row],[time]]="","",$F$3)</f>
        <v>production</v>
      </c>
      <c r="N38" s="11" t="str">
        <f>IF(OutPut[[#This Row],[time]]="","",IF($H$3="","",$H$3))</f>
        <v/>
      </c>
      <c r="O38" s="11" t="str" cm="1">
        <f t="array" ref="O38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38" s="11" t="str">
        <f>IFERROR(SUBSTITUTE(SUBSTITUTE(OutPut[[#This Row],[price]],".",",")*SUBSTITUTE(OutPut[[#This Row],[quantity]],".",","),",","."),"")</f>
        <v/>
      </c>
      <c r="Q38" s="10" t="str">
        <f>IF(OutPut[[#This Row],[time]]="","",VLOOKUP(C$3,charge_price_information_periods[],5,FALSE))</f>
        <v>false</v>
      </c>
      <c r="R38" s="10" t="str">
        <f>IF(OutPut[[#This Row],[time]]="","",$C$3)</f>
        <v>tariff-hourly-3</v>
      </c>
      <c r="S38" s="10" t="str">
        <f>IF(OutPut[[#This Row],[time]]="","","tariff")</f>
        <v>tariff</v>
      </c>
      <c r="T38" s="10" t="str">
        <f>IF(OutPut[[#This Row],[time]]="","",$D$3)</f>
        <v>0000000000800</v>
      </c>
      <c r="U38" s="10" t="str">
        <f>IF(OutPut[[#This Row],[time]]="","","amount_per_charge")</f>
        <v>amount_per_charge</v>
      </c>
      <c r="X38" s="4"/>
      <c r="AA38" s="4"/>
    </row>
    <row r="39" spans="2:27" x14ac:dyDescent="0.35">
      <c r="B39" s="10" t="str">
        <f>IF(OutPut[[#This Row],[time]]="","",CalculationId)</f>
        <v>0b15a420-9fc8-409a-a169-fbd49479d718</v>
      </c>
      <c r="C39" s="10" t="str">
        <f>IF(OutPut[[#This Row],[time]]="","",CalculationType)</f>
        <v>wholesale_fixing</v>
      </c>
      <c r="D39" s="10" t="str">
        <f>IF(OutPut[[#This Row],[time]]="","",CalculationExecutionTimeStart)</f>
        <v>2024-01-01 23:00:00</v>
      </c>
      <c r="E39" s="10" t="str">
        <f>IF(OutPut[[#This Row],[time]]="","","IGNORED")</f>
        <v>IGNORED</v>
      </c>
      <c r="F39" s="10" t="str">
        <f>IF(OutPut[[#This Row],[time]]="","",G$3)</f>
        <v>800</v>
      </c>
      <c r="G39" s="10" t="str">
        <f>IF(OutPut[[#This Row],[time]]="","",$E$3)</f>
        <v>2000000000000</v>
      </c>
      <c r="H39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39" s="10" t="str">
        <f>IF(OutPut[[#This Row],[time]]="","","kWh")</f>
        <v>kWh</v>
      </c>
      <c r="J39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39" s="10" t="str">
        <f>'calculation_arguments'!H37</f>
        <v>2023-02-02 09:00:00</v>
      </c>
      <c r="L39" s="10" t="str">
        <f>IF(OutPut[[#This Row],[time]]="","","PT1H")</f>
        <v>PT1H</v>
      </c>
      <c r="M39" s="10" t="str">
        <f>IF(OutPut[[#This Row],[time]]="","",$F$3)</f>
        <v>production</v>
      </c>
      <c r="N39" s="11" t="str">
        <f>IF(OutPut[[#This Row],[time]]="","",IF($H$3="","",$H$3))</f>
        <v/>
      </c>
      <c r="O39" s="11" t="str" cm="1">
        <f t="array" ref="O39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39" s="11" t="str">
        <f>IFERROR(SUBSTITUTE(SUBSTITUTE(OutPut[[#This Row],[price]],".",",")*SUBSTITUTE(OutPut[[#This Row],[quantity]],".",","),",","."),"")</f>
        <v/>
      </c>
      <c r="Q39" s="10" t="str">
        <f>IF(OutPut[[#This Row],[time]]="","",VLOOKUP(C$3,charge_price_information_periods[],5,FALSE))</f>
        <v>false</v>
      </c>
      <c r="R39" s="10" t="str">
        <f>IF(OutPut[[#This Row],[time]]="","",$C$3)</f>
        <v>tariff-hourly-3</v>
      </c>
      <c r="S39" s="10" t="str">
        <f>IF(OutPut[[#This Row],[time]]="","","tariff")</f>
        <v>tariff</v>
      </c>
      <c r="T39" s="10" t="str">
        <f>IF(OutPut[[#This Row],[time]]="","",$D$3)</f>
        <v>0000000000800</v>
      </c>
      <c r="U39" s="10" t="str">
        <f>IF(OutPut[[#This Row],[time]]="","","amount_per_charge")</f>
        <v>amount_per_charge</v>
      </c>
      <c r="X39" s="4"/>
      <c r="AA39" s="4"/>
    </row>
    <row r="40" spans="2:27" x14ac:dyDescent="0.35">
      <c r="B40" s="10" t="str">
        <f>IF(OutPut[[#This Row],[time]]="","",CalculationId)</f>
        <v>0b15a420-9fc8-409a-a169-fbd49479d718</v>
      </c>
      <c r="C40" s="10" t="str">
        <f>IF(OutPut[[#This Row],[time]]="","",CalculationType)</f>
        <v>wholesale_fixing</v>
      </c>
      <c r="D40" s="10" t="str">
        <f>IF(OutPut[[#This Row],[time]]="","",CalculationExecutionTimeStart)</f>
        <v>2024-01-01 23:00:00</v>
      </c>
      <c r="E40" s="10" t="str">
        <f>IF(OutPut[[#This Row],[time]]="","","IGNORED")</f>
        <v>IGNORED</v>
      </c>
      <c r="F40" s="10" t="str">
        <f>IF(OutPut[[#This Row],[time]]="","",G$3)</f>
        <v>800</v>
      </c>
      <c r="G40" s="10" t="str">
        <f>IF(OutPut[[#This Row],[time]]="","",$E$3)</f>
        <v>2000000000000</v>
      </c>
      <c r="H40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40" s="10" t="str">
        <f>IF(OutPut[[#This Row],[time]]="","","kWh")</f>
        <v>kWh</v>
      </c>
      <c r="J40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40" s="10" t="str">
        <f>'calculation_arguments'!H38</f>
        <v>2023-02-02 10:00:00</v>
      </c>
      <c r="L40" s="10" t="str">
        <f>IF(OutPut[[#This Row],[time]]="","","PT1H")</f>
        <v>PT1H</v>
      </c>
      <c r="M40" s="10" t="str">
        <f>IF(OutPut[[#This Row],[time]]="","",$F$3)</f>
        <v>production</v>
      </c>
      <c r="N40" s="11" t="str">
        <f>IF(OutPut[[#This Row],[time]]="","",IF($H$3="","",$H$3))</f>
        <v/>
      </c>
      <c r="O40" s="11" t="str" cm="1">
        <f t="array" ref="O40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40" s="11" t="str">
        <f>IFERROR(SUBSTITUTE(SUBSTITUTE(OutPut[[#This Row],[price]],".",",")*SUBSTITUTE(OutPut[[#This Row],[quantity]],".",","),",","."),"")</f>
        <v/>
      </c>
      <c r="Q40" s="10" t="str">
        <f>IF(OutPut[[#This Row],[time]]="","",VLOOKUP(C$3,charge_price_information_periods[],5,FALSE))</f>
        <v>false</v>
      </c>
      <c r="R40" s="10" t="str">
        <f>IF(OutPut[[#This Row],[time]]="","",$C$3)</f>
        <v>tariff-hourly-3</v>
      </c>
      <c r="S40" s="10" t="str">
        <f>IF(OutPut[[#This Row],[time]]="","","tariff")</f>
        <v>tariff</v>
      </c>
      <c r="T40" s="10" t="str">
        <f>IF(OutPut[[#This Row],[time]]="","",$D$3)</f>
        <v>0000000000800</v>
      </c>
      <c r="U40" s="10" t="str">
        <f>IF(OutPut[[#This Row],[time]]="","","amount_per_charge")</f>
        <v>amount_per_charge</v>
      </c>
      <c r="X40" s="4"/>
      <c r="AA40" s="4"/>
    </row>
    <row r="41" spans="2:27" x14ac:dyDescent="0.35">
      <c r="B41" s="10" t="str">
        <f>IF(OutPut[[#This Row],[time]]="","",CalculationId)</f>
        <v>0b15a420-9fc8-409a-a169-fbd49479d718</v>
      </c>
      <c r="C41" s="10" t="str">
        <f>IF(OutPut[[#This Row],[time]]="","",CalculationType)</f>
        <v>wholesale_fixing</v>
      </c>
      <c r="D41" s="10" t="str">
        <f>IF(OutPut[[#This Row],[time]]="","",CalculationExecutionTimeStart)</f>
        <v>2024-01-01 23:00:00</v>
      </c>
      <c r="E41" s="10" t="str">
        <f>IF(OutPut[[#This Row],[time]]="","","IGNORED")</f>
        <v>IGNORED</v>
      </c>
      <c r="F41" s="10" t="str">
        <f>IF(OutPut[[#This Row],[time]]="","",G$3)</f>
        <v>800</v>
      </c>
      <c r="G41" s="10" t="str">
        <f>IF(OutPut[[#This Row],[time]]="","",$E$3)</f>
        <v>2000000000000</v>
      </c>
      <c r="H41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41" s="10" t="str">
        <f>IF(OutPut[[#This Row],[time]]="","","kWh")</f>
        <v>kWh</v>
      </c>
      <c r="J41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41" s="10" t="str">
        <f>'calculation_arguments'!H39</f>
        <v>2023-02-02 11:00:00</v>
      </c>
      <c r="L41" s="10" t="str">
        <f>IF(OutPut[[#This Row],[time]]="","","PT1H")</f>
        <v>PT1H</v>
      </c>
      <c r="M41" s="10" t="str">
        <f>IF(OutPut[[#This Row],[time]]="","",$F$3)</f>
        <v>production</v>
      </c>
      <c r="N41" s="11" t="str">
        <f>IF(OutPut[[#This Row],[time]]="","",IF($H$3="","",$H$3))</f>
        <v/>
      </c>
      <c r="O41" s="11" t="str" cm="1">
        <f t="array" ref="O41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41" s="11" t="str">
        <f>IFERROR(SUBSTITUTE(SUBSTITUTE(OutPut[[#This Row],[price]],".",",")*SUBSTITUTE(OutPut[[#This Row],[quantity]],".",","),",","."),"")</f>
        <v/>
      </c>
      <c r="Q41" s="10" t="str">
        <f>IF(OutPut[[#This Row],[time]]="","",VLOOKUP(C$3,charge_price_information_periods[],5,FALSE))</f>
        <v>false</v>
      </c>
      <c r="R41" s="10" t="str">
        <f>IF(OutPut[[#This Row],[time]]="","",$C$3)</f>
        <v>tariff-hourly-3</v>
      </c>
      <c r="S41" s="10" t="str">
        <f>IF(OutPut[[#This Row],[time]]="","","tariff")</f>
        <v>tariff</v>
      </c>
      <c r="T41" s="10" t="str">
        <f>IF(OutPut[[#This Row],[time]]="","",$D$3)</f>
        <v>0000000000800</v>
      </c>
      <c r="U41" s="10" t="str">
        <f>IF(OutPut[[#This Row],[time]]="","","amount_per_charge")</f>
        <v>amount_per_charge</v>
      </c>
      <c r="X41" s="4"/>
      <c r="AA41" s="4"/>
    </row>
    <row r="42" spans="2:27" x14ac:dyDescent="0.35">
      <c r="B42" s="10" t="str">
        <f>IF(OutPut[[#This Row],[time]]="","",CalculationId)</f>
        <v>0b15a420-9fc8-409a-a169-fbd49479d718</v>
      </c>
      <c r="C42" s="10" t="str">
        <f>IF(OutPut[[#This Row],[time]]="","",CalculationType)</f>
        <v>wholesale_fixing</v>
      </c>
      <c r="D42" s="10" t="str">
        <f>IF(OutPut[[#This Row],[time]]="","",CalculationExecutionTimeStart)</f>
        <v>2024-01-01 23:00:00</v>
      </c>
      <c r="E42" s="10" t="str">
        <f>IF(OutPut[[#This Row],[time]]="","","IGNORED")</f>
        <v>IGNORED</v>
      </c>
      <c r="F42" s="10" t="str">
        <f>IF(OutPut[[#This Row],[time]]="","",G$3)</f>
        <v>800</v>
      </c>
      <c r="G42" s="10" t="str">
        <f>IF(OutPut[[#This Row],[time]]="","",$E$3)</f>
        <v>2000000000000</v>
      </c>
      <c r="H42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42" s="10" t="str">
        <f>IF(OutPut[[#This Row],[time]]="","","kWh")</f>
        <v>kWh</v>
      </c>
      <c r="J42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42" s="10" t="str">
        <f>'calculation_arguments'!H40</f>
        <v>2023-02-02 12:00:00</v>
      </c>
      <c r="L42" s="10" t="str">
        <f>IF(OutPut[[#This Row],[time]]="","","PT1H")</f>
        <v>PT1H</v>
      </c>
      <c r="M42" s="10" t="str">
        <f>IF(OutPut[[#This Row],[time]]="","",$F$3)</f>
        <v>production</v>
      </c>
      <c r="N42" s="11" t="str">
        <f>IF(OutPut[[#This Row],[time]]="","",IF($H$3="","",$H$3))</f>
        <v/>
      </c>
      <c r="O42" s="11" t="str" cm="1">
        <f t="array" ref="O42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42" s="11" t="str">
        <f>IFERROR(SUBSTITUTE(SUBSTITUTE(OutPut[[#This Row],[price]],".",",")*SUBSTITUTE(OutPut[[#This Row],[quantity]],".",","),",","."),"")</f>
        <v/>
      </c>
      <c r="Q42" s="10" t="str">
        <f>IF(OutPut[[#This Row],[time]]="","",VLOOKUP(C$3,charge_price_information_periods[],5,FALSE))</f>
        <v>false</v>
      </c>
      <c r="R42" s="10" t="str">
        <f>IF(OutPut[[#This Row],[time]]="","",$C$3)</f>
        <v>tariff-hourly-3</v>
      </c>
      <c r="S42" s="10" t="str">
        <f>IF(OutPut[[#This Row],[time]]="","","tariff")</f>
        <v>tariff</v>
      </c>
      <c r="T42" s="10" t="str">
        <f>IF(OutPut[[#This Row],[time]]="","",$D$3)</f>
        <v>0000000000800</v>
      </c>
      <c r="U42" s="10" t="str">
        <f>IF(OutPut[[#This Row],[time]]="","","amount_per_charge")</f>
        <v>amount_per_charge</v>
      </c>
      <c r="X42" s="4"/>
      <c r="AA42" s="4"/>
    </row>
    <row r="43" spans="2:27" x14ac:dyDescent="0.35">
      <c r="B43" s="10" t="str">
        <f>IF(OutPut[[#This Row],[time]]="","",CalculationId)</f>
        <v>0b15a420-9fc8-409a-a169-fbd49479d718</v>
      </c>
      <c r="C43" s="10" t="str">
        <f>IF(OutPut[[#This Row],[time]]="","",CalculationType)</f>
        <v>wholesale_fixing</v>
      </c>
      <c r="D43" s="10" t="str">
        <f>IF(OutPut[[#This Row],[time]]="","",CalculationExecutionTimeStart)</f>
        <v>2024-01-01 23:00:00</v>
      </c>
      <c r="E43" s="10" t="str">
        <f>IF(OutPut[[#This Row],[time]]="","","IGNORED")</f>
        <v>IGNORED</v>
      </c>
      <c r="F43" s="10" t="str">
        <f>IF(OutPut[[#This Row],[time]]="","",G$3)</f>
        <v>800</v>
      </c>
      <c r="G43" s="10" t="str">
        <f>IF(OutPut[[#This Row],[time]]="","",$E$3)</f>
        <v>2000000000000</v>
      </c>
      <c r="H43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43" s="10" t="str">
        <f>IF(OutPut[[#This Row],[time]]="","","kWh")</f>
        <v>kWh</v>
      </c>
      <c r="J43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43" s="10" t="str">
        <f>'calculation_arguments'!H41</f>
        <v>2023-02-02 13:00:00</v>
      </c>
      <c r="L43" s="10" t="str">
        <f>IF(OutPut[[#This Row],[time]]="","","PT1H")</f>
        <v>PT1H</v>
      </c>
      <c r="M43" s="10" t="str">
        <f>IF(OutPut[[#This Row],[time]]="","",$F$3)</f>
        <v>production</v>
      </c>
      <c r="N43" s="11" t="str">
        <f>IF(OutPut[[#This Row],[time]]="","",IF($H$3="","",$H$3))</f>
        <v/>
      </c>
      <c r="O43" s="11" t="str" cm="1">
        <f t="array" ref="O43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43" s="11" t="str">
        <f>IFERROR(SUBSTITUTE(SUBSTITUTE(OutPut[[#This Row],[price]],".",",")*SUBSTITUTE(OutPut[[#This Row],[quantity]],".",","),",","."),"")</f>
        <v/>
      </c>
      <c r="Q43" s="10" t="str">
        <f>IF(OutPut[[#This Row],[time]]="","",VLOOKUP(C$3,charge_price_information_periods[],5,FALSE))</f>
        <v>false</v>
      </c>
      <c r="R43" s="10" t="str">
        <f>IF(OutPut[[#This Row],[time]]="","",$C$3)</f>
        <v>tariff-hourly-3</v>
      </c>
      <c r="S43" s="10" t="str">
        <f>IF(OutPut[[#This Row],[time]]="","","tariff")</f>
        <v>tariff</v>
      </c>
      <c r="T43" s="10" t="str">
        <f>IF(OutPut[[#This Row],[time]]="","",$D$3)</f>
        <v>0000000000800</v>
      </c>
      <c r="U43" s="10" t="str">
        <f>IF(OutPut[[#This Row],[time]]="","","amount_per_charge")</f>
        <v>amount_per_charge</v>
      </c>
      <c r="X43" s="4"/>
      <c r="AA43" s="4"/>
    </row>
    <row r="44" spans="2:27" x14ac:dyDescent="0.35">
      <c r="B44" s="10" t="str">
        <f>IF(OutPut[[#This Row],[time]]="","",CalculationId)</f>
        <v>0b15a420-9fc8-409a-a169-fbd49479d718</v>
      </c>
      <c r="C44" s="10" t="str">
        <f>IF(OutPut[[#This Row],[time]]="","",CalculationType)</f>
        <v>wholesale_fixing</v>
      </c>
      <c r="D44" s="10" t="str">
        <f>IF(OutPut[[#This Row],[time]]="","",CalculationExecutionTimeStart)</f>
        <v>2024-01-01 23:00:00</v>
      </c>
      <c r="E44" s="10" t="str">
        <f>IF(OutPut[[#This Row],[time]]="","","IGNORED")</f>
        <v>IGNORED</v>
      </c>
      <c r="F44" s="10" t="str">
        <f>IF(OutPut[[#This Row],[time]]="","",G$3)</f>
        <v>800</v>
      </c>
      <c r="G44" s="10" t="str">
        <f>IF(OutPut[[#This Row],[time]]="","",$E$3)</f>
        <v>2000000000000</v>
      </c>
      <c r="H44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44" s="10" t="str">
        <f>IF(OutPut[[#This Row],[time]]="","","kWh")</f>
        <v>kWh</v>
      </c>
      <c r="J44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44" s="10" t="str">
        <f>'calculation_arguments'!H42</f>
        <v>2023-02-02 14:00:00</v>
      </c>
      <c r="L44" s="10" t="str">
        <f>IF(OutPut[[#This Row],[time]]="","","PT1H")</f>
        <v>PT1H</v>
      </c>
      <c r="M44" s="10" t="str">
        <f>IF(OutPut[[#This Row],[time]]="","",$F$3)</f>
        <v>production</v>
      </c>
      <c r="N44" s="11" t="str">
        <f>IF(OutPut[[#This Row],[time]]="","",IF($H$3="","",$H$3))</f>
        <v/>
      </c>
      <c r="O44" s="11" t="str" cm="1">
        <f t="array" ref="O44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44" s="11" t="str">
        <f>IFERROR(SUBSTITUTE(SUBSTITUTE(OutPut[[#This Row],[price]],".",",")*SUBSTITUTE(OutPut[[#This Row],[quantity]],".",","),",","."),"")</f>
        <v/>
      </c>
      <c r="Q44" s="10" t="str">
        <f>IF(OutPut[[#This Row],[time]]="","",VLOOKUP(C$3,charge_price_information_periods[],5,FALSE))</f>
        <v>false</v>
      </c>
      <c r="R44" s="10" t="str">
        <f>IF(OutPut[[#This Row],[time]]="","",$C$3)</f>
        <v>tariff-hourly-3</v>
      </c>
      <c r="S44" s="10" t="str">
        <f>IF(OutPut[[#This Row],[time]]="","","tariff")</f>
        <v>tariff</v>
      </c>
      <c r="T44" s="10" t="str">
        <f>IF(OutPut[[#This Row],[time]]="","",$D$3)</f>
        <v>0000000000800</v>
      </c>
      <c r="U44" s="10" t="str">
        <f>IF(OutPut[[#This Row],[time]]="","","amount_per_charge")</f>
        <v>amount_per_charge</v>
      </c>
      <c r="X44" s="4"/>
      <c r="AA44" s="4"/>
    </row>
    <row r="45" spans="2:27" x14ac:dyDescent="0.35">
      <c r="B45" s="10" t="str">
        <f>IF(OutPut[[#This Row],[time]]="","",CalculationId)</f>
        <v>0b15a420-9fc8-409a-a169-fbd49479d718</v>
      </c>
      <c r="C45" s="10" t="str">
        <f>IF(OutPut[[#This Row],[time]]="","",CalculationType)</f>
        <v>wholesale_fixing</v>
      </c>
      <c r="D45" s="10" t="str">
        <f>IF(OutPut[[#This Row],[time]]="","",CalculationExecutionTimeStart)</f>
        <v>2024-01-01 23:00:00</v>
      </c>
      <c r="E45" s="10" t="str">
        <f>IF(OutPut[[#This Row],[time]]="","","IGNORED")</f>
        <v>IGNORED</v>
      </c>
      <c r="F45" s="10" t="str">
        <f>IF(OutPut[[#This Row],[time]]="","",G$3)</f>
        <v>800</v>
      </c>
      <c r="G45" s="10" t="str">
        <f>IF(OutPut[[#This Row],[time]]="","",$E$3)</f>
        <v>2000000000000</v>
      </c>
      <c r="H45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45" s="10" t="str">
        <f>IF(OutPut[[#This Row],[time]]="","","kWh")</f>
        <v>kWh</v>
      </c>
      <c r="J45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45" s="10" t="str">
        <f>'calculation_arguments'!H43</f>
        <v>2023-02-02 15:00:00</v>
      </c>
      <c r="L45" s="10" t="str">
        <f>IF(OutPut[[#This Row],[time]]="","","PT1H")</f>
        <v>PT1H</v>
      </c>
      <c r="M45" s="10" t="str">
        <f>IF(OutPut[[#This Row],[time]]="","",$F$3)</f>
        <v>production</v>
      </c>
      <c r="N45" s="11" t="str">
        <f>IF(OutPut[[#This Row],[time]]="","",IF($H$3="","",$H$3))</f>
        <v/>
      </c>
      <c r="O45" s="11" t="str" cm="1">
        <f t="array" ref="O45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45" s="11" t="str">
        <f>IFERROR(SUBSTITUTE(SUBSTITUTE(OutPut[[#This Row],[price]],".",",")*SUBSTITUTE(OutPut[[#This Row],[quantity]],".",","),",","."),"")</f>
        <v/>
      </c>
      <c r="Q45" s="10" t="str">
        <f>IF(OutPut[[#This Row],[time]]="","",VLOOKUP(C$3,charge_price_information_periods[],5,FALSE))</f>
        <v>false</v>
      </c>
      <c r="R45" s="10" t="str">
        <f>IF(OutPut[[#This Row],[time]]="","",$C$3)</f>
        <v>tariff-hourly-3</v>
      </c>
      <c r="S45" s="10" t="str">
        <f>IF(OutPut[[#This Row],[time]]="","","tariff")</f>
        <v>tariff</v>
      </c>
      <c r="T45" s="10" t="str">
        <f>IF(OutPut[[#This Row],[time]]="","",$D$3)</f>
        <v>0000000000800</v>
      </c>
      <c r="U45" s="10" t="str">
        <f>IF(OutPut[[#This Row],[time]]="","","amount_per_charge")</f>
        <v>amount_per_charge</v>
      </c>
      <c r="X45" s="4"/>
      <c r="AA45" s="4"/>
    </row>
    <row r="46" spans="2:27" x14ac:dyDescent="0.35">
      <c r="B46" s="10" t="str">
        <f>IF(OutPut[[#This Row],[time]]="","",CalculationId)</f>
        <v>0b15a420-9fc8-409a-a169-fbd49479d718</v>
      </c>
      <c r="C46" s="10" t="str">
        <f>IF(OutPut[[#This Row],[time]]="","",CalculationType)</f>
        <v>wholesale_fixing</v>
      </c>
      <c r="D46" s="10" t="str">
        <f>IF(OutPut[[#This Row],[time]]="","",CalculationExecutionTimeStart)</f>
        <v>2024-01-01 23:00:00</v>
      </c>
      <c r="E46" s="10" t="str">
        <f>IF(OutPut[[#This Row],[time]]="","","IGNORED")</f>
        <v>IGNORED</v>
      </c>
      <c r="F46" s="10" t="str">
        <f>IF(OutPut[[#This Row],[time]]="","",G$3)</f>
        <v>800</v>
      </c>
      <c r="G46" s="10" t="str">
        <f>IF(OutPut[[#This Row],[time]]="","",$E$3)</f>
        <v>2000000000000</v>
      </c>
      <c r="H46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46" s="10" t="str">
        <f>IF(OutPut[[#This Row],[time]]="","","kWh")</f>
        <v>kWh</v>
      </c>
      <c r="J46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46" s="10" t="str">
        <f>'calculation_arguments'!H44</f>
        <v>2023-02-02 16:00:00</v>
      </c>
      <c r="L46" s="10" t="str">
        <f>IF(OutPut[[#This Row],[time]]="","","PT1H")</f>
        <v>PT1H</v>
      </c>
      <c r="M46" s="10" t="str">
        <f>IF(OutPut[[#This Row],[time]]="","",$F$3)</f>
        <v>production</v>
      </c>
      <c r="N46" s="11" t="str">
        <f>IF(OutPut[[#This Row],[time]]="","",IF($H$3="","",$H$3))</f>
        <v/>
      </c>
      <c r="O46" s="11" t="str" cm="1">
        <f t="array" ref="O46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46" s="11" t="str">
        <f>IFERROR(SUBSTITUTE(SUBSTITUTE(OutPut[[#This Row],[price]],".",",")*SUBSTITUTE(OutPut[[#This Row],[quantity]],".",","),",","."),"")</f>
        <v/>
      </c>
      <c r="Q46" s="10" t="str">
        <f>IF(OutPut[[#This Row],[time]]="","",VLOOKUP(C$3,charge_price_information_periods[],5,FALSE))</f>
        <v>false</v>
      </c>
      <c r="R46" s="10" t="str">
        <f>IF(OutPut[[#This Row],[time]]="","",$C$3)</f>
        <v>tariff-hourly-3</v>
      </c>
      <c r="S46" s="10" t="str">
        <f>IF(OutPut[[#This Row],[time]]="","","tariff")</f>
        <v>tariff</v>
      </c>
      <c r="T46" s="10" t="str">
        <f>IF(OutPut[[#This Row],[time]]="","",$D$3)</f>
        <v>0000000000800</v>
      </c>
      <c r="U46" s="10" t="str">
        <f>IF(OutPut[[#This Row],[time]]="","","amount_per_charge")</f>
        <v>amount_per_charge</v>
      </c>
      <c r="X46" s="4"/>
      <c r="AA46" s="4"/>
    </row>
    <row r="47" spans="2:27" x14ac:dyDescent="0.35">
      <c r="B47" s="10" t="str">
        <f>IF(OutPut[[#This Row],[time]]="","",CalculationId)</f>
        <v>0b15a420-9fc8-409a-a169-fbd49479d718</v>
      </c>
      <c r="C47" s="10" t="str">
        <f>IF(OutPut[[#This Row],[time]]="","",CalculationType)</f>
        <v>wholesale_fixing</v>
      </c>
      <c r="D47" s="10" t="str">
        <f>IF(OutPut[[#This Row],[time]]="","",CalculationExecutionTimeStart)</f>
        <v>2024-01-01 23:00:00</v>
      </c>
      <c r="E47" s="10" t="str">
        <f>IF(OutPut[[#This Row],[time]]="","","IGNORED")</f>
        <v>IGNORED</v>
      </c>
      <c r="F47" s="10" t="str">
        <f>IF(OutPut[[#This Row],[time]]="","",G$3)</f>
        <v>800</v>
      </c>
      <c r="G47" s="10" t="str">
        <f>IF(OutPut[[#This Row],[time]]="","",$E$3)</f>
        <v>2000000000000</v>
      </c>
      <c r="H47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47" s="10" t="str">
        <f>IF(OutPut[[#This Row],[time]]="","","kWh")</f>
        <v>kWh</v>
      </c>
      <c r="J47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47" s="10" t="str">
        <f>'calculation_arguments'!H45</f>
        <v>2023-02-02 17:00:00</v>
      </c>
      <c r="L47" s="10" t="str">
        <f>IF(OutPut[[#This Row],[time]]="","","PT1H")</f>
        <v>PT1H</v>
      </c>
      <c r="M47" s="10" t="str">
        <f>IF(OutPut[[#This Row],[time]]="","",$F$3)</f>
        <v>production</v>
      </c>
      <c r="N47" s="11" t="str">
        <f>IF(OutPut[[#This Row],[time]]="","",IF($H$3="","",$H$3))</f>
        <v/>
      </c>
      <c r="O47" s="11" t="str" cm="1">
        <f t="array" ref="O47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47" s="11" t="str">
        <f>IFERROR(SUBSTITUTE(SUBSTITUTE(OutPut[[#This Row],[price]],".",",")*SUBSTITUTE(OutPut[[#This Row],[quantity]],".",","),",","."),"")</f>
        <v/>
      </c>
      <c r="Q47" s="10" t="str">
        <f>IF(OutPut[[#This Row],[time]]="","",VLOOKUP(C$3,charge_price_information_periods[],5,FALSE))</f>
        <v>false</v>
      </c>
      <c r="R47" s="10" t="str">
        <f>IF(OutPut[[#This Row],[time]]="","",$C$3)</f>
        <v>tariff-hourly-3</v>
      </c>
      <c r="S47" s="10" t="str">
        <f>IF(OutPut[[#This Row],[time]]="","","tariff")</f>
        <v>tariff</v>
      </c>
      <c r="T47" s="10" t="str">
        <f>IF(OutPut[[#This Row],[time]]="","",$D$3)</f>
        <v>0000000000800</v>
      </c>
      <c r="U47" s="10" t="str">
        <f>IF(OutPut[[#This Row],[time]]="","","amount_per_charge")</f>
        <v>amount_per_charge</v>
      </c>
      <c r="X47" s="4"/>
      <c r="AA47" s="4"/>
    </row>
    <row r="48" spans="2:27" x14ac:dyDescent="0.35">
      <c r="B48" s="10" t="str">
        <f>IF(OutPut[[#This Row],[time]]="","",CalculationId)</f>
        <v>0b15a420-9fc8-409a-a169-fbd49479d718</v>
      </c>
      <c r="C48" s="10" t="str">
        <f>IF(OutPut[[#This Row],[time]]="","",CalculationType)</f>
        <v>wholesale_fixing</v>
      </c>
      <c r="D48" s="10" t="str">
        <f>IF(OutPut[[#This Row],[time]]="","",CalculationExecutionTimeStart)</f>
        <v>2024-01-01 23:00:00</v>
      </c>
      <c r="E48" s="10" t="str">
        <f>IF(OutPut[[#This Row],[time]]="","","IGNORED")</f>
        <v>IGNORED</v>
      </c>
      <c r="F48" s="10" t="str">
        <f>IF(OutPut[[#This Row],[time]]="","",G$3)</f>
        <v>800</v>
      </c>
      <c r="G48" s="10" t="str">
        <f>IF(OutPut[[#This Row],[time]]="","",$E$3)</f>
        <v>2000000000000</v>
      </c>
      <c r="H48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48" s="10" t="str">
        <f>IF(OutPut[[#This Row],[time]]="","","kWh")</f>
        <v>kWh</v>
      </c>
      <c r="J48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48" s="10" t="str">
        <f>'calculation_arguments'!H46</f>
        <v>2023-02-02 18:00:00</v>
      </c>
      <c r="L48" s="10" t="str">
        <f>IF(OutPut[[#This Row],[time]]="","","PT1H")</f>
        <v>PT1H</v>
      </c>
      <c r="M48" s="10" t="str">
        <f>IF(OutPut[[#This Row],[time]]="","",$F$3)</f>
        <v>production</v>
      </c>
      <c r="N48" s="11" t="str">
        <f>IF(OutPut[[#This Row],[time]]="","",IF($H$3="","",$H$3))</f>
        <v/>
      </c>
      <c r="O48" s="11" t="str" cm="1">
        <f t="array" ref="O48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48" s="11" t="str">
        <f>IFERROR(SUBSTITUTE(SUBSTITUTE(OutPut[[#This Row],[price]],".",",")*SUBSTITUTE(OutPut[[#This Row],[quantity]],".",","),",","."),"")</f>
        <v/>
      </c>
      <c r="Q48" s="10" t="str">
        <f>IF(OutPut[[#This Row],[time]]="","",VLOOKUP(C$3,charge_price_information_periods[],5,FALSE))</f>
        <v>false</v>
      </c>
      <c r="R48" s="10" t="str">
        <f>IF(OutPut[[#This Row],[time]]="","",$C$3)</f>
        <v>tariff-hourly-3</v>
      </c>
      <c r="S48" s="10" t="str">
        <f>IF(OutPut[[#This Row],[time]]="","","tariff")</f>
        <v>tariff</v>
      </c>
      <c r="T48" s="10" t="str">
        <f>IF(OutPut[[#This Row],[time]]="","",$D$3)</f>
        <v>0000000000800</v>
      </c>
      <c r="U48" s="10" t="str">
        <f>IF(OutPut[[#This Row],[time]]="","","amount_per_charge")</f>
        <v>amount_per_charge</v>
      </c>
      <c r="X48" s="4"/>
      <c r="AA48" s="4"/>
    </row>
    <row r="49" spans="2:27" x14ac:dyDescent="0.35">
      <c r="B49" s="10" t="str">
        <f>IF(OutPut[[#This Row],[time]]="","",CalculationId)</f>
        <v>0b15a420-9fc8-409a-a169-fbd49479d718</v>
      </c>
      <c r="C49" s="10" t="str">
        <f>IF(OutPut[[#This Row],[time]]="","",CalculationType)</f>
        <v>wholesale_fixing</v>
      </c>
      <c r="D49" s="10" t="str">
        <f>IF(OutPut[[#This Row],[time]]="","",CalculationExecutionTimeStart)</f>
        <v>2024-01-01 23:00:00</v>
      </c>
      <c r="E49" s="10" t="str">
        <f>IF(OutPut[[#This Row],[time]]="","","IGNORED")</f>
        <v>IGNORED</v>
      </c>
      <c r="F49" s="10" t="str">
        <f>IF(OutPut[[#This Row],[time]]="","",G$3)</f>
        <v>800</v>
      </c>
      <c r="G49" s="10" t="str">
        <f>IF(OutPut[[#This Row],[time]]="","",$E$3)</f>
        <v>2000000000000</v>
      </c>
      <c r="H49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49" s="10" t="str">
        <f>IF(OutPut[[#This Row],[time]]="","","kWh")</f>
        <v>kWh</v>
      </c>
      <c r="J49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49" s="10" t="str">
        <f>'calculation_arguments'!H47</f>
        <v>2023-02-02 19:00:00</v>
      </c>
      <c r="L49" s="10" t="str">
        <f>IF(OutPut[[#This Row],[time]]="","","PT1H")</f>
        <v>PT1H</v>
      </c>
      <c r="M49" s="10" t="str">
        <f>IF(OutPut[[#This Row],[time]]="","",$F$3)</f>
        <v>production</v>
      </c>
      <c r="N49" s="11" t="str">
        <f>IF(OutPut[[#This Row],[time]]="","",IF($H$3="","",$H$3))</f>
        <v/>
      </c>
      <c r="O49" s="11" t="str" cm="1">
        <f t="array" ref="O49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49" s="11" t="str">
        <f>IFERROR(SUBSTITUTE(SUBSTITUTE(OutPut[[#This Row],[price]],".",",")*SUBSTITUTE(OutPut[[#This Row],[quantity]],".",","),",","."),"")</f>
        <v/>
      </c>
      <c r="Q49" s="10" t="str">
        <f>IF(OutPut[[#This Row],[time]]="","",VLOOKUP(C$3,charge_price_information_periods[],5,FALSE))</f>
        <v>false</v>
      </c>
      <c r="R49" s="10" t="str">
        <f>IF(OutPut[[#This Row],[time]]="","",$C$3)</f>
        <v>tariff-hourly-3</v>
      </c>
      <c r="S49" s="10" t="str">
        <f>IF(OutPut[[#This Row],[time]]="","","tariff")</f>
        <v>tariff</v>
      </c>
      <c r="T49" s="10" t="str">
        <f>IF(OutPut[[#This Row],[time]]="","",$D$3)</f>
        <v>0000000000800</v>
      </c>
      <c r="U49" s="10" t="str">
        <f>IF(OutPut[[#This Row],[time]]="","","amount_per_charge")</f>
        <v>amount_per_charge</v>
      </c>
      <c r="X49" s="4"/>
      <c r="AA49" s="4"/>
    </row>
    <row r="50" spans="2:27" x14ac:dyDescent="0.35">
      <c r="B50" s="10" t="str">
        <f>IF(OutPut[[#This Row],[time]]="","",CalculationId)</f>
        <v>0b15a420-9fc8-409a-a169-fbd49479d718</v>
      </c>
      <c r="C50" s="10" t="str">
        <f>IF(OutPut[[#This Row],[time]]="","",CalculationType)</f>
        <v>wholesale_fixing</v>
      </c>
      <c r="D50" s="10" t="str">
        <f>IF(OutPut[[#This Row],[time]]="","",CalculationExecutionTimeStart)</f>
        <v>2024-01-01 23:00:00</v>
      </c>
      <c r="E50" s="10" t="str">
        <f>IF(OutPut[[#This Row],[time]]="","","IGNORED")</f>
        <v>IGNORED</v>
      </c>
      <c r="F50" s="10" t="str">
        <f>IF(OutPut[[#This Row],[time]]="","",G$3)</f>
        <v>800</v>
      </c>
      <c r="G50" s="10" t="str">
        <f>IF(OutPut[[#This Row],[time]]="","",$E$3)</f>
        <v>2000000000000</v>
      </c>
      <c r="H50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50" s="10" t="str">
        <f>IF(OutPut[[#This Row],[time]]="","","kWh")</f>
        <v>kWh</v>
      </c>
      <c r="J50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50" s="10" t="str">
        <f>'calculation_arguments'!H48</f>
        <v>2023-02-02 20:00:00</v>
      </c>
      <c r="L50" s="10" t="str">
        <f>IF(OutPut[[#This Row],[time]]="","","PT1H")</f>
        <v>PT1H</v>
      </c>
      <c r="M50" s="10" t="str">
        <f>IF(OutPut[[#This Row],[time]]="","",$F$3)</f>
        <v>production</v>
      </c>
      <c r="N50" s="11" t="str">
        <f>IF(OutPut[[#This Row],[time]]="","",IF($H$3="","",$H$3))</f>
        <v/>
      </c>
      <c r="O50" s="11" t="str" cm="1">
        <f t="array" ref="O50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50" s="11" t="str">
        <f>IFERROR(SUBSTITUTE(SUBSTITUTE(OutPut[[#This Row],[price]],".",",")*SUBSTITUTE(OutPut[[#This Row],[quantity]],".",","),",","."),"")</f>
        <v/>
      </c>
      <c r="Q50" s="10" t="str">
        <f>IF(OutPut[[#This Row],[time]]="","",VLOOKUP(C$3,charge_price_information_periods[],5,FALSE))</f>
        <v>false</v>
      </c>
      <c r="R50" s="10" t="str">
        <f>IF(OutPut[[#This Row],[time]]="","",$C$3)</f>
        <v>tariff-hourly-3</v>
      </c>
      <c r="S50" s="10" t="str">
        <f>IF(OutPut[[#This Row],[time]]="","","tariff")</f>
        <v>tariff</v>
      </c>
      <c r="T50" s="10" t="str">
        <f>IF(OutPut[[#This Row],[time]]="","",$D$3)</f>
        <v>0000000000800</v>
      </c>
      <c r="U50" s="10" t="str">
        <f>IF(OutPut[[#This Row],[time]]="","","amount_per_charge")</f>
        <v>amount_per_charge</v>
      </c>
      <c r="X50" s="4"/>
      <c r="AA50" s="4"/>
    </row>
    <row r="51" spans="2:27" x14ac:dyDescent="0.35">
      <c r="B51" s="10" t="str">
        <f>IF(OutPut[[#This Row],[time]]="","",CalculationId)</f>
        <v>0b15a420-9fc8-409a-a169-fbd49479d718</v>
      </c>
      <c r="C51" s="10" t="str">
        <f>IF(OutPut[[#This Row],[time]]="","",CalculationType)</f>
        <v>wholesale_fixing</v>
      </c>
      <c r="D51" s="10" t="str">
        <f>IF(OutPut[[#This Row],[time]]="","",CalculationExecutionTimeStart)</f>
        <v>2024-01-01 23:00:00</v>
      </c>
      <c r="E51" s="10" t="str">
        <f>IF(OutPut[[#This Row],[time]]="","","IGNORED")</f>
        <v>IGNORED</v>
      </c>
      <c r="F51" s="10" t="str">
        <f>IF(OutPut[[#This Row],[time]]="","",G$3)</f>
        <v>800</v>
      </c>
      <c r="G51" s="10" t="str">
        <f>IF(OutPut[[#This Row],[time]]="","",$E$3)</f>
        <v>2000000000000</v>
      </c>
      <c r="H51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51" s="10" t="str">
        <f>IF(OutPut[[#This Row],[time]]="","","kWh")</f>
        <v>kWh</v>
      </c>
      <c r="J51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51" s="10" t="str">
        <f>'calculation_arguments'!H49</f>
        <v>2023-02-02 21:00:00</v>
      </c>
      <c r="L51" s="10" t="str">
        <f>IF(OutPut[[#This Row],[time]]="","","PT1H")</f>
        <v>PT1H</v>
      </c>
      <c r="M51" s="10" t="str">
        <f>IF(OutPut[[#This Row],[time]]="","",$F$3)</f>
        <v>production</v>
      </c>
      <c r="N51" s="11" t="str">
        <f>IF(OutPut[[#This Row],[time]]="","",IF($H$3="","",$H$3))</f>
        <v/>
      </c>
      <c r="O51" s="11" t="str" cm="1">
        <f t="array" ref="O51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51" s="11" t="str">
        <f>IFERROR(SUBSTITUTE(SUBSTITUTE(OutPut[[#This Row],[price]],".",",")*SUBSTITUTE(OutPut[[#This Row],[quantity]],".",","),",","."),"")</f>
        <v/>
      </c>
      <c r="Q51" s="10" t="str">
        <f>IF(OutPut[[#This Row],[time]]="","",VLOOKUP(C$3,charge_price_information_periods[],5,FALSE))</f>
        <v>false</v>
      </c>
      <c r="R51" s="10" t="str">
        <f>IF(OutPut[[#This Row],[time]]="","",$C$3)</f>
        <v>tariff-hourly-3</v>
      </c>
      <c r="S51" s="10" t="str">
        <f>IF(OutPut[[#This Row],[time]]="","","tariff")</f>
        <v>tariff</v>
      </c>
      <c r="T51" s="10" t="str">
        <f>IF(OutPut[[#This Row],[time]]="","",$D$3)</f>
        <v>0000000000800</v>
      </c>
      <c r="U51" s="10" t="str">
        <f>IF(OutPut[[#This Row],[time]]="","","amount_per_charge")</f>
        <v>amount_per_charge</v>
      </c>
      <c r="X51" s="4"/>
      <c r="AA51" s="4"/>
    </row>
    <row r="52" spans="2:27" x14ac:dyDescent="0.35">
      <c r="B52" s="10" t="str">
        <f>IF(OutPut[[#This Row],[time]]="","",CalculationId)</f>
        <v>0b15a420-9fc8-409a-a169-fbd49479d718</v>
      </c>
      <c r="C52" s="10" t="str">
        <f>IF(OutPut[[#This Row],[time]]="","",CalculationType)</f>
        <v>wholesale_fixing</v>
      </c>
      <c r="D52" s="10" t="str">
        <f>IF(OutPut[[#This Row],[time]]="","",CalculationExecutionTimeStart)</f>
        <v>2024-01-01 23:00:00</v>
      </c>
      <c r="E52" s="10" t="str">
        <f>IF(OutPut[[#This Row],[time]]="","","IGNORED")</f>
        <v>IGNORED</v>
      </c>
      <c r="F52" s="10" t="str">
        <f>IF(OutPut[[#This Row],[time]]="","",G$3)</f>
        <v>800</v>
      </c>
      <c r="G52" s="10" t="str">
        <f>IF(OutPut[[#This Row],[time]]="","",$E$3)</f>
        <v>2000000000000</v>
      </c>
      <c r="H52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52" s="10" t="str">
        <f>IF(OutPut[[#This Row],[time]]="","","kWh")</f>
        <v>kWh</v>
      </c>
      <c r="J52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52" s="10" t="str">
        <f>'calculation_arguments'!H50</f>
        <v>2023-02-02 22:00:00</v>
      </c>
      <c r="L52" s="10" t="str">
        <f>IF(OutPut[[#This Row],[time]]="","","PT1H")</f>
        <v>PT1H</v>
      </c>
      <c r="M52" s="10" t="str">
        <f>IF(OutPut[[#This Row],[time]]="","",$F$3)</f>
        <v>production</v>
      </c>
      <c r="N52" s="11" t="str">
        <f>IF(OutPut[[#This Row],[time]]="","",IF($H$3="","",$H$3))</f>
        <v/>
      </c>
      <c r="O52" s="11" t="str" cm="1">
        <f t="array" ref="O52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52" s="11" t="str">
        <f>IFERROR(SUBSTITUTE(SUBSTITUTE(OutPut[[#This Row],[price]],".",",")*SUBSTITUTE(OutPut[[#This Row],[quantity]],".",","),",","."),"")</f>
        <v/>
      </c>
      <c r="Q52" s="10" t="str">
        <f>IF(OutPut[[#This Row],[time]]="","",VLOOKUP(C$3,charge_price_information_periods[],5,FALSE))</f>
        <v>false</v>
      </c>
      <c r="R52" s="10" t="str">
        <f>IF(OutPut[[#This Row],[time]]="","",$C$3)</f>
        <v>tariff-hourly-3</v>
      </c>
      <c r="S52" s="10" t="str">
        <f>IF(OutPut[[#This Row],[time]]="","","tariff")</f>
        <v>tariff</v>
      </c>
      <c r="T52" s="10" t="str">
        <f>IF(OutPut[[#This Row],[time]]="","",$D$3)</f>
        <v>0000000000800</v>
      </c>
      <c r="U52" s="10" t="str">
        <f>IF(OutPut[[#This Row],[time]]="","","amount_per_charge")</f>
        <v>amount_per_charge</v>
      </c>
      <c r="X52" s="4"/>
      <c r="AA52" s="4"/>
    </row>
    <row r="53" spans="2:27" x14ac:dyDescent="0.35">
      <c r="B53" s="10" t="str">
        <f>IF(OutPut[[#This Row],[time]]="","",CalculationId)</f>
        <v>0b15a420-9fc8-409a-a169-fbd49479d718</v>
      </c>
      <c r="C53" s="10" t="str">
        <f>IF(OutPut[[#This Row],[time]]="","",CalculationType)</f>
        <v>wholesale_fixing</v>
      </c>
      <c r="D53" s="10" t="str">
        <f>IF(OutPut[[#This Row],[time]]="","",CalculationExecutionTimeStart)</f>
        <v>2024-01-01 23:00:00</v>
      </c>
      <c r="E53" s="10" t="str">
        <f>IF(OutPut[[#This Row],[time]]="","","IGNORED")</f>
        <v>IGNORED</v>
      </c>
      <c r="F53" s="10" t="str">
        <f>IF(OutPut[[#This Row],[time]]="","",G$3)</f>
        <v>800</v>
      </c>
      <c r="G53" s="10" t="str">
        <f>IF(OutPut[[#This Row],[time]]="","",$E$3)</f>
        <v>2000000000000</v>
      </c>
      <c r="H53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53" s="10" t="str">
        <f>IF(OutPut[[#This Row],[time]]="","","kWh")</f>
        <v>kWh</v>
      </c>
      <c r="J53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53" s="10" t="str">
        <f>'calculation_arguments'!H51</f>
        <v>2023-02-02 23:00:00</v>
      </c>
      <c r="L53" s="10" t="str">
        <f>IF(OutPut[[#This Row],[time]]="","","PT1H")</f>
        <v>PT1H</v>
      </c>
      <c r="M53" s="10" t="str">
        <f>IF(OutPut[[#This Row],[time]]="","",$F$3)</f>
        <v>production</v>
      </c>
      <c r="N53" s="11" t="str">
        <f>IF(OutPut[[#This Row],[time]]="","",IF($H$3="","",$H$3))</f>
        <v/>
      </c>
      <c r="O53" s="11" t="str" cm="1">
        <f t="array" ref="O53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53" s="11" t="str">
        <f>IFERROR(SUBSTITUTE(SUBSTITUTE(OutPut[[#This Row],[price]],".",",")*SUBSTITUTE(OutPut[[#This Row],[quantity]],".",","),",","."),"")</f>
        <v/>
      </c>
      <c r="Q53" s="10" t="str">
        <f>IF(OutPut[[#This Row],[time]]="","",VLOOKUP(C$3,charge_price_information_periods[],5,FALSE))</f>
        <v>false</v>
      </c>
      <c r="R53" s="10" t="str">
        <f>IF(OutPut[[#This Row],[time]]="","",$C$3)</f>
        <v>tariff-hourly-3</v>
      </c>
      <c r="S53" s="10" t="str">
        <f>IF(OutPut[[#This Row],[time]]="","","tariff")</f>
        <v>tariff</v>
      </c>
      <c r="T53" s="10" t="str">
        <f>IF(OutPut[[#This Row],[time]]="","",$D$3)</f>
        <v>0000000000800</v>
      </c>
      <c r="U53" s="10" t="str">
        <f>IF(OutPut[[#This Row],[time]]="","","amount_per_charge")</f>
        <v>amount_per_charge</v>
      </c>
      <c r="X53" s="4"/>
      <c r="AA53" s="4"/>
    </row>
    <row r="54" spans="2:27" x14ac:dyDescent="0.35">
      <c r="B54" s="10" t="str">
        <f>IF(OutPut[[#This Row],[time]]="","",CalculationId)</f>
        <v>0b15a420-9fc8-409a-a169-fbd49479d718</v>
      </c>
      <c r="C54" s="10" t="str">
        <f>IF(OutPut[[#This Row],[time]]="","",CalculationType)</f>
        <v>wholesale_fixing</v>
      </c>
      <c r="D54" s="10" t="str">
        <f>IF(OutPut[[#This Row],[time]]="","",CalculationExecutionTimeStart)</f>
        <v>2024-01-01 23:00:00</v>
      </c>
      <c r="E54" s="10" t="str">
        <f>IF(OutPut[[#This Row],[time]]="","","IGNORED")</f>
        <v>IGNORED</v>
      </c>
      <c r="F54" s="10" t="str">
        <f>IF(OutPut[[#This Row],[time]]="","",G$3)</f>
        <v>800</v>
      </c>
      <c r="G54" s="10" t="str">
        <f>IF(OutPut[[#This Row],[time]]="","",$E$3)</f>
        <v>2000000000000</v>
      </c>
      <c r="H54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54" s="10" t="str">
        <f>IF(OutPut[[#This Row],[time]]="","","kWh")</f>
        <v>kWh</v>
      </c>
      <c r="J54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54" s="10" t="str">
        <f>'calculation_arguments'!H52</f>
        <v>2023-02-03 00:00:00</v>
      </c>
      <c r="L54" s="10" t="str">
        <f>IF(OutPut[[#This Row],[time]]="","","PT1H")</f>
        <v>PT1H</v>
      </c>
      <c r="M54" s="10" t="str">
        <f>IF(OutPut[[#This Row],[time]]="","",$F$3)</f>
        <v>production</v>
      </c>
      <c r="N54" s="11" t="str">
        <f>IF(OutPut[[#This Row],[time]]="","",IF($H$3="","",$H$3))</f>
        <v/>
      </c>
      <c r="O54" s="11" t="str" cm="1">
        <f t="array" ref="O54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54" s="11" t="str">
        <f>IFERROR(SUBSTITUTE(SUBSTITUTE(OutPut[[#This Row],[price]],".",",")*SUBSTITUTE(OutPut[[#This Row],[quantity]],".",","),",","."),"")</f>
        <v/>
      </c>
      <c r="Q54" s="10" t="str">
        <f>IF(OutPut[[#This Row],[time]]="","",VLOOKUP(C$3,charge_price_information_periods[],5,FALSE))</f>
        <v>false</v>
      </c>
      <c r="R54" s="10" t="str">
        <f>IF(OutPut[[#This Row],[time]]="","",$C$3)</f>
        <v>tariff-hourly-3</v>
      </c>
      <c r="S54" s="10" t="str">
        <f>IF(OutPut[[#This Row],[time]]="","","tariff")</f>
        <v>tariff</v>
      </c>
      <c r="T54" s="10" t="str">
        <f>IF(OutPut[[#This Row],[time]]="","",$D$3)</f>
        <v>0000000000800</v>
      </c>
      <c r="U54" s="10" t="str">
        <f>IF(OutPut[[#This Row],[time]]="","","amount_per_charge")</f>
        <v>amount_per_charge</v>
      </c>
      <c r="X54" s="4"/>
      <c r="AA54" s="4"/>
    </row>
    <row r="55" spans="2:27" x14ac:dyDescent="0.35">
      <c r="B55" s="10" t="str">
        <f>IF(OutPut[[#This Row],[time]]="","",CalculationId)</f>
        <v>0b15a420-9fc8-409a-a169-fbd49479d718</v>
      </c>
      <c r="C55" s="10" t="str">
        <f>IF(OutPut[[#This Row],[time]]="","",CalculationType)</f>
        <v>wholesale_fixing</v>
      </c>
      <c r="D55" s="10" t="str">
        <f>IF(OutPut[[#This Row],[time]]="","",CalculationExecutionTimeStart)</f>
        <v>2024-01-01 23:00:00</v>
      </c>
      <c r="E55" s="10" t="str">
        <f>IF(OutPut[[#This Row],[time]]="","","IGNORED")</f>
        <v>IGNORED</v>
      </c>
      <c r="F55" s="10" t="str">
        <f>IF(OutPut[[#This Row],[time]]="","",G$3)</f>
        <v>800</v>
      </c>
      <c r="G55" s="10" t="str">
        <f>IF(OutPut[[#This Row],[time]]="","",$E$3)</f>
        <v>2000000000000</v>
      </c>
      <c r="H55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55" s="10" t="str">
        <f>IF(OutPut[[#This Row],[time]]="","","kWh")</f>
        <v>kWh</v>
      </c>
      <c r="J55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55" s="10" t="str">
        <f>'calculation_arguments'!H53</f>
        <v>2023-02-03 01:00:00</v>
      </c>
      <c r="L55" s="10" t="str">
        <f>IF(OutPut[[#This Row],[time]]="","","PT1H")</f>
        <v>PT1H</v>
      </c>
      <c r="M55" s="10" t="str">
        <f>IF(OutPut[[#This Row],[time]]="","",$F$3)</f>
        <v>production</v>
      </c>
      <c r="N55" s="11" t="str">
        <f>IF(OutPut[[#This Row],[time]]="","",IF($H$3="","",$H$3))</f>
        <v/>
      </c>
      <c r="O55" s="11" t="str" cm="1">
        <f t="array" ref="O55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55" s="11" t="str">
        <f>IFERROR(SUBSTITUTE(SUBSTITUTE(OutPut[[#This Row],[price]],".",",")*SUBSTITUTE(OutPut[[#This Row],[quantity]],".",","),",","."),"")</f>
        <v/>
      </c>
      <c r="Q55" s="10" t="str">
        <f>IF(OutPut[[#This Row],[time]]="","",VLOOKUP(C$3,charge_price_information_periods[],5,FALSE))</f>
        <v>false</v>
      </c>
      <c r="R55" s="10" t="str">
        <f>IF(OutPut[[#This Row],[time]]="","",$C$3)</f>
        <v>tariff-hourly-3</v>
      </c>
      <c r="S55" s="10" t="str">
        <f>IF(OutPut[[#This Row],[time]]="","","tariff")</f>
        <v>tariff</v>
      </c>
      <c r="T55" s="10" t="str">
        <f>IF(OutPut[[#This Row],[time]]="","",$D$3)</f>
        <v>0000000000800</v>
      </c>
      <c r="U55" s="10" t="str">
        <f>IF(OutPut[[#This Row],[time]]="","","amount_per_charge")</f>
        <v>amount_per_charge</v>
      </c>
      <c r="X55" s="4"/>
      <c r="AA55" s="4"/>
    </row>
    <row r="56" spans="2:27" x14ac:dyDescent="0.35">
      <c r="B56" s="10" t="str">
        <f>IF(OutPut[[#This Row],[time]]="","",CalculationId)</f>
        <v>0b15a420-9fc8-409a-a169-fbd49479d718</v>
      </c>
      <c r="C56" s="10" t="str">
        <f>IF(OutPut[[#This Row],[time]]="","",CalculationType)</f>
        <v>wholesale_fixing</v>
      </c>
      <c r="D56" s="10" t="str">
        <f>IF(OutPut[[#This Row],[time]]="","",CalculationExecutionTimeStart)</f>
        <v>2024-01-01 23:00:00</v>
      </c>
      <c r="E56" s="10" t="str">
        <f>IF(OutPut[[#This Row],[time]]="","","IGNORED")</f>
        <v>IGNORED</v>
      </c>
      <c r="F56" s="10" t="str">
        <f>IF(OutPut[[#This Row],[time]]="","",G$3)</f>
        <v>800</v>
      </c>
      <c r="G56" s="10" t="str">
        <f>IF(OutPut[[#This Row],[time]]="","",$E$3)</f>
        <v>2000000000000</v>
      </c>
      <c r="H56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56" s="10" t="str">
        <f>IF(OutPut[[#This Row],[time]]="","","kWh")</f>
        <v>kWh</v>
      </c>
      <c r="J56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56" s="10" t="str">
        <f>'calculation_arguments'!H54</f>
        <v>2023-02-03 02:00:00</v>
      </c>
      <c r="L56" s="10" t="str">
        <f>IF(OutPut[[#This Row],[time]]="","","PT1H")</f>
        <v>PT1H</v>
      </c>
      <c r="M56" s="10" t="str">
        <f>IF(OutPut[[#This Row],[time]]="","",$F$3)</f>
        <v>production</v>
      </c>
      <c r="N56" s="11" t="str">
        <f>IF(OutPut[[#This Row],[time]]="","",IF($H$3="","",$H$3))</f>
        <v/>
      </c>
      <c r="O56" s="11" t="str" cm="1">
        <f t="array" ref="O56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56" s="11" t="str">
        <f>IFERROR(SUBSTITUTE(SUBSTITUTE(OutPut[[#This Row],[price]],".",",")*SUBSTITUTE(OutPut[[#This Row],[quantity]],".",","),",","."),"")</f>
        <v/>
      </c>
      <c r="Q56" s="10" t="str">
        <f>IF(OutPut[[#This Row],[time]]="","",VLOOKUP(C$3,charge_price_information_periods[],5,FALSE))</f>
        <v>false</v>
      </c>
      <c r="R56" s="10" t="str">
        <f>IF(OutPut[[#This Row],[time]]="","",$C$3)</f>
        <v>tariff-hourly-3</v>
      </c>
      <c r="S56" s="10" t="str">
        <f>IF(OutPut[[#This Row],[time]]="","","tariff")</f>
        <v>tariff</v>
      </c>
      <c r="T56" s="10" t="str">
        <f>IF(OutPut[[#This Row],[time]]="","",$D$3)</f>
        <v>0000000000800</v>
      </c>
      <c r="U56" s="10" t="str">
        <f>IF(OutPut[[#This Row],[time]]="","","amount_per_charge")</f>
        <v>amount_per_charge</v>
      </c>
      <c r="X56" s="4"/>
      <c r="AA56" s="4"/>
    </row>
    <row r="57" spans="2:27" x14ac:dyDescent="0.35">
      <c r="B57" s="10" t="str">
        <f>IF(OutPut[[#This Row],[time]]="","",CalculationId)</f>
        <v>0b15a420-9fc8-409a-a169-fbd49479d718</v>
      </c>
      <c r="C57" s="10" t="str">
        <f>IF(OutPut[[#This Row],[time]]="","",CalculationType)</f>
        <v>wholesale_fixing</v>
      </c>
      <c r="D57" s="10" t="str">
        <f>IF(OutPut[[#This Row],[time]]="","",CalculationExecutionTimeStart)</f>
        <v>2024-01-01 23:00:00</v>
      </c>
      <c r="E57" s="10" t="str">
        <f>IF(OutPut[[#This Row],[time]]="","","IGNORED")</f>
        <v>IGNORED</v>
      </c>
      <c r="F57" s="10" t="str">
        <f>IF(OutPut[[#This Row],[time]]="","",G$3)</f>
        <v>800</v>
      </c>
      <c r="G57" s="10" t="str">
        <f>IF(OutPut[[#This Row],[time]]="","",$E$3)</f>
        <v>2000000000000</v>
      </c>
      <c r="H57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57" s="10" t="str">
        <f>IF(OutPut[[#This Row],[time]]="","","kWh")</f>
        <v>kWh</v>
      </c>
      <c r="J57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57" s="10" t="str">
        <f>'calculation_arguments'!H55</f>
        <v>2023-02-03 03:00:00</v>
      </c>
      <c r="L57" s="10" t="str">
        <f>IF(OutPut[[#This Row],[time]]="","","PT1H")</f>
        <v>PT1H</v>
      </c>
      <c r="M57" s="10" t="str">
        <f>IF(OutPut[[#This Row],[time]]="","",$F$3)</f>
        <v>production</v>
      </c>
      <c r="N57" s="11" t="str">
        <f>IF(OutPut[[#This Row],[time]]="","",IF($H$3="","",$H$3))</f>
        <v/>
      </c>
      <c r="O57" s="11" t="str" cm="1">
        <f t="array" ref="O57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57" s="11" t="str">
        <f>IFERROR(SUBSTITUTE(SUBSTITUTE(OutPut[[#This Row],[price]],".",",")*SUBSTITUTE(OutPut[[#This Row],[quantity]],".",","),",","."),"")</f>
        <v/>
      </c>
      <c r="Q57" s="10" t="str">
        <f>IF(OutPut[[#This Row],[time]]="","",VLOOKUP(C$3,charge_price_information_periods[],5,FALSE))</f>
        <v>false</v>
      </c>
      <c r="R57" s="10" t="str">
        <f>IF(OutPut[[#This Row],[time]]="","",$C$3)</f>
        <v>tariff-hourly-3</v>
      </c>
      <c r="S57" s="10" t="str">
        <f>IF(OutPut[[#This Row],[time]]="","","tariff")</f>
        <v>tariff</v>
      </c>
      <c r="T57" s="10" t="str">
        <f>IF(OutPut[[#This Row],[time]]="","",$D$3)</f>
        <v>0000000000800</v>
      </c>
      <c r="U57" s="10" t="str">
        <f>IF(OutPut[[#This Row],[time]]="","","amount_per_charge")</f>
        <v>amount_per_charge</v>
      </c>
      <c r="X57" s="4"/>
      <c r="AA57" s="4"/>
    </row>
    <row r="58" spans="2:27" x14ac:dyDescent="0.35">
      <c r="B58" s="10" t="str">
        <f>IF(OutPut[[#This Row],[time]]="","",CalculationId)</f>
        <v>0b15a420-9fc8-409a-a169-fbd49479d718</v>
      </c>
      <c r="C58" s="10" t="str">
        <f>IF(OutPut[[#This Row],[time]]="","",CalculationType)</f>
        <v>wholesale_fixing</v>
      </c>
      <c r="D58" s="10" t="str">
        <f>IF(OutPut[[#This Row],[time]]="","",CalculationExecutionTimeStart)</f>
        <v>2024-01-01 23:00:00</v>
      </c>
      <c r="E58" s="10" t="str">
        <f>IF(OutPut[[#This Row],[time]]="","","IGNORED")</f>
        <v>IGNORED</v>
      </c>
      <c r="F58" s="10" t="str">
        <f>IF(OutPut[[#This Row],[time]]="","",G$3)</f>
        <v>800</v>
      </c>
      <c r="G58" s="10" t="str">
        <f>IF(OutPut[[#This Row],[time]]="","",$E$3)</f>
        <v>2000000000000</v>
      </c>
      <c r="H58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58" s="10" t="str">
        <f>IF(OutPut[[#This Row],[time]]="","","kWh")</f>
        <v>kWh</v>
      </c>
      <c r="J58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58" s="10" t="str">
        <f>'calculation_arguments'!H56</f>
        <v>2023-02-03 04:00:00</v>
      </c>
      <c r="L58" s="10" t="str">
        <f>IF(OutPut[[#This Row],[time]]="","","PT1H")</f>
        <v>PT1H</v>
      </c>
      <c r="M58" s="10" t="str">
        <f>IF(OutPut[[#This Row],[time]]="","",$F$3)</f>
        <v>production</v>
      </c>
      <c r="N58" s="11" t="str">
        <f>IF(OutPut[[#This Row],[time]]="","",IF($H$3="","",$H$3))</f>
        <v/>
      </c>
      <c r="O58" s="11" t="str" cm="1">
        <f t="array" ref="O58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58" s="11" t="str">
        <f>IFERROR(SUBSTITUTE(SUBSTITUTE(OutPut[[#This Row],[price]],".",",")*SUBSTITUTE(OutPut[[#This Row],[quantity]],".",","),",","."),"")</f>
        <v/>
      </c>
      <c r="Q58" s="10" t="str">
        <f>IF(OutPut[[#This Row],[time]]="","",VLOOKUP(C$3,charge_price_information_periods[],5,FALSE))</f>
        <v>false</v>
      </c>
      <c r="R58" s="10" t="str">
        <f>IF(OutPut[[#This Row],[time]]="","",$C$3)</f>
        <v>tariff-hourly-3</v>
      </c>
      <c r="S58" s="10" t="str">
        <f>IF(OutPut[[#This Row],[time]]="","","tariff")</f>
        <v>tariff</v>
      </c>
      <c r="T58" s="10" t="str">
        <f>IF(OutPut[[#This Row],[time]]="","",$D$3)</f>
        <v>0000000000800</v>
      </c>
      <c r="U58" s="10" t="str">
        <f>IF(OutPut[[#This Row],[time]]="","","amount_per_charge")</f>
        <v>amount_per_charge</v>
      </c>
      <c r="V58" s="4"/>
      <c r="W58" s="4"/>
      <c r="X58" s="4"/>
      <c r="AA58" s="4"/>
    </row>
    <row r="59" spans="2:27" x14ac:dyDescent="0.35">
      <c r="B59" s="10" t="str">
        <f>IF(OutPut[[#This Row],[time]]="","",CalculationId)</f>
        <v>0b15a420-9fc8-409a-a169-fbd49479d718</v>
      </c>
      <c r="C59" s="10" t="str">
        <f>IF(OutPut[[#This Row],[time]]="","",CalculationType)</f>
        <v>wholesale_fixing</v>
      </c>
      <c r="D59" s="10" t="str">
        <f>IF(OutPut[[#This Row],[time]]="","",CalculationExecutionTimeStart)</f>
        <v>2024-01-01 23:00:00</v>
      </c>
      <c r="E59" s="10" t="str">
        <f>IF(OutPut[[#This Row],[time]]="","","IGNORED")</f>
        <v>IGNORED</v>
      </c>
      <c r="F59" s="10" t="str">
        <f>IF(OutPut[[#This Row],[time]]="","",G$3)</f>
        <v>800</v>
      </c>
      <c r="G59" s="10" t="str">
        <f>IF(OutPut[[#This Row],[time]]="","",$E$3)</f>
        <v>2000000000000</v>
      </c>
      <c r="H59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59" s="10" t="str">
        <f>IF(OutPut[[#This Row],[time]]="","","kWh")</f>
        <v>kWh</v>
      </c>
      <c r="J59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59" s="10" t="str">
        <f>'calculation_arguments'!H57</f>
        <v>2023-02-03 05:00:00</v>
      </c>
      <c r="L59" s="10" t="str">
        <f>IF(OutPut[[#This Row],[time]]="","","PT1H")</f>
        <v>PT1H</v>
      </c>
      <c r="M59" s="10" t="str">
        <f>IF(OutPut[[#This Row],[time]]="","",$F$3)</f>
        <v>production</v>
      </c>
      <c r="N59" s="11" t="str">
        <f>IF(OutPut[[#This Row],[time]]="","",IF($H$3="","",$H$3))</f>
        <v/>
      </c>
      <c r="O59" s="11" t="str" cm="1">
        <f t="array" ref="O59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59" s="11" t="str">
        <f>IFERROR(SUBSTITUTE(SUBSTITUTE(OutPut[[#This Row],[price]],".",",")*SUBSTITUTE(OutPut[[#This Row],[quantity]],".",","),",","."),"")</f>
        <v/>
      </c>
      <c r="Q59" s="10" t="str">
        <f>IF(OutPut[[#This Row],[time]]="","",VLOOKUP(C$3,charge_price_information_periods[],5,FALSE))</f>
        <v>false</v>
      </c>
      <c r="R59" s="10" t="str">
        <f>IF(OutPut[[#This Row],[time]]="","",$C$3)</f>
        <v>tariff-hourly-3</v>
      </c>
      <c r="S59" s="10" t="str">
        <f>IF(OutPut[[#This Row],[time]]="","","tariff")</f>
        <v>tariff</v>
      </c>
      <c r="T59" s="10" t="str">
        <f>IF(OutPut[[#This Row],[time]]="","",$D$3)</f>
        <v>0000000000800</v>
      </c>
      <c r="U59" s="10" t="str">
        <f>IF(OutPut[[#This Row],[time]]="","","amount_per_charge")</f>
        <v>amount_per_charge</v>
      </c>
      <c r="V59" s="4"/>
      <c r="W59" s="4"/>
      <c r="X59" s="4"/>
      <c r="Y59" s="4"/>
      <c r="Z59" s="4"/>
      <c r="AA59" s="4"/>
    </row>
    <row r="60" spans="2:27" x14ac:dyDescent="0.35">
      <c r="B60" s="10" t="str">
        <f>IF(OutPut[[#This Row],[time]]="","",CalculationId)</f>
        <v>0b15a420-9fc8-409a-a169-fbd49479d718</v>
      </c>
      <c r="C60" s="10" t="str">
        <f>IF(OutPut[[#This Row],[time]]="","",CalculationType)</f>
        <v>wholesale_fixing</v>
      </c>
      <c r="D60" s="10" t="str">
        <f>IF(OutPut[[#This Row],[time]]="","",CalculationExecutionTimeStart)</f>
        <v>2024-01-01 23:00:00</v>
      </c>
      <c r="E60" s="10" t="str">
        <f>IF(OutPut[[#This Row],[time]]="","","IGNORED")</f>
        <v>IGNORED</v>
      </c>
      <c r="F60" s="10" t="str">
        <f>IF(OutPut[[#This Row],[time]]="","",G$3)</f>
        <v>800</v>
      </c>
      <c r="G60" s="10" t="str">
        <f>IF(OutPut[[#This Row],[time]]="","",$E$3)</f>
        <v>2000000000000</v>
      </c>
      <c r="H60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60" s="10" t="str">
        <f>IF(OutPut[[#This Row],[time]]="","","kWh")</f>
        <v>kWh</v>
      </c>
      <c r="J60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60" s="10" t="str">
        <f>'calculation_arguments'!H58</f>
        <v>2023-02-03 06:00:00</v>
      </c>
      <c r="L60" s="10" t="str">
        <f>IF(OutPut[[#This Row],[time]]="","","PT1H")</f>
        <v>PT1H</v>
      </c>
      <c r="M60" s="10" t="str">
        <f>IF(OutPut[[#This Row],[time]]="","",$F$3)</f>
        <v>production</v>
      </c>
      <c r="N60" s="11" t="str">
        <f>IF(OutPut[[#This Row],[time]]="","",IF($H$3="","",$H$3))</f>
        <v/>
      </c>
      <c r="O60" s="11" t="str" cm="1">
        <f t="array" ref="O60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60" s="11" t="str">
        <f>IFERROR(SUBSTITUTE(SUBSTITUTE(OutPut[[#This Row],[price]],".",",")*SUBSTITUTE(OutPut[[#This Row],[quantity]],".",","),",","."),"")</f>
        <v/>
      </c>
      <c r="Q60" s="10" t="str">
        <f>IF(OutPut[[#This Row],[time]]="","",VLOOKUP(C$3,charge_price_information_periods[],5,FALSE))</f>
        <v>false</v>
      </c>
      <c r="R60" s="10" t="str">
        <f>IF(OutPut[[#This Row],[time]]="","",$C$3)</f>
        <v>tariff-hourly-3</v>
      </c>
      <c r="S60" s="10" t="str">
        <f>IF(OutPut[[#This Row],[time]]="","","tariff")</f>
        <v>tariff</v>
      </c>
      <c r="T60" s="10" t="str">
        <f>IF(OutPut[[#This Row],[time]]="","",$D$3)</f>
        <v>0000000000800</v>
      </c>
      <c r="U60" s="10" t="str">
        <f>IF(OutPut[[#This Row],[time]]="","","amount_per_charge")</f>
        <v>amount_per_charge</v>
      </c>
      <c r="V60" s="4"/>
      <c r="W60" s="4"/>
      <c r="X60" s="4"/>
      <c r="Y60" s="4"/>
      <c r="Z60" s="4"/>
      <c r="AA60" s="4"/>
    </row>
    <row r="61" spans="2:27" x14ac:dyDescent="0.35">
      <c r="B61" s="10" t="str">
        <f>IF(OutPut[[#This Row],[time]]="","",CalculationId)</f>
        <v>0b15a420-9fc8-409a-a169-fbd49479d718</v>
      </c>
      <c r="C61" s="10" t="str">
        <f>IF(OutPut[[#This Row],[time]]="","",CalculationType)</f>
        <v>wholesale_fixing</v>
      </c>
      <c r="D61" s="10" t="str">
        <f>IF(OutPut[[#This Row],[time]]="","",CalculationExecutionTimeStart)</f>
        <v>2024-01-01 23:00:00</v>
      </c>
      <c r="E61" s="10" t="str">
        <f>IF(OutPut[[#This Row],[time]]="","","IGNORED")</f>
        <v>IGNORED</v>
      </c>
      <c r="F61" s="10" t="str">
        <f>IF(OutPut[[#This Row],[time]]="","",G$3)</f>
        <v>800</v>
      </c>
      <c r="G61" s="10" t="str">
        <f>IF(OutPut[[#This Row],[time]]="","",$E$3)</f>
        <v>2000000000000</v>
      </c>
      <c r="H61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61" s="10" t="str">
        <f>IF(OutPut[[#This Row],[time]]="","","kWh")</f>
        <v>kWh</v>
      </c>
      <c r="J61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61" s="10" t="str">
        <f>'calculation_arguments'!H59</f>
        <v>2023-02-03 07:00:00</v>
      </c>
      <c r="L61" s="10" t="str">
        <f>IF(OutPut[[#This Row],[time]]="","","PT1H")</f>
        <v>PT1H</v>
      </c>
      <c r="M61" s="10" t="str">
        <f>IF(OutPut[[#This Row],[time]]="","",$F$3)</f>
        <v>production</v>
      </c>
      <c r="N61" s="11" t="str">
        <f>IF(OutPut[[#This Row],[time]]="","",IF($H$3="","",$H$3))</f>
        <v/>
      </c>
      <c r="O61" s="11" t="str" cm="1">
        <f t="array" ref="O61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61" s="11" t="str">
        <f>IFERROR(SUBSTITUTE(SUBSTITUTE(OutPut[[#This Row],[price]],".",",")*SUBSTITUTE(OutPut[[#This Row],[quantity]],".",","),",","."),"")</f>
        <v/>
      </c>
      <c r="Q61" s="10" t="str">
        <f>IF(OutPut[[#This Row],[time]]="","",VLOOKUP(C$3,charge_price_information_periods[],5,FALSE))</f>
        <v>false</v>
      </c>
      <c r="R61" s="10" t="str">
        <f>IF(OutPut[[#This Row],[time]]="","",$C$3)</f>
        <v>tariff-hourly-3</v>
      </c>
      <c r="S61" s="10" t="str">
        <f>IF(OutPut[[#This Row],[time]]="","","tariff")</f>
        <v>tariff</v>
      </c>
      <c r="T61" s="10" t="str">
        <f>IF(OutPut[[#This Row],[time]]="","",$D$3)</f>
        <v>0000000000800</v>
      </c>
      <c r="U61" s="10" t="str">
        <f>IF(OutPut[[#This Row],[time]]="","","amount_per_charge")</f>
        <v>amount_per_charge</v>
      </c>
      <c r="V61" s="4"/>
      <c r="W61" s="4"/>
      <c r="X61" s="4"/>
      <c r="Y61" s="4"/>
      <c r="Z61" s="4"/>
      <c r="AA61" s="4"/>
    </row>
    <row r="62" spans="2:27" x14ac:dyDescent="0.35">
      <c r="B62" s="10" t="str">
        <f>IF(OutPut[[#This Row],[time]]="","",CalculationId)</f>
        <v>0b15a420-9fc8-409a-a169-fbd49479d718</v>
      </c>
      <c r="C62" s="10" t="str">
        <f>IF(OutPut[[#This Row],[time]]="","",CalculationType)</f>
        <v>wholesale_fixing</v>
      </c>
      <c r="D62" s="10" t="str">
        <f>IF(OutPut[[#This Row],[time]]="","",CalculationExecutionTimeStart)</f>
        <v>2024-01-01 23:00:00</v>
      </c>
      <c r="E62" s="10" t="str">
        <f>IF(OutPut[[#This Row],[time]]="","","IGNORED")</f>
        <v>IGNORED</v>
      </c>
      <c r="F62" s="10" t="str">
        <f>IF(OutPut[[#This Row],[time]]="","",G$3)</f>
        <v>800</v>
      </c>
      <c r="G62" s="10" t="str">
        <f>IF(OutPut[[#This Row],[time]]="","",$E$3)</f>
        <v>2000000000000</v>
      </c>
      <c r="H62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62" s="10" t="str">
        <f>IF(OutPut[[#This Row],[time]]="","","kWh")</f>
        <v>kWh</v>
      </c>
      <c r="J62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62" s="10" t="str">
        <f>'calculation_arguments'!H60</f>
        <v>2023-02-03 08:00:00</v>
      </c>
      <c r="L62" s="10" t="str">
        <f>IF(OutPut[[#This Row],[time]]="","","PT1H")</f>
        <v>PT1H</v>
      </c>
      <c r="M62" s="10" t="str">
        <f>IF(OutPut[[#This Row],[time]]="","",$F$3)</f>
        <v>production</v>
      </c>
      <c r="N62" s="11" t="str">
        <f>IF(OutPut[[#This Row],[time]]="","",IF($H$3="","",$H$3))</f>
        <v/>
      </c>
      <c r="O62" s="11" t="str" cm="1">
        <f t="array" ref="O62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62" s="11" t="str">
        <f>IFERROR(SUBSTITUTE(SUBSTITUTE(OutPut[[#This Row],[price]],".",",")*SUBSTITUTE(OutPut[[#This Row],[quantity]],".",","),",","."),"")</f>
        <v/>
      </c>
      <c r="Q62" s="10" t="str">
        <f>IF(OutPut[[#This Row],[time]]="","",VLOOKUP(C$3,charge_price_information_periods[],5,FALSE))</f>
        <v>false</v>
      </c>
      <c r="R62" s="10" t="str">
        <f>IF(OutPut[[#This Row],[time]]="","",$C$3)</f>
        <v>tariff-hourly-3</v>
      </c>
      <c r="S62" s="10" t="str">
        <f>IF(OutPut[[#This Row],[time]]="","","tariff")</f>
        <v>tariff</v>
      </c>
      <c r="T62" s="10" t="str">
        <f>IF(OutPut[[#This Row],[time]]="","",$D$3)</f>
        <v>0000000000800</v>
      </c>
      <c r="U62" s="10" t="str">
        <f>IF(OutPut[[#This Row],[time]]="","","amount_per_charge")</f>
        <v>amount_per_charge</v>
      </c>
      <c r="V62" s="4"/>
      <c r="W62" s="4"/>
      <c r="X62" s="4"/>
      <c r="Y62" s="4"/>
      <c r="Z62" s="4"/>
      <c r="AA62" s="4"/>
    </row>
    <row r="63" spans="2:27" x14ac:dyDescent="0.35">
      <c r="B63" s="10" t="str">
        <f>IF(OutPut[[#This Row],[time]]="","",CalculationId)</f>
        <v>0b15a420-9fc8-409a-a169-fbd49479d718</v>
      </c>
      <c r="C63" s="10" t="str">
        <f>IF(OutPut[[#This Row],[time]]="","",CalculationType)</f>
        <v>wholesale_fixing</v>
      </c>
      <c r="D63" s="10" t="str">
        <f>IF(OutPut[[#This Row],[time]]="","",CalculationExecutionTimeStart)</f>
        <v>2024-01-01 23:00:00</v>
      </c>
      <c r="E63" s="10" t="str">
        <f>IF(OutPut[[#This Row],[time]]="","","IGNORED")</f>
        <v>IGNORED</v>
      </c>
      <c r="F63" s="10" t="str">
        <f>IF(OutPut[[#This Row],[time]]="","",G$3)</f>
        <v>800</v>
      </c>
      <c r="G63" s="10" t="str">
        <f>IF(OutPut[[#This Row],[time]]="","",$E$3)</f>
        <v>2000000000000</v>
      </c>
      <c r="H63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63" s="10" t="str">
        <f>IF(OutPut[[#This Row],[time]]="","","kWh")</f>
        <v>kWh</v>
      </c>
      <c r="J63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63" s="10" t="str">
        <f>'calculation_arguments'!H61</f>
        <v>2023-02-03 09:00:00</v>
      </c>
      <c r="L63" s="10" t="str">
        <f>IF(OutPut[[#This Row],[time]]="","","PT1H")</f>
        <v>PT1H</v>
      </c>
      <c r="M63" s="10" t="str">
        <f>IF(OutPut[[#This Row],[time]]="","",$F$3)</f>
        <v>production</v>
      </c>
      <c r="N63" s="11" t="str">
        <f>IF(OutPut[[#This Row],[time]]="","",IF($H$3="","",$H$3))</f>
        <v/>
      </c>
      <c r="O63" s="11" t="str" cm="1">
        <f t="array" ref="O63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63" s="11" t="str">
        <f>IFERROR(SUBSTITUTE(SUBSTITUTE(OutPut[[#This Row],[price]],".",",")*SUBSTITUTE(OutPut[[#This Row],[quantity]],".",","),",","."),"")</f>
        <v/>
      </c>
      <c r="Q63" s="10" t="str">
        <f>IF(OutPut[[#This Row],[time]]="","",VLOOKUP(C$3,charge_price_information_periods[],5,FALSE))</f>
        <v>false</v>
      </c>
      <c r="R63" s="10" t="str">
        <f>IF(OutPut[[#This Row],[time]]="","",$C$3)</f>
        <v>tariff-hourly-3</v>
      </c>
      <c r="S63" s="10" t="str">
        <f>IF(OutPut[[#This Row],[time]]="","","tariff")</f>
        <v>tariff</v>
      </c>
      <c r="T63" s="10" t="str">
        <f>IF(OutPut[[#This Row],[time]]="","",$D$3)</f>
        <v>0000000000800</v>
      </c>
      <c r="U63" s="10" t="str">
        <f>IF(OutPut[[#This Row],[time]]="","","amount_per_charge")</f>
        <v>amount_per_charge</v>
      </c>
      <c r="V63" s="4"/>
      <c r="W63" s="4"/>
      <c r="X63" s="4"/>
      <c r="Y63" s="4"/>
      <c r="Z63" s="4"/>
      <c r="AA63" s="4"/>
    </row>
    <row r="64" spans="2:27" x14ac:dyDescent="0.35">
      <c r="B64" s="10" t="str">
        <f>IF(OutPut[[#This Row],[time]]="","",CalculationId)</f>
        <v>0b15a420-9fc8-409a-a169-fbd49479d718</v>
      </c>
      <c r="C64" s="10" t="str">
        <f>IF(OutPut[[#This Row],[time]]="","",CalculationType)</f>
        <v>wholesale_fixing</v>
      </c>
      <c r="D64" s="10" t="str">
        <f>IF(OutPut[[#This Row],[time]]="","",CalculationExecutionTimeStart)</f>
        <v>2024-01-01 23:00:00</v>
      </c>
      <c r="E64" s="10" t="str">
        <f>IF(OutPut[[#This Row],[time]]="","","IGNORED")</f>
        <v>IGNORED</v>
      </c>
      <c r="F64" s="10" t="str">
        <f>IF(OutPut[[#This Row],[time]]="","",G$3)</f>
        <v>800</v>
      </c>
      <c r="G64" s="10" t="str">
        <f>IF(OutPut[[#This Row],[time]]="","",$E$3)</f>
        <v>2000000000000</v>
      </c>
      <c r="H64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64" s="10" t="str">
        <f>IF(OutPut[[#This Row],[time]]="","","kWh")</f>
        <v>kWh</v>
      </c>
      <c r="J64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64" s="10" t="str">
        <f>'calculation_arguments'!H62</f>
        <v>2023-02-03 10:00:00</v>
      </c>
      <c r="L64" s="10" t="str">
        <f>IF(OutPut[[#This Row],[time]]="","","PT1H")</f>
        <v>PT1H</v>
      </c>
      <c r="M64" s="10" t="str">
        <f>IF(OutPut[[#This Row],[time]]="","",$F$3)</f>
        <v>production</v>
      </c>
      <c r="N64" s="11" t="str">
        <f>IF(OutPut[[#This Row],[time]]="","",IF($H$3="","",$H$3))</f>
        <v/>
      </c>
      <c r="O64" s="11" t="str" cm="1">
        <f t="array" ref="O64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64" s="11" t="str">
        <f>IFERROR(SUBSTITUTE(SUBSTITUTE(OutPut[[#This Row],[price]],".",",")*SUBSTITUTE(OutPut[[#This Row],[quantity]],".",","),",","."),"")</f>
        <v/>
      </c>
      <c r="Q64" s="10" t="str">
        <f>IF(OutPut[[#This Row],[time]]="","",VLOOKUP(C$3,charge_price_information_periods[],5,FALSE))</f>
        <v>false</v>
      </c>
      <c r="R64" s="10" t="str">
        <f>IF(OutPut[[#This Row],[time]]="","",$C$3)</f>
        <v>tariff-hourly-3</v>
      </c>
      <c r="S64" s="10" t="str">
        <f>IF(OutPut[[#This Row],[time]]="","","tariff")</f>
        <v>tariff</v>
      </c>
      <c r="T64" s="10" t="str">
        <f>IF(OutPut[[#This Row],[time]]="","",$D$3)</f>
        <v>0000000000800</v>
      </c>
      <c r="U64" s="10" t="str">
        <f>IF(OutPut[[#This Row],[time]]="","","amount_per_charge")</f>
        <v>amount_per_charge</v>
      </c>
      <c r="V64" s="4"/>
      <c r="W64" s="4"/>
      <c r="X64" s="4"/>
      <c r="Y64" s="4"/>
      <c r="Z64" s="4"/>
      <c r="AA64" s="4"/>
    </row>
    <row r="65" spans="2:27" x14ac:dyDescent="0.35">
      <c r="B65" s="10" t="str">
        <f>IF(OutPut[[#This Row],[time]]="","",CalculationId)</f>
        <v>0b15a420-9fc8-409a-a169-fbd49479d718</v>
      </c>
      <c r="C65" s="10" t="str">
        <f>IF(OutPut[[#This Row],[time]]="","",CalculationType)</f>
        <v>wholesale_fixing</v>
      </c>
      <c r="D65" s="10" t="str">
        <f>IF(OutPut[[#This Row],[time]]="","",CalculationExecutionTimeStart)</f>
        <v>2024-01-01 23:00:00</v>
      </c>
      <c r="E65" s="10" t="str">
        <f>IF(OutPut[[#This Row],[time]]="","","IGNORED")</f>
        <v>IGNORED</v>
      </c>
      <c r="F65" s="10" t="str">
        <f>IF(OutPut[[#This Row],[time]]="","",G$3)</f>
        <v>800</v>
      </c>
      <c r="G65" s="10" t="str">
        <f>IF(OutPut[[#This Row],[time]]="","",$E$3)</f>
        <v>2000000000000</v>
      </c>
      <c r="H65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65" s="10" t="str">
        <f>IF(OutPut[[#This Row],[time]]="","","kWh")</f>
        <v>kWh</v>
      </c>
      <c r="J65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65" s="10" t="str">
        <f>'calculation_arguments'!H63</f>
        <v>2023-02-03 11:00:00</v>
      </c>
      <c r="L65" s="10" t="str">
        <f>IF(OutPut[[#This Row],[time]]="","","PT1H")</f>
        <v>PT1H</v>
      </c>
      <c r="M65" s="10" t="str">
        <f>IF(OutPut[[#This Row],[time]]="","",$F$3)</f>
        <v>production</v>
      </c>
      <c r="N65" s="11" t="str">
        <f>IF(OutPut[[#This Row],[time]]="","",IF($H$3="","",$H$3))</f>
        <v/>
      </c>
      <c r="O65" s="11" t="str" cm="1">
        <f t="array" ref="O65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65" s="11" t="str">
        <f>IFERROR(SUBSTITUTE(SUBSTITUTE(OutPut[[#This Row],[price]],".",",")*SUBSTITUTE(OutPut[[#This Row],[quantity]],".",","),",","."),"")</f>
        <v/>
      </c>
      <c r="Q65" s="10" t="str">
        <f>IF(OutPut[[#This Row],[time]]="","",VLOOKUP(C$3,charge_price_information_periods[],5,FALSE))</f>
        <v>false</v>
      </c>
      <c r="R65" s="10" t="str">
        <f>IF(OutPut[[#This Row],[time]]="","",$C$3)</f>
        <v>tariff-hourly-3</v>
      </c>
      <c r="S65" s="10" t="str">
        <f>IF(OutPut[[#This Row],[time]]="","","tariff")</f>
        <v>tariff</v>
      </c>
      <c r="T65" s="10" t="str">
        <f>IF(OutPut[[#This Row],[time]]="","",$D$3)</f>
        <v>0000000000800</v>
      </c>
      <c r="U65" s="10" t="str">
        <f>IF(OutPut[[#This Row],[time]]="","","amount_per_charge")</f>
        <v>amount_per_charge</v>
      </c>
      <c r="V65" s="4"/>
      <c r="W65" s="4"/>
      <c r="X65" s="4"/>
      <c r="Y65" s="4"/>
      <c r="Z65" s="4"/>
      <c r="AA65" s="4"/>
    </row>
    <row r="66" spans="2:27" x14ac:dyDescent="0.35">
      <c r="B66" s="10" t="str">
        <f>IF(OutPut[[#This Row],[time]]="","",CalculationId)</f>
        <v>0b15a420-9fc8-409a-a169-fbd49479d718</v>
      </c>
      <c r="C66" s="10" t="str">
        <f>IF(OutPut[[#This Row],[time]]="","",CalculationType)</f>
        <v>wholesale_fixing</v>
      </c>
      <c r="D66" s="10" t="str">
        <f>IF(OutPut[[#This Row],[time]]="","",CalculationExecutionTimeStart)</f>
        <v>2024-01-01 23:00:00</v>
      </c>
      <c r="E66" s="10" t="str">
        <f>IF(OutPut[[#This Row],[time]]="","","IGNORED")</f>
        <v>IGNORED</v>
      </c>
      <c r="F66" s="10" t="str">
        <f>IF(OutPut[[#This Row],[time]]="","",G$3)</f>
        <v>800</v>
      </c>
      <c r="G66" s="10" t="str">
        <f>IF(OutPut[[#This Row],[time]]="","",$E$3)</f>
        <v>2000000000000</v>
      </c>
      <c r="H66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66" s="10" t="str">
        <f>IF(OutPut[[#This Row],[time]]="","","kWh")</f>
        <v>kWh</v>
      </c>
      <c r="J66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66" s="10" t="str">
        <f>'calculation_arguments'!H64</f>
        <v>2023-02-03 12:00:00</v>
      </c>
      <c r="L66" s="10" t="str">
        <f>IF(OutPut[[#This Row],[time]]="","","PT1H")</f>
        <v>PT1H</v>
      </c>
      <c r="M66" s="10" t="str">
        <f>IF(OutPut[[#This Row],[time]]="","",$F$3)</f>
        <v>production</v>
      </c>
      <c r="N66" s="11" t="str">
        <f>IF(OutPut[[#This Row],[time]]="","",IF($H$3="","",$H$3))</f>
        <v/>
      </c>
      <c r="O66" s="11" t="str" cm="1">
        <f t="array" ref="O66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66" s="11" t="str">
        <f>IFERROR(SUBSTITUTE(SUBSTITUTE(OutPut[[#This Row],[price]],".",",")*SUBSTITUTE(OutPut[[#This Row],[quantity]],".",","),",","."),"")</f>
        <v/>
      </c>
      <c r="Q66" s="10" t="str">
        <f>IF(OutPut[[#This Row],[time]]="","",VLOOKUP(C$3,charge_price_information_periods[],5,FALSE))</f>
        <v>false</v>
      </c>
      <c r="R66" s="10" t="str">
        <f>IF(OutPut[[#This Row],[time]]="","",$C$3)</f>
        <v>tariff-hourly-3</v>
      </c>
      <c r="S66" s="10" t="str">
        <f>IF(OutPut[[#This Row],[time]]="","","tariff")</f>
        <v>tariff</v>
      </c>
      <c r="T66" s="10" t="str">
        <f>IF(OutPut[[#This Row],[time]]="","",$D$3)</f>
        <v>0000000000800</v>
      </c>
      <c r="U66" s="10" t="str">
        <f>IF(OutPut[[#This Row],[time]]="","","amount_per_charge")</f>
        <v>amount_per_charge</v>
      </c>
      <c r="V66" s="4"/>
      <c r="W66" s="4"/>
      <c r="X66" s="4"/>
      <c r="Y66" s="4"/>
      <c r="Z66" s="4"/>
      <c r="AA66" s="4"/>
    </row>
    <row r="67" spans="2:27" x14ac:dyDescent="0.35">
      <c r="B67" s="10" t="str">
        <f>IF(OutPut[[#This Row],[time]]="","",CalculationId)</f>
        <v>0b15a420-9fc8-409a-a169-fbd49479d718</v>
      </c>
      <c r="C67" s="10" t="str">
        <f>IF(OutPut[[#This Row],[time]]="","",CalculationType)</f>
        <v>wholesale_fixing</v>
      </c>
      <c r="D67" s="10" t="str">
        <f>IF(OutPut[[#This Row],[time]]="","",CalculationExecutionTimeStart)</f>
        <v>2024-01-01 23:00:00</v>
      </c>
      <c r="E67" s="10" t="str">
        <f>IF(OutPut[[#This Row],[time]]="","","IGNORED")</f>
        <v>IGNORED</v>
      </c>
      <c r="F67" s="10" t="str">
        <f>IF(OutPut[[#This Row],[time]]="","",G$3)</f>
        <v>800</v>
      </c>
      <c r="G67" s="10" t="str">
        <f>IF(OutPut[[#This Row],[time]]="","",$E$3)</f>
        <v>2000000000000</v>
      </c>
      <c r="H67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67" s="10" t="str">
        <f>IF(OutPut[[#This Row],[time]]="","","kWh")</f>
        <v>kWh</v>
      </c>
      <c r="J67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67" s="10" t="str">
        <f>'calculation_arguments'!H65</f>
        <v>2023-02-03 13:00:00</v>
      </c>
      <c r="L67" s="10" t="str">
        <f>IF(OutPut[[#This Row],[time]]="","","PT1H")</f>
        <v>PT1H</v>
      </c>
      <c r="M67" s="10" t="str">
        <f>IF(OutPut[[#This Row],[time]]="","",$F$3)</f>
        <v>production</v>
      </c>
      <c r="N67" s="11" t="str">
        <f>IF(OutPut[[#This Row],[time]]="","",IF($H$3="","",$H$3))</f>
        <v/>
      </c>
      <c r="O67" s="11" t="str" cm="1">
        <f t="array" ref="O67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67" s="11" t="str">
        <f>IFERROR(SUBSTITUTE(SUBSTITUTE(OutPut[[#This Row],[price]],".",",")*SUBSTITUTE(OutPut[[#This Row],[quantity]],".",","),",","."),"")</f>
        <v/>
      </c>
      <c r="Q67" s="10" t="str">
        <f>IF(OutPut[[#This Row],[time]]="","",VLOOKUP(C$3,charge_price_information_periods[],5,FALSE))</f>
        <v>false</v>
      </c>
      <c r="R67" s="10" t="str">
        <f>IF(OutPut[[#This Row],[time]]="","",$C$3)</f>
        <v>tariff-hourly-3</v>
      </c>
      <c r="S67" s="10" t="str">
        <f>IF(OutPut[[#This Row],[time]]="","","tariff")</f>
        <v>tariff</v>
      </c>
      <c r="T67" s="10" t="str">
        <f>IF(OutPut[[#This Row],[time]]="","",$D$3)</f>
        <v>0000000000800</v>
      </c>
      <c r="U67" s="10" t="str">
        <f>IF(OutPut[[#This Row],[time]]="","","amount_per_charge")</f>
        <v>amount_per_charge</v>
      </c>
      <c r="V67" s="4"/>
      <c r="W67" s="4"/>
      <c r="X67" s="4"/>
      <c r="Y67" s="4"/>
      <c r="Z67" s="4"/>
      <c r="AA67" s="4"/>
    </row>
    <row r="68" spans="2:27" x14ac:dyDescent="0.35">
      <c r="B68" s="10" t="str">
        <f>IF(OutPut[[#This Row],[time]]="","",CalculationId)</f>
        <v>0b15a420-9fc8-409a-a169-fbd49479d718</v>
      </c>
      <c r="C68" s="10" t="str">
        <f>IF(OutPut[[#This Row],[time]]="","",CalculationType)</f>
        <v>wholesale_fixing</v>
      </c>
      <c r="D68" s="10" t="str">
        <f>IF(OutPut[[#This Row],[time]]="","",CalculationExecutionTimeStart)</f>
        <v>2024-01-01 23:00:00</v>
      </c>
      <c r="E68" s="10" t="str">
        <f>IF(OutPut[[#This Row],[time]]="","","IGNORED")</f>
        <v>IGNORED</v>
      </c>
      <c r="F68" s="10" t="str">
        <f>IF(OutPut[[#This Row],[time]]="","",G$3)</f>
        <v>800</v>
      </c>
      <c r="G68" s="10" t="str">
        <f>IF(OutPut[[#This Row],[time]]="","",$E$3)</f>
        <v>2000000000000</v>
      </c>
      <c r="H68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68" s="10" t="str">
        <f>IF(OutPut[[#This Row],[time]]="","","kWh")</f>
        <v>kWh</v>
      </c>
      <c r="J68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68" s="10" t="str">
        <f>'calculation_arguments'!H66</f>
        <v>2023-02-03 14:00:00</v>
      </c>
      <c r="L68" s="10" t="str">
        <f>IF(OutPut[[#This Row],[time]]="","","PT1H")</f>
        <v>PT1H</v>
      </c>
      <c r="M68" s="10" t="str">
        <f>IF(OutPut[[#This Row],[time]]="","",$F$3)</f>
        <v>production</v>
      </c>
      <c r="N68" s="11" t="str">
        <f>IF(OutPut[[#This Row],[time]]="","",IF($H$3="","",$H$3))</f>
        <v/>
      </c>
      <c r="O68" s="11" t="str" cm="1">
        <f t="array" ref="O68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68" s="11" t="str">
        <f>IFERROR(SUBSTITUTE(SUBSTITUTE(OutPut[[#This Row],[price]],".",",")*SUBSTITUTE(OutPut[[#This Row],[quantity]],".",","),",","."),"")</f>
        <v/>
      </c>
      <c r="Q68" s="10" t="str">
        <f>IF(OutPut[[#This Row],[time]]="","",VLOOKUP(C$3,charge_price_information_periods[],5,FALSE))</f>
        <v>false</v>
      </c>
      <c r="R68" s="10" t="str">
        <f>IF(OutPut[[#This Row],[time]]="","",$C$3)</f>
        <v>tariff-hourly-3</v>
      </c>
      <c r="S68" s="10" t="str">
        <f>IF(OutPut[[#This Row],[time]]="","","tariff")</f>
        <v>tariff</v>
      </c>
      <c r="T68" s="10" t="str">
        <f>IF(OutPut[[#This Row],[time]]="","",$D$3)</f>
        <v>0000000000800</v>
      </c>
      <c r="U68" s="10" t="str">
        <f>IF(OutPut[[#This Row],[time]]="","","amount_per_charge")</f>
        <v>amount_per_charge</v>
      </c>
    </row>
    <row r="69" spans="2:27" x14ac:dyDescent="0.35">
      <c r="B69" s="10" t="str">
        <f>IF(OutPut[[#This Row],[time]]="","",CalculationId)</f>
        <v>0b15a420-9fc8-409a-a169-fbd49479d718</v>
      </c>
      <c r="C69" s="10" t="str">
        <f>IF(OutPut[[#This Row],[time]]="","",CalculationType)</f>
        <v>wholesale_fixing</v>
      </c>
      <c r="D69" s="10" t="str">
        <f>IF(OutPut[[#This Row],[time]]="","",CalculationExecutionTimeStart)</f>
        <v>2024-01-01 23:00:00</v>
      </c>
      <c r="E69" s="10" t="str">
        <f>IF(OutPut[[#This Row],[time]]="","","IGNORED")</f>
        <v>IGNORED</v>
      </c>
      <c r="F69" s="10" t="str">
        <f>IF(OutPut[[#This Row],[time]]="","",G$3)</f>
        <v>800</v>
      </c>
      <c r="G69" s="10" t="str">
        <f>IF(OutPut[[#This Row],[time]]="","",$E$3)</f>
        <v>2000000000000</v>
      </c>
      <c r="H69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69" s="10" t="str">
        <f>IF(OutPut[[#This Row],[time]]="","","kWh")</f>
        <v>kWh</v>
      </c>
      <c r="J69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69" s="10" t="str">
        <f>'calculation_arguments'!H67</f>
        <v>2023-02-03 15:00:00</v>
      </c>
      <c r="L69" s="10" t="str">
        <f>IF(OutPut[[#This Row],[time]]="","","PT1H")</f>
        <v>PT1H</v>
      </c>
      <c r="M69" s="10" t="str">
        <f>IF(OutPut[[#This Row],[time]]="","",$F$3)</f>
        <v>production</v>
      </c>
      <c r="N69" s="11" t="str">
        <f>IF(OutPut[[#This Row],[time]]="","",IF($H$3="","",$H$3))</f>
        <v/>
      </c>
      <c r="O69" s="11" t="str" cm="1">
        <f t="array" ref="O69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69" s="11" t="str">
        <f>IFERROR(SUBSTITUTE(SUBSTITUTE(OutPut[[#This Row],[price]],".",",")*SUBSTITUTE(OutPut[[#This Row],[quantity]],".",","),",","."),"")</f>
        <v/>
      </c>
      <c r="Q69" s="10" t="str">
        <f>IF(OutPut[[#This Row],[time]]="","",VLOOKUP(C$3,charge_price_information_periods[],5,FALSE))</f>
        <v>false</v>
      </c>
      <c r="R69" s="10" t="str">
        <f>IF(OutPut[[#This Row],[time]]="","",$C$3)</f>
        <v>tariff-hourly-3</v>
      </c>
      <c r="S69" s="10" t="str">
        <f>IF(OutPut[[#This Row],[time]]="","","tariff")</f>
        <v>tariff</v>
      </c>
      <c r="T69" s="10" t="str">
        <f>IF(OutPut[[#This Row],[time]]="","",$D$3)</f>
        <v>0000000000800</v>
      </c>
      <c r="U69" s="10" t="str">
        <f>IF(OutPut[[#This Row],[time]]="","","amount_per_charge")</f>
        <v>amount_per_charge</v>
      </c>
    </row>
    <row r="70" spans="2:27" x14ac:dyDescent="0.35">
      <c r="B70" s="10" t="str">
        <f>IF(OutPut[[#This Row],[time]]="","",CalculationId)</f>
        <v>0b15a420-9fc8-409a-a169-fbd49479d718</v>
      </c>
      <c r="C70" s="10" t="str">
        <f>IF(OutPut[[#This Row],[time]]="","",CalculationType)</f>
        <v>wholesale_fixing</v>
      </c>
      <c r="D70" s="10" t="str">
        <f>IF(OutPut[[#This Row],[time]]="","",CalculationExecutionTimeStart)</f>
        <v>2024-01-01 23:00:00</v>
      </c>
      <c r="E70" s="10" t="str">
        <f>IF(OutPut[[#This Row],[time]]="","","IGNORED")</f>
        <v>IGNORED</v>
      </c>
      <c r="F70" s="10" t="str">
        <f>IF(OutPut[[#This Row],[time]]="","",G$3)</f>
        <v>800</v>
      </c>
      <c r="G70" s="10" t="str">
        <f>IF(OutPut[[#This Row],[time]]="","",$E$3)</f>
        <v>2000000000000</v>
      </c>
      <c r="H70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70" s="10" t="str">
        <f>IF(OutPut[[#This Row],[time]]="","","kWh")</f>
        <v>kWh</v>
      </c>
      <c r="J70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70" s="10" t="str">
        <f>'calculation_arguments'!H68</f>
        <v>2023-02-03 16:00:00</v>
      </c>
      <c r="L70" s="10" t="str">
        <f>IF(OutPut[[#This Row],[time]]="","","PT1H")</f>
        <v>PT1H</v>
      </c>
      <c r="M70" s="10" t="str">
        <f>IF(OutPut[[#This Row],[time]]="","",$F$3)</f>
        <v>production</v>
      </c>
      <c r="N70" s="11" t="str">
        <f>IF(OutPut[[#This Row],[time]]="","",IF($H$3="","",$H$3))</f>
        <v/>
      </c>
      <c r="O70" s="11" t="str" cm="1">
        <f t="array" ref="O70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70" s="11" t="str">
        <f>IFERROR(SUBSTITUTE(SUBSTITUTE(OutPut[[#This Row],[price]],".",",")*SUBSTITUTE(OutPut[[#This Row],[quantity]],".",","),",","."),"")</f>
        <v/>
      </c>
      <c r="Q70" s="10" t="str">
        <f>IF(OutPut[[#This Row],[time]]="","",VLOOKUP(C$3,charge_price_information_periods[],5,FALSE))</f>
        <v>false</v>
      </c>
      <c r="R70" s="10" t="str">
        <f>IF(OutPut[[#This Row],[time]]="","",$C$3)</f>
        <v>tariff-hourly-3</v>
      </c>
      <c r="S70" s="10" t="str">
        <f>IF(OutPut[[#This Row],[time]]="","","tariff")</f>
        <v>tariff</v>
      </c>
      <c r="T70" s="10" t="str">
        <f>IF(OutPut[[#This Row],[time]]="","",$D$3)</f>
        <v>0000000000800</v>
      </c>
      <c r="U70" s="10" t="str">
        <f>IF(OutPut[[#This Row],[time]]="","","amount_per_charge")</f>
        <v>amount_per_charge</v>
      </c>
    </row>
    <row r="71" spans="2:27" x14ac:dyDescent="0.35">
      <c r="B71" s="10" t="str">
        <f>IF(OutPut[[#This Row],[time]]="","",CalculationId)</f>
        <v>0b15a420-9fc8-409a-a169-fbd49479d718</v>
      </c>
      <c r="C71" s="10" t="str">
        <f>IF(OutPut[[#This Row],[time]]="","",CalculationType)</f>
        <v>wholesale_fixing</v>
      </c>
      <c r="D71" s="10" t="str">
        <f>IF(OutPut[[#This Row],[time]]="","",CalculationExecutionTimeStart)</f>
        <v>2024-01-01 23:00:00</v>
      </c>
      <c r="E71" s="10" t="str">
        <f>IF(OutPut[[#This Row],[time]]="","","IGNORED")</f>
        <v>IGNORED</v>
      </c>
      <c r="F71" s="10" t="str">
        <f>IF(OutPut[[#This Row],[time]]="","",G$3)</f>
        <v>800</v>
      </c>
      <c r="G71" s="10" t="str">
        <f>IF(OutPut[[#This Row],[time]]="","",$E$3)</f>
        <v>2000000000000</v>
      </c>
      <c r="H71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71" s="10" t="str">
        <f>IF(OutPut[[#This Row],[time]]="","","kWh")</f>
        <v>kWh</v>
      </c>
      <c r="J71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71" s="10" t="str">
        <f>'calculation_arguments'!H69</f>
        <v>2023-02-03 17:00:00</v>
      </c>
      <c r="L71" s="10" t="str">
        <f>IF(OutPut[[#This Row],[time]]="","","PT1H")</f>
        <v>PT1H</v>
      </c>
      <c r="M71" s="10" t="str">
        <f>IF(OutPut[[#This Row],[time]]="","",$F$3)</f>
        <v>production</v>
      </c>
      <c r="N71" s="11" t="str">
        <f>IF(OutPut[[#This Row],[time]]="","",IF($H$3="","",$H$3))</f>
        <v/>
      </c>
      <c r="O71" s="11" t="str" cm="1">
        <f t="array" ref="O71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71" s="11" t="str">
        <f>IFERROR(SUBSTITUTE(SUBSTITUTE(OutPut[[#This Row],[price]],".",",")*SUBSTITUTE(OutPut[[#This Row],[quantity]],".",","),",","."),"")</f>
        <v/>
      </c>
      <c r="Q71" s="10" t="str">
        <f>IF(OutPut[[#This Row],[time]]="","",VLOOKUP(C$3,charge_price_information_periods[],5,FALSE))</f>
        <v>false</v>
      </c>
      <c r="R71" s="10" t="str">
        <f>IF(OutPut[[#This Row],[time]]="","",$C$3)</f>
        <v>tariff-hourly-3</v>
      </c>
      <c r="S71" s="10" t="str">
        <f>IF(OutPut[[#This Row],[time]]="","","tariff")</f>
        <v>tariff</v>
      </c>
      <c r="T71" s="10" t="str">
        <f>IF(OutPut[[#This Row],[time]]="","",$D$3)</f>
        <v>0000000000800</v>
      </c>
      <c r="U71" s="10" t="str">
        <f>IF(OutPut[[#This Row],[time]]="","","amount_per_charge")</f>
        <v>amount_per_charge</v>
      </c>
    </row>
    <row r="72" spans="2:27" x14ac:dyDescent="0.35">
      <c r="B72" s="10" t="str">
        <f>IF(OutPut[[#This Row],[time]]="","",CalculationId)</f>
        <v>0b15a420-9fc8-409a-a169-fbd49479d718</v>
      </c>
      <c r="C72" s="10" t="str">
        <f>IF(OutPut[[#This Row],[time]]="","",CalculationType)</f>
        <v>wholesale_fixing</v>
      </c>
      <c r="D72" s="10" t="str">
        <f>IF(OutPut[[#This Row],[time]]="","",CalculationExecutionTimeStart)</f>
        <v>2024-01-01 23:00:00</v>
      </c>
      <c r="E72" s="10" t="str">
        <f>IF(OutPut[[#This Row],[time]]="","","IGNORED")</f>
        <v>IGNORED</v>
      </c>
      <c r="F72" s="10" t="str">
        <f>IF(OutPut[[#This Row],[time]]="","",G$3)</f>
        <v>800</v>
      </c>
      <c r="G72" s="10" t="str">
        <f>IF(OutPut[[#This Row],[time]]="","",$E$3)</f>
        <v>2000000000000</v>
      </c>
      <c r="H72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72" s="10" t="str">
        <f>IF(OutPut[[#This Row],[time]]="","","kWh")</f>
        <v>kWh</v>
      </c>
      <c r="J72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72" s="10" t="str">
        <f>'calculation_arguments'!H70</f>
        <v>2023-02-03 18:00:00</v>
      </c>
      <c r="L72" s="10" t="str">
        <f>IF(OutPut[[#This Row],[time]]="","","PT1H")</f>
        <v>PT1H</v>
      </c>
      <c r="M72" s="10" t="str">
        <f>IF(OutPut[[#This Row],[time]]="","",$F$3)</f>
        <v>production</v>
      </c>
      <c r="N72" s="11" t="str">
        <f>IF(OutPut[[#This Row],[time]]="","",IF($H$3="","",$H$3))</f>
        <v/>
      </c>
      <c r="O72" s="11" t="str" cm="1">
        <f t="array" ref="O72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72" s="11" t="str">
        <f>IFERROR(SUBSTITUTE(SUBSTITUTE(OutPut[[#This Row],[price]],".",",")*SUBSTITUTE(OutPut[[#This Row],[quantity]],".",","),",","."),"")</f>
        <v/>
      </c>
      <c r="Q72" s="10" t="str">
        <f>IF(OutPut[[#This Row],[time]]="","",VLOOKUP(C$3,charge_price_information_periods[],5,FALSE))</f>
        <v>false</v>
      </c>
      <c r="R72" s="10" t="str">
        <f>IF(OutPut[[#This Row],[time]]="","",$C$3)</f>
        <v>tariff-hourly-3</v>
      </c>
      <c r="S72" s="10" t="str">
        <f>IF(OutPut[[#This Row],[time]]="","","tariff")</f>
        <v>tariff</v>
      </c>
      <c r="T72" s="10" t="str">
        <f>IF(OutPut[[#This Row],[time]]="","",$D$3)</f>
        <v>0000000000800</v>
      </c>
      <c r="U72" s="10" t="str">
        <f>IF(OutPut[[#This Row],[time]]="","","amount_per_charge")</f>
        <v>amount_per_charge</v>
      </c>
    </row>
    <row r="73" spans="2:27" x14ac:dyDescent="0.35">
      <c r="B73" s="10" t="str">
        <f>IF(OutPut[[#This Row],[time]]="","",CalculationId)</f>
        <v>0b15a420-9fc8-409a-a169-fbd49479d718</v>
      </c>
      <c r="C73" s="10" t="str">
        <f>IF(OutPut[[#This Row],[time]]="","",CalculationType)</f>
        <v>wholesale_fixing</v>
      </c>
      <c r="D73" s="10" t="str">
        <f>IF(OutPut[[#This Row],[time]]="","",CalculationExecutionTimeStart)</f>
        <v>2024-01-01 23:00:00</v>
      </c>
      <c r="E73" s="10" t="str">
        <f>IF(OutPut[[#This Row],[time]]="","","IGNORED")</f>
        <v>IGNORED</v>
      </c>
      <c r="F73" s="10" t="str">
        <f>IF(OutPut[[#This Row],[time]]="","",G$3)</f>
        <v>800</v>
      </c>
      <c r="G73" s="10" t="str">
        <f>IF(OutPut[[#This Row],[time]]="","",$E$3)</f>
        <v>2000000000000</v>
      </c>
      <c r="H73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73" s="10" t="str">
        <f>IF(OutPut[[#This Row],[time]]="","","kWh")</f>
        <v>kWh</v>
      </c>
      <c r="J73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73" s="10" t="str">
        <f>'calculation_arguments'!H71</f>
        <v>2023-02-03 19:00:00</v>
      </c>
      <c r="L73" s="10" t="str">
        <f>IF(OutPut[[#This Row],[time]]="","","PT1H")</f>
        <v>PT1H</v>
      </c>
      <c r="M73" s="10" t="str">
        <f>IF(OutPut[[#This Row],[time]]="","",$F$3)</f>
        <v>production</v>
      </c>
      <c r="N73" s="11" t="str">
        <f>IF(OutPut[[#This Row],[time]]="","",IF($H$3="","",$H$3))</f>
        <v/>
      </c>
      <c r="O73" s="11" t="str" cm="1">
        <f t="array" ref="O73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73" s="11" t="str">
        <f>IFERROR(SUBSTITUTE(SUBSTITUTE(OutPut[[#This Row],[price]],".",",")*SUBSTITUTE(OutPut[[#This Row],[quantity]],".",","),",","."),"")</f>
        <v/>
      </c>
      <c r="Q73" s="10" t="str">
        <f>IF(OutPut[[#This Row],[time]]="","",VLOOKUP(C$3,charge_price_information_periods[],5,FALSE))</f>
        <v>false</v>
      </c>
      <c r="R73" s="10" t="str">
        <f>IF(OutPut[[#This Row],[time]]="","",$C$3)</f>
        <v>tariff-hourly-3</v>
      </c>
      <c r="S73" s="10" t="str">
        <f>IF(OutPut[[#This Row],[time]]="","","tariff")</f>
        <v>tariff</v>
      </c>
      <c r="T73" s="10" t="str">
        <f>IF(OutPut[[#This Row],[time]]="","",$D$3)</f>
        <v>0000000000800</v>
      </c>
      <c r="U73" s="10" t="str">
        <f>IF(OutPut[[#This Row],[time]]="","","amount_per_charge")</f>
        <v>amount_per_charge</v>
      </c>
    </row>
    <row r="74" spans="2:27" x14ac:dyDescent="0.35">
      <c r="B74" s="10" t="str">
        <f>IF(OutPut[[#This Row],[time]]="","",CalculationId)</f>
        <v>0b15a420-9fc8-409a-a169-fbd49479d718</v>
      </c>
      <c r="C74" s="10" t="str">
        <f>IF(OutPut[[#This Row],[time]]="","",CalculationType)</f>
        <v>wholesale_fixing</v>
      </c>
      <c r="D74" s="10" t="str">
        <f>IF(OutPut[[#This Row],[time]]="","",CalculationExecutionTimeStart)</f>
        <v>2024-01-01 23:00:00</v>
      </c>
      <c r="E74" s="10" t="str">
        <f>IF(OutPut[[#This Row],[time]]="","","IGNORED")</f>
        <v>IGNORED</v>
      </c>
      <c r="F74" s="10" t="str">
        <f>IF(OutPut[[#This Row],[time]]="","",G$3)</f>
        <v>800</v>
      </c>
      <c r="G74" s="10" t="str">
        <f>IF(OutPut[[#This Row],[time]]="","",$E$3)</f>
        <v>2000000000000</v>
      </c>
      <c r="H74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74" s="10" t="str">
        <f>IF(OutPut[[#This Row],[time]]="","","kWh")</f>
        <v>kWh</v>
      </c>
      <c r="J74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74" s="10" t="str">
        <f>'calculation_arguments'!H72</f>
        <v>2023-02-03 20:00:00</v>
      </c>
      <c r="L74" s="10" t="str">
        <f>IF(OutPut[[#This Row],[time]]="","","PT1H")</f>
        <v>PT1H</v>
      </c>
      <c r="M74" s="10" t="str">
        <f>IF(OutPut[[#This Row],[time]]="","",$F$3)</f>
        <v>production</v>
      </c>
      <c r="N74" s="11" t="str">
        <f>IF(OutPut[[#This Row],[time]]="","",IF($H$3="","",$H$3))</f>
        <v/>
      </c>
      <c r="O74" s="11" t="str" cm="1">
        <f t="array" ref="O74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74" s="11" t="str">
        <f>IFERROR(SUBSTITUTE(SUBSTITUTE(OutPut[[#This Row],[price]],".",",")*SUBSTITUTE(OutPut[[#This Row],[quantity]],".",","),",","."),"")</f>
        <v/>
      </c>
      <c r="Q74" s="10" t="str">
        <f>IF(OutPut[[#This Row],[time]]="","",VLOOKUP(C$3,charge_price_information_periods[],5,FALSE))</f>
        <v>false</v>
      </c>
      <c r="R74" s="10" t="str">
        <f>IF(OutPut[[#This Row],[time]]="","",$C$3)</f>
        <v>tariff-hourly-3</v>
      </c>
      <c r="S74" s="10" t="str">
        <f>IF(OutPut[[#This Row],[time]]="","","tariff")</f>
        <v>tariff</v>
      </c>
      <c r="T74" s="10" t="str">
        <f>IF(OutPut[[#This Row],[time]]="","",$D$3)</f>
        <v>0000000000800</v>
      </c>
      <c r="U74" s="10" t="str">
        <f>IF(OutPut[[#This Row],[time]]="","","amount_per_charge")</f>
        <v>amount_per_charge</v>
      </c>
    </row>
    <row r="75" spans="2:27" x14ac:dyDescent="0.35">
      <c r="B75" s="10" t="str">
        <f>IF(OutPut[[#This Row],[time]]="","",CalculationId)</f>
        <v>0b15a420-9fc8-409a-a169-fbd49479d718</v>
      </c>
      <c r="C75" s="10" t="str">
        <f>IF(OutPut[[#This Row],[time]]="","",CalculationType)</f>
        <v>wholesale_fixing</v>
      </c>
      <c r="D75" s="10" t="str">
        <f>IF(OutPut[[#This Row],[time]]="","",CalculationExecutionTimeStart)</f>
        <v>2024-01-01 23:00:00</v>
      </c>
      <c r="E75" s="10" t="str">
        <f>IF(OutPut[[#This Row],[time]]="","","IGNORED")</f>
        <v>IGNORED</v>
      </c>
      <c r="F75" s="10" t="str">
        <f>IF(OutPut[[#This Row],[time]]="","",G$3)</f>
        <v>800</v>
      </c>
      <c r="G75" s="10" t="str">
        <f>IF(OutPut[[#This Row],[time]]="","",$E$3)</f>
        <v>2000000000000</v>
      </c>
      <c r="H75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75" s="10" t="str">
        <f>IF(OutPut[[#This Row],[time]]="","","kWh")</f>
        <v>kWh</v>
      </c>
      <c r="J75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75" s="10" t="str">
        <f>'calculation_arguments'!H73</f>
        <v>2023-02-03 21:00:00</v>
      </c>
      <c r="L75" s="10" t="str">
        <f>IF(OutPut[[#This Row],[time]]="","","PT1H")</f>
        <v>PT1H</v>
      </c>
      <c r="M75" s="10" t="str">
        <f>IF(OutPut[[#This Row],[time]]="","",$F$3)</f>
        <v>production</v>
      </c>
      <c r="N75" s="11" t="str">
        <f>IF(OutPut[[#This Row],[time]]="","",IF($H$3="","",$H$3))</f>
        <v/>
      </c>
      <c r="O75" s="11" t="str" cm="1">
        <f t="array" ref="O75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75" s="11" t="str">
        <f>IFERROR(SUBSTITUTE(SUBSTITUTE(OutPut[[#This Row],[price]],".",",")*SUBSTITUTE(OutPut[[#This Row],[quantity]],".",","),",","."),"")</f>
        <v/>
      </c>
      <c r="Q75" s="10" t="str">
        <f>IF(OutPut[[#This Row],[time]]="","",VLOOKUP(C$3,charge_price_information_periods[],5,FALSE))</f>
        <v>false</v>
      </c>
      <c r="R75" s="10" t="str">
        <f>IF(OutPut[[#This Row],[time]]="","",$C$3)</f>
        <v>tariff-hourly-3</v>
      </c>
      <c r="S75" s="10" t="str">
        <f>IF(OutPut[[#This Row],[time]]="","","tariff")</f>
        <v>tariff</v>
      </c>
      <c r="T75" s="10" t="str">
        <f>IF(OutPut[[#This Row],[time]]="","",$D$3)</f>
        <v>0000000000800</v>
      </c>
      <c r="U75" s="10" t="str">
        <f>IF(OutPut[[#This Row],[time]]="","","amount_per_charge")</f>
        <v>amount_per_charge</v>
      </c>
    </row>
    <row r="76" spans="2:27" x14ac:dyDescent="0.35">
      <c r="B76" s="10" t="str">
        <f>IF(OutPut[[#This Row],[time]]="","",CalculationId)</f>
        <v>0b15a420-9fc8-409a-a169-fbd49479d718</v>
      </c>
      <c r="C76" s="10" t="str">
        <f>IF(OutPut[[#This Row],[time]]="","",CalculationType)</f>
        <v>wholesale_fixing</v>
      </c>
      <c r="D76" s="10" t="str">
        <f>IF(OutPut[[#This Row],[time]]="","",CalculationExecutionTimeStart)</f>
        <v>2024-01-01 23:00:00</v>
      </c>
      <c r="E76" s="10" t="str">
        <f>IF(OutPut[[#This Row],[time]]="","","IGNORED")</f>
        <v>IGNORED</v>
      </c>
      <c r="F76" s="10" t="str">
        <f>IF(OutPut[[#This Row],[time]]="","",G$3)</f>
        <v>800</v>
      </c>
      <c r="G76" s="10" t="str">
        <f>IF(OutPut[[#This Row],[time]]="","",$E$3)</f>
        <v>2000000000000</v>
      </c>
      <c r="H76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>0</v>
      </c>
      <c r="I76" s="10" t="str">
        <f>IF(OutPut[[#This Row],[time]]="","","kWh")</f>
        <v>kWh</v>
      </c>
      <c r="J76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>['missing']</v>
      </c>
      <c r="K76" s="10" t="str">
        <f>'calculation_arguments'!H74</f>
        <v>2023-02-03 22:00:00</v>
      </c>
      <c r="L76" s="10" t="str">
        <f>IF(OutPut[[#This Row],[time]]="","","PT1H")</f>
        <v>PT1H</v>
      </c>
      <c r="M76" s="10" t="str">
        <f>IF(OutPut[[#This Row],[time]]="","",$F$3)</f>
        <v>production</v>
      </c>
      <c r="N76" s="11" t="str">
        <f>IF(OutPut[[#This Row],[time]]="","",IF($H$3="","",$H$3))</f>
        <v/>
      </c>
      <c r="O76" s="11" t="str" cm="1">
        <f t="array" ref="O76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76" s="11" t="str">
        <f>IFERROR(SUBSTITUTE(SUBSTITUTE(OutPut[[#This Row],[price]],".",",")*SUBSTITUTE(OutPut[[#This Row],[quantity]],".",","),",","."),"")</f>
        <v/>
      </c>
      <c r="Q76" s="10" t="str">
        <f>IF(OutPut[[#This Row],[time]]="","",VLOOKUP(C$3,charge_price_information_periods[],5,FALSE))</f>
        <v>false</v>
      </c>
      <c r="R76" s="10" t="str">
        <f>IF(OutPut[[#This Row],[time]]="","",$C$3)</f>
        <v>tariff-hourly-3</v>
      </c>
      <c r="S76" s="10" t="str">
        <f>IF(OutPut[[#This Row],[time]]="","","tariff")</f>
        <v>tariff</v>
      </c>
      <c r="T76" s="10" t="str">
        <f>IF(OutPut[[#This Row],[time]]="","",$D$3)</f>
        <v>0000000000800</v>
      </c>
      <c r="U76" s="10" t="str">
        <f>IF(OutPut[[#This Row],[time]]="","","amount_per_charge")</f>
        <v>amount_per_charge</v>
      </c>
    </row>
    <row r="77" spans="2:27" x14ac:dyDescent="0.35">
      <c r="B77" s="10" t="str">
        <f>IF(OutPut[[#This Row],[time]]="","",CalculationId)</f>
        <v/>
      </c>
      <c r="C77" s="10" t="str">
        <f>IF(OutPut[[#This Row],[time]]="","",CalculationType)</f>
        <v/>
      </c>
      <c r="D77" s="10" t="str">
        <f>IF(OutPut[[#This Row],[time]]="","",CalculationExecutionTimeStart)</f>
        <v/>
      </c>
      <c r="E77" s="10" t="str">
        <f>IF(OutPut[[#This Row],[time]]="","","IGNORED")</f>
        <v/>
      </c>
      <c r="F77" s="10" t="str">
        <f>IF(OutPut[[#This Row],[time]]="","",G$3)</f>
        <v/>
      </c>
      <c r="G77" s="10" t="str">
        <f>IF(OutPut[[#This Row],[time]]="","",$E$3)</f>
        <v/>
      </c>
      <c r="H77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/>
      </c>
      <c r="I77" s="10" t="str">
        <f>IF(OutPut[[#This Row],[time]]="","","kWh")</f>
        <v/>
      </c>
      <c r="J77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/>
      </c>
      <c r="K77" s="10" t="str">
        <f>'calculation_arguments'!H75</f>
        <v/>
      </c>
      <c r="L77" s="10" t="str">
        <f>IF(OutPut[[#This Row],[time]]="","","PT1H")</f>
        <v/>
      </c>
      <c r="M77" s="10" t="str">
        <f>IF(OutPut[[#This Row],[time]]="","",$F$3)</f>
        <v/>
      </c>
      <c r="N77" s="11" t="str">
        <f>IF(OutPut[[#This Row],[time]]="","",IF($H$3="","",$H$3))</f>
        <v/>
      </c>
      <c r="O77" s="11" t="str" cm="1">
        <f t="array" ref="O77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77" s="11" t="str">
        <f>IFERROR(SUBSTITUTE(SUBSTITUTE(OutPut[[#This Row],[price]],".",",")*SUBSTITUTE(OutPut[[#This Row],[quantity]],".",","),",","."),"")</f>
        <v/>
      </c>
      <c r="Q77" s="10" t="str">
        <f>IF(OutPut[[#This Row],[time]]="","",VLOOKUP(C$3,charge_price_information_periods[],5,FALSE))</f>
        <v/>
      </c>
      <c r="R77" s="10" t="str">
        <f>IF(OutPut[[#This Row],[time]]="","",$C$3)</f>
        <v/>
      </c>
      <c r="S77" s="10" t="str">
        <f>IF(OutPut[[#This Row],[time]]="","","tariff")</f>
        <v/>
      </c>
      <c r="T77" s="10" t="str">
        <f>IF(OutPut[[#This Row],[time]]="","",$D$3)</f>
        <v/>
      </c>
      <c r="U77" s="10" t="str">
        <f>IF(OutPut[[#This Row],[time]]="","","amount_per_charge")</f>
        <v/>
      </c>
    </row>
    <row r="78" spans="2:27" x14ac:dyDescent="0.35">
      <c r="B78" s="10" t="str">
        <f>IF(OutPut[[#This Row],[time]]="","",CalculationId)</f>
        <v/>
      </c>
      <c r="C78" s="10" t="str">
        <f>IF(OutPut[[#This Row],[time]]="","",CalculationType)</f>
        <v/>
      </c>
      <c r="D78" s="10" t="str">
        <f>IF(OutPut[[#This Row],[time]]="","",CalculationExecutionTimeStart)</f>
        <v/>
      </c>
      <c r="E78" s="10" t="str">
        <f>IF(OutPut[[#This Row],[time]]="","","IGNORED")</f>
        <v/>
      </c>
      <c r="F78" s="10" t="str">
        <f>IF(OutPut[[#This Row],[time]]="","",G$3)</f>
        <v/>
      </c>
      <c r="G78" s="10" t="str">
        <f>IF(OutPut[[#This Row],[time]]="","",$E$3)</f>
        <v/>
      </c>
      <c r="H78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/>
      </c>
      <c r="I78" s="10" t="str">
        <f>IF(OutPut[[#This Row],[time]]="","","kWh")</f>
        <v/>
      </c>
      <c r="J78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/>
      </c>
      <c r="K78" s="10" t="str">
        <f>'calculation_arguments'!H76</f>
        <v/>
      </c>
      <c r="L78" s="10" t="str">
        <f>IF(OutPut[[#This Row],[time]]="","","PT1H")</f>
        <v/>
      </c>
      <c r="M78" s="10" t="str">
        <f>IF(OutPut[[#This Row],[time]]="","",$F$3)</f>
        <v/>
      </c>
      <c r="N78" s="11" t="str">
        <f>IF(OutPut[[#This Row],[time]]="","",IF($H$3="","",$H$3))</f>
        <v/>
      </c>
      <c r="O78" s="11" t="str" cm="1">
        <f t="array" ref="O78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78" s="11" t="str">
        <f>IFERROR(SUBSTITUTE(SUBSTITUTE(OutPut[[#This Row],[price]],".",",")*SUBSTITUTE(OutPut[[#This Row],[quantity]],".",","),",","."),"")</f>
        <v/>
      </c>
      <c r="Q78" s="10" t="str">
        <f>IF(OutPut[[#This Row],[time]]="","",VLOOKUP(C$3,charge_price_information_periods[],5,FALSE))</f>
        <v/>
      </c>
      <c r="R78" s="10" t="str">
        <f>IF(OutPut[[#This Row],[time]]="","",$C$3)</f>
        <v/>
      </c>
      <c r="S78" s="10" t="str">
        <f>IF(OutPut[[#This Row],[time]]="","","tariff")</f>
        <v/>
      </c>
      <c r="T78" s="10" t="str">
        <f>IF(OutPut[[#This Row],[time]]="","",$D$3)</f>
        <v/>
      </c>
      <c r="U78" s="10" t="str">
        <f>IF(OutPut[[#This Row],[time]]="","","amount_per_charge")</f>
        <v/>
      </c>
    </row>
    <row r="79" spans="2:27" x14ac:dyDescent="0.35">
      <c r="B79" s="10" t="str">
        <f>IF(OutPut[[#This Row],[time]]="","",CalculationId)</f>
        <v/>
      </c>
      <c r="C79" s="10" t="str">
        <f>IF(OutPut[[#This Row],[time]]="","",CalculationType)</f>
        <v/>
      </c>
      <c r="D79" s="10" t="str">
        <f>IF(OutPut[[#This Row],[time]]="","",CalculationExecutionTimeStart)</f>
        <v/>
      </c>
      <c r="E79" s="10" t="str">
        <f>IF(OutPut[[#This Row],[time]]="","","IGNORED")</f>
        <v/>
      </c>
      <c r="F79" s="10" t="str">
        <f>IF(OutPut[[#This Row],[time]]="","",G$3)</f>
        <v/>
      </c>
      <c r="G79" s="10" t="str">
        <f>IF(OutPut[[#This Row],[time]]="","",$E$3)</f>
        <v/>
      </c>
      <c r="H79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/>
      </c>
      <c r="I79" s="10" t="str">
        <f>IF(OutPut[[#This Row],[time]]="","","kWh")</f>
        <v/>
      </c>
      <c r="J79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/>
      </c>
      <c r="K79" s="10" t="str">
        <f>'calculation_arguments'!H77</f>
        <v/>
      </c>
      <c r="L79" s="10" t="str">
        <f>IF(OutPut[[#This Row],[time]]="","","PT1H")</f>
        <v/>
      </c>
      <c r="M79" s="10" t="str">
        <f>IF(OutPut[[#This Row],[time]]="","",$F$3)</f>
        <v/>
      </c>
      <c r="N79" s="11" t="str">
        <f>IF(OutPut[[#This Row],[time]]="","",IF($H$3="","",$H$3))</f>
        <v/>
      </c>
      <c r="O79" s="11" t="str" cm="1">
        <f t="array" ref="O79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79" s="11" t="str">
        <f>IFERROR(SUBSTITUTE(SUBSTITUTE(OutPut[[#This Row],[price]],".",",")*SUBSTITUTE(OutPut[[#This Row],[quantity]],".",","),",","."),"")</f>
        <v/>
      </c>
      <c r="Q79" s="10" t="str">
        <f>IF(OutPut[[#This Row],[time]]="","",VLOOKUP(C$3,charge_price_information_periods[],5,FALSE))</f>
        <v/>
      </c>
      <c r="R79" s="10" t="str">
        <f>IF(OutPut[[#This Row],[time]]="","",$C$3)</f>
        <v/>
      </c>
      <c r="S79" s="10" t="str">
        <f>IF(OutPut[[#This Row],[time]]="","","tariff")</f>
        <v/>
      </c>
      <c r="T79" s="10" t="str">
        <f>IF(OutPut[[#This Row],[time]]="","",$D$3)</f>
        <v/>
      </c>
      <c r="U79" s="10" t="str">
        <f>IF(OutPut[[#This Row],[time]]="","","amount_per_charge")</f>
        <v/>
      </c>
    </row>
    <row r="80" spans="2:27" x14ac:dyDescent="0.35">
      <c r="B80" s="10" t="str">
        <f>IF(OutPut[[#This Row],[time]]="","",CalculationId)</f>
        <v/>
      </c>
      <c r="C80" s="10" t="str">
        <f>IF(OutPut[[#This Row],[time]]="","",CalculationType)</f>
        <v/>
      </c>
      <c r="D80" s="10" t="str">
        <f>IF(OutPut[[#This Row],[time]]="","",CalculationExecutionTimeStart)</f>
        <v/>
      </c>
      <c r="E80" s="10" t="str">
        <f>IF(OutPut[[#This Row],[time]]="","","IGNORED")</f>
        <v/>
      </c>
      <c r="F80" s="10" t="str">
        <f>IF(OutPut[[#This Row],[time]]="","",G$3)</f>
        <v/>
      </c>
      <c r="G80" s="10" t="str">
        <f>IF(OutPut[[#This Row],[time]]="","",$E$3)</f>
        <v/>
      </c>
      <c r="H80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/>
      </c>
      <c r="I80" s="10" t="str">
        <f>IF(OutPut[[#This Row],[time]]="","","kWh")</f>
        <v/>
      </c>
      <c r="J80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/>
      </c>
      <c r="K80" s="10" t="str">
        <f>'calculation_arguments'!H78</f>
        <v/>
      </c>
      <c r="L80" s="10" t="str">
        <f>IF(OutPut[[#This Row],[time]]="","","PT1H")</f>
        <v/>
      </c>
      <c r="M80" s="10" t="str">
        <f>IF(OutPut[[#This Row],[time]]="","",$F$3)</f>
        <v/>
      </c>
      <c r="N80" s="11" t="str">
        <f>IF(OutPut[[#This Row],[time]]="","",IF($H$3="","",$H$3))</f>
        <v/>
      </c>
      <c r="O80" s="11" t="str" cm="1">
        <f t="array" ref="O80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80" s="11" t="str">
        <f>IFERROR(SUBSTITUTE(SUBSTITUTE(OutPut[[#This Row],[price]],".",",")*SUBSTITUTE(OutPut[[#This Row],[quantity]],".",","),",","."),"")</f>
        <v/>
      </c>
      <c r="Q80" s="10" t="str">
        <f>IF(OutPut[[#This Row],[time]]="","",VLOOKUP(C$3,charge_price_information_periods[],5,FALSE))</f>
        <v/>
      </c>
      <c r="R80" s="10" t="str">
        <f>IF(OutPut[[#This Row],[time]]="","",$C$3)</f>
        <v/>
      </c>
      <c r="S80" s="10" t="str">
        <f>IF(OutPut[[#This Row],[time]]="","","tariff")</f>
        <v/>
      </c>
      <c r="T80" s="10" t="str">
        <f>IF(OutPut[[#This Row],[time]]="","",$D$3)</f>
        <v/>
      </c>
      <c r="U80" s="10" t="str">
        <f>IF(OutPut[[#This Row],[time]]="","","amount_per_charge")</f>
        <v/>
      </c>
    </row>
    <row r="81" spans="2:21" x14ac:dyDescent="0.35">
      <c r="B81" s="10" t="str">
        <f>IF(OutPut[[#This Row],[time]]="","",CalculationId)</f>
        <v/>
      </c>
      <c r="C81" s="10" t="str">
        <f>IF(OutPut[[#This Row],[time]]="","",CalculationType)</f>
        <v/>
      </c>
      <c r="D81" s="10" t="str">
        <f>IF(OutPut[[#This Row],[time]]="","",CalculationExecutionTimeStart)</f>
        <v/>
      </c>
      <c r="E81" s="10" t="str">
        <f>IF(OutPut[[#This Row],[time]]="","","IGNORED")</f>
        <v/>
      </c>
      <c r="F81" s="10" t="str">
        <f>IF(OutPut[[#This Row],[time]]="","",G$3)</f>
        <v/>
      </c>
      <c r="G81" s="10" t="str">
        <f>IF(OutPut[[#This Row],[time]]="","",$E$3)</f>
        <v/>
      </c>
      <c r="H81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/>
      </c>
      <c r="I81" s="10" t="str">
        <f>IF(OutPut[[#This Row],[time]]="","","kWh")</f>
        <v/>
      </c>
      <c r="J81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/>
      </c>
      <c r="K81" s="10" t="str">
        <f>'calculation_arguments'!H79</f>
        <v/>
      </c>
      <c r="L81" s="10" t="str">
        <f>IF(OutPut[[#This Row],[time]]="","","PT1H")</f>
        <v/>
      </c>
      <c r="M81" s="10" t="str">
        <f>IF(OutPut[[#This Row],[time]]="","",$F$3)</f>
        <v/>
      </c>
      <c r="N81" s="11" t="str">
        <f>IF(OutPut[[#This Row],[time]]="","",IF($H$3="","",$H$3))</f>
        <v/>
      </c>
      <c r="O81" s="11" t="str" cm="1">
        <f t="array" ref="O81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81" s="11" t="str">
        <f>IFERROR(SUBSTITUTE(SUBSTITUTE(OutPut[[#This Row],[price]],".",",")*SUBSTITUTE(OutPut[[#This Row],[quantity]],".",","),",","."),"")</f>
        <v/>
      </c>
      <c r="Q81" s="10" t="str">
        <f>IF(OutPut[[#This Row],[time]]="","",VLOOKUP(C$3,charge_price_information_periods[],5,FALSE))</f>
        <v/>
      </c>
      <c r="R81" s="10" t="str">
        <f>IF(OutPut[[#This Row],[time]]="","",$C$3)</f>
        <v/>
      </c>
      <c r="S81" s="10" t="str">
        <f>IF(OutPut[[#This Row],[time]]="","","tariff")</f>
        <v/>
      </c>
      <c r="T81" s="10" t="str">
        <f>IF(OutPut[[#This Row],[time]]="","",$D$3)</f>
        <v/>
      </c>
      <c r="U81" s="10" t="str">
        <f>IF(OutPut[[#This Row],[time]]="","","amount_per_charge")</f>
        <v/>
      </c>
    </row>
    <row r="82" spans="2:21" x14ac:dyDescent="0.35">
      <c r="B82" s="10" t="str">
        <f>IF(OutPut[[#This Row],[time]]="","",CalculationId)</f>
        <v/>
      </c>
      <c r="C82" s="10" t="str">
        <f>IF(OutPut[[#This Row],[time]]="","",CalculationType)</f>
        <v/>
      </c>
      <c r="D82" s="10" t="str">
        <f>IF(OutPut[[#This Row],[time]]="","",CalculationExecutionTimeStart)</f>
        <v/>
      </c>
      <c r="E82" s="10" t="str">
        <f>IF(OutPut[[#This Row],[time]]="","","IGNORED")</f>
        <v/>
      </c>
      <c r="F82" s="10" t="str">
        <f>IF(OutPut[[#This Row],[time]]="","",G$3)</f>
        <v/>
      </c>
      <c r="G82" s="10" t="str">
        <f>IF(OutPut[[#This Row],[time]]="","",$E$3)</f>
        <v/>
      </c>
      <c r="H82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/>
      </c>
      <c r="I82" s="10" t="str">
        <f>IF(OutPut[[#This Row],[time]]="","","kWh")</f>
        <v/>
      </c>
      <c r="J82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/>
      </c>
      <c r="K82" s="10" t="str">
        <f>'calculation_arguments'!H80</f>
        <v/>
      </c>
      <c r="L82" s="10" t="str">
        <f>IF(OutPut[[#This Row],[time]]="","","PT1H")</f>
        <v/>
      </c>
      <c r="M82" s="10" t="str">
        <f>IF(OutPut[[#This Row],[time]]="","",$F$3)</f>
        <v/>
      </c>
      <c r="N82" s="11" t="str">
        <f>IF(OutPut[[#This Row],[time]]="","",IF($H$3="","",$H$3))</f>
        <v/>
      </c>
      <c r="O82" s="11" t="str" cm="1">
        <f t="array" ref="O82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82" s="11" t="str">
        <f>IFERROR(SUBSTITUTE(SUBSTITUTE(OutPut[[#This Row],[price]],".",",")*SUBSTITUTE(OutPut[[#This Row],[quantity]],".",","),",","."),"")</f>
        <v/>
      </c>
      <c r="Q82" s="10" t="str">
        <f>IF(OutPut[[#This Row],[time]]="","",VLOOKUP(C$3,charge_price_information_periods[],5,FALSE))</f>
        <v/>
      </c>
      <c r="R82" s="10" t="str">
        <f>IF(OutPut[[#This Row],[time]]="","",$C$3)</f>
        <v/>
      </c>
      <c r="S82" s="10" t="str">
        <f>IF(OutPut[[#This Row],[time]]="","","tariff")</f>
        <v/>
      </c>
      <c r="T82" s="10" t="str">
        <f>IF(OutPut[[#This Row],[time]]="","",$D$3)</f>
        <v/>
      </c>
      <c r="U82" s="10" t="str">
        <f>IF(OutPut[[#This Row],[time]]="","","amount_per_charge")</f>
        <v/>
      </c>
    </row>
    <row r="83" spans="2:21" x14ac:dyDescent="0.35">
      <c r="B83" s="10" t="str">
        <f>IF(OutPut[[#This Row],[time]]="","",CalculationId)</f>
        <v/>
      </c>
      <c r="C83" s="10" t="str">
        <f>IF(OutPut[[#This Row],[time]]="","",CalculationType)</f>
        <v/>
      </c>
      <c r="D83" s="10" t="str">
        <f>IF(OutPut[[#This Row],[time]]="","",CalculationExecutionTimeStart)</f>
        <v/>
      </c>
      <c r="E83" s="10" t="str">
        <f>IF(OutPut[[#This Row],[time]]="","","IGNORED")</f>
        <v/>
      </c>
      <c r="F83" s="10" t="str">
        <f>IF(OutPut[[#This Row],[time]]="","",G$3)</f>
        <v/>
      </c>
      <c r="G83" s="10" t="str">
        <f>IF(OutPut[[#This Row],[time]]="","",$E$3)</f>
        <v/>
      </c>
      <c r="H83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/>
      </c>
      <c r="I83" s="10" t="str">
        <f>IF(OutPut[[#This Row],[time]]="","","kWh")</f>
        <v/>
      </c>
      <c r="J83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/>
      </c>
      <c r="K83" s="10" t="str">
        <f>'calculation_arguments'!H81</f>
        <v/>
      </c>
      <c r="L83" s="10" t="str">
        <f>IF(OutPut[[#This Row],[time]]="","","PT1H")</f>
        <v/>
      </c>
      <c r="M83" s="10" t="str">
        <f>IF(OutPut[[#This Row],[time]]="","",$F$3)</f>
        <v/>
      </c>
      <c r="N83" s="11" t="str">
        <f>IF(OutPut[[#This Row],[time]]="","",IF($H$3="","",$H$3))</f>
        <v/>
      </c>
      <c r="O83" s="11" t="str" cm="1">
        <f t="array" ref="O83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83" s="11" t="str">
        <f>IFERROR(SUBSTITUTE(SUBSTITUTE(OutPut[[#This Row],[price]],".",",")*SUBSTITUTE(OutPut[[#This Row],[quantity]],".",","),",","."),"")</f>
        <v/>
      </c>
      <c r="Q83" s="10" t="str">
        <f>IF(OutPut[[#This Row],[time]]="","",VLOOKUP(C$3,charge_price_information_periods[],5,FALSE))</f>
        <v/>
      </c>
      <c r="R83" s="10" t="str">
        <f>IF(OutPut[[#This Row],[time]]="","",$C$3)</f>
        <v/>
      </c>
      <c r="S83" s="10" t="str">
        <f>IF(OutPut[[#This Row],[time]]="","","tariff")</f>
        <v/>
      </c>
      <c r="T83" s="10" t="str">
        <f>IF(OutPut[[#This Row],[time]]="","",$D$3)</f>
        <v/>
      </c>
      <c r="U83" s="10" t="str">
        <f>IF(OutPut[[#This Row],[time]]="","","amount_per_charge")</f>
        <v/>
      </c>
    </row>
    <row r="84" spans="2:21" x14ac:dyDescent="0.35">
      <c r="B84" s="10" t="str">
        <f>IF(OutPut[[#This Row],[time]]="","",CalculationId)</f>
        <v/>
      </c>
      <c r="C84" s="10" t="str">
        <f>IF(OutPut[[#This Row],[time]]="","",CalculationType)</f>
        <v/>
      </c>
      <c r="D84" s="10" t="str">
        <f>IF(OutPut[[#This Row],[time]]="","",CalculationExecutionTimeStart)</f>
        <v/>
      </c>
      <c r="E84" s="10" t="str">
        <f>IF(OutPut[[#This Row],[time]]="","","IGNORED")</f>
        <v/>
      </c>
      <c r="F84" s="10" t="str">
        <f>IF(OutPut[[#This Row],[time]]="","",G$3)</f>
        <v/>
      </c>
      <c r="G84" s="10" t="str">
        <f>IF(OutPut[[#This Row],[time]]="","",$E$3)</f>
        <v/>
      </c>
      <c r="H84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/>
      </c>
      <c r="I84" s="10" t="str">
        <f>IF(OutPut[[#This Row],[time]]="","","kWh")</f>
        <v/>
      </c>
      <c r="J84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/>
      </c>
      <c r="K84" s="10" t="str">
        <f>'calculation_arguments'!H82</f>
        <v/>
      </c>
      <c r="L84" s="10" t="str">
        <f>IF(OutPut[[#This Row],[time]]="","","PT1H")</f>
        <v/>
      </c>
      <c r="M84" s="10" t="str">
        <f>IF(OutPut[[#This Row],[time]]="","",$F$3)</f>
        <v/>
      </c>
      <c r="N84" s="11" t="str">
        <f>IF(OutPut[[#This Row],[time]]="","",IF($H$3="","",$H$3))</f>
        <v/>
      </c>
      <c r="O84" s="11" t="str" cm="1">
        <f t="array" ref="O84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84" s="11" t="str">
        <f>IFERROR(SUBSTITUTE(SUBSTITUTE(OutPut[[#This Row],[price]],".",",")*SUBSTITUTE(OutPut[[#This Row],[quantity]],".",","),",","."),"")</f>
        <v/>
      </c>
      <c r="Q84" s="10" t="str">
        <f>IF(OutPut[[#This Row],[time]]="","",VLOOKUP(C$3,charge_price_information_periods[],5,FALSE))</f>
        <v/>
      </c>
      <c r="R84" s="10" t="str">
        <f>IF(OutPut[[#This Row],[time]]="","",$C$3)</f>
        <v/>
      </c>
      <c r="S84" s="10" t="str">
        <f>IF(OutPut[[#This Row],[time]]="","","tariff")</f>
        <v/>
      </c>
      <c r="T84" s="10" t="str">
        <f>IF(OutPut[[#This Row],[time]]="","",$D$3)</f>
        <v/>
      </c>
      <c r="U84" s="10" t="str">
        <f>IF(OutPut[[#This Row],[time]]="","","amount_per_charge")</f>
        <v/>
      </c>
    </row>
    <row r="85" spans="2:21" x14ac:dyDescent="0.35">
      <c r="B85" s="10" t="str">
        <f>IF(OutPut[[#This Row],[time]]="","",CalculationId)</f>
        <v/>
      </c>
      <c r="C85" s="10" t="str">
        <f>IF(OutPut[[#This Row],[time]]="","",CalculationType)</f>
        <v/>
      </c>
      <c r="D85" s="10" t="str">
        <f>IF(OutPut[[#This Row],[time]]="","",CalculationExecutionTimeStart)</f>
        <v/>
      </c>
      <c r="E85" s="10" t="str">
        <f>IF(OutPut[[#This Row],[time]]="","","IGNORED")</f>
        <v/>
      </c>
      <c r="F85" s="10" t="str">
        <f>IF(OutPut[[#This Row],[time]]="","",G$3)</f>
        <v/>
      </c>
      <c r="G85" s="10" t="str">
        <f>IF(OutPut[[#This Row],[time]]="","",$E$3)</f>
        <v/>
      </c>
      <c r="H85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/>
      </c>
      <c r="I85" s="10" t="str">
        <f>IF(OutPut[[#This Row],[time]]="","","kWh")</f>
        <v/>
      </c>
      <c r="J85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/>
      </c>
      <c r="K85" s="10" t="str">
        <f>'calculation_arguments'!H83</f>
        <v/>
      </c>
      <c r="L85" s="10" t="str">
        <f>IF(OutPut[[#This Row],[time]]="","","PT1H")</f>
        <v/>
      </c>
      <c r="M85" s="10" t="str">
        <f>IF(OutPut[[#This Row],[time]]="","",$F$3)</f>
        <v/>
      </c>
      <c r="N85" s="11" t="str">
        <f>IF(OutPut[[#This Row],[time]]="","",IF($H$3="","",$H$3))</f>
        <v/>
      </c>
      <c r="O85" s="11" t="str" cm="1">
        <f t="array" ref="O85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85" s="11" t="str">
        <f>IFERROR(SUBSTITUTE(SUBSTITUTE(OutPut[[#This Row],[price]],".",",")*SUBSTITUTE(OutPut[[#This Row],[quantity]],".",","),",","."),"")</f>
        <v/>
      </c>
      <c r="Q85" s="10" t="str">
        <f>IF(OutPut[[#This Row],[time]]="","",VLOOKUP(C$3,charge_price_information_periods[],5,FALSE))</f>
        <v/>
      </c>
      <c r="R85" s="10" t="str">
        <f>IF(OutPut[[#This Row],[time]]="","",$C$3)</f>
        <v/>
      </c>
      <c r="S85" s="10" t="str">
        <f>IF(OutPut[[#This Row],[time]]="","","tariff")</f>
        <v/>
      </c>
      <c r="T85" s="10" t="str">
        <f>IF(OutPut[[#This Row],[time]]="","",$D$3)</f>
        <v/>
      </c>
      <c r="U85" s="10" t="str">
        <f>IF(OutPut[[#This Row],[time]]="","","amount_per_charge")</f>
        <v/>
      </c>
    </row>
    <row r="86" spans="2:21" x14ac:dyDescent="0.35">
      <c r="B86" s="10" t="str">
        <f>IF(OutPut[[#This Row],[time]]="","",CalculationId)</f>
        <v/>
      </c>
      <c r="C86" s="10" t="str">
        <f>IF(OutPut[[#This Row],[time]]="","",CalculationType)</f>
        <v/>
      </c>
      <c r="D86" s="10" t="str">
        <f>IF(OutPut[[#This Row],[time]]="","",CalculationExecutionTimeStart)</f>
        <v/>
      </c>
      <c r="E86" s="10" t="str">
        <f>IF(OutPut[[#This Row],[time]]="","","IGNORED")</f>
        <v/>
      </c>
      <c r="F86" s="10" t="str">
        <f>IF(OutPut[[#This Row],[time]]="","",G$3)</f>
        <v/>
      </c>
      <c r="G86" s="10" t="str">
        <f>IF(OutPut[[#This Row],[time]]="","",$E$3)</f>
        <v/>
      </c>
      <c r="H86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/>
      </c>
      <c r="I86" s="10" t="str">
        <f>IF(OutPut[[#This Row],[time]]="","","kWh")</f>
        <v/>
      </c>
      <c r="J86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/>
      </c>
      <c r="K86" s="10" t="str">
        <f>'calculation_arguments'!H84</f>
        <v/>
      </c>
      <c r="L86" s="10" t="str">
        <f>IF(OutPut[[#This Row],[time]]="","","PT1H")</f>
        <v/>
      </c>
      <c r="M86" s="10" t="str">
        <f>IF(OutPut[[#This Row],[time]]="","",$F$3)</f>
        <v/>
      </c>
      <c r="N86" s="11" t="str">
        <f>IF(OutPut[[#This Row],[time]]="","",IF($H$3="","",$H$3))</f>
        <v/>
      </c>
      <c r="O86" s="11" t="str" cm="1">
        <f t="array" ref="O86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86" s="11" t="str">
        <f>IFERROR(SUBSTITUTE(SUBSTITUTE(OutPut[[#This Row],[price]],".",",")*SUBSTITUTE(OutPut[[#This Row],[quantity]],".",","),",","."),"")</f>
        <v/>
      </c>
      <c r="Q86" s="10" t="str">
        <f>IF(OutPut[[#This Row],[time]]="","",VLOOKUP(C$3,charge_price_information_periods[],5,FALSE))</f>
        <v/>
      </c>
      <c r="R86" s="10" t="str">
        <f>IF(OutPut[[#This Row],[time]]="","",$C$3)</f>
        <v/>
      </c>
      <c r="S86" s="10" t="str">
        <f>IF(OutPut[[#This Row],[time]]="","","tariff")</f>
        <v/>
      </c>
      <c r="T86" s="10" t="str">
        <f>IF(OutPut[[#This Row],[time]]="","",$D$3)</f>
        <v/>
      </c>
      <c r="U86" s="10" t="str">
        <f>IF(OutPut[[#This Row],[time]]="","","amount_per_charge")</f>
        <v/>
      </c>
    </row>
    <row r="87" spans="2:21" x14ac:dyDescent="0.35">
      <c r="B87" s="10" t="str">
        <f>IF(OutPut[[#This Row],[time]]="","",CalculationId)</f>
        <v/>
      </c>
      <c r="C87" s="10" t="str">
        <f>IF(OutPut[[#This Row],[time]]="","",CalculationType)</f>
        <v/>
      </c>
      <c r="D87" s="10" t="str">
        <f>IF(OutPut[[#This Row],[time]]="","",CalculationExecutionTimeStart)</f>
        <v/>
      </c>
      <c r="E87" s="10" t="str">
        <f>IF(OutPut[[#This Row],[time]]="","","IGNORED")</f>
        <v/>
      </c>
      <c r="F87" s="10" t="str">
        <f>IF(OutPut[[#This Row],[time]]="","",G$3)</f>
        <v/>
      </c>
      <c r="G87" s="10" t="str">
        <f>IF(OutPut[[#This Row],[time]]="","",$E$3)</f>
        <v/>
      </c>
      <c r="H87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/>
      </c>
      <c r="I87" s="10" t="str">
        <f>IF(OutPut[[#This Row],[time]]="","","kWh")</f>
        <v/>
      </c>
      <c r="J87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/>
      </c>
      <c r="K87" s="10" t="str">
        <f>'calculation_arguments'!H85</f>
        <v/>
      </c>
      <c r="L87" s="10" t="str">
        <f>IF(OutPut[[#This Row],[time]]="","","PT1H")</f>
        <v/>
      </c>
      <c r="M87" s="10" t="str">
        <f>IF(OutPut[[#This Row],[time]]="","",$F$3)</f>
        <v/>
      </c>
      <c r="N87" s="11" t="str">
        <f>IF(OutPut[[#This Row],[time]]="","",IF($H$3="","",$H$3))</f>
        <v/>
      </c>
      <c r="O87" s="11" t="str" cm="1">
        <f t="array" ref="O87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87" s="11" t="str">
        <f>IFERROR(SUBSTITUTE(SUBSTITUTE(OutPut[[#This Row],[price]],".",",")*SUBSTITUTE(OutPut[[#This Row],[quantity]],".",","),",","."),"")</f>
        <v/>
      </c>
      <c r="Q87" s="10" t="str">
        <f>IF(OutPut[[#This Row],[time]]="","",VLOOKUP(C$3,charge_price_information_periods[],5,FALSE))</f>
        <v/>
      </c>
      <c r="R87" s="10" t="str">
        <f>IF(OutPut[[#This Row],[time]]="","",$C$3)</f>
        <v/>
      </c>
      <c r="S87" s="10" t="str">
        <f>IF(OutPut[[#This Row],[time]]="","","tariff")</f>
        <v/>
      </c>
      <c r="T87" s="10" t="str">
        <f>IF(OutPut[[#This Row],[time]]="","",$D$3)</f>
        <v/>
      </c>
      <c r="U87" s="10" t="str">
        <f>IF(OutPut[[#This Row],[time]]="","","amount_per_charge")</f>
        <v/>
      </c>
    </row>
    <row r="88" spans="2:21" x14ac:dyDescent="0.35">
      <c r="B88" s="10" t="str">
        <f>IF(OutPut[[#This Row],[time]]="","",CalculationId)</f>
        <v/>
      </c>
      <c r="C88" s="10" t="str">
        <f>IF(OutPut[[#This Row],[time]]="","",CalculationType)</f>
        <v/>
      </c>
      <c r="D88" s="10" t="str">
        <f>IF(OutPut[[#This Row],[time]]="","",CalculationExecutionTimeStart)</f>
        <v/>
      </c>
      <c r="E88" s="10" t="str">
        <f>IF(OutPut[[#This Row],[time]]="","","IGNORED")</f>
        <v/>
      </c>
      <c r="F88" s="10" t="str">
        <f>IF(OutPut[[#This Row],[time]]="","",G$3)</f>
        <v/>
      </c>
      <c r="G88" s="10" t="str">
        <f>IF(OutPut[[#This Row],[time]]="","",$E$3)</f>
        <v/>
      </c>
      <c r="H88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/>
      </c>
      <c r="I88" s="10" t="str">
        <f>IF(OutPut[[#This Row],[time]]="","","kWh")</f>
        <v/>
      </c>
      <c r="J88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/>
      </c>
      <c r="K88" s="10" t="str">
        <f>'calculation_arguments'!H86</f>
        <v/>
      </c>
      <c r="L88" s="10" t="str">
        <f>IF(OutPut[[#This Row],[time]]="","","PT1H")</f>
        <v/>
      </c>
      <c r="M88" s="10" t="str">
        <f>IF(OutPut[[#This Row],[time]]="","",$F$3)</f>
        <v/>
      </c>
      <c r="N88" s="11" t="str">
        <f>IF(OutPut[[#This Row],[time]]="","",IF($H$3="","",$H$3))</f>
        <v/>
      </c>
      <c r="O88" s="11" t="str" cm="1">
        <f t="array" ref="O88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88" s="11" t="str">
        <f>IFERROR(SUBSTITUTE(SUBSTITUTE(OutPut[[#This Row],[price]],".",",")*SUBSTITUTE(OutPut[[#This Row],[quantity]],".",","),",","."),"")</f>
        <v/>
      </c>
      <c r="Q88" s="10" t="str">
        <f>IF(OutPut[[#This Row],[time]]="","",VLOOKUP(C$3,charge_price_information_periods[],5,FALSE))</f>
        <v/>
      </c>
      <c r="R88" s="10" t="str">
        <f>IF(OutPut[[#This Row],[time]]="","",$C$3)</f>
        <v/>
      </c>
      <c r="S88" s="10" t="str">
        <f>IF(OutPut[[#This Row],[time]]="","","tariff")</f>
        <v/>
      </c>
      <c r="T88" s="10" t="str">
        <f>IF(OutPut[[#This Row],[time]]="","",$D$3)</f>
        <v/>
      </c>
      <c r="U88" s="10" t="str">
        <f>IF(OutPut[[#This Row],[time]]="","","amount_per_charge")</f>
        <v/>
      </c>
    </row>
    <row r="89" spans="2:21" x14ac:dyDescent="0.35">
      <c r="B89" s="10" t="str">
        <f>IF(OutPut[[#This Row],[time]]="","",CalculationId)</f>
        <v/>
      </c>
      <c r="C89" s="10" t="str">
        <f>IF(OutPut[[#This Row],[time]]="","",CalculationType)</f>
        <v/>
      </c>
      <c r="D89" s="10" t="str">
        <f>IF(OutPut[[#This Row],[time]]="","",CalculationExecutionTimeStart)</f>
        <v/>
      </c>
      <c r="E89" s="10" t="str">
        <f>IF(OutPut[[#This Row],[time]]="","","IGNORED")</f>
        <v/>
      </c>
      <c r="F89" s="10" t="str">
        <f>IF(OutPut[[#This Row],[time]]="","",G$3)</f>
        <v/>
      </c>
      <c r="G89" s="10" t="str">
        <f>IF(OutPut[[#This Row],[time]]="","",$E$3)</f>
        <v/>
      </c>
      <c r="H89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/>
      </c>
      <c r="I89" s="10" t="str">
        <f>IF(OutPut[[#This Row],[time]]="","","kWh")</f>
        <v/>
      </c>
      <c r="J89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/>
      </c>
      <c r="K89" s="10" t="str">
        <f>'calculation_arguments'!H87</f>
        <v/>
      </c>
      <c r="L89" s="10" t="str">
        <f>IF(OutPut[[#This Row],[time]]="","","PT1H")</f>
        <v/>
      </c>
      <c r="M89" s="10" t="str">
        <f>IF(OutPut[[#This Row],[time]]="","",$F$3)</f>
        <v/>
      </c>
      <c r="N89" s="11" t="str">
        <f>IF(OutPut[[#This Row],[time]]="","",IF($H$3="","",$H$3))</f>
        <v/>
      </c>
      <c r="O89" s="11" t="str" cm="1">
        <f t="array" ref="O89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89" s="11" t="str">
        <f>IFERROR(SUBSTITUTE(SUBSTITUTE(OutPut[[#This Row],[price]],".",",")*SUBSTITUTE(OutPut[[#This Row],[quantity]],".",","),",","."),"")</f>
        <v/>
      </c>
      <c r="Q89" s="10" t="str">
        <f>IF(OutPut[[#This Row],[time]]="","",VLOOKUP(C$3,charge_price_information_periods[],5,FALSE))</f>
        <v/>
      </c>
      <c r="R89" s="10" t="str">
        <f>IF(OutPut[[#This Row],[time]]="","",$C$3)</f>
        <v/>
      </c>
      <c r="S89" s="10" t="str">
        <f>IF(OutPut[[#This Row],[time]]="","","tariff")</f>
        <v/>
      </c>
      <c r="T89" s="10" t="str">
        <f>IF(OutPut[[#This Row],[time]]="","",$D$3)</f>
        <v/>
      </c>
      <c r="U89" s="10" t="str">
        <f>IF(OutPut[[#This Row],[time]]="","","amount_per_charge")</f>
        <v/>
      </c>
    </row>
    <row r="90" spans="2:21" x14ac:dyDescent="0.35">
      <c r="B90" s="10" t="str">
        <f>IF(OutPut[[#This Row],[time]]="","",CalculationId)</f>
        <v/>
      </c>
      <c r="C90" s="10" t="str">
        <f>IF(OutPut[[#This Row],[time]]="","",CalculationType)</f>
        <v/>
      </c>
      <c r="D90" s="10" t="str">
        <f>IF(OutPut[[#This Row],[time]]="","",CalculationExecutionTimeStart)</f>
        <v/>
      </c>
      <c r="E90" s="10" t="str">
        <f>IF(OutPut[[#This Row],[time]]="","","IGNORED")</f>
        <v/>
      </c>
      <c r="F90" s="10" t="str">
        <f>IF(OutPut[[#This Row],[time]]="","",G$3)</f>
        <v/>
      </c>
      <c r="G90" s="10" t="str">
        <f>IF(OutPut[[#This Row],[time]]="","",$E$3)</f>
        <v/>
      </c>
      <c r="H90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/>
      </c>
      <c r="I90" s="10" t="str">
        <f>IF(OutPut[[#This Row],[time]]="","","kWh")</f>
        <v/>
      </c>
      <c r="J90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/>
      </c>
      <c r="K90" s="10" t="str">
        <f>'calculation_arguments'!H88</f>
        <v/>
      </c>
      <c r="L90" s="10" t="str">
        <f>IF(OutPut[[#This Row],[time]]="","","PT1H")</f>
        <v/>
      </c>
      <c r="M90" s="10" t="str">
        <f>IF(OutPut[[#This Row],[time]]="","",$F$3)</f>
        <v/>
      </c>
      <c r="N90" s="11" t="str">
        <f>IF(OutPut[[#This Row],[time]]="","",IF($H$3="","",$H$3))</f>
        <v/>
      </c>
      <c r="O90" s="11" t="str" cm="1">
        <f t="array" ref="O90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90" s="11" t="str">
        <f>IFERROR(SUBSTITUTE(SUBSTITUTE(OutPut[[#This Row],[price]],".",",")*SUBSTITUTE(OutPut[[#This Row],[quantity]],".",","),",","."),"")</f>
        <v/>
      </c>
      <c r="Q90" s="10" t="str">
        <f>IF(OutPut[[#This Row],[time]]="","",VLOOKUP(C$3,charge_price_information_periods[],5,FALSE))</f>
        <v/>
      </c>
      <c r="R90" s="10" t="str">
        <f>IF(OutPut[[#This Row],[time]]="","",$C$3)</f>
        <v/>
      </c>
      <c r="S90" s="10" t="str">
        <f>IF(OutPut[[#This Row],[time]]="","","tariff")</f>
        <v/>
      </c>
      <c r="T90" s="10" t="str">
        <f>IF(OutPut[[#This Row],[time]]="","",$D$3)</f>
        <v/>
      </c>
      <c r="U90" s="10" t="str">
        <f>IF(OutPut[[#This Row],[time]]="","","amount_per_charge")</f>
        <v/>
      </c>
    </row>
    <row r="91" spans="2:21" x14ac:dyDescent="0.35">
      <c r="B91" s="10" t="str">
        <f>IF(OutPut[[#This Row],[time]]="","",CalculationId)</f>
        <v/>
      </c>
      <c r="C91" s="10" t="str">
        <f>IF(OutPut[[#This Row],[time]]="","",CalculationType)</f>
        <v/>
      </c>
      <c r="D91" s="10" t="str">
        <f>IF(OutPut[[#This Row],[time]]="","",CalculationExecutionTimeStart)</f>
        <v/>
      </c>
      <c r="E91" s="10" t="str">
        <f>IF(OutPut[[#This Row],[time]]="","","IGNORED")</f>
        <v/>
      </c>
      <c r="F91" s="10" t="str">
        <f>IF(OutPut[[#This Row],[time]]="","",G$3)</f>
        <v/>
      </c>
      <c r="G91" s="10" t="str">
        <f>IF(OutPut[[#This Row],[time]]="","",$E$3)</f>
        <v/>
      </c>
      <c r="H91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/>
      </c>
      <c r="I91" s="10" t="str">
        <f>IF(OutPut[[#This Row],[time]]="","","kWh")</f>
        <v/>
      </c>
      <c r="J91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/>
      </c>
      <c r="K91" s="10" t="str">
        <f>'calculation_arguments'!H89</f>
        <v/>
      </c>
      <c r="L91" s="10" t="str">
        <f>IF(OutPut[[#This Row],[time]]="","","PT1H")</f>
        <v/>
      </c>
      <c r="M91" s="10" t="str">
        <f>IF(OutPut[[#This Row],[time]]="","",$F$3)</f>
        <v/>
      </c>
      <c r="N91" s="11" t="str">
        <f>IF(OutPut[[#This Row],[time]]="","",IF($H$3="","",$H$3))</f>
        <v/>
      </c>
      <c r="O91" s="11" t="str" cm="1">
        <f t="array" ref="O91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91" s="11" t="str">
        <f>IFERROR(SUBSTITUTE(SUBSTITUTE(OutPut[[#This Row],[price]],".",",")*SUBSTITUTE(OutPut[[#This Row],[quantity]],".",","),",","."),"")</f>
        <v/>
      </c>
      <c r="Q91" s="10" t="str">
        <f>IF(OutPut[[#This Row],[time]]="","",VLOOKUP(C$3,charge_price_information_periods[],5,FALSE))</f>
        <v/>
      </c>
      <c r="R91" s="10" t="str">
        <f>IF(OutPut[[#This Row],[time]]="","",$C$3)</f>
        <v/>
      </c>
      <c r="S91" s="10" t="str">
        <f>IF(OutPut[[#This Row],[time]]="","","tariff")</f>
        <v/>
      </c>
      <c r="T91" s="10" t="str">
        <f>IF(OutPut[[#This Row],[time]]="","",$D$3)</f>
        <v/>
      </c>
      <c r="U91" s="10" t="str">
        <f>IF(OutPut[[#This Row],[time]]="","","amount_per_charge")</f>
        <v/>
      </c>
    </row>
    <row r="92" spans="2:21" x14ac:dyDescent="0.35">
      <c r="B92" s="10" t="str">
        <f>IF(OutPut[[#This Row],[time]]="","",CalculationId)</f>
        <v/>
      </c>
      <c r="C92" s="10" t="str">
        <f>IF(OutPut[[#This Row],[time]]="","",CalculationType)</f>
        <v/>
      </c>
      <c r="D92" s="10" t="str">
        <f>IF(OutPut[[#This Row],[time]]="","",CalculationExecutionTimeStart)</f>
        <v/>
      </c>
      <c r="E92" s="10" t="str">
        <f>IF(OutPut[[#This Row],[time]]="","","IGNORED")</f>
        <v/>
      </c>
      <c r="F92" s="10" t="str">
        <f>IF(OutPut[[#This Row],[time]]="","",G$3)</f>
        <v/>
      </c>
      <c r="G92" s="10" t="str">
        <f>IF(OutPut[[#This Row],[time]]="","",$E$3)</f>
        <v/>
      </c>
      <c r="H92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/>
      </c>
      <c r="I92" s="10" t="str">
        <f>IF(OutPut[[#This Row],[time]]="","","kWh")</f>
        <v/>
      </c>
      <c r="J92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/>
      </c>
      <c r="K92" s="10" t="str">
        <f>'calculation_arguments'!H90</f>
        <v/>
      </c>
      <c r="L92" s="10" t="str">
        <f>IF(OutPut[[#This Row],[time]]="","","PT1H")</f>
        <v/>
      </c>
      <c r="M92" s="10" t="str">
        <f>IF(OutPut[[#This Row],[time]]="","",$F$3)</f>
        <v/>
      </c>
      <c r="N92" s="11" t="str">
        <f>IF(OutPut[[#This Row],[time]]="","",IF($H$3="","",$H$3))</f>
        <v/>
      </c>
      <c r="O92" s="11" t="str" cm="1">
        <f t="array" ref="O92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92" s="11" t="str">
        <f>IFERROR(SUBSTITUTE(SUBSTITUTE(OutPut[[#This Row],[price]],".",",")*SUBSTITUTE(OutPut[[#This Row],[quantity]],".",","),",","."),"")</f>
        <v/>
      </c>
      <c r="Q92" s="10" t="str">
        <f>IF(OutPut[[#This Row],[time]]="","",VLOOKUP(C$3,charge_price_information_periods[],5,FALSE))</f>
        <v/>
      </c>
      <c r="R92" s="10" t="str">
        <f>IF(OutPut[[#This Row],[time]]="","",$C$3)</f>
        <v/>
      </c>
      <c r="S92" s="10" t="str">
        <f>IF(OutPut[[#This Row],[time]]="","","tariff")</f>
        <v/>
      </c>
      <c r="T92" s="10" t="str">
        <f>IF(OutPut[[#This Row],[time]]="","",$D$3)</f>
        <v/>
      </c>
      <c r="U92" s="10" t="str">
        <f>IF(OutPut[[#This Row],[time]]="","","amount_per_charge")</f>
        <v/>
      </c>
    </row>
    <row r="93" spans="2:21" x14ac:dyDescent="0.35">
      <c r="B93" s="10" t="str">
        <f>IF(OutPut[[#This Row],[time]]="","",CalculationId)</f>
        <v/>
      </c>
      <c r="C93" s="10" t="str">
        <f>IF(OutPut[[#This Row],[time]]="","",CalculationType)</f>
        <v/>
      </c>
      <c r="D93" s="10" t="str">
        <f>IF(OutPut[[#This Row],[time]]="","",CalculationExecutionTimeStart)</f>
        <v/>
      </c>
      <c r="E93" s="10" t="str">
        <f>IF(OutPut[[#This Row],[time]]="","","IGNORED")</f>
        <v/>
      </c>
      <c r="F93" s="10" t="str">
        <f>IF(OutPut[[#This Row],[time]]="","",G$3)</f>
        <v/>
      </c>
      <c r="G93" s="10" t="str">
        <f>IF(OutPut[[#This Row],[time]]="","",$E$3)</f>
        <v/>
      </c>
      <c r="H93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/>
      </c>
      <c r="I93" s="10" t="str">
        <f>IF(OutPut[[#This Row],[time]]="","","kWh")</f>
        <v/>
      </c>
      <c r="J93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/>
      </c>
      <c r="K93" s="10" t="str">
        <f>'calculation_arguments'!H91</f>
        <v/>
      </c>
      <c r="L93" s="10" t="str">
        <f>IF(OutPut[[#This Row],[time]]="","","PT1H")</f>
        <v/>
      </c>
      <c r="M93" s="10" t="str">
        <f>IF(OutPut[[#This Row],[time]]="","",$F$3)</f>
        <v/>
      </c>
      <c r="N93" s="11" t="str">
        <f>IF(OutPut[[#This Row],[time]]="","",IF($H$3="","",$H$3))</f>
        <v/>
      </c>
      <c r="O93" s="11" t="str" cm="1">
        <f t="array" ref="O93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93" s="11" t="str">
        <f>IFERROR(SUBSTITUTE(SUBSTITUTE(OutPut[[#This Row],[price]],".",",")*SUBSTITUTE(OutPut[[#This Row],[quantity]],".",","),",","."),"")</f>
        <v/>
      </c>
      <c r="Q93" s="10" t="str">
        <f>IF(OutPut[[#This Row],[time]]="","",VLOOKUP(C$3,charge_price_information_periods[],5,FALSE))</f>
        <v/>
      </c>
      <c r="R93" s="10" t="str">
        <f>IF(OutPut[[#This Row],[time]]="","",$C$3)</f>
        <v/>
      </c>
      <c r="S93" s="10" t="str">
        <f>IF(OutPut[[#This Row],[time]]="","","tariff")</f>
        <v/>
      </c>
      <c r="T93" s="10" t="str">
        <f>IF(OutPut[[#This Row],[time]]="","",$D$3)</f>
        <v/>
      </c>
      <c r="U93" s="10" t="str">
        <f>IF(OutPut[[#This Row],[time]]="","","amount_per_charge")</f>
        <v/>
      </c>
    </row>
    <row r="94" spans="2:21" x14ac:dyDescent="0.35">
      <c r="B94" s="10" t="str">
        <f>IF(OutPut[[#This Row],[time]]="","",CalculationId)</f>
        <v/>
      </c>
      <c r="C94" s="10" t="str">
        <f>IF(OutPut[[#This Row],[time]]="","",CalculationType)</f>
        <v/>
      </c>
      <c r="D94" s="10" t="str">
        <f>IF(OutPut[[#This Row],[time]]="","",CalculationExecutionTimeStart)</f>
        <v/>
      </c>
      <c r="E94" s="10" t="str">
        <f>IF(OutPut[[#This Row],[time]]="","","IGNORED")</f>
        <v/>
      </c>
      <c r="F94" s="10" t="str">
        <f>IF(OutPut[[#This Row],[time]]="","",G$3)</f>
        <v/>
      </c>
      <c r="G94" s="10" t="str">
        <f>IF(OutPut[[#This Row],[time]]="","",$E$3)</f>
        <v/>
      </c>
      <c r="H94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/>
      </c>
      <c r="I94" s="10" t="str">
        <f>IF(OutPut[[#This Row],[time]]="","","kWh")</f>
        <v/>
      </c>
      <c r="J94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/>
      </c>
      <c r="K94" s="10" t="str">
        <f>'calculation_arguments'!H92</f>
        <v/>
      </c>
      <c r="L94" s="10" t="str">
        <f>IF(OutPut[[#This Row],[time]]="","","PT1H")</f>
        <v/>
      </c>
      <c r="M94" s="10" t="str">
        <f>IF(OutPut[[#This Row],[time]]="","",$F$3)</f>
        <v/>
      </c>
      <c r="N94" s="11" t="str">
        <f>IF(OutPut[[#This Row],[time]]="","",IF($H$3="","",$H$3))</f>
        <v/>
      </c>
      <c r="O94" s="11" t="str" cm="1">
        <f t="array" ref="O94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94" s="11" t="str">
        <f>IFERROR(SUBSTITUTE(SUBSTITUTE(OutPut[[#This Row],[price]],".",",")*SUBSTITUTE(OutPut[[#This Row],[quantity]],".",","),",","."),"")</f>
        <v/>
      </c>
      <c r="Q94" s="10" t="str">
        <f>IF(OutPut[[#This Row],[time]]="","",VLOOKUP(C$3,charge_price_information_periods[],5,FALSE))</f>
        <v/>
      </c>
      <c r="R94" s="10" t="str">
        <f>IF(OutPut[[#This Row],[time]]="","",$C$3)</f>
        <v/>
      </c>
      <c r="S94" s="10" t="str">
        <f>IF(OutPut[[#This Row],[time]]="","","tariff")</f>
        <v/>
      </c>
      <c r="T94" s="10" t="str">
        <f>IF(OutPut[[#This Row],[time]]="","",$D$3)</f>
        <v/>
      </c>
      <c r="U94" s="10" t="str">
        <f>IF(OutPut[[#This Row],[time]]="","","amount_per_charge")</f>
        <v/>
      </c>
    </row>
    <row r="95" spans="2:21" x14ac:dyDescent="0.35">
      <c r="B95" s="10" t="str">
        <f>IF(OutPut[[#This Row],[time]]="","",CalculationId)</f>
        <v/>
      </c>
      <c r="C95" s="10" t="str">
        <f>IF(OutPut[[#This Row],[time]]="","",CalculationType)</f>
        <v/>
      </c>
      <c r="D95" s="10" t="str">
        <f>IF(OutPut[[#This Row],[time]]="","",CalculationExecutionTimeStart)</f>
        <v/>
      </c>
      <c r="E95" s="10" t="str">
        <f>IF(OutPut[[#This Row],[time]]="","","IGNORED")</f>
        <v/>
      </c>
      <c r="F95" s="10" t="str">
        <f>IF(OutPut[[#This Row],[time]]="","",G$3)</f>
        <v/>
      </c>
      <c r="G95" s="10" t="str">
        <f>IF(OutPut[[#This Row],[time]]="","",$E$3)</f>
        <v/>
      </c>
      <c r="H95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/>
      </c>
      <c r="I95" s="10" t="str">
        <f>IF(OutPut[[#This Row],[time]]="","","kWh")</f>
        <v/>
      </c>
      <c r="J95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/>
      </c>
      <c r="K95" s="10" t="str">
        <f>'calculation_arguments'!H93</f>
        <v/>
      </c>
      <c r="L95" s="10" t="str">
        <f>IF(OutPut[[#This Row],[time]]="","","PT1H")</f>
        <v/>
      </c>
      <c r="M95" s="10" t="str">
        <f>IF(OutPut[[#This Row],[time]]="","",$F$3)</f>
        <v/>
      </c>
      <c r="N95" s="11" t="str">
        <f>IF(OutPut[[#This Row],[time]]="","",IF($H$3="","",$H$3))</f>
        <v/>
      </c>
      <c r="O95" s="11" t="str" cm="1">
        <f t="array" ref="O95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95" s="11" t="str">
        <f>IFERROR(SUBSTITUTE(SUBSTITUTE(OutPut[[#This Row],[price]],".",",")*SUBSTITUTE(OutPut[[#This Row],[quantity]],".",","),",","."),"")</f>
        <v/>
      </c>
      <c r="Q95" s="10" t="str">
        <f>IF(OutPut[[#This Row],[time]]="","",VLOOKUP(C$3,charge_price_information_periods[],5,FALSE))</f>
        <v/>
      </c>
      <c r="R95" s="10" t="str">
        <f>IF(OutPut[[#This Row],[time]]="","",$C$3)</f>
        <v/>
      </c>
      <c r="S95" s="10" t="str">
        <f>IF(OutPut[[#This Row],[time]]="","","tariff")</f>
        <v/>
      </c>
      <c r="T95" s="10" t="str">
        <f>IF(OutPut[[#This Row],[time]]="","",$D$3)</f>
        <v/>
      </c>
      <c r="U95" s="10" t="str">
        <f>IF(OutPut[[#This Row],[time]]="","","amount_per_charge")</f>
        <v/>
      </c>
    </row>
    <row r="96" spans="2:21" x14ac:dyDescent="0.35">
      <c r="B96" s="10" t="str">
        <f>IF(OutPut[[#This Row],[time]]="","",CalculationId)</f>
        <v/>
      </c>
      <c r="C96" s="10" t="str">
        <f>IF(OutPut[[#This Row],[time]]="","",CalculationType)</f>
        <v/>
      </c>
      <c r="D96" s="10" t="str">
        <f>IF(OutPut[[#This Row],[time]]="","",CalculationExecutionTimeStart)</f>
        <v/>
      </c>
      <c r="E96" s="10" t="str">
        <f>IF(OutPut[[#This Row],[time]]="","","IGNORED")</f>
        <v/>
      </c>
      <c r="F96" s="10" t="str">
        <f>IF(OutPut[[#This Row],[time]]="","",G$3)</f>
        <v/>
      </c>
      <c r="G96" s="10" t="str">
        <f>IF(OutPut[[#This Row],[time]]="","",$E$3)</f>
        <v/>
      </c>
      <c r="H96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/>
      </c>
      <c r="I96" s="10" t="str">
        <f>IF(OutPut[[#This Row],[time]]="","","kWh")</f>
        <v/>
      </c>
      <c r="J96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/>
      </c>
      <c r="K96" s="10" t="str">
        <f>'calculation_arguments'!H94</f>
        <v/>
      </c>
      <c r="L96" s="10" t="str">
        <f>IF(OutPut[[#This Row],[time]]="","","PT1H")</f>
        <v/>
      </c>
      <c r="M96" s="10" t="str">
        <f>IF(OutPut[[#This Row],[time]]="","",$F$3)</f>
        <v/>
      </c>
      <c r="N96" s="11" t="str">
        <f>IF(OutPut[[#This Row],[time]]="","",IF($H$3="","",$H$3))</f>
        <v/>
      </c>
      <c r="O96" s="11" t="str" cm="1">
        <f t="array" ref="O96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96" s="11" t="str">
        <f>IFERROR(SUBSTITUTE(SUBSTITUTE(OutPut[[#This Row],[price]],".",",")*SUBSTITUTE(OutPut[[#This Row],[quantity]],".",","),",","."),"")</f>
        <v/>
      </c>
      <c r="Q96" s="10" t="str">
        <f>IF(OutPut[[#This Row],[time]]="","",VLOOKUP(C$3,charge_price_information_periods[],5,FALSE))</f>
        <v/>
      </c>
      <c r="R96" s="10" t="str">
        <f>IF(OutPut[[#This Row],[time]]="","",$C$3)</f>
        <v/>
      </c>
      <c r="S96" s="10" t="str">
        <f>IF(OutPut[[#This Row],[time]]="","","tariff")</f>
        <v/>
      </c>
      <c r="T96" s="10" t="str">
        <f>IF(OutPut[[#This Row],[time]]="","",$D$3)</f>
        <v/>
      </c>
      <c r="U96" s="10" t="str">
        <f>IF(OutPut[[#This Row],[time]]="","","amount_per_charge")</f>
        <v/>
      </c>
    </row>
    <row r="97" spans="2:21" x14ac:dyDescent="0.35">
      <c r="B97" s="10" t="str">
        <f>IF(OutPut[[#This Row],[time]]="","",CalculationId)</f>
        <v/>
      </c>
      <c r="C97" s="10" t="str">
        <f>IF(OutPut[[#This Row],[time]]="","",CalculationType)</f>
        <v/>
      </c>
      <c r="D97" s="10" t="str">
        <f>IF(OutPut[[#This Row],[time]]="","",CalculationExecutionTimeStart)</f>
        <v/>
      </c>
      <c r="E97" s="10" t="str">
        <f>IF(OutPut[[#This Row],[time]]="","","IGNORED")</f>
        <v/>
      </c>
      <c r="F97" s="10" t="str">
        <f>IF(OutPut[[#This Row],[time]]="","",G$3)</f>
        <v/>
      </c>
      <c r="G97" s="10" t="str">
        <f>IF(OutPut[[#This Row],[time]]="","",$E$3)</f>
        <v/>
      </c>
      <c r="H97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/>
      </c>
      <c r="I97" s="10" t="str">
        <f>IF(OutPut[[#This Row],[time]]="","","kWh")</f>
        <v/>
      </c>
      <c r="J97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/>
      </c>
      <c r="K97" s="10" t="str">
        <f>'calculation_arguments'!H95</f>
        <v/>
      </c>
      <c r="L97" s="10" t="str">
        <f>IF(OutPut[[#This Row],[time]]="","","PT1H")</f>
        <v/>
      </c>
      <c r="M97" s="10" t="str">
        <f>IF(OutPut[[#This Row],[time]]="","",$F$3)</f>
        <v/>
      </c>
      <c r="N97" s="11" t="str">
        <f>IF(OutPut[[#This Row],[time]]="","",IF($H$3="","",$H$3))</f>
        <v/>
      </c>
      <c r="O97" s="11" t="str" cm="1">
        <f t="array" ref="O97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97" s="11" t="str">
        <f>IFERROR(SUBSTITUTE(SUBSTITUTE(OutPut[[#This Row],[price]],".",",")*SUBSTITUTE(OutPut[[#This Row],[quantity]],".",","),",","."),"")</f>
        <v/>
      </c>
      <c r="Q97" s="10" t="str">
        <f>IF(OutPut[[#This Row],[time]]="","",VLOOKUP(C$3,charge_price_information_periods[],5,FALSE))</f>
        <v/>
      </c>
      <c r="R97" s="10" t="str">
        <f>IF(OutPut[[#This Row],[time]]="","",$C$3)</f>
        <v/>
      </c>
      <c r="S97" s="10" t="str">
        <f>IF(OutPut[[#This Row],[time]]="","","tariff")</f>
        <v/>
      </c>
      <c r="T97" s="10" t="str">
        <f>IF(OutPut[[#This Row],[time]]="","",$D$3)</f>
        <v/>
      </c>
      <c r="U97" s="10" t="str">
        <f>IF(OutPut[[#This Row],[time]]="","","amount_per_charge")</f>
        <v/>
      </c>
    </row>
    <row r="98" spans="2:21" x14ac:dyDescent="0.35">
      <c r="B98" s="10" t="str">
        <f>IF(OutPut[[#This Row],[time]]="","",CalculationId)</f>
        <v/>
      </c>
      <c r="C98" s="10" t="str">
        <f>IF(OutPut[[#This Row],[time]]="","",CalculationType)</f>
        <v/>
      </c>
      <c r="D98" s="10" t="str">
        <f>IF(OutPut[[#This Row],[time]]="","",CalculationExecutionTimeStart)</f>
        <v/>
      </c>
      <c r="E98" s="10" t="str">
        <f>IF(OutPut[[#This Row],[time]]="","","IGNORED")</f>
        <v/>
      </c>
      <c r="F98" s="10" t="str">
        <f>IF(OutPut[[#This Row],[time]]="","",G$3)</f>
        <v/>
      </c>
      <c r="G98" s="10" t="str">
        <f>IF(OutPut[[#This Row],[time]]="","",$E$3)</f>
        <v/>
      </c>
      <c r="H98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/>
      </c>
      <c r="I98" s="10" t="str">
        <f>IF(OutPut[[#This Row],[time]]="","","kWh")</f>
        <v/>
      </c>
      <c r="J98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/>
      </c>
      <c r="K98" s="10" t="str">
        <f>'calculation_arguments'!H96</f>
        <v/>
      </c>
      <c r="L98" s="10" t="str">
        <f>IF(OutPut[[#This Row],[time]]="","","PT1H")</f>
        <v/>
      </c>
      <c r="M98" s="10" t="str">
        <f>IF(OutPut[[#This Row],[time]]="","",$F$3)</f>
        <v/>
      </c>
      <c r="N98" s="11" t="str">
        <f>IF(OutPut[[#This Row],[time]]="","",IF($H$3="","",$H$3))</f>
        <v/>
      </c>
      <c r="O98" s="11" t="str" cm="1">
        <f t="array" ref="O98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98" s="11" t="str">
        <f>IFERROR(SUBSTITUTE(SUBSTITUTE(OutPut[[#This Row],[price]],".",",")*SUBSTITUTE(OutPut[[#This Row],[quantity]],".",","),",","."),"")</f>
        <v/>
      </c>
      <c r="Q98" s="10" t="str">
        <f>IF(OutPut[[#This Row],[time]]="","",VLOOKUP(C$3,charge_price_information_periods[],5,FALSE))</f>
        <v/>
      </c>
      <c r="R98" s="10" t="str">
        <f>IF(OutPut[[#This Row],[time]]="","",$C$3)</f>
        <v/>
      </c>
      <c r="S98" s="10" t="str">
        <f>IF(OutPut[[#This Row],[time]]="","","tariff")</f>
        <v/>
      </c>
      <c r="T98" s="10" t="str">
        <f>IF(OutPut[[#This Row],[time]]="","",$D$3)</f>
        <v/>
      </c>
      <c r="U98" s="10" t="str">
        <f>IF(OutPut[[#This Row],[time]]="","","amount_per_charge")</f>
        <v/>
      </c>
    </row>
    <row r="99" spans="2:21" x14ac:dyDescent="0.35">
      <c r="B99" s="10" t="str">
        <f>IF(OutPut[[#This Row],[time]]="","",CalculationId)</f>
        <v/>
      </c>
      <c r="C99" s="10" t="str">
        <f>IF(OutPut[[#This Row],[time]]="","",CalculationType)</f>
        <v/>
      </c>
      <c r="D99" s="10" t="str">
        <f>IF(OutPut[[#This Row],[time]]="","",CalculationExecutionTimeStart)</f>
        <v/>
      </c>
      <c r="E99" s="10" t="str">
        <f>IF(OutPut[[#This Row],[time]]="","","IGNORED")</f>
        <v/>
      </c>
      <c r="F99" s="10" t="str">
        <f>IF(OutPut[[#This Row],[time]]="","",G$3)</f>
        <v/>
      </c>
      <c r="G99" s="10" t="str">
        <f>IF(OutPut[[#This Row],[time]]="","",$E$3)</f>
        <v/>
      </c>
      <c r="H99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/>
      </c>
      <c r="I99" s="10" t="str">
        <f>IF(OutPut[[#This Row],[time]]="","","kWh")</f>
        <v/>
      </c>
      <c r="J99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/>
      </c>
      <c r="K99" s="10" t="str">
        <f>'calculation_arguments'!H97</f>
        <v/>
      </c>
      <c r="L99" s="10" t="str">
        <f>IF(OutPut[[#This Row],[time]]="","","PT1H")</f>
        <v/>
      </c>
      <c r="M99" s="10" t="str">
        <f>IF(OutPut[[#This Row],[time]]="","",$F$3)</f>
        <v/>
      </c>
      <c r="N99" s="11" t="str">
        <f>IF(OutPut[[#This Row],[time]]="","",IF($H$3="","",$H$3))</f>
        <v/>
      </c>
      <c r="O99" s="11" t="str" cm="1">
        <f t="array" ref="O99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99" s="11" t="str">
        <f>IFERROR(SUBSTITUTE(SUBSTITUTE(OutPut[[#This Row],[price]],".",",")*SUBSTITUTE(OutPut[[#This Row],[quantity]],".",","),",","."),"")</f>
        <v/>
      </c>
      <c r="Q99" s="10" t="str">
        <f>IF(OutPut[[#This Row],[time]]="","",VLOOKUP(C$3,charge_price_information_periods[],5,FALSE))</f>
        <v/>
      </c>
      <c r="R99" s="10" t="str">
        <f>IF(OutPut[[#This Row],[time]]="","",$C$3)</f>
        <v/>
      </c>
      <c r="S99" s="10" t="str">
        <f>IF(OutPut[[#This Row],[time]]="","","tariff")</f>
        <v/>
      </c>
      <c r="T99" s="10" t="str">
        <f>IF(OutPut[[#This Row],[time]]="","",$D$3)</f>
        <v/>
      </c>
      <c r="U99" s="10" t="str">
        <f>IF(OutPut[[#This Row],[time]]="","","amount_per_charge")</f>
        <v/>
      </c>
    </row>
    <row r="100" spans="2:21" x14ac:dyDescent="0.35">
      <c r="B100" s="10" t="str">
        <f>IF(OutPut[[#This Row],[time]]="","",CalculationId)</f>
        <v/>
      </c>
      <c r="C100" s="10" t="str">
        <f>IF(OutPut[[#This Row],[time]]="","",CalculationType)</f>
        <v/>
      </c>
      <c r="D100" s="10" t="str">
        <f>IF(OutPut[[#This Row],[time]]="","",CalculationExecutionTimeStart)</f>
        <v/>
      </c>
      <c r="E100" s="10" t="str">
        <f>IF(OutPut[[#This Row],[time]]="","","IGNORED")</f>
        <v/>
      </c>
      <c r="F100" s="10" t="str">
        <f>IF(OutPut[[#This Row],[time]]="","",G$3)</f>
        <v/>
      </c>
      <c r="G100" s="10" t="str">
        <f>IF(OutPut[[#This Row],[time]]="","",$E$3)</f>
        <v/>
      </c>
      <c r="H100" s="10" t="str">
        <f>IF(OutPut[[#This Row],[time]]="","",SUBSTITUTE(SUMIFS(time_series_points[quantity_quantified],time_series_points[metering_point_type],OutPut[[#This Row],[metering_point_type]],time_series_points[settlement_method],OutPut[[#This Row],[settlement_method]],time_series_points[hour],OutPut[[#This Row],[time]],time_series_points[grid_area],OutPut[[#This Row],[grid_area_code]],time_series_points[es],E$3),",","."))</f>
        <v/>
      </c>
      <c r="I100" s="10" t="str">
        <f>IF(OutPut[[#This Row],[time]]="","","kWh")</f>
        <v/>
      </c>
      <c r="J100" s="10" t="str">
        <f>IF(OutPut[[#This Row],[time]]="","",IF(SUMIFS(time_series_points[quantity_quantified],time_series_points[metering_point_type],OutPut[[#This Row],[metering_point_type]],time_series_points[settlement_method],OutPut[[#This Row],[settlement_method]],time_series_points[es],OutPut[[#This Row],[energy_supplier_id]],time_series_points[hour],OutPut[[#This Row],[time]])&gt;0,"['measured']","['missing']"))</f>
        <v/>
      </c>
      <c r="K100" s="10" t="str">
        <f>'calculation_arguments'!H98</f>
        <v/>
      </c>
      <c r="L100" s="10" t="str">
        <f>IF(OutPut[[#This Row],[time]]="","","PT1H")</f>
        <v/>
      </c>
      <c r="M100" s="10" t="str">
        <f>IF(OutPut[[#This Row],[time]]="","",$F$3)</f>
        <v/>
      </c>
      <c r="N100" s="11" t="str">
        <f>IF(OutPut[[#This Row],[time]]="","",IF($H$3="","",$H$3))</f>
        <v/>
      </c>
      <c r="O100" s="11" t="str" cm="1">
        <f t="array" ref="O100">IF(OutPut[[#This Row],[time]]="","",IFERROR(_xlfn.UNIQUE(INDEX(_xlfn._xlws.FILTER(charge_price_points[],(charge_price_points[charge_time_shortened]=OutPut[[#This Row],[time]])*(charge_price_points[charge_code]=OutPut[[#This Row],[charge_code]])),,4)),""))</f>
        <v/>
      </c>
      <c r="P100" s="11" t="str">
        <f>IFERROR(SUBSTITUTE(SUBSTITUTE(OutPut[[#This Row],[price]],".",",")*SUBSTITUTE(OutPut[[#This Row],[quantity]],".",","),",","."),"")</f>
        <v/>
      </c>
      <c r="Q100" s="10" t="str">
        <f>IF(OutPut[[#This Row],[time]]="","",VLOOKUP(C$3,charge_price_information_periods[],5,FALSE))</f>
        <v/>
      </c>
      <c r="R100" s="10" t="str">
        <f>IF(OutPut[[#This Row],[time]]="","",$C$3)</f>
        <v/>
      </c>
      <c r="S100" s="10" t="str">
        <f>IF(OutPut[[#This Row],[time]]="","","tariff")</f>
        <v/>
      </c>
      <c r="T100" s="10" t="str">
        <f>IF(OutPut[[#This Row],[time]]="","",$D$3)</f>
        <v/>
      </c>
      <c r="U100" s="10" t="str">
        <f>IF(OutPut[[#This Row],[time]]="","","amount_per_charge")</f>
        <v/>
      </c>
    </row>
  </sheetData>
  <mergeCells count="1">
    <mergeCell ref="C1:F1"/>
  </mergeCells>
  <phoneticPr fontId="1" type="noConversion"/>
  <dataValidations count="1">
    <dataValidation type="list" allowBlank="1" showInputMessage="1" showErrorMessage="1" sqref="C1" xr:uid="{2E219B63-EF29-459D-A57D-F647F4C2EE29}">
      <formula1>$AC$4:$AC$40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E869-7DB3-49E5-B6F6-E519947E3917}">
  <sheetPr>
    <tabColor rgb="FFFFFF00"/>
  </sheetPr>
  <dimension ref="B1:AD100"/>
  <sheetViews>
    <sheetView topLeftCell="B1" zoomScaleNormal="100" workbookViewId="0">
      <selection activeCell="O5" sqref="O5"/>
    </sheetView>
  </sheetViews>
  <sheetFormatPr defaultColWidth="8.7265625" defaultRowHeight="14.5" x14ac:dyDescent="0.35"/>
  <cols>
    <col min="1" max="1" width="8.7265625" style="1"/>
    <col min="2" max="2" width="35" style="1" bestFit="1" customWidth="1"/>
    <col min="3" max="3" width="36.81640625" style="1" customWidth="1"/>
    <col min="4" max="4" width="31.26953125" style="1" bestFit="1" customWidth="1"/>
    <col min="5" max="5" width="19" style="1" bestFit="1" customWidth="1"/>
    <col min="6" max="6" width="19.7265625" style="1" bestFit="1" customWidth="1"/>
    <col min="7" max="7" width="19.1796875" style="1" customWidth="1"/>
    <col min="8" max="8" width="20.453125" style="1" bestFit="1" customWidth="1"/>
    <col min="9" max="9" width="19.54296875" style="1" bestFit="1" customWidth="1"/>
    <col min="10" max="10" width="20.7265625" style="1" customWidth="1"/>
    <col min="11" max="11" width="19" style="1" bestFit="1" customWidth="1"/>
    <col min="12" max="12" width="13.54296875" style="1" bestFit="1" customWidth="1"/>
    <col min="13" max="13" width="20.453125" style="1" bestFit="1" customWidth="1"/>
    <col min="14" max="14" width="30.1796875" style="1" customWidth="1"/>
    <col min="15" max="15" width="15.1796875" style="1" customWidth="1"/>
    <col min="16" max="16" width="17.1796875" style="1" bestFit="1" customWidth="1"/>
    <col min="17" max="17" width="19.54296875" style="1" customWidth="1"/>
    <col min="18" max="18" width="20.1796875" style="1" bestFit="1" customWidth="1"/>
    <col min="19" max="19" width="29.453125" style="1" bestFit="1" customWidth="1"/>
    <col min="20" max="21" width="22.1796875" style="1" bestFit="1" customWidth="1"/>
    <col min="22" max="22" width="26.7265625" style="1" bestFit="1" customWidth="1"/>
    <col min="23" max="23" width="24.453125" style="1" bestFit="1" customWidth="1"/>
    <col min="24" max="24" width="21.81640625" style="3" customWidth="1"/>
    <col min="25" max="25" width="31.26953125" style="1" bestFit="1" customWidth="1"/>
    <col min="26" max="26" width="29.453125" style="1" bestFit="1" customWidth="1"/>
    <col min="27" max="27" width="22.453125" style="1" bestFit="1" customWidth="1"/>
    <col min="28" max="28" width="17.1796875" style="1" bestFit="1" customWidth="1"/>
    <col min="29" max="29" width="25" style="1" bestFit="1" customWidth="1"/>
    <col min="30" max="30" width="73.1796875" style="3" bestFit="1" customWidth="1"/>
    <col min="31" max="31" width="24.81640625" style="1" bestFit="1" customWidth="1"/>
    <col min="32" max="32" width="17.1796875" style="1" bestFit="1" customWidth="1"/>
    <col min="33" max="33" width="10.81640625" style="1" customWidth="1"/>
    <col min="34" max="34" width="8.7265625" style="1"/>
    <col min="35" max="35" width="17.7265625" style="1" bestFit="1" customWidth="1"/>
    <col min="36" max="36" width="8.81640625" style="1" customWidth="1"/>
    <col min="37" max="16384" width="8.7265625" style="1"/>
  </cols>
  <sheetData>
    <row r="1" spans="2:30" ht="18.5" x14ac:dyDescent="0.45">
      <c r="B1" s="8" t="s">
        <v>138</v>
      </c>
      <c r="C1" s="19" t="s">
        <v>194</v>
      </c>
      <c r="D1" s="20"/>
      <c r="E1" s="20"/>
      <c r="F1" s="21"/>
    </row>
    <row r="3" spans="2:30" x14ac:dyDescent="0.35">
      <c r="C3" s="3" t="str" cm="1">
        <f t="array" ref="C3:H3">_xlfn.TEXTSPLIT(C1,"--")</f>
        <v>tariff-daily-1</v>
      </c>
      <c r="D3" s="3" t="str">
        <v>0000000000800</v>
      </c>
      <c r="E3" s="3" t="str">
        <v>3000000000000</v>
      </c>
      <c r="F3" s="3" t="str">
        <v>consumption</v>
      </c>
      <c r="G3" s="3" t="str">
        <v>800</v>
      </c>
      <c r="H3" s="3" t="str">
        <v>non_profiled</v>
      </c>
      <c r="AD3" s="9" t="s">
        <v>71</v>
      </c>
    </row>
    <row r="4" spans="2:30" x14ac:dyDescent="0.35">
      <c r="B4" s="5" t="s">
        <v>84</v>
      </c>
      <c r="C4" s="5" t="s">
        <v>31</v>
      </c>
      <c r="D4" s="5" t="s">
        <v>85</v>
      </c>
      <c r="E4" s="5" t="s">
        <v>86</v>
      </c>
      <c r="F4" s="5" t="s">
        <v>33</v>
      </c>
      <c r="G4" s="5" t="s">
        <v>37</v>
      </c>
      <c r="H4" s="5" t="s">
        <v>11</v>
      </c>
      <c r="I4" s="5" t="s">
        <v>76</v>
      </c>
      <c r="J4" s="5" t="s">
        <v>72</v>
      </c>
      <c r="K4" s="5" t="s">
        <v>73</v>
      </c>
      <c r="L4" s="5" t="s">
        <v>12</v>
      </c>
      <c r="M4" s="5" t="s">
        <v>46</v>
      </c>
      <c r="N4" s="5" t="s">
        <v>32</v>
      </c>
      <c r="O4" s="5" t="s">
        <v>47</v>
      </c>
      <c r="P4" s="5" t="s">
        <v>48</v>
      </c>
      <c r="Q4" s="5" t="s">
        <v>13</v>
      </c>
      <c r="R4" s="5" t="s">
        <v>7</v>
      </c>
      <c r="S4" s="5" t="s">
        <v>8</v>
      </c>
      <c r="T4" s="5" t="s">
        <v>9</v>
      </c>
      <c r="U4" s="5" t="s">
        <v>87</v>
      </c>
      <c r="AD4" s="3" t="str" cm="1">
        <f t="array" ref="AD4:AD9">_xlfn.UNIQUE(INDEX(_xlfn._xlws.FILTER(charge_link_periods[],(charge_link_periods[charge_type]="Tariff")*(charge_link_periods[Charge_resolution]="P1D")),,16))</f>
        <v>tariff-daily-1--0000000000800--3000000000000--consumption--800--non_profiled</v>
      </c>
    </row>
    <row r="5" spans="2:30" x14ac:dyDescent="0.35">
      <c r="B5" s="6" t="str">
        <f>IF(OutPut10[[#This Row],[time]]="","",CalculationId)</f>
        <v>0b15a420-9fc8-409a-a169-fbd49479d718</v>
      </c>
      <c r="C5" s="6" t="str">
        <f>IF(OutPut10[[#This Row],[time]]="","",CalculationType)</f>
        <v>wholesale_fixing</v>
      </c>
      <c r="D5" s="6" t="str">
        <f>IF(OutPut10[[#This Row],[time]]="","",CalculationExecutionTimeStart)</f>
        <v>2024-01-01 23:00:00</v>
      </c>
      <c r="E5" s="6" t="str">
        <f>IF(OutPut10[[#This Row],[time]]="","","IGNORED")</f>
        <v>IGNORED</v>
      </c>
      <c r="F5" s="6" t="str">
        <f>IF(OutPut10[[#This Row],[time]]="","",G$3)</f>
        <v>800</v>
      </c>
      <c r="G5" s="6" t="str">
        <f>IF(OutPut10[[#This Row],[time]]="","",$E$3)</f>
        <v>3000000000000</v>
      </c>
      <c r="H5" s="6" t="str" cm="1">
        <f t="array" ref="H5">IF(OutPut10[[#This Row],[time]]="","",IFERROR(SUBSTITUTE(SUM(_xlfn._xlws.FILTER(time_series_points[quantity_quantified],ISNUMBER(MATCH(time_series_points[metering_point_id],INDEX(_xlfn._xlws.FILTER(charge_link_periods[],charge_link_periods[OutputCombination]=C$1),,4),0))*(time_series_points[whichday]=X5))),",","."),0))</f>
        <v>656.01</v>
      </c>
      <c r="I5" s="6" t="str">
        <f>IF(OutPut10[[#This Row],[time]]="","","kWh")</f>
        <v>kWh</v>
      </c>
      <c r="J5" s="6" t="str" cm="1">
        <f t="array" ref="J5">IF(OutPut10[[#This Row],[time]]="","",IFERROR(IF(SUM(_xlfn._xlws.FILTER(time_series_points[quantity_quantified],ISNUMBER(MATCH(time_series_points[metering_point_id],INDEX(_xlfn._xlws.FILTER(charge_link_periods[],charge_link_periods[OutputCombination]=C$1),,4),0))*(time_series_points[whichday]=X5)))&gt;0,"['missing', 'measured']","'missing'"),"['missing]"))</f>
        <v>['missing', 'measured']</v>
      </c>
      <c r="K5" s="6" t="str">
        <f>IF('calculation_arguments'!J4="","",_xlfn.CONCAT('calculation_arguments'!J4," 23:00:00"))</f>
        <v>2023-01-31 23:00:00</v>
      </c>
      <c r="L5" s="6" t="str">
        <f>IF(OutPut10[[#This Row],[time]]="","","P1D")</f>
        <v>P1D</v>
      </c>
      <c r="M5" s="6" t="str">
        <f>IF(OutPut10[[#This Row],[time]]="","",$F$3)</f>
        <v>consumption</v>
      </c>
      <c r="N5" s="7" t="str">
        <f>IF(OutPut10[[#This Row],[time]]="","",IF($H$3="","",$H$3))</f>
        <v>non_profiled</v>
      </c>
      <c r="O5" s="7" t="str" cm="1">
        <f t="array" ref="O5">IF(OutPut10[[#This Row],[time]]="","",IFERROR(_xlfn.UNIQUE(INDEX(_xlfn._xlws.FILTER(charge_price_points[],(charge_price_points[charge_time_shortened]=OutPut10[[#This Row],[time]])*(charge_price_points[charge_code]=OutPut10[[#This Row],[charge_code]])),,4)),""))</f>
        <v>0.001</v>
      </c>
      <c r="P5" s="7" t="str">
        <f>IFERROR(SUBSTITUTE(SUBSTITUTE(OutPut10[[#This Row],[price]],".",",")*SUBSTITUTE(OutPut10[[#This Row],[quantity]],".",","),",","."),"")</f>
        <v>0.65601</v>
      </c>
      <c r="Q5" s="6" t="str">
        <f>IF(OutPut10[[#This Row],[time]]="","",VLOOKUP(C$3,charge_price_information_periods[],5,FALSE))</f>
        <v>false</v>
      </c>
      <c r="R5" s="6" t="str">
        <f>IF(OutPut10[[#This Row],[time]]="","",$C$3)</f>
        <v>tariff-daily-1</v>
      </c>
      <c r="S5" s="6" t="str">
        <f>IF(OutPut10[[#This Row],[time]]="","","tariff")</f>
        <v>tariff</v>
      </c>
      <c r="T5" s="6" t="str">
        <f>IF(OutPut10[[#This Row],[time]]="","",$D$3)</f>
        <v>0000000000800</v>
      </c>
      <c r="U5" s="6" t="str">
        <f>IF(OutPut10[[#This Row],[time]]="","","amount_per_charge")</f>
        <v>amount_per_charge</v>
      </c>
      <c r="X5" s="3" t="s">
        <v>143</v>
      </c>
      <c r="AD5" s="3" t="str">
        <v>tariff-daily-3-co_is_tax--6660000000666--1000000000000--consumption_from_grid--800</v>
      </c>
    </row>
    <row r="6" spans="2:30" x14ac:dyDescent="0.35">
      <c r="B6" s="6" t="str">
        <f>IF(OutPut10[[#This Row],[time]]="","",CalculationId)</f>
        <v>0b15a420-9fc8-409a-a169-fbd49479d718</v>
      </c>
      <c r="C6" s="6" t="str">
        <f>IF(OutPut10[[#This Row],[time]]="","",CalculationType)</f>
        <v>wholesale_fixing</v>
      </c>
      <c r="D6" s="6" t="str">
        <f>IF(OutPut10[[#This Row],[time]]="","",CalculationExecutionTimeStart)</f>
        <v>2024-01-01 23:00:00</v>
      </c>
      <c r="E6" s="6" t="str">
        <f>IF(OutPut10[[#This Row],[time]]="","","IGNORED")</f>
        <v>IGNORED</v>
      </c>
      <c r="F6" s="6" t="str">
        <f>IF(OutPut10[[#This Row],[time]]="","",G$3)</f>
        <v>800</v>
      </c>
      <c r="G6" s="6" t="str">
        <f>IF(OutPut10[[#This Row],[time]]="","",$E$3)</f>
        <v>3000000000000</v>
      </c>
      <c r="H6" s="6" cm="1">
        <f t="array" ref="H6">IF(OutPut10[[#This Row],[time]]="","",IFERROR(SUBSTITUTE(SUM(_xlfn._xlws.FILTER(time_series_points[quantity_quantified],ISNUMBER(MATCH(time_series_points[metering_point_id],INDEX(_xlfn._xlws.FILTER(charge_link_periods[],charge_link_periods[OutputCombination]=C$1),,4),0))*(time_series_points[whichday]=X6))),",","."),0))</f>
        <v>0</v>
      </c>
      <c r="I6" s="6" t="str">
        <f>IF(OutPut10[[#This Row],[time]]="","","kWh")</f>
        <v>kWh</v>
      </c>
      <c r="J6" s="6" t="str" cm="1">
        <f t="array" ref="J6">IF(OutPut10[[#This Row],[time]]="","",IFERROR(IF(SUM(_xlfn._xlws.FILTER(time_series_points[quantity_quantified],ISNUMBER(MATCH(time_series_points[metering_point_id],INDEX(_xlfn._xlws.FILTER(charge_link_periods[],charge_link_periods[OutputCombination]=C$1),,4),0))*(time_series_points[whichday]=X6)))&gt;0,"['missing', 'measured']","'missing'"),"['missing]"))</f>
        <v>['missing]</v>
      </c>
      <c r="K6" s="6" t="str">
        <f>IF('calculation_arguments'!J5="","",_xlfn.CONCAT('calculation_arguments'!J5," 23:00:00"))</f>
        <v>2023-02-01 23:00:00</v>
      </c>
      <c r="L6" s="6" t="str">
        <f>IF(OutPut10[[#This Row],[time]]="","","P1D")</f>
        <v>P1D</v>
      </c>
      <c r="M6" s="6" t="str">
        <f>IF(OutPut10[[#This Row],[time]]="","",$F$3)</f>
        <v>consumption</v>
      </c>
      <c r="N6" s="7" t="str">
        <f>IF(OutPut10[[#This Row],[time]]="","",IF($H$3="","",$H$3))</f>
        <v>non_profiled</v>
      </c>
      <c r="O6" s="7" t="str" cm="1">
        <f t="array" ref="O6">IF(OutPut10[[#This Row],[time]]="","",IFERROR(_xlfn.UNIQUE(INDEX(_xlfn._xlws.FILTER(charge_price_points[],(charge_price_points[charge_time_shortened]=OutPut10[[#This Row],[time]])*(charge_price_points[charge_code]=OutPut10[[#This Row],[charge_code]])),,4)),""))</f>
        <v/>
      </c>
      <c r="P6" s="7" t="str">
        <f>IFERROR(SUBSTITUTE(SUBSTITUTE(OutPut10[[#This Row],[price]],".",",")*SUBSTITUTE(OutPut10[[#This Row],[quantity]],".",","),",","."),"")</f>
        <v/>
      </c>
      <c r="Q6" s="6" t="str">
        <f>IF(OutPut10[[#This Row],[time]]="","",VLOOKUP(C$3,charge_price_information_periods[],5,FALSE))</f>
        <v>false</v>
      </c>
      <c r="R6" s="6" t="str">
        <f>IF(OutPut10[[#This Row],[time]]="","",$C$3)</f>
        <v>tariff-daily-1</v>
      </c>
      <c r="S6" s="6" t="str">
        <f>IF(OutPut10[[#This Row],[time]]="","","tariff")</f>
        <v>tariff</v>
      </c>
      <c r="T6" s="6" t="str">
        <f>IF(OutPut10[[#This Row],[time]]="","",$D$3)</f>
        <v>0000000000800</v>
      </c>
      <c r="U6" s="6" t="str">
        <f>IF(OutPut10[[#This Row],[time]]="","","amount_per_charge")</f>
        <v>amount_per_charge</v>
      </c>
      <c r="X6" s="3" t="s">
        <v>144</v>
      </c>
      <c r="AD6" s="3" t="str">
        <v>tariff-daily-4-co_is_not_tax--6660000000666--2000000000000--production--800</v>
      </c>
    </row>
    <row r="7" spans="2:30" x14ac:dyDescent="0.35">
      <c r="B7" s="6" t="str">
        <f>IF(OutPut10[[#This Row],[time]]="","",CalculationId)</f>
        <v>0b15a420-9fc8-409a-a169-fbd49479d718</v>
      </c>
      <c r="C7" s="6" t="str">
        <f>IF(OutPut10[[#This Row],[time]]="","",CalculationType)</f>
        <v>wholesale_fixing</v>
      </c>
      <c r="D7" s="6" t="str">
        <f>IF(OutPut10[[#This Row],[time]]="","",CalculationExecutionTimeStart)</f>
        <v>2024-01-01 23:00:00</v>
      </c>
      <c r="E7" s="6" t="str">
        <f>IF(OutPut10[[#This Row],[time]]="","","IGNORED")</f>
        <v>IGNORED</v>
      </c>
      <c r="F7" s="6" t="str">
        <f>IF(OutPut10[[#This Row],[time]]="","",G$3)</f>
        <v>800</v>
      </c>
      <c r="G7" s="6" t="str">
        <f>IF(OutPut10[[#This Row],[time]]="","",$E$3)</f>
        <v>3000000000000</v>
      </c>
      <c r="H7" s="6" cm="1">
        <f t="array" ref="H7">IF(OutPut10[[#This Row],[time]]="","",IFERROR(SUBSTITUTE(SUM(_xlfn._xlws.FILTER(time_series_points[quantity_quantified],ISNUMBER(MATCH(time_series_points[metering_point_id],INDEX(_xlfn._xlws.FILTER(charge_link_periods[],charge_link_periods[OutputCombination]=C$1),,4),0))*(time_series_points[whichday]=X7))),",","."),0))</f>
        <v>0</v>
      </c>
      <c r="I7" s="6" t="str">
        <f>IF(OutPut10[[#This Row],[time]]="","","kWh")</f>
        <v>kWh</v>
      </c>
      <c r="J7" s="6" t="str" cm="1">
        <f t="array" ref="J7">IF(OutPut10[[#This Row],[time]]="","",IFERROR(IF(SUM(_xlfn._xlws.FILTER(time_series_points[quantity_quantified],ISNUMBER(MATCH(time_series_points[metering_point_id],INDEX(_xlfn._xlws.FILTER(charge_link_periods[],charge_link_periods[OutputCombination]=C$1),,4),0))*(time_series_points[whichday]=X7)))&gt;0,"['missing', 'measured']","'missing'"),"['missing]"))</f>
        <v>['missing]</v>
      </c>
      <c r="K7" s="6" t="str">
        <f>IF('calculation_arguments'!J6="","",_xlfn.CONCAT('calculation_arguments'!J6," 23:00:00"))</f>
        <v>2023-02-02 23:00:00</v>
      </c>
      <c r="L7" s="6" t="str">
        <f>IF(OutPut10[[#This Row],[time]]="","","P1D")</f>
        <v>P1D</v>
      </c>
      <c r="M7" s="6" t="str">
        <f>IF(OutPut10[[#This Row],[time]]="","",$F$3)</f>
        <v>consumption</v>
      </c>
      <c r="N7" s="7" t="str">
        <f>IF(OutPut10[[#This Row],[time]]="","",IF($H$3="","",$H$3))</f>
        <v>non_profiled</v>
      </c>
      <c r="O7" s="7" t="str" cm="1">
        <f t="array" ref="O7">IF(OutPut10[[#This Row],[time]]="","",IFERROR(_xlfn.UNIQUE(INDEX(_xlfn._xlws.FILTER(charge_price_points[],(charge_price_points[charge_time_shortened]=OutPut10[[#This Row],[time]])*(charge_price_points[charge_code]=OutPut10[[#This Row],[charge_code]])),,4)),""))</f>
        <v/>
      </c>
      <c r="P7" s="7" t="str">
        <f>IFERROR(SUBSTITUTE(SUBSTITUTE(OutPut10[[#This Row],[price]],".",",")*SUBSTITUTE(OutPut10[[#This Row],[quantity]],".",","),",","."),"")</f>
        <v/>
      </c>
      <c r="Q7" s="6" t="str">
        <f>IF(OutPut10[[#This Row],[time]]="","",VLOOKUP(C$3,charge_price_information_periods[],5,FALSE))</f>
        <v>false</v>
      </c>
      <c r="R7" s="6" t="str">
        <f>IF(OutPut10[[#This Row],[time]]="","",$C$3)</f>
        <v>tariff-daily-1</v>
      </c>
      <c r="S7" s="6" t="str">
        <f>IF(OutPut10[[#This Row],[time]]="","","tariff")</f>
        <v>tariff</v>
      </c>
      <c r="T7" s="6" t="str">
        <f>IF(OutPut10[[#This Row],[time]]="","",$D$3)</f>
        <v>0000000000800</v>
      </c>
      <c r="U7" s="6" t="str">
        <f>IF(OutPut10[[#This Row],[time]]="","","amount_per_charge")</f>
        <v>amount_per_charge</v>
      </c>
      <c r="X7" s="3" t="s">
        <v>145</v>
      </c>
      <c r="AD7" s="3" t="str">
        <v>tariff-daily-2--0000000000800--4000000000000--production--800</v>
      </c>
    </row>
    <row r="8" spans="2:30" x14ac:dyDescent="0.35">
      <c r="B8" s="6" t="str">
        <f>IF(OutPut10[[#This Row],[time]]="","",CalculationId)</f>
        <v/>
      </c>
      <c r="C8" s="6" t="str">
        <f>IF(OutPut10[[#This Row],[time]]="","",CalculationType)</f>
        <v/>
      </c>
      <c r="D8" s="6" t="str">
        <f>IF(OutPut10[[#This Row],[time]]="","",CalculationExecutionTimeStart)</f>
        <v/>
      </c>
      <c r="E8" s="6" t="str">
        <f>IF(OutPut10[[#This Row],[time]]="","","IGNORED")</f>
        <v/>
      </c>
      <c r="F8" s="6" t="str">
        <f>IF(OutPut10[[#This Row],[time]]="","",G$3)</f>
        <v/>
      </c>
      <c r="G8" s="6" t="str">
        <f>IF(OutPut10[[#This Row],[time]]="","",$E$3)</f>
        <v/>
      </c>
      <c r="H8" s="6" t="str" cm="1">
        <f t="array" ref="H8">IF(OutPut10[[#This Row],[time]]="","",IFERROR(SUBSTITUTE(SUM(_xlfn._xlws.FILTER(time_series_points[quantity_quantified],ISNUMBER(MATCH(time_series_points[metering_point_id],INDEX(_xlfn._xlws.FILTER(charge_link_periods[],charge_link_periods[OutputCombination]=C$1),,4),0))*(time_series_points[whichday]=X8))),",","."),0))</f>
        <v/>
      </c>
      <c r="I8" s="6" t="str">
        <f>IF(OutPut10[[#This Row],[time]]="","","kWh")</f>
        <v/>
      </c>
      <c r="J8" s="6" t="str" cm="1">
        <f t="array" ref="J8">IF(OutPut10[[#This Row],[time]]="","",IFERROR(IF(SUM(_xlfn._xlws.FILTER(time_series_points[quantity_quantified],ISNUMBER(MATCH(time_series_points[metering_point_id],INDEX(_xlfn._xlws.FILTER(charge_link_periods[],charge_link_periods[OutputCombination]=C$1),,4),0))*(time_series_points[whichday]=X8)))&gt;0,"['missing', 'measured']","'missing'"),"['missing]"))</f>
        <v/>
      </c>
      <c r="K8" s="6" t="str">
        <f>IF('calculation_arguments'!J7="","",_xlfn.CONCAT('calculation_arguments'!J7," 23:00:00"))</f>
        <v/>
      </c>
      <c r="L8" s="6" t="str">
        <f>IF(OutPut10[[#This Row],[time]]="","","P1D")</f>
        <v/>
      </c>
      <c r="M8" s="6" t="str">
        <f>IF(OutPut10[[#This Row],[time]]="","",$F$3)</f>
        <v/>
      </c>
      <c r="N8" s="7" t="str">
        <f>IF(OutPut10[[#This Row],[time]]="","",IF($H$3="","",$H$3))</f>
        <v/>
      </c>
      <c r="O8" s="7" t="str" cm="1">
        <f t="array" ref="O8">IF(OutPut10[[#This Row],[time]]="","",IFERROR(_xlfn.UNIQUE(INDEX(_xlfn._xlws.FILTER(charge_price_points[],(charge_price_points[charge_time_shortened]=OutPut10[[#This Row],[time]])*(charge_price_points[charge_code]=OutPut10[[#This Row],[charge_code]])),,4)),""))</f>
        <v/>
      </c>
      <c r="P8" s="7" t="str">
        <f>IFERROR(SUBSTITUTE(SUBSTITUTE(OutPut10[[#This Row],[price]],".",",")*SUBSTITUTE(OutPut10[[#This Row],[quantity]],".",","),",","."),"")</f>
        <v/>
      </c>
      <c r="Q8" s="6" t="str">
        <f>IF(OutPut10[[#This Row],[time]]="","",VLOOKUP(C$3,charge_price_information_periods[],5,FALSE))</f>
        <v/>
      </c>
      <c r="R8" s="6" t="str">
        <f>IF(OutPut10[[#This Row],[time]]="","",$C$3)</f>
        <v/>
      </c>
      <c r="S8" s="6" t="str">
        <f>IF(OutPut10[[#This Row],[time]]="","","tariff")</f>
        <v/>
      </c>
      <c r="T8" s="6" t="str">
        <f>IF(OutPut10[[#This Row],[time]]="","",$D$3)</f>
        <v/>
      </c>
      <c r="U8" s="6" t="str">
        <f>IF(OutPut10[[#This Row],[time]]="","","amount_per_charge")</f>
        <v/>
      </c>
      <c r="X8" s="3" t="s">
        <v>146</v>
      </c>
      <c r="AD8" s="3" t="str">
        <v>tariff-daily-2--0000000000800--2000000000000--own_production--800</v>
      </c>
    </row>
    <row r="9" spans="2:30" x14ac:dyDescent="0.35">
      <c r="N9" s="2"/>
      <c r="O9" s="2"/>
      <c r="P9" s="2"/>
      <c r="AD9" s="3" t="str">
        <v>tariff-daily-1--0000000000800--2000000000000--production--111</v>
      </c>
    </row>
    <row r="10" spans="2:30" x14ac:dyDescent="0.35">
      <c r="N10" s="2"/>
      <c r="O10" s="2"/>
      <c r="P10" s="2"/>
    </row>
    <row r="11" spans="2:30" x14ac:dyDescent="0.35">
      <c r="N11" s="2"/>
      <c r="O11" s="2"/>
      <c r="P11" s="2"/>
    </row>
    <row r="12" spans="2:30" x14ac:dyDescent="0.35">
      <c r="N12" s="2"/>
      <c r="O12" s="2"/>
      <c r="P12" s="2"/>
    </row>
    <row r="13" spans="2:30" x14ac:dyDescent="0.35">
      <c r="N13" s="2"/>
      <c r="O13" s="2"/>
      <c r="P13" s="2"/>
    </row>
    <row r="14" spans="2:30" x14ac:dyDescent="0.35">
      <c r="N14" s="2"/>
      <c r="O14" s="2"/>
      <c r="P14" s="2"/>
    </row>
    <row r="15" spans="2:30" x14ac:dyDescent="0.35">
      <c r="N15" s="2"/>
      <c r="O15" s="2"/>
      <c r="P15" s="2"/>
    </row>
    <row r="16" spans="2:30" x14ac:dyDescent="0.35">
      <c r="N16" s="2"/>
      <c r="O16" s="2"/>
      <c r="P16" s="2"/>
    </row>
    <row r="17" spans="14:25" x14ac:dyDescent="0.35">
      <c r="N17" s="2"/>
      <c r="O17" s="2"/>
      <c r="P17" s="2"/>
    </row>
    <row r="18" spans="14:25" x14ac:dyDescent="0.35">
      <c r="N18" s="2"/>
      <c r="O18" s="2"/>
      <c r="P18" s="2"/>
    </row>
    <row r="19" spans="14:25" x14ac:dyDescent="0.35">
      <c r="N19" s="2"/>
      <c r="O19" s="2"/>
      <c r="P19" s="2"/>
    </row>
    <row r="20" spans="14:25" x14ac:dyDescent="0.35">
      <c r="N20" s="2"/>
      <c r="O20" s="2"/>
      <c r="P20" s="2"/>
    </row>
    <row r="21" spans="14:25" x14ac:dyDescent="0.35">
      <c r="N21" s="2"/>
      <c r="O21" s="2"/>
      <c r="P21" s="2"/>
    </row>
    <row r="22" spans="14:25" x14ac:dyDescent="0.35">
      <c r="N22" s="2"/>
      <c r="O22" s="2"/>
      <c r="P22" s="2"/>
    </row>
    <row r="23" spans="14:25" x14ac:dyDescent="0.35">
      <c r="N23" s="2"/>
      <c r="O23" s="2"/>
      <c r="P23" s="2"/>
    </row>
    <row r="24" spans="14:25" x14ac:dyDescent="0.35">
      <c r="N24" s="2"/>
      <c r="O24" s="2"/>
      <c r="P24" s="2"/>
    </row>
    <row r="25" spans="14:25" x14ac:dyDescent="0.35">
      <c r="N25" s="2"/>
      <c r="O25" s="2"/>
      <c r="P25" s="2"/>
    </row>
    <row r="26" spans="14:25" x14ac:dyDescent="0.35">
      <c r="N26" s="2"/>
      <c r="O26" s="2"/>
      <c r="P26" s="2"/>
    </row>
    <row r="27" spans="14:25" x14ac:dyDescent="0.35">
      <c r="N27" s="2"/>
      <c r="O27" s="2"/>
      <c r="P27" s="2"/>
    </row>
    <row r="28" spans="14:25" x14ac:dyDescent="0.35">
      <c r="N28" s="2"/>
      <c r="O28" s="2"/>
      <c r="P28" s="2"/>
    </row>
    <row r="29" spans="14:25" x14ac:dyDescent="0.35">
      <c r="N29" s="2"/>
      <c r="O29" s="2"/>
      <c r="P29" s="2"/>
    </row>
    <row r="30" spans="14:25" x14ac:dyDescent="0.35">
      <c r="N30" s="2"/>
      <c r="O30" s="2"/>
      <c r="P30" s="2"/>
      <c r="V30" s="4"/>
      <c r="Y30" s="4"/>
    </row>
    <row r="31" spans="14:25" x14ac:dyDescent="0.35">
      <c r="N31" s="2"/>
      <c r="O31" s="2"/>
      <c r="P31" s="2"/>
      <c r="V31" s="4"/>
      <c r="Y31" s="4"/>
    </row>
    <row r="32" spans="14:25" x14ac:dyDescent="0.35">
      <c r="N32" s="2"/>
      <c r="O32" s="2"/>
      <c r="P32" s="2"/>
      <c r="Y32" s="4"/>
    </row>
    <row r="33" spans="14:25" x14ac:dyDescent="0.35">
      <c r="N33" s="2"/>
      <c r="O33" s="2"/>
      <c r="P33" s="2"/>
      <c r="Y33" s="4"/>
    </row>
    <row r="34" spans="14:25" x14ac:dyDescent="0.35">
      <c r="N34" s="2"/>
      <c r="O34" s="2"/>
      <c r="P34" s="2"/>
      <c r="Y34" s="4"/>
    </row>
    <row r="35" spans="14:25" x14ac:dyDescent="0.35">
      <c r="N35" s="2"/>
      <c r="O35" s="2"/>
      <c r="P35" s="2"/>
      <c r="Y35" s="4"/>
    </row>
    <row r="36" spans="14:25" x14ac:dyDescent="0.35">
      <c r="N36" s="2"/>
      <c r="O36" s="2"/>
      <c r="P36" s="2"/>
      <c r="Y36" s="4"/>
    </row>
    <row r="37" spans="14:25" x14ac:dyDescent="0.35">
      <c r="N37" s="2"/>
      <c r="O37" s="2"/>
      <c r="P37" s="2"/>
      <c r="Y37" s="4"/>
    </row>
    <row r="38" spans="14:25" x14ac:dyDescent="0.35">
      <c r="N38" s="2"/>
      <c r="O38" s="2"/>
      <c r="P38" s="2"/>
      <c r="Y38" s="4"/>
    </row>
    <row r="39" spans="14:25" x14ac:dyDescent="0.35">
      <c r="N39" s="2"/>
      <c r="O39" s="2"/>
      <c r="P39" s="2"/>
      <c r="Y39" s="4"/>
    </row>
    <row r="40" spans="14:25" x14ac:dyDescent="0.35">
      <c r="N40" s="2"/>
      <c r="O40" s="2"/>
      <c r="P40" s="2"/>
      <c r="Y40" s="4"/>
    </row>
    <row r="41" spans="14:25" x14ac:dyDescent="0.35">
      <c r="N41" s="2"/>
      <c r="O41" s="2"/>
      <c r="P41" s="2"/>
      <c r="Y41" s="4"/>
    </row>
    <row r="42" spans="14:25" x14ac:dyDescent="0.35">
      <c r="N42" s="2"/>
      <c r="O42" s="2"/>
      <c r="P42" s="2"/>
      <c r="Y42" s="4"/>
    </row>
    <row r="43" spans="14:25" x14ac:dyDescent="0.35">
      <c r="N43" s="2"/>
      <c r="O43" s="2"/>
      <c r="P43" s="2"/>
      <c r="Y43" s="4"/>
    </row>
    <row r="44" spans="14:25" x14ac:dyDescent="0.35">
      <c r="N44" s="2"/>
      <c r="O44" s="2"/>
      <c r="P44" s="2"/>
      <c r="Y44" s="4"/>
    </row>
    <row r="45" spans="14:25" x14ac:dyDescent="0.35">
      <c r="N45" s="2"/>
      <c r="O45" s="2"/>
      <c r="P45" s="2"/>
      <c r="Y45" s="4"/>
    </row>
    <row r="46" spans="14:25" x14ac:dyDescent="0.35">
      <c r="N46" s="2"/>
      <c r="O46" s="2"/>
      <c r="P46" s="2"/>
      <c r="Y46" s="4"/>
    </row>
    <row r="47" spans="14:25" x14ac:dyDescent="0.35">
      <c r="N47" s="2"/>
      <c r="O47" s="2"/>
      <c r="P47" s="2"/>
      <c r="Y47" s="4"/>
    </row>
    <row r="48" spans="14:25" x14ac:dyDescent="0.35">
      <c r="N48" s="2"/>
      <c r="O48" s="2"/>
      <c r="P48" s="2"/>
      <c r="Y48" s="4"/>
    </row>
    <row r="49" spans="14:25" x14ac:dyDescent="0.35">
      <c r="N49" s="2"/>
      <c r="O49" s="2"/>
      <c r="P49" s="2"/>
      <c r="Y49" s="4"/>
    </row>
    <row r="50" spans="14:25" x14ac:dyDescent="0.35">
      <c r="N50" s="2"/>
      <c r="O50" s="2"/>
      <c r="P50" s="2"/>
      <c r="Y50" s="4"/>
    </row>
    <row r="51" spans="14:25" x14ac:dyDescent="0.35">
      <c r="N51" s="2"/>
      <c r="O51" s="2"/>
      <c r="P51" s="2"/>
      <c r="Y51" s="4"/>
    </row>
    <row r="52" spans="14:25" x14ac:dyDescent="0.35">
      <c r="N52" s="2"/>
      <c r="O52" s="2"/>
      <c r="P52" s="2"/>
      <c r="Y52" s="4"/>
    </row>
    <row r="53" spans="14:25" x14ac:dyDescent="0.35">
      <c r="N53" s="2"/>
      <c r="O53" s="2"/>
      <c r="P53" s="2"/>
      <c r="Y53" s="4"/>
    </row>
    <row r="54" spans="14:25" x14ac:dyDescent="0.35">
      <c r="N54" s="2"/>
      <c r="O54" s="2"/>
      <c r="P54" s="2"/>
      <c r="Y54" s="4"/>
    </row>
    <row r="55" spans="14:25" x14ac:dyDescent="0.35">
      <c r="N55" s="2"/>
      <c r="O55" s="2"/>
      <c r="P55" s="2"/>
      <c r="Y55" s="4"/>
    </row>
    <row r="56" spans="14:25" x14ac:dyDescent="0.35">
      <c r="N56" s="2"/>
      <c r="O56" s="2"/>
      <c r="P56" s="2"/>
      <c r="Y56" s="4"/>
    </row>
    <row r="57" spans="14:25" x14ac:dyDescent="0.35">
      <c r="N57" s="2"/>
      <c r="O57" s="2"/>
      <c r="P57" s="2"/>
      <c r="Y57" s="4"/>
    </row>
    <row r="58" spans="14:25" x14ac:dyDescent="0.35">
      <c r="N58" s="2"/>
      <c r="O58" s="2"/>
      <c r="P58" s="2"/>
      <c r="V58" s="4"/>
      <c r="W58" s="4"/>
      <c r="X58" s="12"/>
      <c r="Y58" s="4"/>
    </row>
    <row r="59" spans="14:25" x14ac:dyDescent="0.35">
      <c r="N59" s="2"/>
      <c r="O59" s="2"/>
      <c r="P59" s="2"/>
      <c r="V59" s="4"/>
      <c r="W59" s="4"/>
      <c r="X59" s="12"/>
      <c r="Y59" s="4"/>
    </row>
    <row r="60" spans="14:25" x14ac:dyDescent="0.35">
      <c r="N60" s="2"/>
      <c r="O60" s="2"/>
      <c r="P60" s="2"/>
      <c r="V60" s="4"/>
      <c r="W60" s="4"/>
      <c r="X60" s="12"/>
      <c r="Y60" s="4"/>
    </row>
    <row r="61" spans="14:25" x14ac:dyDescent="0.35">
      <c r="N61" s="2"/>
      <c r="O61" s="2"/>
      <c r="P61" s="2"/>
      <c r="V61" s="4"/>
      <c r="W61" s="4"/>
      <c r="X61" s="12"/>
      <c r="Y61" s="4"/>
    </row>
    <row r="62" spans="14:25" x14ac:dyDescent="0.35">
      <c r="N62" s="2"/>
      <c r="O62" s="2"/>
      <c r="P62" s="2"/>
      <c r="V62" s="4"/>
      <c r="W62" s="4"/>
      <c r="X62" s="12"/>
      <c r="Y62" s="4"/>
    </row>
    <row r="63" spans="14:25" x14ac:dyDescent="0.35">
      <c r="N63" s="2"/>
      <c r="O63" s="2"/>
      <c r="P63" s="2"/>
      <c r="V63" s="4"/>
      <c r="W63" s="4"/>
      <c r="X63" s="12"/>
      <c r="Y63" s="4"/>
    </row>
    <row r="64" spans="14:25" x14ac:dyDescent="0.35">
      <c r="N64" s="2"/>
      <c r="O64" s="2"/>
      <c r="P64" s="2"/>
      <c r="V64" s="4"/>
      <c r="W64" s="4"/>
      <c r="X64" s="12"/>
      <c r="Y64" s="4"/>
    </row>
    <row r="65" spans="14:25" x14ac:dyDescent="0.35">
      <c r="N65" s="2"/>
      <c r="O65" s="2"/>
      <c r="P65" s="2"/>
      <c r="V65" s="4"/>
      <c r="W65" s="4"/>
      <c r="X65" s="12"/>
      <c r="Y65" s="4"/>
    </row>
    <row r="66" spans="14:25" x14ac:dyDescent="0.35">
      <c r="N66" s="2"/>
      <c r="O66" s="2"/>
      <c r="P66" s="2"/>
      <c r="V66" s="4"/>
      <c r="W66" s="4"/>
      <c r="X66" s="12"/>
      <c r="Y66" s="4"/>
    </row>
    <row r="67" spans="14:25" x14ac:dyDescent="0.35">
      <c r="N67" s="2"/>
      <c r="O67" s="2"/>
      <c r="P67" s="2"/>
      <c r="V67" s="4"/>
      <c r="W67" s="4"/>
      <c r="X67" s="12"/>
      <c r="Y67" s="4"/>
    </row>
    <row r="68" spans="14:25" x14ac:dyDescent="0.35">
      <c r="N68" s="2"/>
      <c r="O68" s="2"/>
      <c r="P68" s="2"/>
    </row>
    <row r="69" spans="14:25" x14ac:dyDescent="0.35">
      <c r="N69" s="2"/>
      <c r="O69" s="2"/>
      <c r="P69" s="2"/>
    </row>
    <row r="70" spans="14:25" x14ac:dyDescent="0.35">
      <c r="N70" s="2"/>
      <c r="O70" s="2"/>
      <c r="P70" s="2"/>
    </row>
    <row r="71" spans="14:25" x14ac:dyDescent="0.35">
      <c r="N71" s="2"/>
      <c r="O71" s="2"/>
      <c r="P71" s="2"/>
    </row>
    <row r="72" spans="14:25" x14ac:dyDescent="0.35">
      <c r="N72" s="2"/>
      <c r="O72" s="2"/>
      <c r="P72" s="2"/>
    </row>
    <row r="73" spans="14:25" x14ac:dyDescent="0.35">
      <c r="N73" s="2"/>
      <c r="O73" s="2"/>
      <c r="P73" s="2"/>
    </row>
    <row r="74" spans="14:25" x14ac:dyDescent="0.35">
      <c r="N74" s="2"/>
      <c r="O74" s="2"/>
      <c r="P74" s="2"/>
    </row>
    <row r="75" spans="14:25" x14ac:dyDescent="0.35">
      <c r="N75" s="2"/>
      <c r="O75" s="2"/>
      <c r="P75" s="2"/>
    </row>
    <row r="76" spans="14:25" x14ac:dyDescent="0.35">
      <c r="N76" s="2"/>
      <c r="O76" s="2"/>
      <c r="P76" s="2"/>
    </row>
    <row r="77" spans="14:25" x14ac:dyDescent="0.35">
      <c r="N77" s="2"/>
      <c r="O77" s="2"/>
      <c r="P77" s="2"/>
    </row>
    <row r="78" spans="14:25" x14ac:dyDescent="0.35">
      <c r="N78" s="2"/>
      <c r="O78" s="2"/>
      <c r="P78" s="2"/>
    </row>
    <row r="79" spans="14:25" x14ac:dyDescent="0.35">
      <c r="N79" s="2"/>
      <c r="O79" s="2"/>
      <c r="P79" s="2"/>
    </row>
    <row r="80" spans="14:25" x14ac:dyDescent="0.35">
      <c r="N80" s="2"/>
      <c r="O80" s="2"/>
      <c r="P80" s="2"/>
    </row>
    <row r="81" spans="14:16" x14ac:dyDescent="0.35">
      <c r="N81" s="2"/>
      <c r="O81" s="2"/>
      <c r="P81" s="2"/>
    </row>
    <row r="82" spans="14:16" x14ac:dyDescent="0.35">
      <c r="N82" s="2"/>
      <c r="O82" s="2"/>
      <c r="P82" s="2"/>
    </row>
    <row r="83" spans="14:16" x14ac:dyDescent="0.35">
      <c r="N83" s="2"/>
      <c r="O83" s="2"/>
      <c r="P83" s="2"/>
    </row>
    <row r="84" spans="14:16" x14ac:dyDescent="0.35">
      <c r="N84" s="2"/>
      <c r="O84" s="2"/>
      <c r="P84" s="2"/>
    </row>
    <row r="85" spans="14:16" x14ac:dyDescent="0.35">
      <c r="N85" s="2"/>
      <c r="O85" s="2"/>
      <c r="P85" s="2"/>
    </row>
    <row r="86" spans="14:16" x14ac:dyDescent="0.35">
      <c r="N86" s="2"/>
      <c r="O86" s="2"/>
      <c r="P86" s="2"/>
    </row>
    <row r="87" spans="14:16" x14ac:dyDescent="0.35">
      <c r="N87" s="2"/>
      <c r="O87" s="2"/>
      <c r="P87" s="2"/>
    </row>
    <row r="88" spans="14:16" x14ac:dyDescent="0.35">
      <c r="N88" s="2"/>
      <c r="O88" s="2"/>
      <c r="P88" s="2"/>
    </row>
    <row r="89" spans="14:16" x14ac:dyDescent="0.35">
      <c r="N89" s="2"/>
      <c r="O89" s="2"/>
      <c r="P89" s="2"/>
    </row>
    <row r="90" spans="14:16" x14ac:dyDescent="0.35">
      <c r="N90" s="2"/>
      <c r="O90" s="2"/>
      <c r="P90" s="2"/>
    </row>
    <row r="91" spans="14:16" x14ac:dyDescent="0.35">
      <c r="N91" s="2"/>
      <c r="O91" s="2"/>
      <c r="P91" s="2"/>
    </row>
    <row r="92" spans="14:16" x14ac:dyDescent="0.35">
      <c r="N92" s="2"/>
      <c r="O92" s="2"/>
      <c r="P92" s="2"/>
    </row>
    <row r="93" spans="14:16" x14ac:dyDescent="0.35">
      <c r="N93" s="2"/>
      <c r="O93" s="2"/>
      <c r="P93" s="2"/>
    </row>
    <row r="94" spans="14:16" x14ac:dyDescent="0.35">
      <c r="N94" s="2"/>
      <c r="O94" s="2"/>
      <c r="P94" s="2"/>
    </row>
    <row r="95" spans="14:16" x14ac:dyDescent="0.35">
      <c r="N95" s="2"/>
      <c r="O95" s="2"/>
      <c r="P95" s="2"/>
    </row>
    <row r="96" spans="14:16" x14ac:dyDescent="0.35">
      <c r="N96" s="2"/>
      <c r="O96" s="2"/>
      <c r="P96" s="2"/>
    </row>
    <row r="97" spans="14:16" x14ac:dyDescent="0.35">
      <c r="N97" s="2"/>
      <c r="O97" s="2"/>
      <c r="P97" s="2"/>
    </row>
    <row r="98" spans="14:16" x14ac:dyDescent="0.35">
      <c r="N98" s="2"/>
      <c r="O98" s="2"/>
      <c r="P98" s="2"/>
    </row>
    <row r="99" spans="14:16" x14ac:dyDescent="0.35">
      <c r="N99" s="2"/>
      <c r="O99" s="2"/>
      <c r="P99" s="2"/>
    </row>
    <row r="100" spans="14:16" x14ac:dyDescent="0.35">
      <c r="N100" s="2"/>
      <c r="O100" s="2"/>
      <c r="P100" s="2"/>
    </row>
  </sheetData>
  <mergeCells count="1">
    <mergeCell ref="C1:F1"/>
  </mergeCells>
  <phoneticPr fontId="1" type="noConversion"/>
  <dataValidations count="1">
    <dataValidation type="list" allowBlank="1" showInputMessage="1" showErrorMessage="1" sqref="C1" xr:uid="{94F5DC8C-4B4D-4AF6-89DB-C19A08BA1E3A}">
      <formula1>$AD$4:$AD$40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8F4A-CD07-418A-AB22-23250E023D0E}">
  <dimension ref="A1:L251"/>
  <sheetViews>
    <sheetView workbookViewId="0">
      <selection activeCell="C17" sqref="C17"/>
    </sheetView>
  </sheetViews>
  <sheetFormatPr defaultRowHeight="14.5" x14ac:dyDescent="0.35"/>
  <cols>
    <col min="1" max="1" width="54.6328125" style="13" bestFit="1" customWidth="1"/>
    <col min="2" max="2" width="19.90625" style="13" bestFit="1" customWidth="1"/>
    <col min="3" max="3" width="26.90625" style="13" bestFit="1" customWidth="1"/>
    <col min="4" max="4" width="36.26953125" style="13" bestFit="1" customWidth="1"/>
    <col min="5" max="6" width="8.7265625" style="13"/>
    <col min="7" max="8" width="17.7265625" style="13" bestFit="1" customWidth="1"/>
    <col min="9" max="9" width="8.7265625" style="13"/>
    <col min="10" max="10" width="19.36328125" style="13" bestFit="1" customWidth="1"/>
    <col min="11" max="16384" width="8.7265625" style="13"/>
  </cols>
  <sheetData>
    <row r="1" spans="1:12" x14ac:dyDescent="0.35">
      <c r="A1" s="17" t="s">
        <v>159</v>
      </c>
    </row>
    <row r="2" spans="1:12" x14ac:dyDescent="0.35">
      <c r="A2" s="17" t="s">
        <v>166</v>
      </c>
      <c r="C2" s="13" t="s">
        <v>171</v>
      </c>
      <c r="D2" s="13" t="str" cm="1">
        <f t="array" ref="D2:E2">_xlfn.TEXTSPLIT(SUBSTITUTE(SUBSTITUTE(SUBSTITUTE(SUBSTITUTE(MID(A2, SEARCH("[", A2), SEARCH("]", A2) - SEARCH("[", A2) + 1), "[", ""), "]", ""), "'", ""), " ", ""),",")</f>
        <v>800</v>
      </c>
      <c r="E2" s="13" t="str">
        <v>111</v>
      </c>
    </row>
    <row r="3" spans="1:12" x14ac:dyDescent="0.35">
      <c r="A3" s="17" t="s">
        <v>160</v>
      </c>
      <c r="C3" s="13" t="s">
        <v>176</v>
      </c>
      <c r="D3" s="13" t="str">
        <f>MID(A3, SEARCH("'", A3) + 1, SEARCH("'", A3, SEARCH("'", A3) + 1) - SEARCH("'", A3) - 1)</f>
        <v>0b15a420-9fc8-409a-a169-fbd49479d718</v>
      </c>
      <c r="F3" s="13" t="s">
        <v>143</v>
      </c>
      <c r="G3" s="13" t="str">
        <f>LEFT(H3,10)</f>
        <v>2023-01-31</v>
      </c>
      <c r="H3" s="13" t="str">
        <f>PeriodStart</f>
        <v>2023-01-31 23:00:00</v>
      </c>
      <c r="J3" s="13" t="s">
        <v>134</v>
      </c>
      <c r="L3" s="13" t="str" cm="1">
        <f t="array" aca="1" ref="L3" ca="1">LEFT(CELL("filename",$A$1),FIND("[",CELL("filename",$A$1),1)-1)</f>
        <v>C:\repo\opengeh-wholesale\source\databricks\calculation_engine\tests\features\wholesale_calculation\given_testing_the_tester\</v>
      </c>
    </row>
    <row r="4" spans="1:12" x14ac:dyDescent="0.35">
      <c r="A4" s="17" t="s">
        <v>161</v>
      </c>
      <c r="C4" s="13" t="s">
        <v>172</v>
      </c>
      <c r="D4" s="13" t="str">
        <f>MID(A4, SEARCH("'", A4) + 1, SEARCH("'", A4, SEARCH("'", A4) + 1) - SEARCH("'", A4) - 1)</f>
        <v>2023-01-31 23:00:00</v>
      </c>
      <c r="F4" s="13" t="s">
        <v>143</v>
      </c>
      <c r="G4" s="13" t="str">
        <f t="shared" ref="G4:G67" si="0">LEFT(H4,10)</f>
        <v>2023-02-01</v>
      </c>
      <c r="H4" s="13" t="str">
        <f t="shared" ref="H4:H67" si="1">IF(PeriodEnd&gt;TEXT(PeriodStart+((ROW()-3)/24),"åååå-mm-dd tt:mm:ss"),TEXT(PeriodStart+((ROW()-3)/24),"åååå-mm-dd tt:mm:ss"),"")</f>
        <v>2023-02-01 00:00:00</v>
      </c>
      <c r="J4" s="14" t="str">
        <f>LEFT(PeriodStart,10)</f>
        <v>2023-01-31</v>
      </c>
    </row>
    <row r="5" spans="1:12" x14ac:dyDescent="0.35">
      <c r="A5" s="17" t="s">
        <v>162</v>
      </c>
      <c r="C5" s="13" t="s">
        <v>173</v>
      </c>
      <c r="D5" s="13" t="str">
        <f>MID(A5, SEARCH("'", A5) + 1, SEARCH("'", A5, SEARCH("'", A5) + 1) - SEARCH("'", A5) - 1)</f>
        <v>2023-02-03 23:00:00</v>
      </c>
      <c r="F5" s="13" t="s">
        <v>143</v>
      </c>
      <c r="G5" s="13" t="str">
        <f t="shared" si="0"/>
        <v>2023-02-01</v>
      </c>
      <c r="H5" s="13" t="str">
        <f t="shared" si="1"/>
        <v>2023-02-01 01:00:00</v>
      </c>
      <c r="J5" s="15" t="str">
        <f>IF(PeriodEnd&gt;TEXT(PeriodStart+((ROW()-3)),"åååå-mm-dd"),TEXT(PeriodStart+((ROW()-4)),"åååå-mm-dd"),"")</f>
        <v>2023-02-01</v>
      </c>
    </row>
    <row r="6" spans="1:12" x14ac:dyDescent="0.35">
      <c r="A6" s="17" t="s">
        <v>163</v>
      </c>
      <c r="C6" s="13" t="s">
        <v>174</v>
      </c>
      <c r="D6" s="13" t="str">
        <f>MID(A6, SEARCH("'", A6) + 1, SEARCH("'", A6, SEARCH("'", A6) + 1) - SEARCH("'", A6) - 1)</f>
        <v>wholesale_fixing</v>
      </c>
      <c r="F6" s="13" t="s">
        <v>143</v>
      </c>
      <c r="G6" s="13" t="str">
        <f t="shared" si="0"/>
        <v>2023-02-01</v>
      </c>
      <c r="H6" s="13" t="str">
        <f t="shared" si="1"/>
        <v>2023-02-01 02:00:00</v>
      </c>
      <c r="J6" s="15" t="str">
        <f>IF(PeriodEnd&gt;TEXT(PeriodStart+((ROW()-3)),"åååå-mm-dd"),TEXT(PeriodStart+((ROW()-4)),"åååå-mm-dd"),"")</f>
        <v>2023-02-02</v>
      </c>
    </row>
    <row r="7" spans="1:12" x14ac:dyDescent="0.35">
      <c r="A7" s="17" t="s">
        <v>164</v>
      </c>
      <c r="C7" s="13" t="s">
        <v>175</v>
      </c>
      <c r="D7" s="13" t="str">
        <f>MID(A7, SEARCH("'", A7) + 1, SEARCH("'", A7, SEARCH("'", A7) + 1) - SEARCH("'", A7) - 1)</f>
        <v>2024-01-01 23:00:00</v>
      </c>
      <c r="F7" s="13" t="s">
        <v>143</v>
      </c>
      <c r="G7" s="13" t="str">
        <f t="shared" si="0"/>
        <v>2023-02-01</v>
      </c>
      <c r="H7" s="13" t="str">
        <f t="shared" si="1"/>
        <v>2023-02-01 03:00:00</v>
      </c>
      <c r="J7" s="15" t="str">
        <f>IF(PeriodEnd&gt;TEXT(PeriodStart+((ROW()-3)),"åååå-mm-dd"),TEXT(PeriodStart+((ROW()-4)),"åååå-mm-dd"),"")</f>
        <v/>
      </c>
    </row>
    <row r="8" spans="1:12" x14ac:dyDescent="0.35">
      <c r="A8" s="17" t="s">
        <v>165</v>
      </c>
      <c r="F8" s="13" t="s">
        <v>143</v>
      </c>
      <c r="G8" s="13" t="str">
        <f t="shared" si="0"/>
        <v>2023-02-01</v>
      </c>
      <c r="H8" s="13" t="str">
        <f t="shared" si="1"/>
        <v>2023-02-01 04:00:00</v>
      </c>
    </row>
    <row r="9" spans="1:12" x14ac:dyDescent="0.35">
      <c r="F9" s="13" t="s">
        <v>143</v>
      </c>
      <c r="G9" s="13" t="str">
        <f t="shared" si="0"/>
        <v>2023-02-01</v>
      </c>
      <c r="H9" s="13" t="str">
        <f t="shared" si="1"/>
        <v>2023-02-01 05:00:00</v>
      </c>
    </row>
    <row r="10" spans="1:12" x14ac:dyDescent="0.35">
      <c r="F10" s="13" t="s">
        <v>143</v>
      </c>
      <c r="G10" s="13" t="str">
        <f t="shared" si="0"/>
        <v>2023-02-01</v>
      </c>
      <c r="H10" s="13" t="str">
        <f t="shared" si="1"/>
        <v>2023-02-01 06:00:00</v>
      </c>
    </row>
    <row r="11" spans="1:12" x14ac:dyDescent="0.35">
      <c r="F11" s="13" t="s">
        <v>143</v>
      </c>
      <c r="G11" s="13" t="str">
        <f t="shared" si="0"/>
        <v>2023-02-01</v>
      </c>
      <c r="H11" s="13" t="str">
        <f t="shared" si="1"/>
        <v>2023-02-01 07:00:00</v>
      </c>
    </row>
    <row r="12" spans="1:12" x14ac:dyDescent="0.35">
      <c r="F12" s="13" t="s">
        <v>143</v>
      </c>
      <c r="G12" s="13" t="str">
        <f t="shared" si="0"/>
        <v>2023-02-01</v>
      </c>
      <c r="H12" s="13" t="str">
        <f t="shared" si="1"/>
        <v>2023-02-01 08:00:00</v>
      </c>
    </row>
    <row r="13" spans="1:12" x14ac:dyDescent="0.35">
      <c r="F13" s="13" t="s">
        <v>143</v>
      </c>
      <c r="G13" s="13" t="str">
        <f t="shared" si="0"/>
        <v>2023-02-01</v>
      </c>
      <c r="H13" s="13" t="str">
        <f t="shared" si="1"/>
        <v>2023-02-01 09:00:00</v>
      </c>
    </row>
    <row r="14" spans="1:12" x14ac:dyDescent="0.35">
      <c r="A14" s="13" t="s">
        <v>54</v>
      </c>
      <c r="B14" s="13" t="s">
        <v>117</v>
      </c>
      <c r="F14" s="13" t="s">
        <v>143</v>
      </c>
      <c r="G14" s="13" t="str">
        <f t="shared" si="0"/>
        <v>2023-02-01</v>
      </c>
      <c r="H14" s="13" t="str">
        <f t="shared" si="1"/>
        <v>2023-02-01 10:00:00</v>
      </c>
    </row>
    <row r="15" spans="1:12" x14ac:dyDescent="0.35">
      <c r="A15" s="13" t="s">
        <v>18</v>
      </c>
      <c r="B15" s="13" t="s">
        <v>55</v>
      </c>
      <c r="F15" s="13" t="s">
        <v>143</v>
      </c>
      <c r="G15" s="13" t="str">
        <f t="shared" si="0"/>
        <v>2023-02-01</v>
      </c>
      <c r="H15" s="13" t="str">
        <f t="shared" si="1"/>
        <v>2023-02-01 11:00:00</v>
      </c>
    </row>
    <row r="16" spans="1:12" x14ac:dyDescent="0.35">
      <c r="A16" s="16" t="s">
        <v>22</v>
      </c>
      <c r="B16" s="16" t="s">
        <v>56</v>
      </c>
      <c r="F16" s="13" t="s">
        <v>143</v>
      </c>
      <c r="G16" s="13" t="str">
        <f t="shared" si="0"/>
        <v>2023-02-01</v>
      </c>
      <c r="H16" s="13" t="str">
        <f t="shared" si="1"/>
        <v>2023-02-01 12:00:00</v>
      </c>
    </row>
    <row r="17" spans="1:8" x14ac:dyDescent="0.35">
      <c r="A17" s="16"/>
      <c r="B17" s="16"/>
      <c r="F17" s="13" t="s">
        <v>143</v>
      </c>
      <c r="G17" s="13" t="str">
        <f t="shared" si="0"/>
        <v>2023-02-01</v>
      </c>
      <c r="H17" s="13" t="str">
        <f t="shared" si="1"/>
        <v>2023-02-01 13:00:00</v>
      </c>
    </row>
    <row r="18" spans="1:8" x14ac:dyDescent="0.35">
      <c r="A18" s="13" t="s">
        <v>49</v>
      </c>
      <c r="B18" s="13" t="s">
        <v>118</v>
      </c>
      <c r="F18" s="13" t="s">
        <v>143</v>
      </c>
      <c r="G18" s="13" t="str">
        <f t="shared" si="0"/>
        <v>2023-02-01</v>
      </c>
      <c r="H18" s="13" t="str">
        <f t="shared" si="1"/>
        <v>2023-02-01 14:00:00</v>
      </c>
    </row>
    <row r="19" spans="1:8" x14ac:dyDescent="0.35">
      <c r="A19" s="13" t="s">
        <v>17</v>
      </c>
      <c r="B19" s="13" t="s">
        <v>50</v>
      </c>
      <c r="F19" s="13" t="s">
        <v>143</v>
      </c>
      <c r="G19" s="13" t="str">
        <f t="shared" si="0"/>
        <v>2023-02-01</v>
      </c>
      <c r="H19" s="13" t="str">
        <f t="shared" si="1"/>
        <v>2023-02-01 15:00:00</v>
      </c>
    </row>
    <row r="20" spans="1:8" x14ac:dyDescent="0.35">
      <c r="A20" s="16" t="s">
        <v>20</v>
      </c>
      <c r="B20" s="16" t="s">
        <v>51</v>
      </c>
      <c r="F20" s="13" t="s">
        <v>143</v>
      </c>
      <c r="G20" s="13" t="str">
        <f t="shared" si="0"/>
        <v>2023-02-01</v>
      </c>
      <c r="H20" s="13" t="str">
        <f t="shared" si="1"/>
        <v>2023-02-01 16:00:00</v>
      </c>
    </row>
    <row r="21" spans="1:8" x14ac:dyDescent="0.35">
      <c r="A21" s="16" t="s">
        <v>21</v>
      </c>
      <c r="B21" s="16" t="s">
        <v>53</v>
      </c>
      <c r="F21" s="13" t="s">
        <v>143</v>
      </c>
      <c r="G21" s="13" t="str">
        <f t="shared" si="0"/>
        <v>2023-02-01</v>
      </c>
      <c r="H21" s="13" t="str">
        <f t="shared" si="1"/>
        <v>2023-02-01 17:00:00</v>
      </c>
    </row>
    <row r="22" spans="1:8" x14ac:dyDescent="0.35">
      <c r="A22" s="16" t="s">
        <v>23</v>
      </c>
      <c r="B22" s="16" t="s">
        <v>52</v>
      </c>
      <c r="F22" s="13" t="s">
        <v>143</v>
      </c>
      <c r="G22" s="13" t="str">
        <f t="shared" si="0"/>
        <v>2023-02-01</v>
      </c>
      <c r="H22" s="13" t="str">
        <f t="shared" si="1"/>
        <v>2023-02-01 18:00:00</v>
      </c>
    </row>
    <row r="23" spans="1:8" x14ac:dyDescent="0.35">
      <c r="A23" s="16" t="s">
        <v>24</v>
      </c>
      <c r="B23" s="16" t="s">
        <v>74</v>
      </c>
      <c r="F23" s="13" t="s">
        <v>143</v>
      </c>
      <c r="G23" s="13" t="str">
        <f t="shared" si="0"/>
        <v>2023-02-01</v>
      </c>
      <c r="H23" s="13" t="str">
        <f t="shared" si="1"/>
        <v>2023-02-01 19:00:00</v>
      </c>
    </row>
    <row r="24" spans="1:8" x14ac:dyDescent="0.35">
      <c r="A24" s="16"/>
      <c r="B24" s="16"/>
      <c r="F24" s="13" t="s">
        <v>143</v>
      </c>
      <c r="G24" s="13" t="str">
        <f t="shared" si="0"/>
        <v>2023-02-01</v>
      </c>
      <c r="H24" s="13" t="str">
        <f t="shared" si="1"/>
        <v>2023-02-01 20:00:00</v>
      </c>
    </row>
    <row r="25" spans="1:8" x14ac:dyDescent="0.35">
      <c r="A25" s="16"/>
      <c r="B25" s="16"/>
      <c r="F25" s="13" t="s">
        <v>143</v>
      </c>
      <c r="G25" s="13" t="str">
        <f t="shared" si="0"/>
        <v>2023-02-01</v>
      </c>
      <c r="H25" s="13" t="str">
        <f t="shared" si="1"/>
        <v>2023-02-01 21:00:00</v>
      </c>
    </row>
    <row r="26" spans="1:8" x14ac:dyDescent="0.35">
      <c r="A26" s="16"/>
      <c r="B26" s="16"/>
      <c r="F26" s="13" t="s">
        <v>143</v>
      </c>
      <c r="G26" s="13" t="str">
        <f t="shared" si="0"/>
        <v>2023-02-01</v>
      </c>
      <c r="H26" s="13" t="str">
        <f t="shared" si="1"/>
        <v>2023-02-01 22:00:00</v>
      </c>
    </row>
    <row r="27" spans="1:8" x14ac:dyDescent="0.35">
      <c r="A27" s="16"/>
      <c r="B27" s="16"/>
      <c r="F27" s="13" t="s">
        <v>144</v>
      </c>
      <c r="G27" s="13" t="str">
        <f t="shared" si="0"/>
        <v>2023-02-01</v>
      </c>
      <c r="H27" s="13" t="str">
        <f t="shared" si="1"/>
        <v>2023-02-01 23:00:00</v>
      </c>
    </row>
    <row r="28" spans="1:8" x14ac:dyDescent="0.35">
      <c r="A28" s="16"/>
      <c r="B28" s="16"/>
      <c r="F28" s="13" t="s">
        <v>144</v>
      </c>
      <c r="G28" s="13" t="str">
        <f t="shared" si="0"/>
        <v>2023-02-02</v>
      </c>
      <c r="H28" s="13" t="str">
        <f t="shared" si="1"/>
        <v>2023-02-02 00:00:00</v>
      </c>
    </row>
    <row r="29" spans="1:8" x14ac:dyDescent="0.35">
      <c r="A29" s="16"/>
      <c r="B29" s="16"/>
      <c r="F29" s="13" t="s">
        <v>144</v>
      </c>
      <c r="G29" s="13" t="str">
        <f t="shared" si="0"/>
        <v>2023-02-02</v>
      </c>
      <c r="H29" s="13" t="str">
        <f t="shared" si="1"/>
        <v>2023-02-02 01:00:00</v>
      </c>
    </row>
    <row r="30" spans="1:8" x14ac:dyDescent="0.35">
      <c r="A30" s="16"/>
      <c r="B30" s="16"/>
      <c r="F30" s="13" t="s">
        <v>144</v>
      </c>
      <c r="G30" s="13" t="str">
        <f t="shared" si="0"/>
        <v>2023-02-02</v>
      </c>
      <c r="H30" s="13" t="str">
        <f t="shared" si="1"/>
        <v>2023-02-02 02:00:00</v>
      </c>
    </row>
    <row r="31" spans="1:8" x14ac:dyDescent="0.35">
      <c r="F31" s="13" t="s">
        <v>144</v>
      </c>
      <c r="G31" s="13" t="str">
        <f t="shared" si="0"/>
        <v>2023-02-02</v>
      </c>
      <c r="H31" s="13" t="str">
        <f t="shared" si="1"/>
        <v>2023-02-02 03:00:00</v>
      </c>
    </row>
    <row r="32" spans="1:8" x14ac:dyDescent="0.35">
      <c r="F32" s="13" t="s">
        <v>144</v>
      </c>
      <c r="G32" s="13" t="str">
        <f t="shared" si="0"/>
        <v>2023-02-02</v>
      </c>
      <c r="H32" s="13" t="str">
        <f t="shared" si="1"/>
        <v>2023-02-02 04:00:00</v>
      </c>
    </row>
    <row r="33" spans="1:8" x14ac:dyDescent="0.35">
      <c r="A33" s="13" t="s">
        <v>139</v>
      </c>
      <c r="F33" s="13" t="s">
        <v>144</v>
      </c>
      <c r="G33" s="13" t="str">
        <f t="shared" si="0"/>
        <v>2023-02-02</v>
      </c>
      <c r="H33" s="13" t="str">
        <f t="shared" si="1"/>
        <v>2023-02-02 05:00:00</v>
      </c>
    </row>
    <row r="34" spans="1:8" x14ac:dyDescent="0.35">
      <c r="A34" s="13" t="s">
        <v>140</v>
      </c>
      <c r="F34" s="13" t="s">
        <v>144</v>
      </c>
      <c r="G34" s="13" t="str">
        <f t="shared" si="0"/>
        <v>2023-02-02</v>
      </c>
      <c r="H34" s="13" t="str">
        <f t="shared" si="1"/>
        <v>2023-02-02 06:00:00</v>
      </c>
    </row>
    <row r="35" spans="1:8" x14ac:dyDescent="0.35">
      <c r="A35" s="16" t="s">
        <v>141</v>
      </c>
      <c r="B35" s="16"/>
      <c r="F35" s="13" t="s">
        <v>144</v>
      </c>
      <c r="G35" s="13" t="str">
        <f t="shared" si="0"/>
        <v>2023-02-02</v>
      </c>
      <c r="H35" s="13" t="str">
        <f t="shared" si="1"/>
        <v>2023-02-02 07:00:00</v>
      </c>
    </row>
    <row r="36" spans="1:8" x14ac:dyDescent="0.35">
      <c r="A36" s="16" t="s">
        <v>142</v>
      </c>
      <c r="B36" s="16"/>
      <c r="F36" s="13" t="s">
        <v>144</v>
      </c>
      <c r="G36" s="13" t="str">
        <f t="shared" si="0"/>
        <v>2023-02-02</v>
      </c>
      <c r="H36" s="13" t="str">
        <f t="shared" si="1"/>
        <v>2023-02-02 08:00:00</v>
      </c>
    </row>
    <row r="37" spans="1:8" x14ac:dyDescent="0.35">
      <c r="F37" s="13" t="s">
        <v>144</v>
      </c>
      <c r="G37" s="13" t="str">
        <f t="shared" si="0"/>
        <v>2023-02-02</v>
      </c>
      <c r="H37" s="13" t="str">
        <f t="shared" si="1"/>
        <v>2023-02-02 09:00:00</v>
      </c>
    </row>
    <row r="38" spans="1:8" x14ac:dyDescent="0.35">
      <c r="F38" s="13" t="s">
        <v>144</v>
      </c>
      <c r="G38" s="13" t="str">
        <f t="shared" si="0"/>
        <v>2023-02-02</v>
      </c>
      <c r="H38" s="13" t="str">
        <f t="shared" si="1"/>
        <v>2023-02-02 10:00:00</v>
      </c>
    </row>
    <row r="39" spans="1:8" x14ac:dyDescent="0.35">
      <c r="F39" s="13" t="s">
        <v>144</v>
      </c>
      <c r="G39" s="13" t="str">
        <f t="shared" si="0"/>
        <v>2023-02-02</v>
      </c>
      <c r="H39" s="13" t="str">
        <f t="shared" si="1"/>
        <v>2023-02-02 11:00:00</v>
      </c>
    </row>
    <row r="40" spans="1:8" x14ac:dyDescent="0.35">
      <c r="F40" s="13" t="s">
        <v>144</v>
      </c>
      <c r="G40" s="13" t="str">
        <f t="shared" si="0"/>
        <v>2023-02-02</v>
      </c>
      <c r="H40" s="13" t="str">
        <f t="shared" si="1"/>
        <v>2023-02-02 12:00:00</v>
      </c>
    </row>
    <row r="41" spans="1:8" x14ac:dyDescent="0.35">
      <c r="F41" s="13" t="s">
        <v>144</v>
      </c>
      <c r="G41" s="13" t="str">
        <f t="shared" si="0"/>
        <v>2023-02-02</v>
      </c>
      <c r="H41" s="13" t="str">
        <f t="shared" si="1"/>
        <v>2023-02-02 13:00:00</v>
      </c>
    </row>
    <row r="42" spans="1:8" x14ac:dyDescent="0.35">
      <c r="F42" s="13" t="s">
        <v>144</v>
      </c>
      <c r="G42" s="13" t="str">
        <f t="shared" si="0"/>
        <v>2023-02-02</v>
      </c>
      <c r="H42" s="13" t="str">
        <f t="shared" si="1"/>
        <v>2023-02-02 14:00:00</v>
      </c>
    </row>
    <row r="43" spans="1:8" x14ac:dyDescent="0.35">
      <c r="F43" s="13" t="s">
        <v>144</v>
      </c>
      <c r="G43" s="13" t="str">
        <f t="shared" si="0"/>
        <v>2023-02-02</v>
      </c>
      <c r="H43" s="13" t="str">
        <f t="shared" si="1"/>
        <v>2023-02-02 15:00:00</v>
      </c>
    </row>
    <row r="44" spans="1:8" x14ac:dyDescent="0.35">
      <c r="F44" s="13" t="s">
        <v>144</v>
      </c>
      <c r="G44" s="13" t="str">
        <f t="shared" si="0"/>
        <v>2023-02-02</v>
      </c>
      <c r="H44" s="13" t="str">
        <f t="shared" si="1"/>
        <v>2023-02-02 16:00:00</v>
      </c>
    </row>
    <row r="45" spans="1:8" x14ac:dyDescent="0.35">
      <c r="F45" s="13" t="s">
        <v>144</v>
      </c>
      <c r="G45" s="13" t="str">
        <f t="shared" si="0"/>
        <v>2023-02-02</v>
      </c>
      <c r="H45" s="13" t="str">
        <f t="shared" si="1"/>
        <v>2023-02-02 17:00:00</v>
      </c>
    </row>
    <row r="46" spans="1:8" x14ac:dyDescent="0.35">
      <c r="F46" s="13" t="s">
        <v>144</v>
      </c>
      <c r="G46" s="13" t="str">
        <f t="shared" si="0"/>
        <v>2023-02-02</v>
      </c>
      <c r="H46" s="13" t="str">
        <f t="shared" si="1"/>
        <v>2023-02-02 18:00:00</v>
      </c>
    </row>
    <row r="47" spans="1:8" x14ac:dyDescent="0.35">
      <c r="F47" s="13" t="s">
        <v>144</v>
      </c>
      <c r="G47" s="13" t="str">
        <f t="shared" si="0"/>
        <v>2023-02-02</v>
      </c>
      <c r="H47" s="13" t="str">
        <f t="shared" si="1"/>
        <v>2023-02-02 19:00:00</v>
      </c>
    </row>
    <row r="48" spans="1:8" x14ac:dyDescent="0.35">
      <c r="F48" s="13" t="s">
        <v>144</v>
      </c>
      <c r="G48" s="13" t="str">
        <f t="shared" si="0"/>
        <v>2023-02-02</v>
      </c>
      <c r="H48" s="13" t="str">
        <f t="shared" si="1"/>
        <v>2023-02-02 20:00:00</v>
      </c>
    </row>
    <row r="49" spans="6:8" x14ac:dyDescent="0.35">
      <c r="F49" s="13" t="s">
        <v>144</v>
      </c>
      <c r="G49" s="13" t="str">
        <f t="shared" si="0"/>
        <v>2023-02-02</v>
      </c>
      <c r="H49" s="13" t="str">
        <f t="shared" si="1"/>
        <v>2023-02-02 21:00:00</v>
      </c>
    </row>
    <row r="50" spans="6:8" x14ac:dyDescent="0.35">
      <c r="F50" s="13" t="s">
        <v>144</v>
      </c>
      <c r="G50" s="13" t="str">
        <f t="shared" si="0"/>
        <v>2023-02-02</v>
      </c>
      <c r="H50" s="13" t="str">
        <f t="shared" si="1"/>
        <v>2023-02-02 22:00:00</v>
      </c>
    </row>
    <row r="51" spans="6:8" x14ac:dyDescent="0.35">
      <c r="F51" s="13" t="s">
        <v>145</v>
      </c>
      <c r="G51" s="13" t="str">
        <f t="shared" si="0"/>
        <v>2023-02-02</v>
      </c>
      <c r="H51" s="13" t="str">
        <f t="shared" si="1"/>
        <v>2023-02-02 23:00:00</v>
      </c>
    </row>
    <row r="52" spans="6:8" x14ac:dyDescent="0.35">
      <c r="F52" s="13" t="s">
        <v>145</v>
      </c>
      <c r="G52" s="13" t="str">
        <f t="shared" si="0"/>
        <v>2023-02-03</v>
      </c>
      <c r="H52" s="13" t="str">
        <f t="shared" si="1"/>
        <v>2023-02-03 00:00:00</v>
      </c>
    </row>
    <row r="53" spans="6:8" x14ac:dyDescent="0.35">
      <c r="F53" s="13" t="s">
        <v>145</v>
      </c>
      <c r="G53" s="13" t="str">
        <f t="shared" si="0"/>
        <v>2023-02-03</v>
      </c>
      <c r="H53" s="13" t="str">
        <f t="shared" si="1"/>
        <v>2023-02-03 01:00:00</v>
      </c>
    </row>
    <row r="54" spans="6:8" x14ac:dyDescent="0.35">
      <c r="F54" s="13" t="s">
        <v>145</v>
      </c>
      <c r="G54" s="13" t="str">
        <f t="shared" si="0"/>
        <v>2023-02-03</v>
      </c>
      <c r="H54" s="13" t="str">
        <f t="shared" si="1"/>
        <v>2023-02-03 02:00:00</v>
      </c>
    </row>
    <row r="55" spans="6:8" x14ac:dyDescent="0.35">
      <c r="F55" s="13" t="s">
        <v>145</v>
      </c>
      <c r="G55" s="13" t="str">
        <f t="shared" si="0"/>
        <v>2023-02-03</v>
      </c>
      <c r="H55" s="13" t="str">
        <f t="shared" si="1"/>
        <v>2023-02-03 03:00:00</v>
      </c>
    </row>
    <row r="56" spans="6:8" x14ac:dyDescent="0.35">
      <c r="F56" s="13" t="s">
        <v>145</v>
      </c>
      <c r="G56" s="13" t="str">
        <f t="shared" si="0"/>
        <v>2023-02-03</v>
      </c>
      <c r="H56" s="13" t="str">
        <f t="shared" si="1"/>
        <v>2023-02-03 04:00:00</v>
      </c>
    </row>
    <row r="57" spans="6:8" x14ac:dyDescent="0.35">
      <c r="F57" s="13" t="s">
        <v>145</v>
      </c>
      <c r="G57" s="13" t="str">
        <f t="shared" si="0"/>
        <v>2023-02-03</v>
      </c>
      <c r="H57" s="13" t="str">
        <f t="shared" si="1"/>
        <v>2023-02-03 05:00:00</v>
      </c>
    </row>
    <row r="58" spans="6:8" x14ac:dyDescent="0.35">
      <c r="F58" s="13" t="s">
        <v>145</v>
      </c>
      <c r="G58" s="13" t="str">
        <f t="shared" si="0"/>
        <v>2023-02-03</v>
      </c>
      <c r="H58" s="13" t="str">
        <f t="shared" si="1"/>
        <v>2023-02-03 06:00:00</v>
      </c>
    </row>
    <row r="59" spans="6:8" x14ac:dyDescent="0.35">
      <c r="F59" s="13" t="s">
        <v>145</v>
      </c>
      <c r="G59" s="13" t="str">
        <f t="shared" si="0"/>
        <v>2023-02-03</v>
      </c>
      <c r="H59" s="13" t="str">
        <f t="shared" si="1"/>
        <v>2023-02-03 07:00:00</v>
      </c>
    </row>
    <row r="60" spans="6:8" x14ac:dyDescent="0.35">
      <c r="F60" s="13" t="s">
        <v>145</v>
      </c>
      <c r="G60" s="13" t="str">
        <f t="shared" si="0"/>
        <v>2023-02-03</v>
      </c>
      <c r="H60" s="13" t="str">
        <f t="shared" si="1"/>
        <v>2023-02-03 08:00:00</v>
      </c>
    </row>
    <row r="61" spans="6:8" x14ac:dyDescent="0.35">
      <c r="F61" s="13" t="s">
        <v>145</v>
      </c>
      <c r="G61" s="13" t="str">
        <f t="shared" si="0"/>
        <v>2023-02-03</v>
      </c>
      <c r="H61" s="13" t="str">
        <f t="shared" si="1"/>
        <v>2023-02-03 09:00:00</v>
      </c>
    </row>
    <row r="62" spans="6:8" x14ac:dyDescent="0.35">
      <c r="F62" s="13" t="s">
        <v>145</v>
      </c>
      <c r="G62" s="13" t="str">
        <f t="shared" si="0"/>
        <v>2023-02-03</v>
      </c>
      <c r="H62" s="13" t="str">
        <f t="shared" si="1"/>
        <v>2023-02-03 10:00:00</v>
      </c>
    </row>
    <row r="63" spans="6:8" x14ac:dyDescent="0.35">
      <c r="F63" s="13" t="s">
        <v>145</v>
      </c>
      <c r="G63" s="13" t="str">
        <f t="shared" si="0"/>
        <v>2023-02-03</v>
      </c>
      <c r="H63" s="13" t="str">
        <f t="shared" si="1"/>
        <v>2023-02-03 11:00:00</v>
      </c>
    </row>
    <row r="64" spans="6:8" x14ac:dyDescent="0.35">
      <c r="F64" s="13" t="s">
        <v>145</v>
      </c>
      <c r="G64" s="13" t="str">
        <f t="shared" si="0"/>
        <v>2023-02-03</v>
      </c>
      <c r="H64" s="13" t="str">
        <f t="shared" si="1"/>
        <v>2023-02-03 12:00:00</v>
      </c>
    </row>
    <row r="65" spans="6:8" x14ac:dyDescent="0.35">
      <c r="F65" s="13" t="s">
        <v>145</v>
      </c>
      <c r="G65" s="13" t="str">
        <f t="shared" si="0"/>
        <v>2023-02-03</v>
      </c>
      <c r="H65" s="13" t="str">
        <f t="shared" si="1"/>
        <v>2023-02-03 13:00:00</v>
      </c>
    </row>
    <row r="66" spans="6:8" x14ac:dyDescent="0.35">
      <c r="F66" s="13" t="s">
        <v>145</v>
      </c>
      <c r="G66" s="13" t="str">
        <f t="shared" si="0"/>
        <v>2023-02-03</v>
      </c>
      <c r="H66" s="13" t="str">
        <f t="shared" si="1"/>
        <v>2023-02-03 14:00:00</v>
      </c>
    </row>
    <row r="67" spans="6:8" x14ac:dyDescent="0.35">
      <c r="F67" s="13" t="s">
        <v>145</v>
      </c>
      <c r="G67" s="13" t="str">
        <f t="shared" si="0"/>
        <v>2023-02-03</v>
      </c>
      <c r="H67" s="13" t="str">
        <f t="shared" si="1"/>
        <v>2023-02-03 15:00:00</v>
      </c>
    </row>
    <row r="68" spans="6:8" x14ac:dyDescent="0.35">
      <c r="F68" s="13" t="s">
        <v>145</v>
      </c>
      <c r="G68" s="13" t="str">
        <f t="shared" ref="G68:G131" si="2">LEFT(H68,10)</f>
        <v>2023-02-03</v>
      </c>
      <c r="H68" s="13" t="str">
        <f t="shared" ref="H68:H131" si="3">IF(PeriodEnd&gt;TEXT(PeriodStart+((ROW()-3)/24),"åååå-mm-dd tt:mm:ss"),TEXT(PeriodStart+((ROW()-3)/24),"åååå-mm-dd tt:mm:ss"),"")</f>
        <v>2023-02-03 16:00:00</v>
      </c>
    </row>
    <row r="69" spans="6:8" x14ac:dyDescent="0.35">
      <c r="F69" s="13" t="s">
        <v>145</v>
      </c>
      <c r="G69" s="13" t="str">
        <f t="shared" si="2"/>
        <v>2023-02-03</v>
      </c>
      <c r="H69" s="13" t="str">
        <f t="shared" si="3"/>
        <v>2023-02-03 17:00:00</v>
      </c>
    </row>
    <row r="70" spans="6:8" x14ac:dyDescent="0.35">
      <c r="F70" s="13" t="s">
        <v>145</v>
      </c>
      <c r="G70" s="13" t="str">
        <f t="shared" si="2"/>
        <v>2023-02-03</v>
      </c>
      <c r="H70" s="13" t="str">
        <f t="shared" si="3"/>
        <v>2023-02-03 18:00:00</v>
      </c>
    </row>
    <row r="71" spans="6:8" x14ac:dyDescent="0.35">
      <c r="F71" s="13" t="s">
        <v>145</v>
      </c>
      <c r="G71" s="13" t="str">
        <f t="shared" si="2"/>
        <v>2023-02-03</v>
      </c>
      <c r="H71" s="13" t="str">
        <f t="shared" si="3"/>
        <v>2023-02-03 19:00:00</v>
      </c>
    </row>
    <row r="72" spans="6:8" x14ac:dyDescent="0.35">
      <c r="F72" s="13" t="s">
        <v>145</v>
      </c>
      <c r="G72" s="13" t="str">
        <f t="shared" si="2"/>
        <v>2023-02-03</v>
      </c>
      <c r="H72" s="13" t="str">
        <f t="shared" si="3"/>
        <v>2023-02-03 20:00:00</v>
      </c>
    </row>
    <row r="73" spans="6:8" x14ac:dyDescent="0.35">
      <c r="F73" s="13" t="s">
        <v>145</v>
      </c>
      <c r="G73" s="13" t="str">
        <f t="shared" si="2"/>
        <v>2023-02-03</v>
      </c>
      <c r="H73" s="13" t="str">
        <f t="shared" si="3"/>
        <v>2023-02-03 21:00:00</v>
      </c>
    </row>
    <row r="74" spans="6:8" x14ac:dyDescent="0.35">
      <c r="F74" s="13" t="s">
        <v>145</v>
      </c>
      <c r="G74" s="13" t="str">
        <f t="shared" si="2"/>
        <v>2023-02-03</v>
      </c>
      <c r="H74" s="13" t="str">
        <f t="shared" si="3"/>
        <v>2023-02-03 22:00:00</v>
      </c>
    </row>
    <row r="75" spans="6:8" x14ac:dyDescent="0.35">
      <c r="F75" s="13" t="s">
        <v>146</v>
      </c>
      <c r="G75" s="13" t="str">
        <f t="shared" si="2"/>
        <v/>
      </c>
      <c r="H75" s="13" t="str">
        <f t="shared" si="3"/>
        <v/>
      </c>
    </row>
    <row r="76" spans="6:8" x14ac:dyDescent="0.35">
      <c r="F76" s="13" t="s">
        <v>146</v>
      </c>
      <c r="G76" s="13" t="str">
        <f t="shared" si="2"/>
        <v/>
      </c>
      <c r="H76" s="13" t="str">
        <f t="shared" si="3"/>
        <v/>
      </c>
    </row>
    <row r="77" spans="6:8" x14ac:dyDescent="0.35">
      <c r="F77" s="13" t="s">
        <v>146</v>
      </c>
      <c r="G77" s="13" t="str">
        <f t="shared" si="2"/>
        <v/>
      </c>
      <c r="H77" s="13" t="str">
        <f t="shared" si="3"/>
        <v/>
      </c>
    </row>
    <row r="78" spans="6:8" x14ac:dyDescent="0.35">
      <c r="F78" s="13" t="s">
        <v>146</v>
      </c>
      <c r="G78" s="13" t="str">
        <f t="shared" si="2"/>
        <v/>
      </c>
      <c r="H78" s="13" t="str">
        <f t="shared" si="3"/>
        <v/>
      </c>
    </row>
    <row r="79" spans="6:8" x14ac:dyDescent="0.35">
      <c r="F79" s="13" t="s">
        <v>146</v>
      </c>
      <c r="G79" s="13" t="str">
        <f t="shared" si="2"/>
        <v/>
      </c>
      <c r="H79" s="13" t="str">
        <f t="shared" si="3"/>
        <v/>
      </c>
    </row>
    <row r="80" spans="6:8" x14ac:dyDescent="0.35">
      <c r="F80" s="13" t="s">
        <v>146</v>
      </c>
      <c r="G80" s="13" t="str">
        <f t="shared" si="2"/>
        <v/>
      </c>
      <c r="H80" s="13" t="str">
        <f t="shared" si="3"/>
        <v/>
      </c>
    </row>
    <row r="81" spans="6:8" x14ac:dyDescent="0.35">
      <c r="F81" s="13" t="s">
        <v>146</v>
      </c>
      <c r="G81" s="13" t="str">
        <f t="shared" si="2"/>
        <v/>
      </c>
      <c r="H81" s="13" t="str">
        <f t="shared" si="3"/>
        <v/>
      </c>
    </row>
    <row r="82" spans="6:8" x14ac:dyDescent="0.35">
      <c r="F82" s="13" t="s">
        <v>146</v>
      </c>
      <c r="G82" s="13" t="str">
        <f t="shared" si="2"/>
        <v/>
      </c>
      <c r="H82" s="13" t="str">
        <f t="shared" si="3"/>
        <v/>
      </c>
    </row>
    <row r="83" spans="6:8" x14ac:dyDescent="0.35">
      <c r="F83" s="13" t="s">
        <v>146</v>
      </c>
      <c r="G83" s="13" t="str">
        <f t="shared" si="2"/>
        <v/>
      </c>
      <c r="H83" s="13" t="str">
        <f t="shared" si="3"/>
        <v/>
      </c>
    </row>
    <row r="84" spans="6:8" x14ac:dyDescent="0.35">
      <c r="F84" s="13" t="s">
        <v>146</v>
      </c>
      <c r="G84" s="13" t="str">
        <f t="shared" si="2"/>
        <v/>
      </c>
      <c r="H84" s="13" t="str">
        <f t="shared" si="3"/>
        <v/>
      </c>
    </row>
    <row r="85" spans="6:8" x14ac:dyDescent="0.35">
      <c r="F85" s="13" t="s">
        <v>146</v>
      </c>
      <c r="G85" s="13" t="str">
        <f t="shared" si="2"/>
        <v/>
      </c>
      <c r="H85" s="13" t="str">
        <f t="shared" si="3"/>
        <v/>
      </c>
    </row>
    <row r="86" spans="6:8" x14ac:dyDescent="0.35">
      <c r="F86" s="13" t="s">
        <v>146</v>
      </c>
      <c r="G86" s="13" t="str">
        <f t="shared" si="2"/>
        <v/>
      </c>
      <c r="H86" s="13" t="str">
        <f t="shared" si="3"/>
        <v/>
      </c>
    </row>
    <row r="87" spans="6:8" x14ac:dyDescent="0.35">
      <c r="F87" s="13" t="s">
        <v>146</v>
      </c>
      <c r="G87" s="13" t="str">
        <f t="shared" si="2"/>
        <v/>
      </c>
      <c r="H87" s="13" t="str">
        <f t="shared" si="3"/>
        <v/>
      </c>
    </row>
    <row r="88" spans="6:8" x14ac:dyDescent="0.35">
      <c r="F88" s="13" t="s">
        <v>146</v>
      </c>
      <c r="G88" s="13" t="str">
        <f t="shared" si="2"/>
        <v/>
      </c>
      <c r="H88" s="13" t="str">
        <f t="shared" si="3"/>
        <v/>
      </c>
    </row>
    <row r="89" spans="6:8" x14ac:dyDescent="0.35">
      <c r="F89" s="13" t="s">
        <v>146</v>
      </c>
      <c r="G89" s="13" t="str">
        <f t="shared" si="2"/>
        <v/>
      </c>
      <c r="H89" s="13" t="str">
        <f t="shared" si="3"/>
        <v/>
      </c>
    </row>
    <row r="90" spans="6:8" x14ac:dyDescent="0.35">
      <c r="F90" s="13" t="s">
        <v>146</v>
      </c>
      <c r="G90" s="13" t="str">
        <f t="shared" si="2"/>
        <v/>
      </c>
      <c r="H90" s="13" t="str">
        <f t="shared" si="3"/>
        <v/>
      </c>
    </row>
    <row r="91" spans="6:8" x14ac:dyDescent="0.35">
      <c r="F91" s="13" t="s">
        <v>146</v>
      </c>
      <c r="G91" s="13" t="str">
        <f t="shared" si="2"/>
        <v/>
      </c>
      <c r="H91" s="13" t="str">
        <f t="shared" si="3"/>
        <v/>
      </c>
    </row>
    <row r="92" spans="6:8" x14ac:dyDescent="0.35">
      <c r="F92" s="13" t="s">
        <v>146</v>
      </c>
      <c r="G92" s="13" t="str">
        <f t="shared" si="2"/>
        <v/>
      </c>
      <c r="H92" s="13" t="str">
        <f t="shared" si="3"/>
        <v/>
      </c>
    </row>
    <row r="93" spans="6:8" x14ac:dyDescent="0.35">
      <c r="F93" s="13" t="s">
        <v>146</v>
      </c>
      <c r="G93" s="13" t="str">
        <f t="shared" si="2"/>
        <v/>
      </c>
      <c r="H93" s="13" t="str">
        <f t="shared" si="3"/>
        <v/>
      </c>
    </row>
    <row r="94" spans="6:8" x14ac:dyDescent="0.35">
      <c r="F94" s="13" t="s">
        <v>146</v>
      </c>
      <c r="G94" s="13" t="str">
        <f t="shared" si="2"/>
        <v/>
      </c>
      <c r="H94" s="13" t="str">
        <f t="shared" si="3"/>
        <v/>
      </c>
    </row>
    <row r="95" spans="6:8" x14ac:dyDescent="0.35">
      <c r="F95" s="13" t="s">
        <v>146</v>
      </c>
      <c r="G95" s="13" t="str">
        <f t="shared" si="2"/>
        <v/>
      </c>
      <c r="H95" s="13" t="str">
        <f t="shared" si="3"/>
        <v/>
      </c>
    </row>
    <row r="96" spans="6:8" x14ac:dyDescent="0.35">
      <c r="F96" s="13" t="s">
        <v>146</v>
      </c>
      <c r="G96" s="13" t="str">
        <f t="shared" si="2"/>
        <v/>
      </c>
      <c r="H96" s="13" t="str">
        <f t="shared" si="3"/>
        <v/>
      </c>
    </row>
    <row r="97" spans="6:8" x14ac:dyDescent="0.35">
      <c r="F97" s="13" t="s">
        <v>146</v>
      </c>
      <c r="G97" s="13" t="str">
        <f t="shared" si="2"/>
        <v/>
      </c>
      <c r="H97" s="13" t="str">
        <f t="shared" si="3"/>
        <v/>
      </c>
    </row>
    <row r="98" spans="6:8" x14ac:dyDescent="0.35">
      <c r="F98" s="13" t="s">
        <v>146</v>
      </c>
      <c r="G98" s="13" t="str">
        <f t="shared" si="2"/>
        <v/>
      </c>
      <c r="H98" s="13" t="str">
        <f t="shared" si="3"/>
        <v/>
      </c>
    </row>
    <row r="99" spans="6:8" x14ac:dyDescent="0.35">
      <c r="G99" s="13" t="str">
        <f t="shared" si="2"/>
        <v/>
      </c>
      <c r="H99" s="13" t="str">
        <f t="shared" si="3"/>
        <v/>
      </c>
    </row>
    <row r="100" spans="6:8" x14ac:dyDescent="0.35">
      <c r="G100" s="13" t="str">
        <f t="shared" si="2"/>
        <v/>
      </c>
      <c r="H100" s="13" t="str">
        <f t="shared" si="3"/>
        <v/>
      </c>
    </row>
    <row r="101" spans="6:8" x14ac:dyDescent="0.35">
      <c r="G101" s="13" t="str">
        <f t="shared" si="2"/>
        <v/>
      </c>
      <c r="H101" s="13" t="str">
        <f t="shared" si="3"/>
        <v/>
      </c>
    </row>
    <row r="102" spans="6:8" x14ac:dyDescent="0.35">
      <c r="G102" s="13" t="str">
        <f t="shared" si="2"/>
        <v/>
      </c>
      <c r="H102" s="13" t="str">
        <f t="shared" si="3"/>
        <v/>
      </c>
    </row>
    <row r="103" spans="6:8" x14ac:dyDescent="0.35">
      <c r="G103" s="13" t="str">
        <f t="shared" si="2"/>
        <v/>
      </c>
      <c r="H103" s="13" t="str">
        <f t="shared" si="3"/>
        <v/>
      </c>
    </row>
    <row r="104" spans="6:8" x14ac:dyDescent="0.35">
      <c r="G104" s="13" t="str">
        <f t="shared" si="2"/>
        <v/>
      </c>
      <c r="H104" s="13" t="str">
        <f t="shared" si="3"/>
        <v/>
      </c>
    </row>
    <row r="105" spans="6:8" x14ac:dyDescent="0.35">
      <c r="G105" s="13" t="str">
        <f t="shared" si="2"/>
        <v/>
      </c>
      <c r="H105" s="13" t="str">
        <f t="shared" si="3"/>
        <v/>
      </c>
    </row>
    <row r="106" spans="6:8" x14ac:dyDescent="0.35">
      <c r="G106" s="13" t="str">
        <f t="shared" si="2"/>
        <v/>
      </c>
      <c r="H106" s="13" t="str">
        <f t="shared" si="3"/>
        <v/>
      </c>
    </row>
    <row r="107" spans="6:8" x14ac:dyDescent="0.35">
      <c r="G107" s="13" t="str">
        <f t="shared" si="2"/>
        <v/>
      </c>
      <c r="H107" s="13" t="str">
        <f t="shared" si="3"/>
        <v/>
      </c>
    </row>
    <row r="108" spans="6:8" x14ac:dyDescent="0.35">
      <c r="G108" s="13" t="str">
        <f t="shared" si="2"/>
        <v/>
      </c>
      <c r="H108" s="13" t="str">
        <f t="shared" si="3"/>
        <v/>
      </c>
    </row>
    <row r="109" spans="6:8" x14ac:dyDescent="0.35">
      <c r="G109" s="13" t="str">
        <f t="shared" si="2"/>
        <v/>
      </c>
      <c r="H109" s="13" t="str">
        <f t="shared" si="3"/>
        <v/>
      </c>
    </row>
    <row r="110" spans="6:8" x14ac:dyDescent="0.35">
      <c r="G110" s="13" t="str">
        <f t="shared" si="2"/>
        <v/>
      </c>
      <c r="H110" s="13" t="str">
        <f t="shared" si="3"/>
        <v/>
      </c>
    </row>
    <row r="111" spans="6:8" x14ac:dyDescent="0.35">
      <c r="G111" s="13" t="str">
        <f t="shared" si="2"/>
        <v/>
      </c>
      <c r="H111" s="13" t="str">
        <f t="shared" si="3"/>
        <v/>
      </c>
    </row>
    <row r="112" spans="6:8" x14ac:dyDescent="0.35">
      <c r="G112" s="13" t="str">
        <f t="shared" si="2"/>
        <v/>
      </c>
      <c r="H112" s="13" t="str">
        <f t="shared" si="3"/>
        <v/>
      </c>
    </row>
    <row r="113" spans="7:8" x14ac:dyDescent="0.35">
      <c r="G113" s="13" t="str">
        <f t="shared" si="2"/>
        <v/>
      </c>
      <c r="H113" s="13" t="str">
        <f t="shared" si="3"/>
        <v/>
      </c>
    </row>
    <row r="114" spans="7:8" x14ac:dyDescent="0.35">
      <c r="G114" s="13" t="str">
        <f t="shared" si="2"/>
        <v/>
      </c>
      <c r="H114" s="13" t="str">
        <f t="shared" si="3"/>
        <v/>
      </c>
    </row>
    <row r="115" spans="7:8" x14ac:dyDescent="0.35">
      <c r="G115" s="13" t="str">
        <f t="shared" si="2"/>
        <v/>
      </c>
      <c r="H115" s="13" t="str">
        <f t="shared" si="3"/>
        <v/>
      </c>
    </row>
    <row r="116" spans="7:8" x14ac:dyDescent="0.35">
      <c r="G116" s="13" t="str">
        <f t="shared" si="2"/>
        <v/>
      </c>
      <c r="H116" s="13" t="str">
        <f t="shared" si="3"/>
        <v/>
      </c>
    </row>
    <row r="117" spans="7:8" x14ac:dyDescent="0.35">
      <c r="G117" s="13" t="str">
        <f t="shared" si="2"/>
        <v/>
      </c>
      <c r="H117" s="13" t="str">
        <f t="shared" si="3"/>
        <v/>
      </c>
    </row>
    <row r="118" spans="7:8" x14ac:dyDescent="0.35">
      <c r="G118" s="13" t="str">
        <f t="shared" si="2"/>
        <v/>
      </c>
      <c r="H118" s="13" t="str">
        <f t="shared" si="3"/>
        <v/>
      </c>
    </row>
    <row r="119" spans="7:8" x14ac:dyDescent="0.35">
      <c r="G119" s="13" t="str">
        <f t="shared" si="2"/>
        <v/>
      </c>
      <c r="H119" s="13" t="str">
        <f t="shared" si="3"/>
        <v/>
      </c>
    </row>
    <row r="120" spans="7:8" x14ac:dyDescent="0.35">
      <c r="G120" s="13" t="str">
        <f t="shared" si="2"/>
        <v/>
      </c>
      <c r="H120" s="13" t="str">
        <f t="shared" si="3"/>
        <v/>
      </c>
    </row>
    <row r="121" spans="7:8" x14ac:dyDescent="0.35">
      <c r="G121" s="13" t="str">
        <f t="shared" si="2"/>
        <v/>
      </c>
      <c r="H121" s="13" t="str">
        <f t="shared" si="3"/>
        <v/>
      </c>
    </row>
    <row r="122" spans="7:8" x14ac:dyDescent="0.35">
      <c r="G122" s="13" t="str">
        <f t="shared" si="2"/>
        <v/>
      </c>
      <c r="H122" s="13" t="str">
        <f t="shared" si="3"/>
        <v/>
      </c>
    </row>
    <row r="123" spans="7:8" x14ac:dyDescent="0.35">
      <c r="G123" s="13" t="str">
        <f t="shared" si="2"/>
        <v/>
      </c>
      <c r="H123" s="13" t="str">
        <f t="shared" si="3"/>
        <v/>
      </c>
    </row>
    <row r="124" spans="7:8" x14ac:dyDescent="0.35">
      <c r="G124" s="13" t="str">
        <f t="shared" si="2"/>
        <v/>
      </c>
      <c r="H124" s="13" t="str">
        <f t="shared" si="3"/>
        <v/>
      </c>
    </row>
    <row r="125" spans="7:8" x14ac:dyDescent="0.35">
      <c r="G125" s="13" t="str">
        <f t="shared" si="2"/>
        <v/>
      </c>
      <c r="H125" s="13" t="str">
        <f t="shared" si="3"/>
        <v/>
      </c>
    </row>
    <row r="126" spans="7:8" x14ac:dyDescent="0.35">
      <c r="G126" s="13" t="str">
        <f t="shared" si="2"/>
        <v/>
      </c>
      <c r="H126" s="13" t="str">
        <f t="shared" si="3"/>
        <v/>
      </c>
    </row>
    <row r="127" spans="7:8" x14ac:dyDescent="0.35">
      <c r="G127" s="13" t="str">
        <f t="shared" si="2"/>
        <v/>
      </c>
      <c r="H127" s="13" t="str">
        <f t="shared" si="3"/>
        <v/>
      </c>
    </row>
    <row r="128" spans="7:8" x14ac:dyDescent="0.35">
      <c r="G128" s="13" t="str">
        <f t="shared" si="2"/>
        <v/>
      </c>
      <c r="H128" s="13" t="str">
        <f t="shared" si="3"/>
        <v/>
      </c>
    </row>
    <row r="129" spans="7:8" x14ac:dyDescent="0.35">
      <c r="G129" s="13" t="str">
        <f t="shared" si="2"/>
        <v/>
      </c>
      <c r="H129" s="13" t="str">
        <f t="shared" si="3"/>
        <v/>
      </c>
    </row>
    <row r="130" spans="7:8" x14ac:dyDescent="0.35">
      <c r="G130" s="13" t="str">
        <f t="shared" si="2"/>
        <v/>
      </c>
      <c r="H130" s="13" t="str">
        <f t="shared" si="3"/>
        <v/>
      </c>
    </row>
    <row r="131" spans="7:8" x14ac:dyDescent="0.35">
      <c r="G131" s="13" t="str">
        <f t="shared" si="2"/>
        <v/>
      </c>
      <c r="H131" s="13" t="str">
        <f t="shared" si="3"/>
        <v/>
      </c>
    </row>
    <row r="132" spans="7:8" x14ac:dyDescent="0.35">
      <c r="G132" s="13" t="str">
        <f t="shared" ref="G132:G195" si="4">LEFT(H132,10)</f>
        <v/>
      </c>
      <c r="H132" s="13" t="str">
        <f t="shared" ref="H132:H195" si="5">IF(PeriodEnd&gt;TEXT(PeriodStart+((ROW()-3)/24),"åååå-mm-dd tt:mm:ss"),TEXT(PeriodStart+((ROW()-3)/24),"åååå-mm-dd tt:mm:ss"),"")</f>
        <v/>
      </c>
    </row>
    <row r="133" spans="7:8" x14ac:dyDescent="0.35">
      <c r="G133" s="13" t="str">
        <f t="shared" si="4"/>
        <v/>
      </c>
      <c r="H133" s="13" t="str">
        <f t="shared" si="5"/>
        <v/>
      </c>
    </row>
    <row r="134" spans="7:8" x14ac:dyDescent="0.35">
      <c r="G134" s="13" t="str">
        <f t="shared" si="4"/>
        <v/>
      </c>
      <c r="H134" s="13" t="str">
        <f t="shared" si="5"/>
        <v/>
      </c>
    </row>
    <row r="135" spans="7:8" x14ac:dyDescent="0.35">
      <c r="G135" s="13" t="str">
        <f t="shared" si="4"/>
        <v/>
      </c>
      <c r="H135" s="13" t="str">
        <f t="shared" si="5"/>
        <v/>
      </c>
    </row>
    <row r="136" spans="7:8" x14ac:dyDescent="0.35">
      <c r="G136" s="13" t="str">
        <f t="shared" si="4"/>
        <v/>
      </c>
      <c r="H136" s="13" t="str">
        <f t="shared" si="5"/>
        <v/>
      </c>
    </row>
    <row r="137" spans="7:8" x14ac:dyDescent="0.35">
      <c r="G137" s="13" t="str">
        <f t="shared" si="4"/>
        <v/>
      </c>
      <c r="H137" s="13" t="str">
        <f t="shared" si="5"/>
        <v/>
      </c>
    </row>
    <row r="138" spans="7:8" x14ac:dyDescent="0.35">
      <c r="G138" s="13" t="str">
        <f t="shared" si="4"/>
        <v/>
      </c>
      <c r="H138" s="13" t="str">
        <f t="shared" si="5"/>
        <v/>
      </c>
    </row>
    <row r="139" spans="7:8" x14ac:dyDescent="0.35">
      <c r="G139" s="13" t="str">
        <f t="shared" si="4"/>
        <v/>
      </c>
      <c r="H139" s="13" t="str">
        <f t="shared" si="5"/>
        <v/>
      </c>
    </row>
    <row r="140" spans="7:8" x14ac:dyDescent="0.35">
      <c r="G140" s="13" t="str">
        <f t="shared" si="4"/>
        <v/>
      </c>
      <c r="H140" s="13" t="str">
        <f t="shared" si="5"/>
        <v/>
      </c>
    </row>
    <row r="141" spans="7:8" x14ac:dyDescent="0.35">
      <c r="G141" s="13" t="str">
        <f t="shared" si="4"/>
        <v/>
      </c>
      <c r="H141" s="13" t="str">
        <f t="shared" si="5"/>
        <v/>
      </c>
    </row>
    <row r="142" spans="7:8" x14ac:dyDescent="0.35">
      <c r="G142" s="13" t="str">
        <f t="shared" si="4"/>
        <v/>
      </c>
      <c r="H142" s="13" t="str">
        <f t="shared" si="5"/>
        <v/>
      </c>
    </row>
    <row r="143" spans="7:8" x14ac:dyDescent="0.35">
      <c r="G143" s="13" t="str">
        <f t="shared" si="4"/>
        <v/>
      </c>
      <c r="H143" s="13" t="str">
        <f t="shared" si="5"/>
        <v/>
      </c>
    </row>
    <row r="144" spans="7:8" x14ac:dyDescent="0.35">
      <c r="G144" s="13" t="str">
        <f t="shared" si="4"/>
        <v/>
      </c>
      <c r="H144" s="13" t="str">
        <f t="shared" si="5"/>
        <v/>
      </c>
    </row>
    <row r="145" spans="7:8" x14ac:dyDescent="0.35">
      <c r="G145" s="13" t="str">
        <f t="shared" si="4"/>
        <v/>
      </c>
      <c r="H145" s="13" t="str">
        <f t="shared" si="5"/>
        <v/>
      </c>
    </row>
    <row r="146" spans="7:8" x14ac:dyDescent="0.35">
      <c r="G146" s="13" t="str">
        <f t="shared" si="4"/>
        <v/>
      </c>
      <c r="H146" s="13" t="str">
        <f t="shared" si="5"/>
        <v/>
      </c>
    </row>
    <row r="147" spans="7:8" x14ac:dyDescent="0.35">
      <c r="G147" s="13" t="str">
        <f t="shared" si="4"/>
        <v/>
      </c>
      <c r="H147" s="13" t="str">
        <f t="shared" si="5"/>
        <v/>
      </c>
    </row>
    <row r="148" spans="7:8" x14ac:dyDescent="0.35">
      <c r="G148" s="13" t="str">
        <f t="shared" si="4"/>
        <v/>
      </c>
      <c r="H148" s="13" t="str">
        <f t="shared" si="5"/>
        <v/>
      </c>
    </row>
    <row r="149" spans="7:8" x14ac:dyDescent="0.35">
      <c r="G149" s="13" t="str">
        <f t="shared" si="4"/>
        <v/>
      </c>
      <c r="H149" s="13" t="str">
        <f t="shared" si="5"/>
        <v/>
      </c>
    </row>
    <row r="150" spans="7:8" x14ac:dyDescent="0.35">
      <c r="G150" s="13" t="str">
        <f t="shared" si="4"/>
        <v/>
      </c>
      <c r="H150" s="13" t="str">
        <f t="shared" si="5"/>
        <v/>
      </c>
    </row>
    <row r="151" spans="7:8" x14ac:dyDescent="0.35">
      <c r="G151" s="13" t="str">
        <f t="shared" si="4"/>
        <v/>
      </c>
      <c r="H151" s="13" t="str">
        <f t="shared" si="5"/>
        <v/>
      </c>
    </row>
    <row r="152" spans="7:8" x14ac:dyDescent="0.35">
      <c r="G152" s="13" t="str">
        <f t="shared" si="4"/>
        <v/>
      </c>
      <c r="H152" s="13" t="str">
        <f t="shared" si="5"/>
        <v/>
      </c>
    </row>
    <row r="153" spans="7:8" x14ac:dyDescent="0.35">
      <c r="G153" s="13" t="str">
        <f t="shared" si="4"/>
        <v/>
      </c>
      <c r="H153" s="13" t="str">
        <f t="shared" si="5"/>
        <v/>
      </c>
    </row>
    <row r="154" spans="7:8" x14ac:dyDescent="0.35">
      <c r="G154" s="13" t="str">
        <f t="shared" si="4"/>
        <v/>
      </c>
      <c r="H154" s="13" t="str">
        <f t="shared" si="5"/>
        <v/>
      </c>
    </row>
    <row r="155" spans="7:8" x14ac:dyDescent="0.35">
      <c r="G155" s="13" t="str">
        <f t="shared" si="4"/>
        <v/>
      </c>
      <c r="H155" s="13" t="str">
        <f t="shared" si="5"/>
        <v/>
      </c>
    </row>
    <row r="156" spans="7:8" x14ac:dyDescent="0.35">
      <c r="G156" s="13" t="str">
        <f t="shared" si="4"/>
        <v/>
      </c>
      <c r="H156" s="13" t="str">
        <f t="shared" si="5"/>
        <v/>
      </c>
    </row>
    <row r="157" spans="7:8" x14ac:dyDescent="0.35">
      <c r="G157" s="13" t="str">
        <f t="shared" si="4"/>
        <v/>
      </c>
      <c r="H157" s="13" t="str">
        <f t="shared" si="5"/>
        <v/>
      </c>
    </row>
    <row r="158" spans="7:8" x14ac:dyDescent="0.35">
      <c r="G158" s="13" t="str">
        <f t="shared" si="4"/>
        <v/>
      </c>
      <c r="H158" s="13" t="str">
        <f t="shared" si="5"/>
        <v/>
      </c>
    </row>
    <row r="159" spans="7:8" x14ac:dyDescent="0.35">
      <c r="G159" s="13" t="str">
        <f t="shared" si="4"/>
        <v/>
      </c>
      <c r="H159" s="13" t="str">
        <f t="shared" si="5"/>
        <v/>
      </c>
    </row>
    <row r="160" spans="7:8" x14ac:dyDescent="0.35">
      <c r="G160" s="13" t="str">
        <f t="shared" si="4"/>
        <v/>
      </c>
      <c r="H160" s="13" t="str">
        <f t="shared" si="5"/>
        <v/>
      </c>
    </row>
    <row r="161" spans="7:8" x14ac:dyDescent="0.35">
      <c r="G161" s="13" t="str">
        <f t="shared" si="4"/>
        <v/>
      </c>
      <c r="H161" s="13" t="str">
        <f t="shared" si="5"/>
        <v/>
      </c>
    </row>
    <row r="162" spans="7:8" x14ac:dyDescent="0.35">
      <c r="G162" s="13" t="str">
        <f t="shared" si="4"/>
        <v/>
      </c>
      <c r="H162" s="13" t="str">
        <f t="shared" si="5"/>
        <v/>
      </c>
    </row>
    <row r="163" spans="7:8" x14ac:dyDescent="0.35">
      <c r="G163" s="13" t="str">
        <f t="shared" si="4"/>
        <v/>
      </c>
      <c r="H163" s="13" t="str">
        <f t="shared" si="5"/>
        <v/>
      </c>
    </row>
    <row r="164" spans="7:8" x14ac:dyDescent="0.35">
      <c r="G164" s="13" t="str">
        <f t="shared" si="4"/>
        <v/>
      </c>
      <c r="H164" s="13" t="str">
        <f t="shared" si="5"/>
        <v/>
      </c>
    </row>
    <row r="165" spans="7:8" x14ac:dyDescent="0.35">
      <c r="G165" s="13" t="str">
        <f t="shared" si="4"/>
        <v/>
      </c>
      <c r="H165" s="13" t="str">
        <f t="shared" si="5"/>
        <v/>
      </c>
    </row>
    <row r="166" spans="7:8" x14ac:dyDescent="0.35">
      <c r="G166" s="13" t="str">
        <f t="shared" si="4"/>
        <v/>
      </c>
      <c r="H166" s="13" t="str">
        <f t="shared" si="5"/>
        <v/>
      </c>
    </row>
    <row r="167" spans="7:8" x14ac:dyDescent="0.35">
      <c r="G167" s="13" t="str">
        <f t="shared" si="4"/>
        <v/>
      </c>
      <c r="H167" s="13" t="str">
        <f t="shared" si="5"/>
        <v/>
      </c>
    </row>
    <row r="168" spans="7:8" x14ac:dyDescent="0.35">
      <c r="G168" s="13" t="str">
        <f t="shared" si="4"/>
        <v/>
      </c>
      <c r="H168" s="13" t="str">
        <f t="shared" si="5"/>
        <v/>
      </c>
    </row>
    <row r="169" spans="7:8" x14ac:dyDescent="0.35">
      <c r="G169" s="13" t="str">
        <f t="shared" si="4"/>
        <v/>
      </c>
      <c r="H169" s="13" t="str">
        <f t="shared" si="5"/>
        <v/>
      </c>
    </row>
    <row r="170" spans="7:8" x14ac:dyDescent="0.35">
      <c r="G170" s="13" t="str">
        <f t="shared" si="4"/>
        <v/>
      </c>
      <c r="H170" s="13" t="str">
        <f t="shared" si="5"/>
        <v/>
      </c>
    </row>
    <row r="171" spans="7:8" x14ac:dyDescent="0.35">
      <c r="G171" s="13" t="str">
        <f t="shared" si="4"/>
        <v/>
      </c>
      <c r="H171" s="13" t="str">
        <f t="shared" si="5"/>
        <v/>
      </c>
    </row>
    <row r="172" spans="7:8" x14ac:dyDescent="0.35">
      <c r="G172" s="13" t="str">
        <f t="shared" si="4"/>
        <v/>
      </c>
      <c r="H172" s="13" t="str">
        <f t="shared" si="5"/>
        <v/>
      </c>
    </row>
    <row r="173" spans="7:8" x14ac:dyDescent="0.35">
      <c r="G173" s="13" t="str">
        <f t="shared" si="4"/>
        <v/>
      </c>
      <c r="H173" s="13" t="str">
        <f t="shared" si="5"/>
        <v/>
      </c>
    </row>
    <row r="174" spans="7:8" x14ac:dyDescent="0.35">
      <c r="G174" s="13" t="str">
        <f t="shared" si="4"/>
        <v/>
      </c>
      <c r="H174" s="13" t="str">
        <f t="shared" si="5"/>
        <v/>
      </c>
    </row>
    <row r="175" spans="7:8" x14ac:dyDescent="0.35">
      <c r="G175" s="13" t="str">
        <f t="shared" si="4"/>
        <v/>
      </c>
      <c r="H175" s="13" t="str">
        <f t="shared" si="5"/>
        <v/>
      </c>
    </row>
    <row r="176" spans="7:8" x14ac:dyDescent="0.35">
      <c r="G176" s="13" t="str">
        <f t="shared" si="4"/>
        <v/>
      </c>
      <c r="H176" s="13" t="str">
        <f t="shared" si="5"/>
        <v/>
      </c>
    </row>
    <row r="177" spans="7:8" x14ac:dyDescent="0.35">
      <c r="G177" s="13" t="str">
        <f t="shared" si="4"/>
        <v/>
      </c>
      <c r="H177" s="13" t="str">
        <f t="shared" si="5"/>
        <v/>
      </c>
    </row>
    <row r="178" spans="7:8" x14ac:dyDescent="0.35">
      <c r="G178" s="13" t="str">
        <f t="shared" si="4"/>
        <v/>
      </c>
      <c r="H178" s="13" t="str">
        <f t="shared" si="5"/>
        <v/>
      </c>
    </row>
    <row r="179" spans="7:8" x14ac:dyDescent="0.35">
      <c r="G179" s="13" t="str">
        <f t="shared" si="4"/>
        <v/>
      </c>
      <c r="H179" s="13" t="str">
        <f t="shared" si="5"/>
        <v/>
      </c>
    </row>
    <row r="180" spans="7:8" x14ac:dyDescent="0.35">
      <c r="G180" s="13" t="str">
        <f t="shared" si="4"/>
        <v/>
      </c>
      <c r="H180" s="13" t="str">
        <f t="shared" si="5"/>
        <v/>
      </c>
    </row>
    <row r="181" spans="7:8" x14ac:dyDescent="0.35">
      <c r="G181" s="13" t="str">
        <f t="shared" si="4"/>
        <v/>
      </c>
      <c r="H181" s="13" t="str">
        <f t="shared" si="5"/>
        <v/>
      </c>
    </row>
    <row r="182" spans="7:8" x14ac:dyDescent="0.35">
      <c r="G182" s="13" t="str">
        <f t="shared" si="4"/>
        <v/>
      </c>
      <c r="H182" s="13" t="str">
        <f t="shared" si="5"/>
        <v/>
      </c>
    </row>
    <row r="183" spans="7:8" x14ac:dyDescent="0.35">
      <c r="G183" s="13" t="str">
        <f t="shared" si="4"/>
        <v/>
      </c>
      <c r="H183" s="13" t="str">
        <f t="shared" si="5"/>
        <v/>
      </c>
    </row>
    <row r="184" spans="7:8" x14ac:dyDescent="0.35">
      <c r="G184" s="13" t="str">
        <f t="shared" si="4"/>
        <v/>
      </c>
      <c r="H184" s="13" t="str">
        <f t="shared" si="5"/>
        <v/>
      </c>
    </row>
    <row r="185" spans="7:8" x14ac:dyDescent="0.35">
      <c r="G185" s="13" t="str">
        <f t="shared" si="4"/>
        <v/>
      </c>
      <c r="H185" s="13" t="str">
        <f t="shared" si="5"/>
        <v/>
      </c>
    </row>
    <row r="186" spans="7:8" x14ac:dyDescent="0.35">
      <c r="G186" s="13" t="str">
        <f t="shared" si="4"/>
        <v/>
      </c>
      <c r="H186" s="13" t="str">
        <f t="shared" si="5"/>
        <v/>
      </c>
    </row>
    <row r="187" spans="7:8" x14ac:dyDescent="0.35">
      <c r="G187" s="13" t="str">
        <f t="shared" si="4"/>
        <v/>
      </c>
      <c r="H187" s="13" t="str">
        <f t="shared" si="5"/>
        <v/>
      </c>
    </row>
    <row r="188" spans="7:8" x14ac:dyDescent="0.35">
      <c r="G188" s="13" t="str">
        <f t="shared" si="4"/>
        <v/>
      </c>
      <c r="H188" s="13" t="str">
        <f t="shared" si="5"/>
        <v/>
      </c>
    </row>
    <row r="189" spans="7:8" x14ac:dyDescent="0.35">
      <c r="G189" s="13" t="str">
        <f t="shared" si="4"/>
        <v/>
      </c>
      <c r="H189" s="13" t="str">
        <f t="shared" si="5"/>
        <v/>
      </c>
    </row>
    <row r="190" spans="7:8" x14ac:dyDescent="0.35">
      <c r="G190" s="13" t="str">
        <f t="shared" si="4"/>
        <v/>
      </c>
      <c r="H190" s="13" t="str">
        <f t="shared" si="5"/>
        <v/>
      </c>
    </row>
    <row r="191" spans="7:8" x14ac:dyDescent="0.35">
      <c r="G191" s="13" t="str">
        <f t="shared" si="4"/>
        <v/>
      </c>
      <c r="H191" s="13" t="str">
        <f t="shared" si="5"/>
        <v/>
      </c>
    </row>
    <row r="192" spans="7:8" x14ac:dyDescent="0.35">
      <c r="G192" s="13" t="str">
        <f t="shared" si="4"/>
        <v/>
      </c>
      <c r="H192" s="13" t="str">
        <f t="shared" si="5"/>
        <v/>
      </c>
    </row>
    <row r="193" spans="7:8" x14ac:dyDescent="0.35">
      <c r="G193" s="13" t="str">
        <f t="shared" si="4"/>
        <v/>
      </c>
      <c r="H193" s="13" t="str">
        <f t="shared" si="5"/>
        <v/>
      </c>
    </row>
    <row r="194" spans="7:8" x14ac:dyDescent="0.35">
      <c r="G194" s="13" t="str">
        <f t="shared" si="4"/>
        <v/>
      </c>
      <c r="H194" s="13" t="str">
        <f t="shared" si="5"/>
        <v/>
      </c>
    </row>
    <row r="195" spans="7:8" x14ac:dyDescent="0.35">
      <c r="G195" s="13" t="str">
        <f t="shared" si="4"/>
        <v/>
      </c>
      <c r="H195" s="13" t="str">
        <f t="shared" si="5"/>
        <v/>
      </c>
    </row>
    <row r="196" spans="7:8" x14ac:dyDescent="0.35">
      <c r="G196" s="13" t="str">
        <f t="shared" ref="G196:G219" si="6">LEFT(H196,10)</f>
        <v/>
      </c>
      <c r="H196" s="13" t="str">
        <f t="shared" ref="H196:H251" si="7">IF(PeriodEnd&gt;TEXT(PeriodStart+((ROW()-3)/24),"åååå-mm-dd tt:mm:ss"),TEXT(PeriodStart+((ROW()-3)/24),"åååå-mm-dd tt:mm:ss"),"")</f>
        <v/>
      </c>
    </row>
    <row r="197" spans="7:8" x14ac:dyDescent="0.35">
      <c r="G197" s="13" t="str">
        <f t="shared" si="6"/>
        <v/>
      </c>
      <c r="H197" s="13" t="str">
        <f t="shared" si="7"/>
        <v/>
      </c>
    </row>
    <row r="198" spans="7:8" x14ac:dyDescent="0.35">
      <c r="G198" s="13" t="str">
        <f t="shared" si="6"/>
        <v/>
      </c>
      <c r="H198" s="13" t="str">
        <f t="shared" si="7"/>
        <v/>
      </c>
    </row>
    <row r="199" spans="7:8" x14ac:dyDescent="0.35">
      <c r="G199" s="13" t="str">
        <f t="shared" si="6"/>
        <v/>
      </c>
      <c r="H199" s="13" t="str">
        <f t="shared" si="7"/>
        <v/>
      </c>
    </row>
    <row r="200" spans="7:8" x14ac:dyDescent="0.35">
      <c r="G200" s="13" t="str">
        <f t="shared" si="6"/>
        <v/>
      </c>
      <c r="H200" s="13" t="str">
        <f t="shared" si="7"/>
        <v/>
      </c>
    </row>
    <row r="201" spans="7:8" x14ac:dyDescent="0.35">
      <c r="G201" s="13" t="str">
        <f t="shared" si="6"/>
        <v/>
      </c>
      <c r="H201" s="13" t="str">
        <f t="shared" si="7"/>
        <v/>
      </c>
    </row>
    <row r="202" spans="7:8" x14ac:dyDescent="0.35">
      <c r="G202" s="13" t="str">
        <f t="shared" si="6"/>
        <v/>
      </c>
      <c r="H202" s="13" t="str">
        <f t="shared" si="7"/>
        <v/>
      </c>
    </row>
    <row r="203" spans="7:8" x14ac:dyDescent="0.35">
      <c r="G203" s="13" t="str">
        <f t="shared" si="6"/>
        <v/>
      </c>
      <c r="H203" s="13" t="str">
        <f t="shared" si="7"/>
        <v/>
      </c>
    </row>
    <row r="204" spans="7:8" x14ac:dyDescent="0.35">
      <c r="G204" s="13" t="str">
        <f t="shared" si="6"/>
        <v/>
      </c>
      <c r="H204" s="13" t="str">
        <f t="shared" si="7"/>
        <v/>
      </c>
    </row>
    <row r="205" spans="7:8" x14ac:dyDescent="0.35">
      <c r="G205" s="13" t="str">
        <f t="shared" si="6"/>
        <v/>
      </c>
      <c r="H205" s="13" t="str">
        <f t="shared" si="7"/>
        <v/>
      </c>
    </row>
    <row r="206" spans="7:8" x14ac:dyDescent="0.35">
      <c r="G206" s="13" t="str">
        <f t="shared" si="6"/>
        <v/>
      </c>
      <c r="H206" s="13" t="str">
        <f t="shared" si="7"/>
        <v/>
      </c>
    </row>
    <row r="207" spans="7:8" x14ac:dyDescent="0.35">
      <c r="G207" s="13" t="str">
        <f t="shared" si="6"/>
        <v/>
      </c>
      <c r="H207" s="13" t="str">
        <f t="shared" si="7"/>
        <v/>
      </c>
    </row>
    <row r="208" spans="7:8" x14ac:dyDescent="0.35">
      <c r="G208" s="13" t="str">
        <f t="shared" si="6"/>
        <v/>
      </c>
      <c r="H208" s="13" t="str">
        <f t="shared" si="7"/>
        <v/>
      </c>
    </row>
    <row r="209" spans="7:8" x14ac:dyDescent="0.35">
      <c r="G209" s="13" t="str">
        <f t="shared" si="6"/>
        <v/>
      </c>
      <c r="H209" s="13" t="str">
        <f t="shared" si="7"/>
        <v/>
      </c>
    </row>
    <row r="210" spans="7:8" x14ac:dyDescent="0.35">
      <c r="G210" s="13" t="str">
        <f t="shared" si="6"/>
        <v/>
      </c>
      <c r="H210" s="13" t="str">
        <f t="shared" si="7"/>
        <v/>
      </c>
    </row>
    <row r="211" spans="7:8" x14ac:dyDescent="0.35">
      <c r="G211" s="13" t="str">
        <f t="shared" si="6"/>
        <v/>
      </c>
      <c r="H211" s="13" t="str">
        <f t="shared" si="7"/>
        <v/>
      </c>
    </row>
    <row r="212" spans="7:8" x14ac:dyDescent="0.35">
      <c r="G212" s="13" t="str">
        <f t="shared" si="6"/>
        <v/>
      </c>
      <c r="H212" s="13" t="str">
        <f t="shared" si="7"/>
        <v/>
      </c>
    </row>
    <row r="213" spans="7:8" x14ac:dyDescent="0.35">
      <c r="G213" s="13" t="str">
        <f t="shared" si="6"/>
        <v/>
      </c>
      <c r="H213" s="13" t="str">
        <f t="shared" si="7"/>
        <v/>
      </c>
    </row>
    <row r="214" spans="7:8" x14ac:dyDescent="0.35">
      <c r="G214" s="13" t="str">
        <f t="shared" si="6"/>
        <v/>
      </c>
      <c r="H214" s="13" t="str">
        <f t="shared" si="7"/>
        <v/>
      </c>
    </row>
    <row r="215" spans="7:8" x14ac:dyDescent="0.35">
      <c r="G215" s="13" t="str">
        <f t="shared" si="6"/>
        <v/>
      </c>
      <c r="H215" s="13" t="str">
        <f t="shared" si="7"/>
        <v/>
      </c>
    </row>
    <row r="216" spans="7:8" x14ac:dyDescent="0.35">
      <c r="G216" s="13" t="str">
        <f t="shared" si="6"/>
        <v/>
      </c>
      <c r="H216" s="13" t="str">
        <f t="shared" si="7"/>
        <v/>
      </c>
    </row>
    <row r="217" spans="7:8" x14ac:dyDescent="0.35">
      <c r="G217" s="13" t="str">
        <f t="shared" si="6"/>
        <v/>
      </c>
      <c r="H217" s="13" t="str">
        <f t="shared" si="7"/>
        <v/>
      </c>
    </row>
    <row r="218" spans="7:8" x14ac:dyDescent="0.35">
      <c r="G218" s="13" t="str">
        <f t="shared" si="6"/>
        <v/>
      </c>
      <c r="H218" s="13" t="str">
        <f t="shared" si="7"/>
        <v/>
      </c>
    </row>
    <row r="219" spans="7:8" x14ac:dyDescent="0.35">
      <c r="G219" s="13" t="str">
        <f t="shared" si="6"/>
        <v/>
      </c>
      <c r="H219" s="13" t="str">
        <f t="shared" si="7"/>
        <v/>
      </c>
    </row>
    <row r="220" spans="7:8" x14ac:dyDescent="0.35">
      <c r="H220" s="13" t="str">
        <f t="shared" si="7"/>
        <v/>
      </c>
    </row>
    <row r="221" spans="7:8" x14ac:dyDescent="0.35">
      <c r="H221" s="13" t="str">
        <f t="shared" si="7"/>
        <v/>
      </c>
    </row>
    <row r="222" spans="7:8" x14ac:dyDescent="0.35">
      <c r="H222" s="13" t="str">
        <f t="shared" si="7"/>
        <v/>
      </c>
    </row>
    <row r="223" spans="7:8" x14ac:dyDescent="0.35">
      <c r="H223" s="13" t="str">
        <f t="shared" si="7"/>
        <v/>
      </c>
    </row>
    <row r="224" spans="7:8" x14ac:dyDescent="0.35">
      <c r="H224" s="13" t="str">
        <f t="shared" si="7"/>
        <v/>
      </c>
    </row>
    <row r="225" spans="8:8" x14ac:dyDescent="0.35">
      <c r="H225" s="13" t="str">
        <f t="shared" si="7"/>
        <v/>
      </c>
    </row>
    <row r="226" spans="8:8" x14ac:dyDescent="0.35">
      <c r="H226" s="13" t="str">
        <f t="shared" si="7"/>
        <v/>
      </c>
    </row>
    <row r="227" spans="8:8" x14ac:dyDescent="0.35">
      <c r="H227" s="13" t="str">
        <f t="shared" si="7"/>
        <v/>
      </c>
    </row>
    <row r="228" spans="8:8" x14ac:dyDescent="0.35">
      <c r="H228" s="13" t="str">
        <f t="shared" si="7"/>
        <v/>
      </c>
    </row>
    <row r="229" spans="8:8" x14ac:dyDescent="0.35">
      <c r="H229" s="13" t="str">
        <f t="shared" si="7"/>
        <v/>
      </c>
    </row>
    <row r="230" spans="8:8" x14ac:dyDescent="0.35">
      <c r="H230" s="13" t="str">
        <f t="shared" si="7"/>
        <v/>
      </c>
    </row>
    <row r="231" spans="8:8" x14ac:dyDescent="0.35">
      <c r="H231" s="13" t="str">
        <f t="shared" si="7"/>
        <v/>
      </c>
    </row>
    <row r="232" spans="8:8" x14ac:dyDescent="0.35">
      <c r="H232" s="13" t="str">
        <f t="shared" si="7"/>
        <v/>
      </c>
    </row>
    <row r="233" spans="8:8" x14ac:dyDescent="0.35">
      <c r="H233" s="13" t="str">
        <f t="shared" si="7"/>
        <v/>
      </c>
    </row>
    <row r="234" spans="8:8" x14ac:dyDescent="0.35">
      <c r="H234" s="13" t="str">
        <f t="shared" si="7"/>
        <v/>
      </c>
    </row>
    <row r="235" spans="8:8" x14ac:dyDescent="0.35">
      <c r="H235" s="13" t="str">
        <f t="shared" si="7"/>
        <v/>
      </c>
    </row>
    <row r="236" spans="8:8" x14ac:dyDescent="0.35">
      <c r="H236" s="13" t="str">
        <f t="shared" si="7"/>
        <v/>
      </c>
    </row>
    <row r="237" spans="8:8" x14ac:dyDescent="0.35">
      <c r="H237" s="13" t="str">
        <f t="shared" si="7"/>
        <v/>
      </c>
    </row>
    <row r="238" spans="8:8" x14ac:dyDescent="0.35">
      <c r="H238" s="13" t="str">
        <f t="shared" si="7"/>
        <v/>
      </c>
    </row>
    <row r="239" spans="8:8" x14ac:dyDescent="0.35">
      <c r="H239" s="13" t="str">
        <f t="shared" si="7"/>
        <v/>
      </c>
    </row>
    <row r="240" spans="8:8" x14ac:dyDescent="0.35">
      <c r="H240" s="13" t="str">
        <f t="shared" si="7"/>
        <v/>
      </c>
    </row>
    <row r="241" spans="8:8" x14ac:dyDescent="0.35">
      <c r="H241" s="13" t="str">
        <f t="shared" si="7"/>
        <v/>
      </c>
    </row>
    <row r="242" spans="8:8" x14ac:dyDescent="0.35">
      <c r="H242" s="13" t="str">
        <f t="shared" si="7"/>
        <v/>
      </c>
    </row>
    <row r="243" spans="8:8" x14ac:dyDescent="0.35">
      <c r="H243" s="13" t="str">
        <f t="shared" si="7"/>
        <v/>
      </c>
    </row>
    <row r="244" spans="8:8" x14ac:dyDescent="0.35">
      <c r="H244" s="13" t="str">
        <f t="shared" si="7"/>
        <v/>
      </c>
    </row>
    <row r="245" spans="8:8" x14ac:dyDescent="0.35">
      <c r="H245" s="13" t="str">
        <f t="shared" si="7"/>
        <v/>
      </c>
    </row>
    <row r="246" spans="8:8" x14ac:dyDescent="0.35">
      <c r="H246" s="13" t="str">
        <f t="shared" si="7"/>
        <v/>
      </c>
    </row>
    <row r="247" spans="8:8" x14ac:dyDescent="0.35">
      <c r="H247" s="13" t="str">
        <f t="shared" si="7"/>
        <v/>
      </c>
    </row>
    <row r="248" spans="8:8" x14ac:dyDescent="0.35">
      <c r="H248" s="13" t="str">
        <f t="shared" si="7"/>
        <v/>
      </c>
    </row>
    <row r="249" spans="8:8" x14ac:dyDescent="0.35">
      <c r="H249" s="13" t="str">
        <f t="shared" si="7"/>
        <v/>
      </c>
    </row>
    <row r="250" spans="8:8" x14ac:dyDescent="0.35">
      <c r="H250" s="13" t="str">
        <f t="shared" si="7"/>
        <v/>
      </c>
    </row>
    <row r="251" spans="8:8" x14ac:dyDescent="0.35">
      <c r="H251" s="13" t="str">
        <f t="shared" si="7"/>
        <v/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09AE-856C-42DB-8371-E5CA23657498}">
  <dimension ref="A1:N16"/>
  <sheetViews>
    <sheetView workbookViewId="0">
      <selection activeCell="N12" sqref="N12"/>
    </sheetView>
  </sheetViews>
  <sheetFormatPr defaultRowHeight="14.5" x14ac:dyDescent="0.35"/>
  <cols>
    <col min="1" max="1" width="19" style="13" bestFit="1" customWidth="1"/>
    <col min="2" max="2" width="6.7265625" style="13" bestFit="1" customWidth="1"/>
    <col min="3" max="3" width="17.08984375" style="13" bestFit="1" customWidth="1"/>
    <col min="4" max="4" width="19.6328125" style="13" bestFit="1" customWidth="1"/>
    <col min="5" max="5" width="15.7265625" style="13" bestFit="1" customWidth="1"/>
    <col min="6" max="6" width="11.54296875" style="13" bestFit="1" customWidth="1"/>
    <col min="7" max="7" width="20.54296875" style="13" bestFit="1" customWidth="1"/>
    <col min="8" max="8" width="18.1796875" style="13" bestFit="1" customWidth="1"/>
    <col min="9" max="9" width="24.7265625" style="13" bestFit="1" customWidth="1"/>
    <col min="10" max="10" width="18.90625" style="13" bestFit="1" customWidth="1"/>
    <col min="11" max="11" width="28.36328125" style="13" bestFit="1" customWidth="1"/>
    <col min="12" max="12" width="17.7265625" style="13" bestFit="1" customWidth="1"/>
    <col min="13" max="13" width="9.26953125" style="13" bestFit="1" customWidth="1"/>
    <col min="14" max="14" width="13.90625" style="13" bestFit="1" customWidth="1"/>
    <col min="15" max="16384" width="8.7265625" style="13"/>
  </cols>
  <sheetData>
    <row r="1" spans="1:14" x14ac:dyDescent="0.35">
      <c r="A1" s="17" t="s">
        <v>10</v>
      </c>
      <c r="B1" s="17" t="s">
        <v>30</v>
      </c>
      <c r="C1" s="17" t="s">
        <v>31</v>
      </c>
      <c r="D1" s="17" t="s">
        <v>32</v>
      </c>
      <c r="E1" s="17" t="s">
        <v>33</v>
      </c>
      <c r="F1" s="17" t="s">
        <v>12</v>
      </c>
      <c r="G1" s="17" t="s">
        <v>34</v>
      </c>
      <c r="H1" s="17" t="s">
        <v>35</v>
      </c>
      <c r="I1" s="17" t="s">
        <v>36</v>
      </c>
      <c r="J1" s="17" t="s">
        <v>37</v>
      </c>
      <c r="K1" s="17" t="s">
        <v>111</v>
      </c>
      <c r="L1" s="17" t="s">
        <v>80</v>
      </c>
      <c r="M1" s="17" t="s">
        <v>81</v>
      </c>
      <c r="N1" s="24" t="s">
        <v>132</v>
      </c>
    </row>
    <row r="2" spans="1:14" x14ac:dyDescent="0.35">
      <c r="A2" s="17" t="s">
        <v>25</v>
      </c>
      <c r="B2" s="17" t="s">
        <v>17</v>
      </c>
      <c r="C2" s="17" t="s">
        <v>157</v>
      </c>
      <c r="D2" s="17" t="s">
        <v>18</v>
      </c>
      <c r="E2" s="17" t="s">
        <v>106</v>
      </c>
      <c r="F2" s="17" t="s">
        <v>19</v>
      </c>
      <c r="G2" s="17" t="s">
        <v>157</v>
      </c>
      <c r="H2" s="17" t="s">
        <v>157</v>
      </c>
      <c r="I2" s="17" t="s">
        <v>157</v>
      </c>
      <c r="J2" s="17" t="s">
        <v>38</v>
      </c>
      <c r="K2" s="17" t="s">
        <v>42</v>
      </c>
      <c r="L2" s="17" t="s">
        <v>112</v>
      </c>
      <c r="M2" s="17" t="s">
        <v>157</v>
      </c>
      <c r="N2" s="22" t="str">
        <f>IF(metering_point_periods[[#This Row],[energy_supplier_id]]="",IFERROR(INDEX(metering_point_periods[],MATCH(metering_point_periods[[#This Row],[parent_metering_point_id]],metering_point_periods[metering_point_id],0),10),""),metering_point_periods[[#This Row],[energy_supplier_id]])</f>
        <v>1000000000000</v>
      </c>
    </row>
    <row r="3" spans="1:14" x14ac:dyDescent="0.35">
      <c r="A3" s="17" t="s">
        <v>26</v>
      </c>
      <c r="B3" s="17" t="s">
        <v>20</v>
      </c>
      <c r="C3" s="17" t="s">
        <v>157</v>
      </c>
      <c r="D3" s="17" t="s">
        <v>157</v>
      </c>
      <c r="E3" s="17" t="s">
        <v>106</v>
      </c>
      <c r="F3" s="17" t="s">
        <v>19</v>
      </c>
      <c r="G3" s="17" t="s">
        <v>157</v>
      </c>
      <c r="H3" s="17" t="s">
        <v>157</v>
      </c>
      <c r="I3" s="17" t="s">
        <v>157</v>
      </c>
      <c r="J3" s="17" t="s">
        <v>39</v>
      </c>
      <c r="K3" s="17" t="s">
        <v>43</v>
      </c>
      <c r="L3" s="17" t="s">
        <v>112</v>
      </c>
      <c r="M3" s="17" t="s">
        <v>157</v>
      </c>
      <c r="N3" s="22" t="str">
        <f>IF(metering_point_periods[[#This Row],[energy_supplier_id]]="",IFERROR(INDEX(metering_point_periods[],MATCH(metering_point_periods[[#This Row],[parent_metering_point_id]],metering_point_periods[metering_point_id],0),10),""),metering_point_periods[[#This Row],[energy_supplier_id]])</f>
        <v>2000000000000</v>
      </c>
    </row>
    <row r="4" spans="1:14" x14ac:dyDescent="0.35">
      <c r="A4" s="17" t="s">
        <v>6</v>
      </c>
      <c r="B4" s="17" t="s">
        <v>17</v>
      </c>
      <c r="C4" s="17" t="s">
        <v>157</v>
      </c>
      <c r="D4" s="17" t="s">
        <v>18</v>
      </c>
      <c r="E4" s="17" t="s">
        <v>106</v>
      </c>
      <c r="F4" s="17" t="s">
        <v>16</v>
      </c>
      <c r="G4" s="17" t="s">
        <v>157</v>
      </c>
      <c r="H4" s="17" t="s">
        <v>157</v>
      </c>
      <c r="I4" s="17" t="s">
        <v>157</v>
      </c>
      <c r="J4" s="17" t="s">
        <v>38</v>
      </c>
      <c r="K4" s="17" t="s">
        <v>42</v>
      </c>
      <c r="L4" s="17" t="s">
        <v>112</v>
      </c>
      <c r="M4" s="17" t="s">
        <v>157</v>
      </c>
      <c r="N4" s="22" t="str">
        <f>IF(metering_point_periods[[#This Row],[energy_supplier_id]]="",IFERROR(INDEX(metering_point_periods[],MATCH(metering_point_periods[[#This Row],[parent_metering_point_id]],metering_point_periods[metering_point_id],0),10),""),metering_point_periods[[#This Row],[energy_supplier_id]])</f>
        <v>1000000000000</v>
      </c>
    </row>
    <row r="5" spans="1:14" x14ac:dyDescent="0.35">
      <c r="A5" s="17" t="s">
        <v>27</v>
      </c>
      <c r="B5" s="17" t="s">
        <v>21</v>
      </c>
      <c r="C5" s="17" t="s">
        <v>157</v>
      </c>
      <c r="D5" s="17" t="s">
        <v>157</v>
      </c>
      <c r="E5" s="17" t="s">
        <v>106</v>
      </c>
      <c r="F5" s="17" t="s">
        <v>16</v>
      </c>
      <c r="G5" s="17" t="s">
        <v>157</v>
      </c>
      <c r="H5" s="17" t="s">
        <v>157</v>
      </c>
      <c r="I5" s="17" t="s">
        <v>6</v>
      </c>
      <c r="J5" s="17" t="s">
        <v>157</v>
      </c>
      <c r="K5" s="17" t="s">
        <v>157</v>
      </c>
      <c r="L5" s="17" t="s">
        <v>112</v>
      </c>
      <c r="M5" s="17" t="s">
        <v>157</v>
      </c>
      <c r="N5" s="22" t="str">
        <f>IF(metering_point_periods[[#This Row],[energy_supplier_id]]="",IFERROR(INDEX(metering_point_periods[],MATCH(metering_point_periods[[#This Row],[parent_metering_point_id]],metering_point_periods[metering_point_id],0),10),""),metering_point_periods[[#This Row],[energy_supplier_id]])</f>
        <v>1000000000000</v>
      </c>
    </row>
    <row r="6" spans="1:14" x14ac:dyDescent="0.35">
      <c r="A6" s="17" t="s">
        <v>1</v>
      </c>
      <c r="B6" s="17" t="s">
        <v>17</v>
      </c>
      <c r="C6" s="17" t="s">
        <v>157</v>
      </c>
      <c r="D6" s="17" t="s">
        <v>22</v>
      </c>
      <c r="E6" s="17" t="s">
        <v>106</v>
      </c>
      <c r="F6" s="17" t="s">
        <v>16</v>
      </c>
      <c r="G6" s="17" t="s">
        <v>157</v>
      </c>
      <c r="H6" s="17" t="s">
        <v>157</v>
      </c>
      <c r="I6" s="17" t="s">
        <v>157</v>
      </c>
      <c r="J6" s="17" t="s">
        <v>40</v>
      </c>
      <c r="K6" s="17" t="s">
        <v>44</v>
      </c>
      <c r="L6" s="17" t="s">
        <v>112</v>
      </c>
      <c r="M6" s="17" t="s">
        <v>157</v>
      </c>
      <c r="N6" s="22" t="str">
        <f>IF(metering_point_periods[[#This Row],[energy_supplier_id]]="",IFERROR(INDEX(metering_point_periods[],MATCH(metering_point_periods[[#This Row],[parent_metering_point_id]],metering_point_periods[metering_point_id],0),10),""),metering_point_periods[[#This Row],[energy_supplier_id]])</f>
        <v>3000000000000</v>
      </c>
    </row>
    <row r="7" spans="1:14" x14ac:dyDescent="0.35">
      <c r="A7" s="17" t="s">
        <v>28</v>
      </c>
      <c r="B7" s="17" t="s">
        <v>17</v>
      </c>
      <c r="C7" s="17" t="s">
        <v>157</v>
      </c>
      <c r="D7" s="17" t="s">
        <v>22</v>
      </c>
      <c r="E7" s="17" t="s">
        <v>106</v>
      </c>
      <c r="F7" s="17" t="s">
        <v>19</v>
      </c>
      <c r="G7" s="17" t="s">
        <v>157</v>
      </c>
      <c r="H7" s="17" t="s">
        <v>157</v>
      </c>
      <c r="I7" s="17" t="s">
        <v>157</v>
      </c>
      <c r="J7" s="17" t="s">
        <v>40</v>
      </c>
      <c r="K7" s="17" t="s">
        <v>44</v>
      </c>
      <c r="L7" s="17" t="s">
        <v>112</v>
      </c>
      <c r="M7" s="17" t="s">
        <v>157</v>
      </c>
      <c r="N7" s="22" t="str">
        <f>IF(metering_point_periods[[#This Row],[energy_supplier_id]]="",IFERROR(INDEX(metering_point_periods[],MATCH(metering_point_periods[[#This Row],[parent_metering_point_id]],metering_point_periods[metering_point_id],0),10),""),metering_point_periods[[#This Row],[energy_supplier_id]])</f>
        <v>3000000000000</v>
      </c>
    </row>
    <row r="8" spans="1:14" x14ac:dyDescent="0.35">
      <c r="A8" s="17" t="s">
        <v>3</v>
      </c>
      <c r="B8" s="17" t="s">
        <v>20</v>
      </c>
      <c r="C8" s="17" t="s">
        <v>157</v>
      </c>
      <c r="D8" s="17" t="s">
        <v>157</v>
      </c>
      <c r="E8" s="17" t="s">
        <v>106</v>
      </c>
      <c r="F8" s="17" t="s">
        <v>16</v>
      </c>
      <c r="G8" s="17" t="s">
        <v>157</v>
      </c>
      <c r="H8" s="17" t="s">
        <v>157</v>
      </c>
      <c r="I8" s="17" t="s">
        <v>157</v>
      </c>
      <c r="J8" s="17" t="s">
        <v>39</v>
      </c>
      <c r="K8" s="17" t="s">
        <v>43</v>
      </c>
      <c r="L8" s="17" t="s">
        <v>112</v>
      </c>
      <c r="M8" s="17" t="s">
        <v>157</v>
      </c>
      <c r="N8" s="22" t="str">
        <f>IF(metering_point_periods[[#This Row],[energy_supplier_id]]="",IFERROR(INDEX(metering_point_periods[],MATCH(metering_point_periods[[#This Row],[parent_metering_point_id]],metering_point_periods[metering_point_id],0),10),""),metering_point_periods[[#This Row],[energy_supplier_id]])</f>
        <v>2000000000000</v>
      </c>
    </row>
    <row r="9" spans="1:14" x14ac:dyDescent="0.35">
      <c r="A9" s="17" t="s">
        <v>4</v>
      </c>
      <c r="B9" s="17" t="s">
        <v>23</v>
      </c>
      <c r="C9" s="17" t="s">
        <v>157</v>
      </c>
      <c r="D9" s="17" t="s">
        <v>157</v>
      </c>
      <c r="E9" s="17" t="s">
        <v>106</v>
      </c>
      <c r="F9" s="17" t="s">
        <v>16</v>
      </c>
      <c r="G9" s="17" t="s">
        <v>157</v>
      </c>
      <c r="H9" s="17" t="s">
        <v>157</v>
      </c>
      <c r="I9" s="17" t="s">
        <v>3</v>
      </c>
      <c r="J9" s="17" t="s">
        <v>157</v>
      </c>
      <c r="K9" s="17" t="s">
        <v>157</v>
      </c>
      <c r="L9" s="17" t="s">
        <v>112</v>
      </c>
      <c r="M9" s="17" t="s">
        <v>157</v>
      </c>
      <c r="N9" s="22" t="str">
        <f>IF(metering_point_periods[[#This Row],[energy_supplier_id]]="",IFERROR(INDEX(metering_point_periods[],MATCH(metering_point_periods[[#This Row],[parent_metering_point_id]],metering_point_periods[metering_point_id],0),10),""),metering_point_periods[[#This Row],[energy_supplier_id]])</f>
        <v>2000000000000</v>
      </c>
    </row>
    <row r="10" spans="1:14" x14ac:dyDescent="0.35">
      <c r="A10" s="17" t="s">
        <v>5</v>
      </c>
      <c r="B10" s="17" t="s">
        <v>20</v>
      </c>
      <c r="C10" s="17" t="s">
        <v>157</v>
      </c>
      <c r="D10" s="17" t="s">
        <v>157</v>
      </c>
      <c r="E10" s="17" t="s">
        <v>106</v>
      </c>
      <c r="F10" s="17" t="s">
        <v>19</v>
      </c>
      <c r="G10" s="17" t="s">
        <v>157</v>
      </c>
      <c r="H10" s="17" t="s">
        <v>157</v>
      </c>
      <c r="I10" s="17" t="s">
        <v>157</v>
      </c>
      <c r="J10" s="17" t="s">
        <v>41</v>
      </c>
      <c r="K10" s="17" t="s">
        <v>45</v>
      </c>
      <c r="L10" s="17" t="s">
        <v>112</v>
      </c>
      <c r="M10" s="17" t="s">
        <v>157</v>
      </c>
      <c r="N10" s="22" t="str">
        <f>IF(metering_point_periods[[#This Row],[energy_supplier_id]]="",IFERROR(INDEX(metering_point_periods[],MATCH(metering_point_periods[[#This Row],[parent_metering_point_id]],metering_point_periods[metering_point_id],0),10),""),metering_point_periods[[#This Row],[energy_supplier_id]])</f>
        <v>4000000000000</v>
      </c>
    </row>
    <row r="11" spans="1:14" x14ac:dyDescent="0.35">
      <c r="A11" s="17" t="s">
        <v>29</v>
      </c>
      <c r="B11" s="17" t="s">
        <v>24</v>
      </c>
      <c r="C11" s="17" t="s">
        <v>157</v>
      </c>
      <c r="D11" s="17" t="s">
        <v>157</v>
      </c>
      <c r="E11" s="17" t="s">
        <v>107</v>
      </c>
      <c r="F11" s="17" t="s">
        <v>16</v>
      </c>
      <c r="G11" s="17" t="s">
        <v>107</v>
      </c>
      <c r="H11" s="17" t="s">
        <v>106</v>
      </c>
      <c r="I11" s="17" t="s">
        <v>157</v>
      </c>
      <c r="J11" s="17" t="s">
        <v>157</v>
      </c>
      <c r="K11" s="17" t="s">
        <v>157</v>
      </c>
      <c r="L11" s="17" t="s">
        <v>112</v>
      </c>
      <c r="M11" s="17" t="s">
        <v>157</v>
      </c>
      <c r="N11" s="22" t="str">
        <f>IF(metering_point_periods[[#This Row],[energy_supplier_id]]="",IFERROR(INDEX(metering_point_periods[],MATCH(metering_point_periods[[#This Row],[parent_metering_point_id]],metering_point_periods[metering_point_id],0),10),""),metering_point_periods[[#This Row],[energy_supplier_id]])</f>
        <v/>
      </c>
    </row>
    <row r="12" spans="1:14" x14ac:dyDescent="0.35">
      <c r="A12" s="17" t="s">
        <v>108</v>
      </c>
      <c r="B12" s="17" t="s">
        <v>20</v>
      </c>
      <c r="C12" s="17" t="s">
        <v>157</v>
      </c>
      <c r="D12" s="17" t="s">
        <v>157</v>
      </c>
      <c r="E12" s="17" t="s">
        <v>109</v>
      </c>
      <c r="F12" s="17" t="s">
        <v>19</v>
      </c>
      <c r="G12" s="17" t="s">
        <v>157</v>
      </c>
      <c r="H12" s="17" t="s">
        <v>157</v>
      </c>
      <c r="I12" s="17" t="s">
        <v>157</v>
      </c>
      <c r="J12" s="17" t="s">
        <v>39</v>
      </c>
      <c r="K12" s="17" t="s">
        <v>43</v>
      </c>
      <c r="L12" s="17" t="s">
        <v>112</v>
      </c>
      <c r="M12" s="17" t="s">
        <v>157</v>
      </c>
      <c r="N12" s="22" t="str">
        <f>IF(metering_point_periods[[#This Row],[energy_supplier_id]]="",IFERROR(INDEX(metering_point_periods[],MATCH(metering_point_periods[[#This Row],[parent_metering_point_id]],metering_point_periods[metering_point_id],0),10),""),metering_point_periods[[#This Row],[energy_supplier_id]])</f>
        <v>2000000000000</v>
      </c>
    </row>
    <row r="13" spans="1:14" x14ac:dyDescent="0.35">
      <c r="A13" s="17" t="s">
        <v>110</v>
      </c>
      <c r="B13" s="17" t="s">
        <v>20</v>
      </c>
      <c r="C13" s="17" t="s">
        <v>157</v>
      </c>
      <c r="D13" s="17" t="s">
        <v>157</v>
      </c>
      <c r="E13" s="17" t="s">
        <v>109</v>
      </c>
      <c r="F13" s="17" t="s">
        <v>19</v>
      </c>
      <c r="G13" s="17" t="s">
        <v>157</v>
      </c>
      <c r="H13" s="17" t="s">
        <v>157</v>
      </c>
      <c r="I13" s="17" t="s">
        <v>157</v>
      </c>
      <c r="J13" s="17" t="s">
        <v>39</v>
      </c>
      <c r="K13" s="17" t="s">
        <v>43</v>
      </c>
      <c r="L13" s="17" t="s">
        <v>112</v>
      </c>
      <c r="M13" s="17" t="s">
        <v>157</v>
      </c>
      <c r="N13" s="22" t="str">
        <f>IF(metering_point_periods[[#This Row],[energy_supplier_id]]="",IFERROR(INDEX(metering_point_periods[],MATCH(metering_point_periods[[#This Row],[parent_metering_point_id]],metering_point_periods[metering_point_id],0),10),""),metering_point_periods[[#This Row],[energy_supplier_id]])</f>
        <v>2000000000000</v>
      </c>
    </row>
    <row r="14" spans="1:14" x14ac:dyDescent="0.35">
      <c r="A14" s="17" t="s">
        <v>167</v>
      </c>
      <c r="B14" s="17" t="s">
        <v>20</v>
      </c>
      <c r="C14" s="17" t="s">
        <v>157</v>
      </c>
      <c r="D14" s="17" t="s">
        <v>157</v>
      </c>
      <c r="E14" s="17" t="s">
        <v>109</v>
      </c>
      <c r="F14" s="17" t="s">
        <v>19</v>
      </c>
      <c r="G14" s="17" t="s">
        <v>157</v>
      </c>
      <c r="H14" s="17" t="s">
        <v>157</v>
      </c>
      <c r="I14" s="17" t="s">
        <v>157</v>
      </c>
      <c r="J14" s="17" t="s">
        <v>39</v>
      </c>
      <c r="K14" s="17" t="s">
        <v>43</v>
      </c>
      <c r="L14" s="17" t="s">
        <v>112</v>
      </c>
      <c r="M14" s="17" t="s">
        <v>157</v>
      </c>
      <c r="N14" s="22" t="str">
        <f>IF(metering_point_periods[[#This Row],[energy_supplier_id]]="",IFERROR(INDEX(metering_point_periods[],MATCH(metering_point_periods[[#This Row],[parent_metering_point_id]],metering_point_periods[metering_point_id],0),10),""),metering_point_periods[[#This Row],[energy_supplier_id]])</f>
        <v>2000000000000</v>
      </c>
    </row>
    <row r="15" spans="1:14" x14ac:dyDescent="0.35">
      <c r="A15" s="17" t="s">
        <v>168</v>
      </c>
      <c r="B15" s="17" t="s">
        <v>17</v>
      </c>
      <c r="C15" s="17" t="s">
        <v>157</v>
      </c>
      <c r="D15" s="17" t="s">
        <v>18</v>
      </c>
      <c r="E15" s="17" t="s">
        <v>109</v>
      </c>
      <c r="F15" s="17" t="s">
        <v>19</v>
      </c>
      <c r="G15" s="17" t="s">
        <v>157</v>
      </c>
      <c r="H15" s="17" t="s">
        <v>157</v>
      </c>
      <c r="I15" s="17" t="s">
        <v>157</v>
      </c>
      <c r="J15" s="17" t="s">
        <v>39</v>
      </c>
      <c r="K15" s="17" t="s">
        <v>43</v>
      </c>
      <c r="L15" s="17" t="s">
        <v>112</v>
      </c>
      <c r="M15" s="17" t="s">
        <v>157</v>
      </c>
      <c r="N15" s="22" t="str">
        <f>IF(metering_point_periods[[#This Row],[energy_supplier_id]]="",IFERROR(INDEX(metering_point_periods[],MATCH(metering_point_periods[[#This Row],[parent_metering_point_id]],metering_point_periods[metering_point_id],0),10),""),metering_point_periods[[#This Row],[energy_supplier_id]])</f>
        <v>2000000000000</v>
      </c>
    </row>
    <row r="16" spans="1:14" x14ac:dyDescent="0.35">
      <c r="A16" s="17" t="s">
        <v>169</v>
      </c>
      <c r="B16" s="17" t="s">
        <v>24</v>
      </c>
      <c r="C16" s="17" t="s">
        <v>157</v>
      </c>
      <c r="D16" s="17" t="s">
        <v>157</v>
      </c>
      <c r="E16" s="17" t="s">
        <v>109</v>
      </c>
      <c r="F16" s="17" t="s">
        <v>19</v>
      </c>
      <c r="G16" s="17" t="s">
        <v>109</v>
      </c>
      <c r="H16" s="17" t="s">
        <v>170</v>
      </c>
      <c r="I16" s="17" t="s">
        <v>157</v>
      </c>
      <c r="J16" s="17" t="s">
        <v>157</v>
      </c>
      <c r="K16" s="17" t="s">
        <v>157</v>
      </c>
      <c r="L16" s="17" t="s">
        <v>112</v>
      </c>
      <c r="M16" s="17" t="s">
        <v>157</v>
      </c>
      <c r="N16" s="22" t="str">
        <f>IF(metering_point_periods[[#This Row],[energy_supplier_id]]="",IFERROR(INDEX(metering_point_periods[],MATCH(metering_point_periods[[#This Row],[parent_metering_point_id]],metering_point_periods[metering_point_id],0),10),""),metering_point_periods[[#This Row],[energy_supplier_id]])</f>
        <v/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0F3F6-1746-4F18-B146-7F37DDEDD866}">
  <dimension ref="A1:L17"/>
  <sheetViews>
    <sheetView workbookViewId="0">
      <selection activeCell="B7" sqref="B7"/>
    </sheetView>
  </sheetViews>
  <sheetFormatPr defaultRowHeight="14.5" x14ac:dyDescent="0.35"/>
  <cols>
    <col min="1" max="1" width="19" style="13" bestFit="1" customWidth="1"/>
    <col min="2" max="2" width="10.08984375" style="13" bestFit="1" customWidth="1"/>
    <col min="3" max="3" width="8.90625" style="13" bestFit="1" customWidth="1"/>
    <col min="4" max="4" width="17.7265625" style="13" bestFit="1" customWidth="1"/>
    <col min="5" max="5" width="19.81640625" style="13" bestFit="1" customWidth="1"/>
    <col min="6" max="6" width="10.7265625" style="13" bestFit="1" customWidth="1"/>
    <col min="7" max="7" width="20.36328125" style="13" bestFit="1" customWidth="1"/>
    <col min="8" max="8" width="19.6328125" style="13" bestFit="1" customWidth="1"/>
    <col min="9" max="9" width="17.7265625" style="13" bestFit="1" customWidth="1"/>
    <col min="10" max="10" width="10.08984375" style="13" bestFit="1" customWidth="1"/>
    <col min="11" max="11" width="11.1796875" style="13" bestFit="1" customWidth="1"/>
    <col min="12" max="12" width="13.90625" style="13" bestFit="1" customWidth="1"/>
    <col min="13" max="16384" width="8.7265625" style="13"/>
  </cols>
  <sheetData>
    <row r="1" spans="1:12" x14ac:dyDescent="0.35">
      <c r="A1" s="17" t="s">
        <v>10</v>
      </c>
      <c r="B1" s="17" t="s">
        <v>11</v>
      </c>
      <c r="C1" s="17" t="s">
        <v>58</v>
      </c>
      <c r="D1" s="17" t="s">
        <v>59</v>
      </c>
      <c r="E1" s="17" t="s">
        <v>114</v>
      </c>
      <c r="F1" s="17" t="s">
        <v>136</v>
      </c>
      <c r="G1" s="17" t="s">
        <v>46</v>
      </c>
      <c r="H1" s="18" t="s">
        <v>32</v>
      </c>
      <c r="I1" s="17" t="s">
        <v>75</v>
      </c>
      <c r="J1" s="17" t="s">
        <v>135</v>
      </c>
      <c r="K1" s="17" t="s">
        <v>147</v>
      </c>
      <c r="L1" s="17" t="s">
        <v>132</v>
      </c>
    </row>
    <row r="2" spans="1:12" x14ac:dyDescent="0.35">
      <c r="A2" s="22" t="s">
        <v>1</v>
      </c>
      <c r="B2" s="22" t="s">
        <v>122</v>
      </c>
      <c r="C2" s="22" t="s">
        <v>60</v>
      </c>
      <c r="D2" s="22" t="s">
        <v>66</v>
      </c>
      <c r="E2" s="22">
        <f>IFERROR(VALUE(SUBSTITUTE(time_series_points[[#This Row],[quantity]],".",",")),"")</f>
        <v>20</v>
      </c>
      <c r="F2" s="22" t="str">
        <f>_xlfn.IFNA(INDEX(metering_point_periods[],MATCH(time_series_points[[#This Row],[metering_point_id]],metering_point_periods[metering_point_id],0),5),"")</f>
        <v>800</v>
      </c>
      <c r="G2" s="22" t="str">
        <f>_xlfn.IFNA(VLOOKUP(VLOOKUP(time_series_points[[#This Row],[metering_point_id]],metering_point_periods[],2,FALSE),MPTypeMapping[],2,FALSE),"")</f>
        <v>consumption</v>
      </c>
      <c r="H2" s="22" t="str">
        <f>_xlfn.IFNA(VLOOKUP(VLOOKUP(time_series_points[[#This Row],[metering_point_id]],metering_point_periods[],4,FALSE),SettlementMapping[],2,FALSE),"")</f>
        <v>non_profiled</v>
      </c>
      <c r="I2" s="22" t="str">
        <f>SUBSTITUTE(SUBSTITUTE(SUBSTITUTE(time_series_points[[#This Row],[observation_time]],":15:00",":00:00"),":30:00",":00:00"),":45:00",":00:00")</f>
        <v>2023-02-01 02:00:00</v>
      </c>
      <c r="J2" s="22" t="str">
        <f>LEFT(time_series_points[[#This Row],[observation_time]],10)</f>
        <v>2023-02-01</v>
      </c>
      <c r="K2" s="22" t="str">
        <f>IF(time_series_points[[#This Row],[metering_point_id]]&lt;&gt;"",INDEX('calculation_arguments'!F$3:H$98,MATCH(LEFT(time_series_points[[#This Row],[day]],10),'calculation_arguments'!G$3:G$98,0),1),"")</f>
        <v>Day1</v>
      </c>
      <c r="L2" s="22" t="str">
        <f>_xlfn.IFNA(INDEX(metering_point_periods[],MATCH(time_series_points[[#This Row],[metering_point_id]],metering_point_periods[metering_point_id],0),14),"")</f>
        <v>3000000000000</v>
      </c>
    </row>
    <row r="3" spans="1:12" x14ac:dyDescent="0.35">
      <c r="A3" s="22" t="s">
        <v>28</v>
      </c>
      <c r="B3" s="22" t="s">
        <v>113</v>
      </c>
      <c r="C3" s="22" t="s">
        <v>60</v>
      </c>
      <c r="D3" s="22" t="s">
        <v>66</v>
      </c>
      <c r="E3" s="22">
        <f>IFERROR(VALUE(SUBSTITUTE(time_series_points[[#This Row],[quantity]],".",",")),"")</f>
        <v>2.5</v>
      </c>
      <c r="F3" s="22" t="str">
        <f>_xlfn.IFNA(INDEX(metering_point_periods[],MATCH(time_series_points[[#This Row],[metering_point_id]],metering_point_periods[metering_point_id],0),5),"")</f>
        <v>800</v>
      </c>
      <c r="G3" s="22" t="str">
        <f>_xlfn.IFNA(VLOOKUP(VLOOKUP(time_series_points[[#This Row],[metering_point_id]],metering_point_periods[],2,FALSE),MPTypeMapping[],2,FALSE),"")</f>
        <v>consumption</v>
      </c>
      <c r="H3" s="22" t="str">
        <f>_xlfn.IFNA(VLOOKUP(VLOOKUP(time_series_points[[#This Row],[metering_point_id]],metering_point_periods[],4,FALSE),SettlementMapping[],2,FALSE),"")</f>
        <v>non_profiled</v>
      </c>
      <c r="I3" s="22" t="str">
        <f>SUBSTITUTE(SUBSTITUTE(SUBSTITUTE(time_series_points[[#This Row],[observation_time]],":15:00",":00:00"),":30:00",":00:00"),":45:00",":00:00")</f>
        <v>2023-02-01 02:00:00</v>
      </c>
      <c r="J3" s="22" t="str">
        <f>LEFT(time_series_points[[#This Row],[observation_time]],10)</f>
        <v>2023-02-01</v>
      </c>
      <c r="K3" s="22" t="str">
        <f>IF(time_series_points[[#This Row],[metering_point_id]]&lt;&gt;"",INDEX('calculation_arguments'!F$3:H$98,MATCH(LEFT(time_series_points[[#This Row],[day]],10),'calculation_arguments'!G$3:G$98,0),1),"")</f>
        <v>Day1</v>
      </c>
      <c r="L3" s="22" t="str">
        <f>_xlfn.IFNA(INDEX(metering_point_periods[],MATCH(time_series_points[[#This Row],[metering_point_id]],metering_point_periods[metering_point_id],0),14),"")</f>
        <v>3000000000000</v>
      </c>
    </row>
    <row r="4" spans="1:12" x14ac:dyDescent="0.35">
      <c r="A4" s="22" t="s">
        <v>28</v>
      </c>
      <c r="B4" s="22" t="s">
        <v>113</v>
      </c>
      <c r="C4" s="22" t="s">
        <v>60</v>
      </c>
      <c r="D4" s="22" t="s">
        <v>67</v>
      </c>
      <c r="E4" s="22">
        <f>IFERROR(VALUE(SUBSTITUTE(time_series_points[[#This Row],[quantity]],".",",")),"")</f>
        <v>2.5</v>
      </c>
      <c r="F4" s="22" t="str">
        <f>_xlfn.IFNA(INDEX(metering_point_periods[],MATCH(time_series_points[[#This Row],[metering_point_id]],metering_point_periods[metering_point_id],0),5),"")</f>
        <v>800</v>
      </c>
      <c r="G4" s="22" t="str">
        <f>_xlfn.IFNA(VLOOKUP(VLOOKUP(time_series_points[[#This Row],[metering_point_id]],metering_point_periods[],2,FALSE),MPTypeMapping[],2,FALSE),"")</f>
        <v>consumption</v>
      </c>
      <c r="H4" s="22" t="str">
        <f>_xlfn.IFNA(VLOOKUP(VLOOKUP(time_series_points[[#This Row],[metering_point_id]],metering_point_periods[],4,FALSE),SettlementMapping[],2,FALSE),"")</f>
        <v>non_profiled</v>
      </c>
      <c r="I4" s="22" t="str">
        <f>SUBSTITUTE(SUBSTITUTE(SUBSTITUTE(time_series_points[[#This Row],[observation_time]],":15:00",":00:00"),":30:00",":00:00"),":45:00",":00:00")</f>
        <v>2023-02-01 02:00:00</v>
      </c>
      <c r="J4" s="22" t="str">
        <f>LEFT(time_series_points[[#This Row],[observation_time]],10)</f>
        <v>2023-02-01</v>
      </c>
      <c r="K4" s="22" t="str">
        <f>IF(time_series_points[[#This Row],[metering_point_id]]&lt;&gt;"",INDEX('calculation_arguments'!F$3:H$98,MATCH(LEFT(time_series_points[[#This Row],[day]],10),'calculation_arguments'!G$3:G$98,0),1),"")</f>
        <v>Day1</v>
      </c>
      <c r="L4" s="22" t="str">
        <f>_xlfn.IFNA(INDEX(metering_point_periods[],MATCH(time_series_points[[#This Row],[metering_point_id]],metering_point_periods[metering_point_id],0),14),"")</f>
        <v>3000000000000</v>
      </c>
    </row>
    <row r="5" spans="1:12" x14ac:dyDescent="0.35">
      <c r="A5" s="22" t="s">
        <v>28</v>
      </c>
      <c r="B5" s="22" t="s">
        <v>178</v>
      </c>
      <c r="C5" s="22" t="s">
        <v>60</v>
      </c>
      <c r="D5" s="22" t="s">
        <v>68</v>
      </c>
      <c r="E5" s="22">
        <f>IFERROR(VALUE(SUBSTITUTE(time_series_points[[#This Row],[quantity]],".",",")),"")</f>
        <v>2.0099999999999998</v>
      </c>
      <c r="F5" s="22" t="str">
        <f>_xlfn.IFNA(INDEX(metering_point_periods[],MATCH(time_series_points[[#This Row],[metering_point_id]],metering_point_periods[metering_point_id],0),5),"")</f>
        <v>800</v>
      </c>
      <c r="G5" s="22" t="str">
        <f>_xlfn.IFNA(VLOOKUP(VLOOKUP(time_series_points[[#This Row],[metering_point_id]],metering_point_periods[],2,FALSE),MPTypeMapping[],2,FALSE),"")</f>
        <v>consumption</v>
      </c>
      <c r="H5" s="22" t="str">
        <f>_xlfn.IFNA(VLOOKUP(VLOOKUP(time_series_points[[#This Row],[metering_point_id]],metering_point_periods[],4,FALSE),SettlementMapping[],2,FALSE),"")</f>
        <v>non_profiled</v>
      </c>
      <c r="I5" s="22" t="str">
        <f>SUBSTITUTE(SUBSTITUTE(SUBSTITUTE(time_series_points[[#This Row],[observation_time]],":15:00",":00:00"),":30:00",":00:00"),":45:00",":00:00")</f>
        <v>2023-02-01 02:00:00</v>
      </c>
      <c r="J5" s="22" t="str">
        <f>LEFT(time_series_points[[#This Row],[observation_time]],10)</f>
        <v>2023-02-01</v>
      </c>
      <c r="K5" s="22" t="str">
        <f>IF(time_series_points[[#This Row],[metering_point_id]]&lt;&gt;"",INDEX('calculation_arguments'!F$3:H$98,MATCH(LEFT(time_series_points[[#This Row],[day]],10),'calculation_arguments'!G$3:G$98,0),1),"")</f>
        <v>Day1</v>
      </c>
      <c r="L5" s="22" t="str">
        <f>_xlfn.IFNA(INDEX(metering_point_periods[],MATCH(time_series_points[[#This Row],[metering_point_id]],metering_point_periods[metering_point_id],0),14),"")</f>
        <v>3000000000000</v>
      </c>
    </row>
    <row r="6" spans="1:12" x14ac:dyDescent="0.35">
      <c r="A6" s="22" t="s">
        <v>28</v>
      </c>
      <c r="B6" s="22" t="s">
        <v>124</v>
      </c>
      <c r="C6" s="22" t="s">
        <v>60</v>
      </c>
      <c r="D6" s="22" t="s">
        <v>69</v>
      </c>
      <c r="E6" s="22">
        <f>IFERROR(VALUE(SUBSTITUTE(time_series_points[[#This Row],[quantity]],".",",")),"")</f>
        <v>10</v>
      </c>
      <c r="F6" s="22" t="str">
        <f>_xlfn.IFNA(INDEX(metering_point_periods[],MATCH(time_series_points[[#This Row],[metering_point_id]],metering_point_periods[metering_point_id],0),5),"")</f>
        <v>800</v>
      </c>
      <c r="G6" s="22" t="str">
        <f>_xlfn.IFNA(VLOOKUP(VLOOKUP(time_series_points[[#This Row],[metering_point_id]],metering_point_periods[],2,FALSE),MPTypeMapping[],2,FALSE),"")</f>
        <v>consumption</v>
      </c>
      <c r="H6" s="22" t="str">
        <f>_xlfn.IFNA(VLOOKUP(VLOOKUP(time_series_points[[#This Row],[metering_point_id]],metering_point_periods[],4,FALSE),SettlementMapping[],2,FALSE),"")</f>
        <v>non_profiled</v>
      </c>
      <c r="I6" s="22" t="str">
        <f>SUBSTITUTE(SUBSTITUTE(SUBSTITUTE(time_series_points[[#This Row],[observation_time]],":15:00",":00:00"),":30:00",":00:00"),":45:00",":00:00")</f>
        <v>2023-02-01 02:00:00</v>
      </c>
      <c r="J6" s="22" t="str">
        <f>LEFT(time_series_points[[#This Row],[observation_time]],10)</f>
        <v>2023-02-01</v>
      </c>
      <c r="K6" s="22" t="str">
        <f>IF(time_series_points[[#This Row],[metering_point_id]]&lt;&gt;"",INDEX('calculation_arguments'!F$3:H$98,MATCH(LEFT(time_series_points[[#This Row],[day]],10),'calculation_arguments'!G$3:G$98,0),1),"")</f>
        <v>Day1</v>
      </c>
      <c r="L6" s="22" t="str">
        <f>_xlfn.IFNA(INDEX(metering_point_periods[],MATCH(time_series_points[[#This Row],[metering_point_id]],metering_point_periods[metering_point_id],0),14),"")</f>
        <v>3000000000000</v>
      </c>
    </row>
    <row r="7" spans="1:12" x14ac:dyDescent="0.35">
      <c r="A7" s="22" t="s">
        <v>1</v>
      </c>
      <c r="B7" s="22" t="s">
        <v>179</v>
      </c>
      <c r="C7" s="22" t="s">
        <v>60</v>
      </c>
      <c r="D7" s="22" t="s">
        <v>177</v>
      </c>
      <c r="E7" s="22">
        <f>IFERROR(VALUE(SUBSTITUTE(time_series_points[[#This Row],[quantity]],".",",")),"")</f>
        <v>7</v>
      </c>
      <c r="F7" s="22" t="str">
        <f>_xlfn.IFNA(INDEX(metering_point_periods[],MATCH(time_series_points[[#This Row],[metering_point_id]],metering_point_periods[metering_point_id],0),5),"")</f>
        <v>800</v>
      </c>
      <c r="G7" s="22" t="str">
        <f>_xlfn.IFNA(VLOOKUP(VLOOKUP(time_series_points[[#This Row],[metering_point_id]],metering_point_periods[],2,FALSE),MPTypeMapping[],2,FALSE),"")</f>
        <v>consumption</v>
      </c>
      <c r="H7" s="22" t="str">
        <f>_xlfn.IFNA(VLOOKUP(VLOOKUP(time_series_points[[#This Row],[metering_point_id]],metering_point_periods[],4,FALSE),SettlementMapping[],2,FALSE),"")</f>
        <v>non_profiled</v>
      </c>
      <c r="I7" s="22" t="str">
        <f>SUBSTITUTE(SUBSTITUTE(SUBSTITUTE(time_series_points[[#This Row],[observation_time]],":15:00",":00:00"),":30:00",":00:00"),":45:00",":00:00")</f>
        <v>2023-02-01 03:00:00</v>
      </c>
      <c r="J7" s="22" t="str">
        <f>LEFT(time_series_points[[#This Row],[observation_time]],10)</f>
        <v>2023-02-01</v>
      </c>
      <c r="K7" s="22" t="str">
        <f>IF(time_series_points[[#This Row],[metering_point_id]]&lt;&gt;"",INDEX('calculation_arguments'!F$3:H$98,MATCH(LEFT(time_series_points[[#This Row],[day]],10),'calculation_arguments'!G$3:G$98,0),1),"")</f>
        <v>Day1</v>
      </c>
      <c r="L7" s="22" t="str">
        <f>_xlfn.IFNA(INDEX(metering_point_periods[],MATCH(time_series_points[[#This Row],[metering_point_id]],metering_point_periods[metering_point_id],0),14),"")</f>
        <v>3000000000000</v>
      </c>
    </row>
    <row r="8" spans="1:12" x14ac:dyDescent="0.35">
      <c r="A8" s="22" t="s">
        <v>28</v>
      </c>
      <c r="B8" s="22" t="s">
        <v>123</v>
      </c>
      <c r="C8" s="22" t="s">
        <v>60</v>
      </c>
      <c r="D8" s="22" t="s">
        <v>177</v>
      </c>
      <c r="E8" s="22">
        <f>IFERROR(VALUE(SUBSTITUTE(time_series_points[[#This Row],[quantity]],".",",")),"")</f>
        <v>3</v>
      </c>
      <c r="F8" s="22" t="str">
        <f>_xlfn.IFNA(INDEX(metering_point_periods[],MATCH(time_series_points[[#This Row],[metering_point_id]],metering_point_periods[metering_point_id],0),5),"")</f>
        <v>800</v>
      </c>
      <c r="G8" s="22" t="str">
        <f>_xlfn.IFNA(VLOOKUP(VLOOKUP(time_series_points[[#This Row],[metering_point_id]],metering_point_periods[],2,FALSE),MPTypeMapping[],2,FALSE),"")</f>
        <v>consumption</v>
      </c>
      <c r="H8" s="22" t="str">
        <f>_xlfn.IFNA(VLOOKUP(VLOOKUP(time_series_points[[#This Row],[metering_point_id]],metering_point_periods[],4,FALSE),SettlementMapping[],2,FALSE),"")</f>
        <v>non_profiled</v>
      </c>
      <c r="I8" s="22" t="str">
        <f>SUBSTITUTE(SUBSTITUTE(SUBSTITUTE(time_series_points[[#This Row],[observation_time]],":15:00",":00:00"),":30:00",":00:00"),":45:00",":00:00")</f>
        <v>2023-02-01 03:00:00</v>
      </c>
      <c r="J8" s="22" t="str">
        <f>LEFT(time_series_points[[#This Row],[observation_time]],10)</f>
        <v>2023-02-01</v>
      </c>
      <c r="K8" s="22" t="str">
        <f>IF(time_series_points[[#This Row],[metering_point_id]]&lt;&gt;"",INDEX('calculation_arguments'!F$3:H$98,MATCH(LEFT(time_series_points[[#This Row],[day]],10),'calculation_arguments'!G$3:G$98,0),1),"")</f>
        <v>Day1</v>
      </c>
      <c r="L8" s="22" t="str">
        <f>_xlfn.IFNA(INDEX(metering_point_periods[],MATCH(time_series_points[[#This Row],[metering_point_id]],metering_point_periods[metering_point_id],0),14),"")</f>
        <v>3000000000000</v>
      </c>
    </row>
    <row r="9" spans="1:12" x14ac:dyDescent="0.35">
      <c r="A9" s="22" t="s">
        <v>28</v>
      </c>
      <c r="B9" s="22" t="s">
        <v>123</v>
      </c>
      <c r="C9" s="22" t="s">
        <v>60</v>
      </c>
      <c r="D9" s="22" t="s">
        <v>180</v>
      </c>
      <c r="E9" s="22">
        <f>IFERROR(VALUE(SUBSTITUTE(time_series_points[[#This Row],[quantity]],".",",")),"")</f>
        <v>3</v>
      </c>
      <c r="F9" s="22" t="str">
        <f>_xlfn.IFNA(INDEX(metering_point_periods[],MATCH(time_series_points[[#This Row],[metering_point_id]],metering_point_periods[metering_point_id],0),5),"")</f>
        <v>800</v>
      </c>
      <c r="G9" s="22" t="str">
        <f>_xlfn.IFNA(VLOOKUP(VLOOKUP(time_series_points[[#This Row],[metering_point_id]],metering_point_periods[],2,FALSE),MPTypeMapping[],2,FALSE),"")</f>
        <v>consumption</v>
      </c>
      <c r="H9" s="22" t="str">
        <f>_xlfn.IFNA(VLOOKUP(VLOOKUP(time_series_points[[#This Row],[metering_point_id]],metering_point_periods[],4,FALSE),SettlementMapping[],2,FALSE),"")</f>
        <v>non_profiled</v>
      </c>
      <c r="I9" s="22" t="str">
        <f>SUBSTITUTE(SUBSTITUTE(SUBSTITUTE(time_series_points[[#This Row],[observation_time]],":15:00",":00:00"),":30:00",":00:00"),":45:00",":00:00")</f>
        <v>2023-02-01 03:00:00</v>
      </c>
      <c r="J9" s="22" t="str">
        <f>LEFT(time_series_points[[#This Row],[observation_time]],10)</f>
        <v>2023-02-01</v>
      </c>
      <c r="K9" s="22" t="str">
        <f>IF(time_series_points[[#This Row],[metering_point_id]]&lt;&gt;"",INDEX('calculation_arguments'!F$3:H$98,MATCH(LEFT(time_series_points[[#This Row],[day]],10),'calculation_arguments'!G$3:G$98,0),1),"")</f>
        <v>Day1</v>
      </c>
      <c r="L9" s="22" t="str">
        <f>_xlfn.IFNA(INDEX(metering_point_periods[],MATCH(time_series_points[[#This Row],[metering_point_id]],metering_point_periods[metering_point_id],0),14),"")</f>
        <v>3000000000000</v>
      </c>
    </row>
    <row r="10" spans="1:12" x14ac:dyDescent="0.35">
      <c r="A10" s="22" t="s">
        <v>28</v>
      </c>
      <c r="B10" s="22" t="s">
        <v>123</v>
      </c>
      <c r="C10" s="22" t="s">
        <v>60</v>
      </c>
      <c r="D10" s="22" t="s">
        <v>181</v>
      </c>
      <c r="E10" s="22">
        <f>IFERROR(VALUE(SUBSTITUTE(time_series_points[[#This Row],[quantity]],".",",")),"")</f>
        <v>3</v>
      </c>
      <c r="F10" s="22" t="str">
        <f>_xlfn.IFNA(INDEX(metering_point_periods[],MATCH(time_series_points[[#This Row],[metering_point_id]],metering_point_periods[metering_point_id],0),5),"")</f>
        <v>800</v>
      </c>
      <c r="G10" s="22" t="str">
        <f>_xlfn.IFNA(VLOOKUP(VLOOKUP(time_series_points[[#This Row],[metering_point_id]],metering_point_periods[],2,FALSE),MPTypeMapping[],2,FALSE),"")</f>
        <v>consumption</v>
      </c>
      <c r="H10" s="22" t="str">
        <f>_xlfn.IFNA(VLOOKUP(VLOOKUP(time_series_points[[#This Row],[metering_point_id]],metering_point_periods[],4,FALSE),SettlementMapping[],2,FALSE),"")</f>
        <v>non_profiled</v>
      </c>
      <c r="I10" s="22" t="str">
        <f>SUBSTITUTE(SUBSTITUTE(SUBSTITUTE(time_series_points[[#This Row],[observation_time]],":15:00",":00:00"),":30:00",":00:00"),":45:00",":00:00")</f>
        <v>2023-02-01 03:00:00</v>
      </c>
      <c r="J10" s="22" t="str">
        <f>LEFT(time_series_points[[#This Row],[observation_time]],10)</f>
        <v>2023-02-01</v>
      </c>
      <c r="K10" s="22" t="str">
        <f>IF(time_series_points[[#This Row],[metering_point_id]]&lt;&gt;"",INDEX('calculation_arguments'!F$3:H$98,MATCH(LEFT(time_series_points[[#This Row],[day]],10),'calculation_arguments'!G$3:G$98,0),1),"")</f>
        <v>Day1</v>
      </c>
      <c r="L10" s="22" t="str">
        <f>_xlfn.IFNA(INDEX(metering_point_periods[],MATCH(time_series_points[[#This Row],[metering_point_id]],metering_point_periods[metering_point_id],0),14),"")</f>
        <v>3000000000000</v>
      </c>
    </row>
    <row r="11" spans="1:12" x14ac:dyDescent="0.35">
      <c r="A11" s="22" t="s">
        <v>28</v>
      </c>
      <c r="B11" s="22" t="s">
        <v>123</v>
      </c>
      <c r="C11" s="22" t="s">
        <v>60</v>
      </c>
      <c r="D11" s="22" t="s">
        <v>182</v>
      </c>
      <c r="E11" s="22">
        <f>IFERROR(VALUE(SUBSTITUTE(time_series_points[[#This Row],[quantity]],".",",")),"")</f>
        <v>3</v>
      </c>
      <c r="F11" s="22" t="str">
        <f>_xlfn.IFNA(INDEX(metering_point_periods[],MATCH(time_series_points[[#This Row],[metering_point_id]],metering_point_periods[metering_point_id],0),5),"")</f>
        <v>800</v>
      </c>
      <c r="G11" s="22" t="str">
        <f>_xlfn.IFNA(VLOOKUP(VLOOKUP(time_series_points[[#This Row],[metering_point_id]],metering_point_periods[],2,FALSE),MPTypeMapping[],2,FALSE),"")</f>
        <v>consumption</v>
      </c>
      <c r="H11" s="22" t="str">
        <f>_xlfn.IFNA(VLOOKUP(VLOOKUP(time_series_points[[#This Row],[metering_point_id]],metering_point_periods[],4,FALSE),SettlementMapping[],2,FALSE),"")</f>
        <v>non_profiled</v>
      </c>
      <c r="I11" s="22" t="str">
        <f>SUBSTITUTE(SUBSTITUTE(SUBSTITUTE(time_series_points[[#This Row],[observation_time]],":15:00",":00:00"),":30:00",":00:00"),":45:00",":00:00")</f>
        <v>2023-02-01 03:00:00</v>
      </c>
      <c r="J11" s="22" t="str">
        <f>LEFT(time_series_points[[#This Row],[observation_time]],10)</f>
        <v>2023-02-01</v>
      </c>
      <c r="K11" s="22" t="str">
        <f>IF(time_series_points[[#This Row],[metering_point_id]]&lt;&gt;"",INDEX('calculation_arguments'!F$3:H$98,MATCH(LEFT(time_series_points[[#This Row],[day]],10),'calculation_arguments'!G$3:G$98,0),1),"")</f>
        <v>Day1</v>
      </c>
      <c r="L11" s="22" t="str">
        <f>_xlfn.IFNA(INDEX(metering_point_periods[],MATCH(time_series_points[[#This Row],[metering_point_id]],metering_point_periods[metering_point_id],0),14),"")</f>
        <v>3000000000000</v>
      </c>
    </row>
    <row r="12" spans="1:12" x14ac:dyDescent="0.35">
      <c r="A12" s="22" t="s">
        <v>1</v>
      </c>
      <c r="B12" s="22" t="s">
        <v>183</v>
      </c>
      <c r="C12" s="22" t="s">
        <v>60</v>
      </c>
      <c r="D12" s="22" t="s">
        <v>184</v>
      </c>
      <c r="E12" s="22">
        <f>IFERROR(VALUE(SUBSTITUTE(time_series_points[[#This Row],[quantity]],".",",")),"")</f>
        <v>600</v>
      </c>
      <c r="F12" s="22" t="str">
        <f>_xlfn.IFNA(INDEX(metering_point_periods[],MATCH(time_series_points[[#This Row],[metering_point_id]],metering_point_periods[metering_point_id],0),5),"")</f>
        <v>800</v>
      </c>
      <c r="G12" s="22" t="str">
        <f>_xlfn.IFNA(VLOOKUP(VLOOKUP(time_series_points[[#This Row],[metering_point_id]],metering_point_periods[],2,FALSE),MPTypeMapping[],2,FALSE),"")</f>
        <v>consumption</v>
      </c>
      <c r="H12" s="22" t="str">
        <f>_xlfn.IFNA(VLOOKUP(VLOOKUP(time_series_points[[#This Row],[metering_point_id]],metering_point_periods[],4,FALSE),SettlementMapping[],2,FALSE),"")</f>
        <v>non_profiled</v>
      </c>
      <c r="I12" s="22" t="str">
        <f>SUBSTITUTE(SUBSTITUTE(SUBSTITUTE(time_series_points[[#This Row],[observation_time]],":15:00",":00:00"),":30:00",":00:00"),":45:00",":00:00")</f>
        <v>2023-02-01 04:00:00</v>
      </c>
      <c r="J12" s="22" t="str">
        <f>LEFT(time_series_points[[#This Row],[observation_time]],10)</f>
        <v>2023-02-01</v>
      </c>
      <c r="K12" s="22" t="str">
        <f>IF(time_series_points[[#This Row],[metering_point_id]]&lt;&gt;"",INDEX('calculation_arguments'!F$3:H$98,MATCH(LEFT(time_series_points[[#This Row],[day]],10),'calculation_arguments'!G$3:G$98,0),1),"")</f>
        <v>Day1</v>
      </c>
      <c r="L12" s="22" t="str">
        <f>_xlfn.IFNA(INDEX(metering_point_periods[],MATCH(time_series_points[[#This Row],[metering_point_id]],metering_point_periods[metering_point_id],0),14),"")</f>
        <v>3000000000000</v>
      </c>
    </row>
    <row r="13" spans="1:12" x14ac:dyDescent="0.35">
      <c r="A13" s="22" t="s">
        <v>27</v>
      </c>
      <c r="B13" s="22" t="s">
        <v>127</v>
      </c>
      <c r="C13" s="22" t="s">
        <v>60</v>
      </c>
      <c r="D13" s="22" t="s">
        <v>89</v>
      </c>
      <c r="E13" s="22">
        <f>IFERROR(VALUE(SUBSTITUTE(time_series_points[[#This Row],[quantity]],".",",")),"")</f>
        <v>5</v>
      </c>
      <c r="F13" s="22" t="str">
        <f>_xlfn.IFNA(INDEX(metering_point_periods[],MATCH(time_series_points[[#This Row],[metering_point_id]],metering_point_periods[metering_point_id],0),5),"")</f>
        <v>800</v>
      </c>
      <c r="G13" s="22" t="str">
        <f>_xlfn.IFNA(VLOOKUP(VLOOKUP(time_series_points[[#This Row],[metering_point_id]],metering_point_periods[],2,FALSE),MPTypeMapping[],2,FALSE),"")</f>
        <v>consumption_from_grid</v>
      </c>
      <c r="H13" s="22" t="str">
        <f>_xlfn.IFNA(VLOOKUP(VLOOKUP(time_series_points[[#This Row],[metering_point_id]],metering_point_periods[],4,FALSE),SettlementMapping[],2,FALSE),"")</f>
        <v/>
      </c>
      <c r="I13" s="22" t="str">
        <f>SUBSTITUTE(SUBSTITUTE(SUBSTITUTE(time_series_points[[#This Row],[observation_time]],":15:00",":00:00"),":30:00",":00:00"),":45:00",":00:00")</f>
        <v>2023-02-03 02:00:00</v>
      </c>
      <c r="J13" s="22" t="str">
        <f>LEFT(time_series_points[[#This Row],[observation_time]],10)</f>
        <v>2023-02-03</v>
      </c>
      <c r="K13" s="22" t="str">
        <f>IF(time_series_points[[#This Row],[metering_point_id]]&lt;&gt;"",INDEX('calculation_arguments'!F$3:H$98,MATCH(LEFT(time_series_points[[#This Row],[day]],10),'calculation_arguments'!G$3:G$98,0),1),"")</f>
        <v>Day3</v>
      </c>
      <c r="L13" s="22" t="str">
        <f>_xlfn.IFNA(INDEX(metering_point_periods[],MATCH(time_series_points[[#This Row],[metering_point_id]],metering_point_periods[metering_point_id],0),14),"")</f>
        <v>1000000000000</v>
      </c>
    </row>
    <row r="14" spans="1:12" x14ac:dyDescent="0.35">
      <c r="A14" s="22" t="s">
        <v>29</v>
      </c>
      <c r="B14" s="22" t="s">
        <v>128</v>
      </c>
      <c r="C14" s="22" t="s">
        <v>60</v>
      </c>
      <c r="D14" s="22" t="s">
        <v>66</v>
      </c>
      <c r="E14" s="22">
        <f>IFERROR(VALUE(SUBSTITUTE(time_series_points[[#This Row],[quantity]],".",",")),"")</f>
        <v>3.3570000000000002</v>
      </c>
      <c r="F14" s="22" t="str">
        <f>_xlfn.IFNA(INDEX(metering_point_periods[],MATCH(time_series_points[[#This Row],[metering_point_id]],metering_point_periods[metering_point_id],0),5),"")</f>
        <v>801</v>
      </c>
      <c r="G14" s="22" t="str">
        <f>_xlfn.IFNA(VLOOKUP(VLOOKUP(time_series_points[[#This Row],[metering_point_id]],metering_point_periods[],2,FALSE),MPTypeMapping[],2,FALSE),"")</f>
        <v>exchange</v>
      </c>
      <c r="H14" s="22" t="str">
        <f>_xlfn.IFNA(VLOOKUP(VLOOKUP(time_series_points[[#This Row],[metering_point_id]],metering_point_periods[],4,FALSE),SettlementMapping[],2,FALSE),"")</f>
        <v/>
      </c>
      <c r="I14" s="22" t="str">
        <f>SUBSTITUTE(SUBSTITUTE(SUBSTITUTE(time_series_points[[#This Row],[observation_time]],":15:00",":00:00"),":30:00",":00:00"),":45:00",":00:00")</f>
        <v>2023-02-01 02:00:00</v>
      </c>
      <c r="J14" s="22" t="str">
        <f>LEFT(time_series_points[[#This Row],[observation_time]],10)</f>
        <v>2023-02-01</v>
      </c>
      <c r="K14" s="22" t="str">
        <f>IF(time_series_points[[#This Row],[metering_point_id]]&lt;&gt;"",INDEX('calculation_arguments'!F$3:H$98,MATCH(LEFT(time_series_points[[#This Row],[day]],10),'calculation_arguments'!G$3:G$98,0),1),"")</f>
        <v>Day1</v>
      </c>
      <c r="L14" s="22" t="str">
        <f>_xlfn.IFNA(INDEX(metering_point_periods[],MATCH(time_series_points[[#This Row],[metering_point_id]],metering_point_periods[metering_point_id],0),14),"")</f>
        <v/>
      </c>
    </row>
    <row r="15" spans="1:12" x14ac:dyDescent="0.35">
      <c r="A15" s="22" t="s">
        <v>3</v>
      </c>
      <c r="B15" s="22" t="s">
        <v>129</v>
      </c>
      <c r="C15" s="22" t="s">
        <v>60</v>
      </c>
      <c r="D15" s="22" t="s">
        <v>66</v>
      </c>
      <c r="E15" s="22">
        <f>IFERROR(VALUE(SUBSTITUTE(time_series_points[[#This Row],[quantity]],".",",")),"")</f>
        <v>40.158999999999999</v>
      </c>
      <c r="F15" s="22" t="str">
        <f>_xlfn.IFNA(INDEX(metering_point_periods[],MATCH(time_series_points[[#This Row],[metering_point_id]],metering_point_periods[metering_point_id],0),5),"")</f>
        <v>800</v>
      </c>
      <c r="G15" s="22" t="str">
        <f>_xlfn.IFNA(VLOOKUP(VLOOKUP(time_series_points[[#This Row],[metering_point_id]],metering_point_periods[],2,FALSE),MPTypeMapping[],2,FALSE),"")</f>
        <v>production</v>
      </c>
      <c r="H15" s="22" t="str">
        <f>_xlfn.IFNA(VLOOKUP(VLOOKUP(time_series_points[[#This Row],[metering_point_id]],metering_point_periods[],4,FALSE),SettlementMapping[],2,FALSE),"")</f>
        <v/>
      </c>
      <c r="I15" s="22" t="str">
        <f>SUBSTITUTE(SUBSTITUTE(SUBSTITUTE(time_series_points[[#This Row],[observation_time]],":15:00",":00:00"),":30:00",":00:00"),":45:00",":00:00")</f>
        <v>2023-02-01 02:00:00</v>
      </c>
      <c r="J15" s="22" t="str">
        <f>LEFT(time_series_points[[#This Row],[observation_time]],10)</f>
        <v>2023-02-01</v>
      </c>
      <c r="K15" s="22" t="str">
        <f>IF(time_series_points[[#This Row],[metering_point_id]]&lt;&gt;"",INDEX('calculation_arguments'!F$3:H$98,MATCH(LEFT(time_series_points[[#This Row],[day]],10),'calculation_arguments'!G$3:G$98,0),1),"")</f>
        <v>Day1</v>
      </c>
      <c r="L15" s="22" t="str">
        <f>_xlfn.IFNA(INDEX(metering_point_periods[],MATCH(time_series_points[[#This Row],[metering_point_id]],metering_point_periods[metering_point_id],0),14),"")</f>
        <v>2000000000000</v>
      </c>
    </row>
    <row r="16" spans="1:12" x14ac:dyDescent="0.35">
      <c r="A16" s="22" t="s">
        <v>108</v>
      </c>
      <c r="B16" s="22" t="s">
        <v>130</v>
      </c>
      <c r="C16" s="22" t="s">
        <v>60</v>
      </c>
      <c r="D16" s="22" t="s">
        <v>66</v>
      </c>
      <c r="E16" s="22">
        <f>IFERROR(VALUE(SUBSTITUTE(time_series_points[[#This Row],[quantity]],".",",")),"")</f>
        <v>100000</v>
      </c>
      <c r="F16" s="22" t="str">
        <f>_xlfn.IFNA(INDEX(metering_point_periods[],MATCH(time_series_points[[#This Row],[metering_point_id]],metering_point_periods[metering_point_id],0),5),"")</f>
        <v>111</v>
      </c>
      <c r="G16" s="22" t="str">
        <f>_xlfn.IFNA(VLOOKUP(VLOOKUP(time_series_points[[#This Row],[metering_point_id]],metering_point_periods[],2,FALSE),MPTypeMapping[],2,FALSE),"")</f>
        <v>production</v>
      </c>
      <c r="H16" s="22" t="str">
        <f>_xlfn.IFNA(VLOOKUP(VLOOKUP(time_series_points[[#This Row],[metering_point_id]],metering_point_periods[],4,FALSE),SettlementMapping[],2,FALSE),"")</f>
        <v/>
      </c>
      <c r="I16" s="22" t="str">
        <f>SUBSTITUTE(SUBSTITUTE(SUBSTITUTE(time_series_points[[#This Row],[observation_time]],":15:00",":00:00"),":30:00",":00:00"),":45:00",":00:00")</f>
        <v>2023-02-01 02:00:00</v>
      </c>
      <c r="J16" s="22" t="str">
        <f>LEFT(time_series_points[[#This Row],[observation_time]],10)</f>
        <v>2023-02-01</v>
      </c>
      <c r="K16" s="22" t="str">
        <f>IF(time_series_points[[#This Row],[metering_point_id]]&lt;&gt;"",INDEX('calculation_arguments'!F$3:H$98,MATCH(LEFT(time_series_points[[#This Row],[day]],10),'calculation_arguments'!G$3:G$98,0),1),"")</f>
        <v>Day1</v>
      </c>
      <c r="L16" s="22" t="str">
        <f>_xlfn.IFNA(INDEX(metering_point_periods[],MATCH(time_series_points[[#This Row],[metering_point_id]],metering_point_periods[metering_point_id],0),14),"")</f>
        <v>2000000000000</v>
      </c>
    </row>
    <row r="17" spans="1:12" x14ac:dyDescent="0.35">
      <c r="A17" s="22" t="s">
        <v>110</v>
      </c>
      <c r="B17" s="22" t="s">
        <v>130</v>
      </c>
      <c r="C17" s="22" t="s">
        <v>60</v>
      </c>
      <c r="D17" s="22" t="s">
        <v>66</v>
      </c>
      <c r="E17" s="22">
        <f>IFERROR(VALUE(SUBSTITUTE(time_series_points[[#This Row],[quantity]],".",",")),"")</f>
        <v>100000</v>
      </c>
      <c r="F17" s="22" t="str">
        <f>_xlfn.IFNA(INDEX(metering_point_periods[],MATCH(time_series_points[[#This Row],[metering_point_id]],metering_point_periods[metering_point_id],0),5),"")</f>
        <v>111</v>
      </c>
      <c r="G17" s="22" t="str">
        <f>_xlfn.IFNA(VLOOKUP(VLOOKUP(time_series_points[[#This Row],[metering_point_id]],metering_point_periods[],2,FALSE),MPTypeMapping[],2,FALSE),"")</f>
        <v>production</v>
      </c>
      <c r="H17" s="22" t="str">
        <f>_xlfn.IFNA(VLOOKUP(VLOOKUP(time_series_points[[#This Row],[metering_point_id]],metering_point_periods[],4,FALSE),SettlementMapping[],2,FALSE),"")</f>
        <v/>
      </c>
      <c r="I17" s="22" t="str">
        <f>SUBSTITUTE(SUBSTITUTE(SUBSTITUTE(time_series_points[[#This Row],[observation_time]],":15:00",":00:00"),":30:00",":00:00"),":45:00",":00:00")</f>
        <v>2023-02-01 02:00:00</v>
      </c>
      <c r="J17" s="22" t="str">
        <f>LEFT(time_series_points[[#This Row],[observation_time]],10)</f>
        <v>2023-02-01</v>
      </c>
      <c r="K17" s="22" t="str">
        <f>IF(time_series_points[[#This Row],[metering_point_id]]&lt;&gt;"",INDEX('calculation_arguments'!F$3:H$98,MATCH(LEFT(time_series_points[[#This Row],[day]],10),'calculation_arguments'!G$3:G$98,0),1),"")</f>
        <v>Day1</v>
      </c>
      <c r="L17" s="22" t="str">
        <f>_xlfn.IFNA(INDEX(metering_point_periods[],MATCH(time_series_points[[#This Row],[metering_point_id]],metering_point_periods[metering_point_id],0),14),"")</f>
        <v>2000000000000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DC88-135C-4169-A639-7AC36EB48927}">
  <dimension ref="A1:G15"/>
  <sheetViews>
    <sheetView workbookViewId="0">
      <selection activeCell="K15" sqref="K15"/>
    </sheetView>
  </sheetViews>
  <sheetFormatPr defaultRowHeight="14.5" x14ac:dyDescent="0.35"/>
  <cols>
    <col min="1" max="1" width="22.453125" style="23" bestFit="1" customWidth="1"/>
    <col min="2" max="2" width="13.1796875" style="23" bestFit="1" customWidth="1"/>
    <col min="3" max="3" width="17.1796875" style="23" bestFit="1" customWidth="1"/>
    <col min="4" max="4" width="11.54296875" style="23" bestFit="1" customWidth="1"/>
    <col min="5" max="5" width="7.90625" style="23" bestFit="1" customWidth="1"/>
    <col min="6" max="6" width="17.7265625" style="23" bestFit="1" customWidth="1"/>
    <col min="7" max="7" width="9.26953125" style="23" bestFit="1" customWidth="1"/>
    <col min="8" max="16384" width="8.7265625" style="23"/>
  </cols>
  <sheetData>
    <row r="1" spans="1:7" x14ac:dyDescent="0.35">
      <c r="A1" s="24" t="s">
        <v>7</v>
      </c>
      <c r="B1" s="24" t="s">
        <v>8</v>
      </c>
      <c r="C1" s="24" t="s">
        <v>9</v>
      </c>
      <c r="D1" s="24" t="s">
        <v>12</v>
      </c>
      <c r="E1" s="24" t="s">
        <v>13</v>
      </c>
      <c r="F1" s="24" t="s">
        <v>80</v>
      </c>
      <c r="G1" s="24" t="s">
        <v>81</v>
      </c>
    </row>
    <row r="2" spans="1:7" x14ac:dyDescent="0.35">
      <c r="A2" s="24" t="s">
        <v>91</v>
      </c>
      <c r="B2" s="24" t="s">
        <v>14</v>
      </c>
      <c r="C2" s="24" t="s">
        <v>103</v>
      </c>
      <c r="D2" s="24" t="s">
        <v>78</v>
      </c>
      <c r="E2" s="24" t="s">
        <v>77</v>
      </c>
      <c r="F2" s="24" t="s">
        <v>158</v>
      </c>
      <c r="G2" s="24" t="s">
        <v>157</v>
      </c>
    </row>
    <row r="3" spans="1:7" x14ac:dyDescent="0.35">
      <c r="A3" s="24" t="s">
        <v>92</v>
      </c>
      <c r="B3" s="24" t="s">
        <v>14</v>
      </c>
      <c r="C3" s="24" t="s">
        <v>103</v>
      </c>
      <c r="D3" s="24" t="s">
        <v>78</v>
      </c>
      <c r="E3" s="24" t="s">
        <v>77</v>
      </c>
      <c r="F3" s="24" t="s">
        <v>158</v>
      </c>
      <c r="G3" s="24" t="s">
        <v>157</v>
      </c>
    </row>
    <row r="4" spans="1:7" x14ac:dyDescent="0.35">
      <c r="A4" s="24" t="s">
        <v>93</v>
      </c>
      <c r="B4" s="24" t="s">
        <v>14</v>
      </c>
      <c r="C4" s="24" t="s">
        <v>103</v>
      </c>
      <c r="D4" s="24" t="s">
        <v>78</v>
      </c>
      <c r="E4" s="24" t="s">
        <v>77</v>
      </c>
      <c r="F4" s="24" t="s">
        <v>158</v>
      </c>
      <c r="G4" s="24" t="s">
        <v>157</v>
      </c>
    </row>
    <row r="5" spans="1:7" x14ac:dyDescent="0.35">
      <c r="A5" s="24" t="s">
        <v>94</v>
      </c>
      <c r="B5" s="24" t="s">
        <v>15</v>
      </c>
      <c r="C5" s="24" t="s">
        <v>103</v>
      </c>
      <c r="D5" s="24" t="s">
        <v>78</v>
      </c>
      <c r="E5" s="24" t="s">
        <v>77</v>
      </c>
      <c r="F5" s="24" t="s">
        <v>158</v>
      </c>
      <c r="G5" s="24" t="s">
        <v>157</v>
      </c>
    </row>
    <row r="6" spans="1:7" x14ac:dyDescent="0.35">
      <c r="A6" s="24" t="s">
        <v>95</v>
      </c>
      <c r="B6" s="24" t="s">
        <v>15</v>
      </c>
      <c r="C6" s="24" t="s">
        <v>103</v>
      </c>
      <c r="D6" s="24" t="s">
        <v>78</v>
      </c>
      <c r="E6" s="24" t="s">
        <v>77</v>
      </c>
      <c r="F6" s="24" t="s">
        <v>158</v>
      </c>
      <c r="G6" s="24" t="s">
        <v>157</v>
      </c>
    </row>
    <row r="7" spans="1:7" x14ac:dyDescent="0.35">
      <c r="A7" s="24" t="s">
        <v>96</v>
      </c>
      <c r="B7" s="24" t="s">
        <v>15</v>
      </c>
      <c r="C7" s="24" t="s">
        <v>103</v>
      </c>
      <c r="D7" s="24" t="s">
        <v>78</v>
      </c>
      <c r="E7" s="24" t="s">
        <v>77</v>
      </c>
      <c r="F7" s="24" t="s">
        <v>158</v>
      </c>
      <c r="G7" s="24" t="s">
        <v>157</v>
      </c>
    </row>
    <row r="8" spans="1:7" x14ac:dyDescent="0.35">
      <c r="A8" s="24" t="s">
        <v>97</v>
      </c>
      <c r="B8" s="24" t="s">
        <v>2</v>
      </c>
      <c r="C8" s="24" t="s">
        <v>103</v>
      </c>
      <c r="D8" s="24" t="s">
        <v>16</v>
      </c>
      <c r="E8" s="24" t="s">
        <v>77</v>
      </c>
      <c r="F8" s="24" t="s">
        <v>158</v>
      </c>
      <c r="G8" s="24" t="s">
        <v>157</v>
      </c>
    </row>
    <row r="9" spans="1:7" x14ac:dyDescent="0.35">
      <c r="A9" s="24" t="s">
        <v>98</v>
      </c>
      <c r="B9" s="24" t="s">
        <v>2</v>
      </c>
      <c r="C9" s="24" t="s">
        <v>103</v>
      </c>
      <c r="D9" s="24" t="s">
        <v>16</v>
      </c>
      <c r="E9" s="24" t="s">
        <v>77</v>
      </c>
      <c r="F9" s="24" t="s">
        <v>158</v>
      </c>
      <c r="G9" s="24" t="s">
        <v>157</v>
      </c>
    </row>
    <row r="10" spans="1:7" x14ac:dyDescent="0.35">
      <c r="A10" s="24" t="s">
        <v>99</v>
      </c>
      <c r="B10" s="24" t="s">
        <v>2</v>
      </c>
      <c r="C10" s="24" t="s">
        <v>103</v>
      </c>
      <c r="D10" s="24" t="s">
        <v>16</v>
      </c>
      <c r="E10" s="24" t="s">
        <v>77</v>
      </c>
      <c r="F10" s="24" t="s">
        <v>158</v>
      </c>
      <c r="G10" s="24" t="s">
        <v>157</v>
      </c>
    </row>
    <row r="11" spans="1:7" x14ac:dyDescent="0.35">
      <c r="A11" s="24" t="s">
        <v>79</v>
      </c>
      <c r="B11" s="24" t="s">
        <v>2</v>
      </c>
      <c r="C11" s="24" t="s">
        <v>82</v>
      </c>
      <c r="D11" s="24" t="s">
        <v>16</v>
      </c>
      <c r="E11" s="24" t="s">
        <v>83</v>
      </c>
      <c r="F11" s="24" t="s">
        <v>158</v>
      </c>
      <c r="G11" s="24" t="s">
        <v>157</v>
      </c>
    </row>
    <row r="12" spans="1:7" x14ac:dyDescent="0.35">
      <c r="A12" s="24" t="s">
        <v>100</v>
      </c>
      <c r="B12" s="24" t="s">
        <v>2</v>
      </c>
      <c r="C12" s="24" t="s">
        <v>103</v>
      </c>
      <c r="D12" s="24" t="s">
        <v>104</v>
      </c>
      <c r="E12" s="24" t="s">
        <v>77</v>
      </c>
      <c r="F12" s="24" t="s">
        <v>158</v>
      </c>
      <c r="G12" s="24" t="s">
        <v>157</v>
      </c>
    </row>
    <row r="13" spans="1:7" x14ac:dyDescent="0.35">
      <c r="A13" s="24" t="s">
        <v>101</v>
      </c>
      <c r="B13" s="24" t="s">
        <v>2</v>
      </c>
      <c r="C13" s="24" t="s">
        <v>103</v>
      </c>
      <c r="D13" s="24" t="s">
        <v>104</v>
      </c>
      <c r="E13" s="24" t="s">
        <v>77</v>
      </c>
      <c r="F13" s="24" t="s">
        <v>158</v>
      </c>
      <c r="G13" s="24" t="s">
        <v>157</v>
      </c>
    </row>
    <row r="14" spans="1:7" x14ac:dyDescent="0.35">
      <c r="A14" s="24" t="s">
        <v>102</v>
      </c>
      <c r="B14" s="24" t="s">
        <v>2</v>
      </c>
      <c r="C14" s="24" t="s">
        <v>82</v>
      </c>
      <c r="D14" s="24" t="s">
        <v>104</v>
      </c>
      <c r="E14" s="24" t="s">
        <v>83</v>
      </c>
      <c r="F14" s="24" t="s">
        <v>158</v>
      </c>
      <c r="G14" s="24" t="s">
        <v>157</v>
      </c>
    </row>
    <row r="15" spans="1:7" x14ac:dyDescent="0.35">
      <c r="A15" s="24" t="s">
        <v>105</v>
      </c>
      <c r="B15" s="24" t="s">
        <v>2</v>
      </c>
      <c r="C15" s="24" t="s">
        <v>82</v>
      </c>
      <c r="D15" s="24" t="s">
        <v>104</v>
      </c>
      <c r="E15" s="24" t="s">
        <v>77</v>
      </c>
      <c r="F15" s="24" t="s">
        <v>158</v>
      </c>
      <c r="G15" s="24" t="s">
        <v>157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FC226-4A1C-4E9A-AE6F-48C55DAFC043}">
  <dimension ref="A1:P30"/>
  <sheetViews>
    <sheetView workbookViewId="0">
      <selection activeCell="I38" sqref="I38"/>
    </sheetView>
  </sheetViews>
  <sheetFormatPr defaultRowHeight="14.5" x14ac:dyDescent="0.35"/>
  <cols>
    <col min="1" max="1" width="22.453125" style="25" bestFit="1" customWidth="1"/>
    <col min="2" max="2" width="13.1796875" style="25" bestFit="1" customWidth="1"/>
    <col min="3" max="3" width="17.1796875" style="25" bestFit="1" customWidth="1"/>
    <col min="4" max="4" width="19" style="25" bestFit="1" customWidth="1"/>
    <col min="5" max="5" width="10.08984375" style="25" bestFit="1" customWidth="1"/>
    <col min="6" max="7" width="17.7265625" style="25" bestFit="1" customWidth="1"/>
    <col min="8" max="8" width="18.36328125" style="25" bestFit="1" customWidth="1"/>
    <col min="9" max="9" width="20" style="25" bestFit="1" customWidth="1"/>
    <col min="10" max="10" width="18.90625" style="25" bestFit="1" customWidth="1"/>
    <col min="11" max="11" width="20.36328125" style="25" bestFit="1" customWidth="1"/>
    <col min="12" max="12" width="19.6328125" style="25" bestFit="1" customWidth="1"/>
    <col min="13" max="13" width="18.7265625" style="25" bestFit="1" customWidth="1"/>
    <col min="14" max="14" width="13.26953125" style="25" bestFit="1" customWidth="1"/>
    <col min="15" max="15" width="5" style="25" bestFit="1" customWidth="1"/>
    <col min="16" max="16" width="73.08984375" style="25" bestFit="1" customWidth="1"/>
    <col min="17" max="16384" width="8.7265625" style="25"/>
  </cols>
  <sheetData>
    <row r="1" spans="1:16" x14ac:dyDescent="0.35">
      <c r="A1" s="24" t="s">
        <v>7</v>
      </c>
      <c r="B1" s="24" t="s">
        <v>8</v>
      </c>
      <c r="C1" s="24" t="s">
        <v>9</v>
      </c>
      <c r="D1" s="24" t="s">
        <v>10</v>
      </c>
      <c r="E1" s="24" t="s">
        <v>11</v>
      </c>
      <c r="F1" s="24" t="s">
        <v>80</v>
      </c>
      <c r="G1" s="24" t="s">
        <v>81</v>
      </c>
      <c r="H1" s="26" t="s">
        <v>133</v>
      </c>
      <c r="I1" s="26" t="s">
        <v>155</v>
      </c>
      <c r="J1" s="24" t="s">
        <v>37</v>
      </c>
      <c r="K1" s="24" t="s">
        <v>46</v>
      </c>
      <c r="L1" s="26" t="s">
        <v>32</v>
      </c>
      <c r="M1" s="26" t="s">
        <v>148</v>
      </c>
      <c r="N1" s="26" t="s">
        <v>149</v>
      </c>
      <c r="O1" s="26" t="s">
        <v>131</v>
      </c>
      <c r="P1" s="26" t="s">
        <v>90</v>
      </c>
    </row>
    <row r="2" spans="1:16" x14ac:dyDescent="0.35">
      <c r="A2" s="24" t="s">
        <v>91</v>
      </c>
      <c r="B2" s="24" t="s">
        <v>14</v>
      </c>
      <c r="C2" s="24" t="s">
        <v>103</v>
      </c>
      <c r="D2" s="24" t="s">
        <v>6</v>
      </c>
      <c r="E2" s="24" t="s">
        <v>57</v>
      </c>
      <c r="F2" s="24" t="s">
        <v>115</v>
      </c>
      <c r="G2" s="24" t="s">
        <v>150</v>
      </c>
      <c r="H2" s="24" t="str">
        <f>IFERROR(INDEX(charge_price_information_periods[],MATCH(charge_link_periods[[#This Row],[charge_code]],charge_price_information_periods[charge_code],0),4),"")</f>
        <v>P1M</v>
      </c>
      <c r="I2" s="24">
        <f>IF(charge_link_periods[[#This Row],[quantity]]="","",VALUE(charge_link_periods[[#This Row],[quantity]]))</f>
        <v>1</v>
      </c>
      <c r="J2" s="24" t="str">
        <f>_xlfn.IFNA(IF(AND(VLOOKUP(charge_link_periods[[#This Row],[metering_point_id]],metering_point_periods[],2,FALSE)&lt;&gt;"E17",VLOOKUP(charge_link_periods[[#This Row],[metering_point_id]],metering_point_periods[],2,FALSE)&lt;&gt;"E18"),VLOOKUP(VLOOKUP(charge_link_periods[[#This Row],[metering_point_id]],metering_point_periods[],9,FALSE),metering_point_periods[],10,FALSE),VLOOKUP(charge_link_periods[[#This Row],[metering_point_id]],metering_point_periods[],10,FALSE)),"")</f>
        <v>1000000000000</v>
      </c>
      <c r="K2" s="24" t="str">
        <f>_xlfn.IFNA(VLOOKUP(VLOOKUP(charge_link_periods[[#This Row],[metering_point_id]],metering_point_periods[],2,FALSE),MPTypeMapping[],2,FALSE),"")</f>
        <v>consumption</v>
      </c>
      <c r="L2" s="24" t="str">
        <f>_xlfn.IFNA(VLOOKUP(VLOOKUP(charge_link_periods[[#This Row],[metering_point_id]],metering_point_periods[],4,FALSE),SettlementMapping[],2,FALSE),"")</f>
        <v>flex</v>
      </c>
      <c r="M2" s="24" t="str">
        <f>IFERROR(INDEX('calculation_arguments'!F$3:H$98,MATCH(charge_link_periods[[#This Row],[from_date]],'calculation_arguments'!H$3:H$98,0),1),"")</f>
        <v>Day1</v>
      </c>
      <c r="N2" s="24" t="str">
        <f>IFERROR(INDEX('calculation_arguments'!F$3:H$98,MATCH(charge_link_periods[[#This Row],[to_date]],'calculation_arguments'!H$3:H$98,0),1),"")</f>
        <v>Day2</v>
      </c>
      <c r="O2" s="24" t="str">
        <f>IFERROR(INDEX(metering_point_periods[],MATCH(charge_link_periods[[#This Row],[metering_point_id]],metering_point_periods[metering_point_id],0),5),"")</f>
        <v>800</v>
      </c>
      <c r="P2" s="24" t="str">
        <f>_xlfn.TEXTJOIN("--",TRUE,charge_link_periods[[#This Row],[charge_code]],charge_link_periods[[#This Row],[charge_owner_id]],charge_link_periods[[#This Row],[energy_supplier_id]],charge_link_periods[[#This Row],[metering_point_type]],charge_link_periods[[#This Row],[ga]],charge_link_periods[[#This Row],[settlement_method]])</f>
        <v>fee-1--0000000000800--1000000000000--consumption--800--flex</v>
      </c>
    </row>
    <row r="3" spans="1:16" x14ac:dyDescent="0.35">
      <c r="A3" s="24" t="s">
        <v>91</v>
      </c>
      <c r="B3" s="24" t="s">
        <v>14</v>
      </c>
      <c r="C3" s="24" t="s">
        <v>103</v>
      </c>
      <c r="D3" s="24" t="s">
        <v>6</v>
      </c>
      <c r="E3" s="24" t="s">
        <v>57</v>
      </c>
      <c r="F3" s="24" t="s">
        <v>150</v>
      </c>
      <c r="G3" s="24" t="s">
        <v>151</v>
      </c>
      <c r="H3" s="24" t="str">
        <f>IFERROR(INDEX(charge_price_information_periods[],MATCH(charge_link_periods[[#This Row],[charge_code]],charge_price_information_periods[charge_code],0),4),"")</f>
        <v>P1M</v>
      </c>
      <c r="I3" s="24">
        <f>IF(charge_link_periods[[#This Row],[quantity]]="","",VALUE(charge_link_periods[[#This Row],[quantity]]))</f>
        <v>1</v>
      </c>
      <c r="J3" s="24" t="str">
        <f>_xlfn.IFNA(IF(AND(VLOOKUP(charge_link_periods[[#This Row],[metering_point_id]],metering_point_periods[],2,FALSE)&lt;&gt;"E17",VLOOKUP(charge_link_periods[[#This Row],[metering_point_id]],metering_point_periods[],2,FALSE)&lt;&gt;"E18"),VLOOKUP(VLOOKUP(charge_link_periods[[#This Row],[metering_point_id]],metering_point_periods[],9,FALSE),metering_point_periods[],10,FALSE),VLOOKUP(charge_link_periods[[#This Row],[metering_point_id]],metering_point_periods[],10,FALSE)),"")</f>
        <v>1000000000000</v>
      </c>
      <c r="K3" s="24" t="str">
        <f>_xlfn.IFNA(VLOOKUP(VLOOKUP(charge_link_periods[[#This Row],[metering_point_id]],metering_point_periods[],2,FALSE),MPTypeMapping[],2,FALSE),"")</f>
        <v>consumption</v>
      </c>
      <c r="L3" s="24" t="str">
        <f>_xlfn.IFNA(VLOOKUP(VLOOKUP(charge_link_periods[[#This Row],[metering_point_id]],metering_point_periods[],4,FALSE),SettlementMapping[],2,FALSE),"")</f>
        <v>flex</v>
      </c>
      <c r="M3" s="24" t="str">
        <f>IFERROR(INDEX('calculation_arguments'!F$3:H$98,MATCH(charge_link_periods[[#This Row],[from_date]],'calculation_arguments'!H$3:H$98,0),1),"")</f>
        <v>Day2</v>
      </c>
      <c r="N3" s="24" t="str">
        <f>IFERROR(INDEX('calculation_arguments'!F$3:H$98,MATCH(charge_link_periods[[#This Row],[to_date]],'calculation_arguments'!H$3:H$98,0),1),"")</f>
        <v>Day3</v>
      </c>
      <c r="O3" s="24" t="str">
        <f>IFERROR(INDEX(metering_point_periods[],MATCH(charge_link_periods[[#This Row],[metering_point_id]],metering_point_periods[metering_point_id],0),5),"")</f>
        <v>800</v>
      </c>
      <c r="P3" s="24" t="str">
        <f>_xlfn.TEXTJOIN("--",TRUE,charge_link_periods[[#This Row],[charge_code]],charge_link_periods[[#This Row],[charge_owner_id]],charge_link_periods[[#This Row],[energy_supplier_id]],charge_link_periods[[#This Row],[metering_point_type]],charge_link_periods[[#This Row],[ga]],charge_link_periods[[#This Row],[settlement_method]])</f>
        <v>fee-1--0000000000800--1000000000000--consumption--800--flex</v>
      </c>
    </row>
    <row r="4" spans="1:16" x14ac:dyDescent="0.35">
      <c r="A4" s="24" t="s">
        <v>92</v>
      </c>
      <c r="B4" s="24" t="s">
        <v>14</v>
      </c>
      <c r="C4" s="24" t="s">
        <v>103</v>
      </c>
      <c r="D4" s="24" t="s">
        <v>27</v>
      </c>
      <c r="E4" s="24" t="s">
        <v>153</v>
      </c>
      <c r="F4" s="24" t="s">
        <v>151</v>
      </c>
      <c r="G4" s="24" t="s">
        <v>116</v>
      </c>
      <c r="H4" s="24" t="str">
        <f>IFERROR(INDEX(charge_price_information_periods[],MATCH(charge_link_periods[[#This Row],[charge_code]],charge_price_information_periods[charge_code],0),4),"")</f>
        <v>P1M</v>
      </c>
      <c r="I4" s="24">
        <f>IF(charge_link_periods[[#This Row],[quantity]]="","",VALUE(charge_link_periods[[#This Row],[quantity]]))</f>
        <v>2</v>
      </c>
      <c r="J4" s="24" t="str">
        <f>_xlfn.IFNA(IF(AND(VLOOKUP(charge_link_periods[[#This Row],[metering_point_id]],metering_point_periods[],2,FALSE)&lt;&gt;"E17",VLOOKUP(charge_link_periods[[#This Row],[metering_point_id]],metering_point_periods[],2,FALSE)&lt;&gt;"E18"),VLOOKUP(VLOOKUP(charge_link_periods[[#This Row],[metering_point_id]],metering_point_periods[],9,FALSE),metering_point_periods[],10,FALSE),VLOOKUP(charge_link_periods[[#This Row],[metering_point_id]],metering_point_periods[],10,FALSE)),"")</f>
        <v>1000000000000</v>
      </c>
      <c r="K4" s="24" t="str">
        <f>_xlfn.IFNA(VLOOKUP(VLOOKUP(charge_link_periods[[#This Row],[metering_point_id]],metering_point_periods[],2,FALSE),MPTypeMapping[],2,FALSE),"")</f>
        <v>consumption_from_grid</v>
      </c>
      <c r="L4" s="24" t="str">
        <f>_xlfn.IFNA(VLOOKUP(VLOOKUP(charge_link_periods[[#This Row],[metering_point_id]],metering_point_periods[],4,FALSE),SettlementMapping[],2,FALSE),"")</f>
        <v/>
      </c>
      <c r="M4" s="24" t="str">
        <f>IFERROR(INDEX('calculation_arguments'!F$3:H$98,MATCH(charge_link_periods[[#This Row],[from_date]],'calculation_arguments'!H$3:H$98,0),1),"")</f>
        <v>Day3</v>
      </c>
      <c r="N4" s="24" t="str">
        <f>IFERROR(INDEX('calculation_arguments'!F$3:H$98,MATCH(charge_link_periods[[#This Row],[to_date]],'calculation_arguments'!H$3:H$98,0),1),"")</f>
        <v/>
      </c>
      <c r="O4" s="24" t="str">
        <f>IFERROR(INDEX(metering_point_periods[],MATCH(charge_link_periods[[#This Row],[metering_point_id]],metering_point_periods[metering_point_id],0),5),"")</f>
        <v>800</v>
      </c>
      <c r="P4" s="24" t="str">
        <f>_xlfn.TEXTJOIN("--",TRUE,charge_link_periods[[#This Row],[charge_code]],charge_link_periods[[#This Row],[charge_owner_id]],charge_link_periods[[#This Row],[energy_supplier_id]],charge_link_periods[[#This Row],[metering_point_type]],charge_link_periods[[#This Row],[ga]],charge_link_periods[[#This Row],[settlement_method]])</f>
        <v>fee-2--0000000000800--1000000000000--consumption_from_grid--800</v>
      </c>
    </row>
    <row r="5" spans="1:16" x14ac:dyDescent="0.35">
      <c r="A5" s="24" t="s">
        <v>92</v>
      </c>
      <c r="B5" s="24" t="s">
        <v>14</v>
      </c>
      <c r="C5" s="24" t="s">
        <v>103</v>
      </c>
      <c r="D5" s="24" t="s">
        <v>1</v>
      </c>
      <c r="E5" s="24" t="s">
        <v>57</v>
      </c>
      <c r="F5" s="24" t="s">
        <v>151</v>
      </c>
      <c r="G5" s="24" t="s">
        <v>116</v>
      </c>
      <c r="H5" s="24" t="str">
        <f>IFERROR(INDEX(charge_price_information_periods[],MATCH(charge_link_periods[[#This Row],[charge_code]],charge_price_information_periods[charge_code],0),4),"")</f>
        <v>P1M</v>
      </c>
      <c r="I5" s="24">
        <f>IF(charge_link_periods[[#This Row],[quantity]]="","",VALUE(charge_link_periods[[#This Row],[quantity]]))</f>
        <v>1</v>
      </c>
      <c r="J5" s="24" t="str">
        <f>_xlfn.IFNA(IF(AND(VLOOKUP(charge_link_periods[[#This Row],[metering_point_id]],metering_point_periods[],2,FALSE)&lt;&gt;"E17",VLOOKUP(charge_link_periods[[#This Row],[metering_point_id]],metering_point_periods[],2,FALSE)&lt;&gt;"E18"),VLOOKUP(VLOOKUP(charge_link_periods[[#This Row],[metering_point_id]],metering_point_periods[],9,FALSE),metering_point_periods[],10,FALSE),VLOOKUP(charge_link_periods[[#This Row],[metering_point_id]],metering_point_periods[],10,FALSE)),"")</f>
        <v>3000000000000</v>
      </c>
      <c r="K5" s="24" t="str">
        <f>_xlfn.IFNA(VLOOKUP(VLOOKUP(charge_link_periods[[#This Row],[metering_point_id]],metering_point_periods[],2,FALSE),MPTypeMapping[],2,FALSE),"")</f>
        <v>consumption</v>
      </c>
      <c r="L5" s="24" t="str">
        <f>_xlfn.IFNA(VLOOKUP(VLOOKUP(charge_link_periods[[#This Row],[metering_point_id]],metering_point_periods[],4,FALSE),SettlementMapping[],2,FALSE),"")</f>
        <v>non_profiled</v>
      </c>
      <c r="M5" s="24" t="str">
        <f>IFERROR(INDEX('calculation_arguments'!F$3:H$98,MATCH(charge_link_periods[[#This Row],[from_date]],'calculation_arguments'!H$3:H$98,0),1),"")</f>
        <v>Day3</v>
      </c>
      <c r="N5" s="24" t="str">
        <f>IFERROR(INDEX('calculation_arguments'!F$3:H$98,MATCH(charge_link_periods[[#This Row],[to_date]],'calculation_arguments'!H$3:H$98,0),1),"")</f>
        <v/>
      </c>
      <c r="O5" s="24" t="str">
        <f>IFERROR(INDEX(metering_point_periods[],MATCH(charge_link_periods[[#This Row],[metering_point_id]],metering_point_periods[metering_point_id],0),5),"")</f>
        <v>800</v>
      </c>
      <c r="P5" s="24" t="str">
        <f>_xlfn.TEXTJOIN("--",TRUE,charge_link_periods[[#This Row],[charge_code]],charge_link_periods[[#This Row],[charge_owner_id]],charge_link_periods[[#This Row],[energy_supplier_id]],charge_link_periods[[#This Row],[metering_point_type]],charge_link_periods[[#This Row],[ga]],charge_link_periods[[#This Row],[settlement_method]])</f>
        <v>fee-2--0000000000800--3000000000000--consumption--800--non_profiled</v>
      </c>
    </row>
    <row r="6" spans="1:16" x14ac:dyDescent="0.35">
      <c r="A6" s="24" t="s">
        <v>92</v>
      </c>
      <c r="B6" s="24" t="s">
        <v>14</v>
      </c>
      <c r="C6" s="24" t="s">
        <v>103</v>
      </c>
      <c r="D6" s="24" t="s">
        <v>28</v>
      </c>
      <c r="E6" s="24" t="s">
        <v>57</v>
      </c>
      <c r="F6" s="24" t="s">
        <v>151</v>
      </c>
      <c r="G6" s="24" t="s">
        <v>116</v>
      </c>
      <c r="H6" s="24" t="str">
        <f>IFERROR(INDEX(charge_price_information_periods[],MATCH(charge_link_periods[[#This Row],[charge_code]],charge_price_information_periods[charge_code],0),4),"")</f>
        <v>P1M</v>
      </c>
      <c r="I6" s="24">
        <f>IF(charge_link_periods[[#This Row],[quantity]]="","",VALUE(charge_link_periods[[#This Row],[quantity]]))</f>
        <v>1</v>
      </c>
      <c r="J6" s="24" t="str">
        <f>_xlfn.IFNA(IF(AND(VLOOKUP(charge_link_periods[[#This Row],[metering_point_id]],metering_point_periods[],2,FALSE)&lt;&gt;"E17",VLOOKUP(charge_link_periods[[#This Row],[metering_point_id]],metering_point_periods[],2,FALSE)&lt;&gt;"E18"),VLOOKUP(VLOOKUP(charge_link_periods[[#This Row],[metering_point_id]],metering_point_periods[],9,FALSE),metering_point_periods[],10,FALSE),VLOOKUP(charge_link_periods[[#This Row],[metering_point_id]],metering_point_periods[],10,FALSE)),"")</f>
        <v>3000000000000</v>
      </c>
      <c r="K6" s="24" t="str">
        <f>_xlfn.IFNA(VLOOKUP(VLOOKUP(charge_link_periods[[#This Row],[metering_point_id]],metering_point_periods[],2,FALSE),MPTypeMapping[],2,FALSE),"")</f>
        <v>consumption</v>
      </c>
      <c r="L6" s="24" t="str">
        <f>_xlfn.IFNA(VLOOKUP(VLOOKUP(charge_link_periods[[#This Row],[metering_point_id]],metering_point_periods[],4,FALSE),SettlementMapping[],2,FALSE),"")</f>
        <v>non_profiled</v>
      </c>
      <c r="M6" s="24" t="str">
        <f>IFERROR(INDEX('calculation_arguments'!F$3:H$98,MATCH(charge_link_periods[[#This Row],[from_date]],'calculation_arguments'!H$3:H$98,0),1),"")</f>
        <v>Day3</v>
      </c>
      <c r="N6" s="24" t="str">
        <f>IFERROR(INDEX('calculation_arguments'!F$3:H$98,MATCH(charge_link_periods[[#This Row],[to_date]],'calculation_arguments'!H$3:H$98,0),1),"")</f>
        <v/>
      </c>
      <c r="O6" s="24" t="str">
        <f>IFERROR(INDEX(metering_point_periods[],MATCH(charge_link_periods[[#This Row],[metering_point_id]],metering_point_periods[metering_point_id],0),5),"")</f>
        <v>800</v>
      </c>
      <c r="P6" s="24" t="str">
        <f>_xlfn.TEXTJOIN("--",TRUE,charge_link_periods[[#This Row],[charge_code]],charge_link_periods[[#This Row],[charge_owner_id]],charge_link_periods[[#This Row],[energy_supplier_id]],charge_link_periods[[#This Row],[metering_point_type]],charge_link_periods[[#This Row],[ga]],charge_link_periods[[#This Row],[settlement_method]])</f>
        <v>fee-2--0000000000800--3000000000000--consumption--800--non_profiled</v>
      </c>
    </row>
    <row r="7" spans="1:16" x14ac:dyDescent="0.35">
      <c r="A7" s="24" t="s">
        <v>93</v>
      </c>
      <c r="B7" s="24" t="s">
        <v>14</v>
      </c>
      <c r="C7" s="24" t="s">
        <v>103</v>
      </c>
      <c r="D7" s="24" t="s">
        <v>3</v>
      </c>
      <c r="E7" s="24" t="s">
        <v>57</v>
      </c>
      <c r="F7" s="24" t="s">
        <v>150</v>
      </c>
      <c r="G7" s="24" t="s">
        <v>151</v>
      </c>
      <c r="H7" s="24" t="str">
        <f>IFERROR(INDEX(charge_price_information_periods[],MATCH(charge_link_periods[[#This Row],[charge_code]],charge_price_information_periods[charge_code],0),4),"")</f>
        <v>P1M</v>
      </c>
      <c r="I7" s="24">
        <f>IF(charge_link_periods[[#This Row],[quantity]]="","",VALUE(charge_link_periods[[#This Row],[quantity]]))</f>
        <v>1</v>
      </c>
      <c r="J7" s="24" t="str">
        <f>_xlfn.IFNA(IF(AND(VLOOKUP(charge_link_periods[[#This Row],[metering_point_id]],metering_point_periods[],2,FALSE)&lt;&gt;"E17",VLOOKUP(charge_link_periods[[#This Row],[metering_point_id]],metering_point_periods[],2,FALSE)&lt;&gt;"E18"),VLOOKUP(VLOOKUP(charge_link_periods[[#This Row],[metering_point_id]],metering_point_periods[],9,FALSE),metering_point_periods[],10,FALSE),VLOOKUP(charge_link_periods[[#This Row],[metering_point_id]],metering_point_periods[],10,FALSE)),"")</f>
        <v>2000000000000</v>
      </c>
      <c r="K7" s="24" t="str">
        <f>_xlfn.IFNA(VLOOKUP(VLOOKUP(charge_link_periods[[#This Row],[metering_point_id]],metering_point_periods[],2,FALSE),MPTypeMapping[],2,FALSE),"")</f>
        <v>production</v>
      </c>
      <c r="L7" s="24" t="str">
        <f>_xlfn.IFNA(VLOOKUP(VLOOKUP(charge_link_periods[[#This Row],[metering_point_id]],metering_point_periods[],4,FALSE),SettlementMapping[],2,FALSE),"")</f>
        <v/>
      </c>
      <c r="M7" s="24" t="str">
        <f>IFERROR(INDEX('calculation_arguments'!F$3:H$98,MATCH(charge_link_periods[[#This Row],[from_date]],'calculation_arguments'!H$3:H$98,0),1),"")</f>
        <v>Day2</v>
      </c>
      <c r="N7" s="24" t="str">
        <f>IFERROR(INDEX('calculation_arguments'!F$3:H$98,MATCH(charge_link_periods[[#This Row],[to_date]],'calculation_arguments'!H$3:H$98,0),1),"")</f>
        <v>Day3</v>
      </c>
      <c r="O7" s="24" t="str">
        <f>IFERROR(INDEX(metering_point_periods[],MATCH(charge_link_periods[[#This Row],[metering_point_id]],metering_point_periods[metering_point_id],0),5),"")</f>
        <v>800</v>
      </c>
      <c r="P7" s="24" t="str">
        <f>_xlfn.TEXTJOIN("--",TRUE,charge_link_periods[[#This Row],[charge_code]],charge_link_periods[[#This Row],[charge_owner_id]],charge_link_periods[[#This Row],[energy_supplier_id]],charge_link_periods[[#This Row],[metering_point_type]],charge_link_periods[[#This Row],[ga]],charge_link_periods[[#This Row],[settlement_method]])</f>
        <v>fee-3--0000000000800--2000000000000--production--800</v>
      </c>
    </row>
    <row r="8" spans="1:16" x14ac:dyDescent="0.35">
      <c r="A8" s="24" t="s">
        <v>93</v>
      </c>
      <c r="B8" s="24" t="s">
        <v>14</v>
      </c>
      <c r="C8" s="24" t="s">
        <v>103</v>
      </c>
      <c r="D8" s="24" t="s">
        <v>3</v>
      </c>
      <c r="E8" s="24" t="s">
        <v>57</v>
      </c>
      <c r="F8" s="24" t="s">
        <v>151</v>
      </c>
      <c r="G8" s="24" t="s">
        <v>116</v>
      </c>
      <c r="H8" s="24" t="str">
        <f>IFERROR(INDEX(charge_price_information_periods[],MATCH(charge_link_periods[[#This Row],[charge_code]],charge_price_information_periods[charge_code],0),4),"")</f>
        <v>P1M</v>
      </c>
      <c r="I8" s="24">
        <f>IF(charge_link_periods[[#This Row],[quantity]]="","",VALUE(charge_link_periods[[#This Row],[quantity]]))</f>
        <v>1</v>
      </c>
      <c r="J8" s="24" t="str">
        <f>_xlfn.IFNA(IF(AND(VLOOKUP(charge_link_periods[[#This Row],[metering_point_id]],metering_point_periods[],2,FALSE)&lt;&gt;"E17",VLOOKUP(charge_link_periods[[#This Row],[metering_point_id]],metering_point_periods[],2,FALSE)&lt;&gt;"E18"),VLOOKUP(VLOOKUP(charge_link_periods[[#This Row],[metering_point_id]],metering_point_periods[],9,FALSE),metering_point_periods[],10,FALSE),VLOOKUP(charge_link_periods[[#This Row],[metering_point_id]],metering_point_periods[],10,FALSE)),"")</f>
        <v>2000000000000</v>
      </c>
      <c r="K8" s="24" t="str">
        <f>_xlfn.IFNA(VLOOKUP(VLOOKUP(charge_link_periods[[#This Row],[metering_point_id]],metering_point_periods[],2,FALSE),MPTypeMapping[],2,FALSE),"")</f>
        <v>production</v>
      </c>
      <c r="L8" s="24" t="str">
        <f>_xlfn.IFNA(VLOOKUP(VLOOKUP(charge_link_periods[[#This Row],[metering_point_id]],metering_point_periods[],4,FALSE),SettlementMapping[],2,FALSE),"")</f>
        <v/>
      </c>
      <c r="M8" s="24" t="str">
        <f>IFERROR(INDEX('calculation_arguments'!F$3:H$98,MATCH(charge_link_periods[[#This Row],[from_date]],'calculation_arguments'!H$3:H$98,0),1),"")</f>
        <v>Day3</v>
      </c>
      <c r="N8" s="24" t="str">
        <f>IFERROR(INDEX('calculation_arguments'!F$3:H$98,MATCH(charge_link_periods[[#This Row],[to_date]],'calculation_arguments'!H$3:H$98,0),1),"")</f>
        <v/>
      </c>
      <c r="O8" s="24" t="str">
        <f>IFERROR(INDEX(metering_point_periods[],MATCH(charge_link_periods[[#This Row],[metering_point_id]],metering_point_periods[metering_point_id],0),5),"")</f>
        <v>800</v>
      </c>
      <c r="P8" s="24" t="str">
        <f>_xlfn.TEXTJOIN("--",TRUE,charge_link_periods[[#This Row],[charge_code]],charge_link_periods[[#This Row],[charge_owner_id]],charge_link_periods[[#This Row],[energy_supplier_id]],charge_link_periods[[#This Row],[metering_point_type]],charge_link_periods[[#This Row],[ga]],charge_link_periods[[#This Row],[settlement_method]])</f>
        <v>fee-3--0000000000800--2000000000000--production--800</v>
      </c>
    </row>
    <row r="9" spans="1:16" x14ac:dyDescent="0.35">
      <c r="A9" s="24" t="s">
        <v>93</v>
      </c>
      <c r="B9" s="24" t="s">
        <v>14</v>
      </c>
      <c r="C9" s="24" t="s">
        <v>103</v>
      </c>
      <c r="D9" s="24" t="s">
        <v>3</v>
      </c>
      <c r="E9" s="24" t="s">
        <v>57</v>
      </c>
      <c r="F9" s="24" t="s">
        <v>116</v>
      </c>
      <c r="G9" s="24" t="s">
        <v>154</v>
      </c>
      <c r="H9" s="24" t="str">
        <f>IFERROR(INDEX(charge_price_information_periods[],MATCH(charge_link_periods[[#This Row],[charge_code]],charge_price_information_periods[charge_code],0),4),"")</f>
        <v>P1M</v>
      </c>
      <c r="I9" s="24">
        <f>IF(charge_link_periods[[#This Row],[quantity]]="","",VALUE(charge_link_periods[[#This Row],[quantity]]))</f>
        <v>1</v>
      </c>
      <c r="J9" s="24" t="str">
        <f>_xlfn.IFNA(IF(AND(VLOOKUP(charge_link_periods[[#This Row],[metering_point_id]],metering_point_periods[],2,FALSE)&lt;&gt;"E17",VLOOKUP(charge_link_periods[[#This Row],[metering_point_id]],metering_point_periods[],2,FALSE)&lt;&gt;"E18"),VLOOKUP(VLOOKUP(charge_link_periods[[#This Row],[metering_point_id]],metering_point_periods[],9,FALSE),metering_point_periods[],10,FALSE),VLOOKUP(charge_link_periods[[#This Row],[metering_point_id]],metering_point_periods[],10,FALSE)),"")</f>
        <v>2000000000000</v>
      </c>
      <c r="K9" s="24" t="str">
        <f>_xlfn.IFNA(VLOOKUP(VLOOKUP(charge_link_periods[[#This Row],[metering_point_id]],metering_point_periods[],2,FALSE),MPTypeMapping[],2,FALSE),"")</f>
        <v>production</v>
      </c>
      <c r="L9" s="24" t="str">
        <f>_xlfn.IFNA(VLOOKUP(VLOOKUP(charge_link_periods[[#This Row],[metering_point_id]],metering_point_periods[],4,FALSE),SettlementMapping[],2,FALSE),"")</f>
        <v/>
      </c>
      <c r="M9" s="24" t="str">
        <f>IFERROR(INDEX('calculation_arguments'!F$3:H$98,MATCH(charge_link_periods[[#This Row],[from_date]],'calculation_arguments'!H$3:H$98,0),1),"")</f>
        <v/>
      </c>
      <c r="N9" s="24" t="str">
        <f>IFERROR(INDEX('calculation_arguments'!F$3:H$98,MATCH(charge_link_periods[[#This Row],[to_date]],'calculation_arguments'!H$3:H$98,0),1),"")</f>
        <v/>
      </c>
      <c r="O9" s="24" t="str">
        <f>IFERROR(INDEX(metering_point_periods[],MATCH(charge_link_periods[[#This Row],[metering_point_id]],metering_point_periods[metering_point_id],0),5),"")</f>
        <v>800</v>
      </c>
      <c r="P9" s="24" t="str">
        <f>_xlfn.TEXTJOIN("--",TRUE,charge_link_periods[[#This Row],[charge_code]],charge_link_periods[[#This Row],[charge_owner_id]],charge_link_periods[[#This Row],[energy_supplier_id]],charge_link_periods[[#This Row],[metering_point_type]],charge_link_periods[[#This Row],[ga]],charge_link_periods[[#This Row],[settlement_method]])</f>
        <v>fee-3--0000000000800--2000000000000--production--800</v>
      </c>
    </row>
    <row r="10" spans="1:16" x14ac:dyDescent="0.35">
      <c r="A10" s="24" t="s">
        <v>94</v>
      </c>
      <c r="B10" s="24" t="s">
        <v>15</v>
      </c>
      <c r="C10" s="24" t="s">
        <v>103</v>
      </c>
      <c r="D10" s="24" t="s">
        <v>6</v>
      </c>
      <c r="E10" s="24" t="s">
        <v>153</v>
      </c>
      <c r="F10" s="24" t="s">
        <v>152</v>
      </c>
      <c r="G10" s="24" t="s">
        <v>157</v>
      </c>
      <c r="H10" s="24" t="str">
        <f>IFERROR(INDEX(charge_price_information_periods[],MATCH(charge_link_periods[[#This Row],[charge_code]],charge_price_information_periods[charge_code],0),4),"")</f>
        <v>P1M</v>
      </c>
      <c r="I10" s="24">
        <f>IF(charge_link_periods[[#This Row],[quantity]]="","",VALUE(charge_link_periods[[#This Row],[quantity]]))</f>
        <v>2</v>
      </c>
      <c r="J10" s="24" t="str">
        <f>_xlfn.IFNA(IF(AND(VLOOKUP(charge_link_periods[[#This Row],[metering_point_id]],metering_point_periods[],2,FALSE)&lt;&gt;"E17",VLOOKUP(charge_link_periods[[#This Row],[metering_point_id]],metering_point_periods[],2,FALSE)&lt;&gt;"E18"),VLOOKUP(VLOOKUP(charge_link_periods[[#This Row],[metering_point_id]],metering_point_periods[],9,FALSE),metering_point_periods[],10,FALSE),VLOOKUP(charge_link_periods[[#This Row],[metering_point_id]],metering_point_periods[],10,FALSE)),"")</f>
        <v>1000000000000</v>
      </c>
      <c r="K10" s="24" t="str">
        <f>_xlfn.IFNA(VLOOKUP(VLOOKUP(charge_link_periods[[#This Row],[metering_point_id]],metering_point_periods[],2,FALSE),MPTypeMapping[],2,FALSE),"")</f>
        <v>consumption</v>
      </c>
      <c r="L10" s="24" t="str">
        <f>_xlfn.IFNA(VLOOKUP(VLOOKUP(charge_link_periods[[#This Row],[metering_point_id]],metering_point_periods[],4,FALSE),SettlementMapping[],2,FALSE),"")</f>
        <v>flex</v>
      </c>
      <c r="M10" s="24" t="str">
        <f>IFERROR(INDEX('calculation_arguments'!F$3:H$98,MATCH(charge_link_periods[[#This Row],[from_date]],'calculation_arguments'!H$3:H$98,0),1),"")</f>
        <v/>
      </c>
      <c r="N10" s="24" t="str">
        <f>IFERROR(INDEX('calculation_arguments'!F$3:H$98,MATCH(charge_link_periods[[#This Row],[to_date]],'calculation_arguments'!H$3:H$98,0),1),"")</f>
        <v>Day4</v>
      </c>
      <c r="O10" s="24" t="str">
        <f>IFERROR(INDEX(metering_point_periods[],MATCH(charge_link_periods[[#This Row],[metering_point_id]],metering_point_periods[metering_point_id],0),5),"")</f>
        <v>800</v>
      </c>
      <c r="P10" s="24" t="str">
        <f>_xlfn.TEXTJOIN("--",TRUE,charge_link_periods[[#This Row],[charge_code]],charge_link_periods[[#This Row],[charge_owner_id]],charge_link_periods[[#This Row],[energy_supplier_id]],charge_link_periods[[#This Row],[metering_point_type]],charge_link_periods[[#This Row],[ga]],charge_link_periods[[#This Row],[settlement_method]])</f>
        <v>subscription-1--0000000000800--1000000000000--consumption--800--flex</v>
      </c>
    </row>
    <row r="11" spans="1:16" x14ac:dyDescent="0.35">
      <c r="A11" s="24" t="s">
        <v>95</v>
      </c>
      <c r="B11" s="24" t="s">
        <v>15</v>
      </c>
      <c r="C11" s="24" t="s">
        <v>103</v>
      </c>
      <c r="D11" s="24" t="s">
        <v>1</v>
      </c>
      <c r="E11" s="24" t="s">
        <v>153</v>
      </c>
      <c r="F11" s="24" t="s">
        <v>152</v>
      </c>
      <c r="G11" s="24" t="s">
        <v>157</v>
      </c>
      <c r="H11" s="24" t="str">
        <f>IFERROR(INDEX(charge_price_information_periods[],MATCH(charge_link_periods[[#This Row],[charge_code]],charge_price_information_periods[charge_code],0),4),"")</f>
        <v>P1M</v>
      </c>
      <c r="I11" s="24">
        <f>IF(charge_link_periods[[#This Row],[quantity]]="","",VALUE(charge_link_periods[[#This Row],[quantity]]))</f>
        <v>2</v>
      </c>
      <c r="J11" s="24" t="str">
        <f>_xlfn.IFNA(IF(AND(VLOOKUP(charge_link_periods[[#This Row],[metering_point_id]],metering_point_periods[],2,FALSE)&lt;&gt;"E17",VLOOKUP(charge_link_periods[[#This Row],[metering_point_id]],metering_point_periods[],2,FALSE)&lt;&gt;"E18"),VLOOKUP(VLOOKUP(charge_link_periods[[#This Row],[metering_point_id]],metering_point_periods[],9,FALSE),metering_point_periods[],10,FALSE),VLOOKUP(charge_link_periods[[#This Row],[metering_point_id]],metering_point_periods[],10,FALSE)),"")</f>
        <v>3000000000000</v>
      </c>
      <c r="K11" s="24" t="str">
        <f>_xlfn.IFNA(VLOOKUP(VLOOKUP(charge_link_periods[[#This Row],[metering_point_id]],metering_point_periods[],2,FALSE),MPTypeMapping[],2,FALSE),"")</f>
        <v>consumption</v>
      </c>
      <c r="L11" s="24" t="str">
        <f>_xlfn.IFNA(VLOOKUP(VLOOKUP(charge_link_periods[[#This Row],[metering_point_id]],metering_point_periods[],4,FALSE),SettlementMapping[],2,FALSE),"")</f>
        <v>non_profiled</v>
      </c>
      <c r="M11" s="24" t="str">
        <f>IFERROR(INDEX('calculation_arguments'!F$3:H$98,MATCH(charge_link_periods[[#This Row],[from_date]],'calculation_arguments'!H$3:H$98,0),1),"")</f>
        <v/>
      </c>
      <c r="N11" s="24" t="str">
        <f>IFERROR(INDEX('calculation_arguments'!F$3:H$98,MATCH(charge_link_periods[[#This Row],[to_date]],'calculation_arguments'!H$3:H$98,0),1),"")</f>
        <v>Day4</v>
      </c>
      <c r="O11" s="24" t="str">
        <f>IFERROR(INDEX(metering_point_periods[],MATCH(charge_link_periods[[#This Row],[metering_point_id]],metering_point_periods[metering_point_id],0),5),"")</f>
        <v>800</v>
      </c>
      <c r="P11" s="24" t="str">
        <f>_xlfn.TEXTJOIN("--",TRUE,charge_link_periods[[#This Row],[charge_code]],charge_link_periods[[#This Row],[charge_owner_id]],charge_link_periods[[#This Row],[energy_supplier_id]],charge_link_periods[[#This Row],[metering_point_type]],charge_link_periods[[#This Row],[ga]],charge_link_periods[[#This Row],[settlement_method]])</f>
        <v>subscription-2--0000000000800--3000000000000--consumption--800--non_profiled</v>
      </c>
    </row>
    <row r="12" spans="1:16" x14ac:dyDescent="0.35">
      <c r="A12" s="24" t="s">
        <v>95</v>
      </c>
      <c r="B12" s="24" t="s">
        <v>15</v>
      </c>
      <c r="C12" s="24" t="s">
        <v>103</v>
      </c>
      <c r="D12" s="24" t="s">
        <v>28</v>
      </c>
      <c r="E12" s="24" t="s">
        <v>57</v>
      </c>
      <c r="F12" s="24" t="s">
        <v>152</v>
      </c>
      <c r="G12" s="24" t="s">
        <v>157</v>
      </c>
      <c r="H12" s="24" t="str">
        <f>IFERROR(INDEX(charge_price_information_periods[],MATCH(charge_link_periods[[#This Row],[charge_code]],charge_price_information_periods[charge_code],0),4),"")</f>
        <v>P1M</v>
      </c>
      <c r="I12" s="24">
        <f>IF(charge_link_periods[[#This Row],[quantity]]="","",VALUE(charge_link_periods[[#This Row],[quantity]]))</f>
        <v>1</v>
      </c>
      <c r="J12" s="24" t="str">
        <f>_xlfn.IFNA(IF(AND(VLOOKUP(charge_link_periods[[#This Row],[metering_point_id]],metering_point_periods[],2,FALSE)&lt;&gt;"E17",VLOOKUP(charge_link_periods[[#This Row],[metering_point_id]],metering_point_periods[],2,FALSE)&lt;&gt;"E18"),VLOOKUP(VLOOKUP(charge_link_periods[[#This Row],[metering_point_id]],metering_point_periods[],9,FALSE),metering_point_periods[],10,FALSE),VLOOKUP(charge_link_periods[[#This Row],[metering_point_id]],metering_point_periods[],10,FALSE)),"")</f>
        <v>3000000000000</v>
      </c>
      <c r="K12" s="24" t="str">
        <f>_xlfn.IFNA(VLOOKUP(VLOOKUP(charge_link_periods[[#This Row],[metering_point_id]],metering_point_periods[],2,FALSE),MPTypeMapping[],2,FALSE),"")</f>
        <v>consumption</v>
      </c>
      <c r="L12" s="24" t="str">
        <f>_xlfn.IFNA(VLOOKUP(VLOOKUP(charge_link_periods[[#This Row],[metering_point_id]],metering_point_periods[],4,FALSE),SettlementMapping[],2,FALSE),"")</f>
        <v>non_profiled</v>
      </c>
      <c r="M12" s="24" t="str">
        <f>IFERROR(INDEX('calculation_arguments'!F$3:H$98,MATCH(charge_link_periods[[#This Row],[from_date]],'calculation_arguments'!H$3:H$98,0),1),"")</f>
        <v/>
      </c>
      <c r="N12" s="24" t="str">
        <f>IFERROR(INDEX('calculation_arguments'!F$3:H$98,MATCH(charge_link_periods[[#This Row],[to_date]],'calculation_arguments'!H$3:H$98,0),1),"")</f>
        <v>Day4</v>
      </c>
      <c r="O12" s="24" t="str">
        <f>IFERROR(INDEX(metering_point_periods[],MATCH(charge_link_periods[[#This Row],[metering_point_id]],metering_point_periods[metering_point_id],0),5),"")</f>
        <v>800</v>
      </c>
      <c r="P12" s="24" t="str">
        <f>_xlfn.TEXTJOIN("--",TRUE,charge_link_periods[[#This Row],[charge_code]],charge_link_periods[[#This Row],[charge_owner_id]],charge_link_periods[[#This Row],[energy_supplier_id]],charge_link_periods[[#This Row],[metering_point_type]],charge_link_periods[[#This Row],[ga]],charge_link_periods[[#This Row],[settlement_method]])</f>
        <v>subscription-2--0000000000800--3000000000000--consumption--800--non_profiled</v>
      </c>
    </row>
    <row r="13" spans="1:16" x14ac:dyDescent="0.35">
      <c r="A13" s="24" t="s">
        <v>95</v>
      </c>
      <c r="B13" s="24" t="s">
        <v>15</v>
      </c>
      <c r="C13" s="24" t="s">
        <v>103</v>
      </c>
      <c r="D13" s="24" t="s">
        <v>3</v>
      </c>
      <c r="E13" s="24" t="s">
        <v>57</v>
      </c>
      <c r="F13" s="24" t="s">
        <v>152</v>
      </c>
      <c r="G13" s="24" t="s">
        <v>157</v>
      </c>
      <c r="H13" s="24" t="str">
        <f>IFERROR(INDEX(charge_price_information_periods[],MATCH(charge_link_periods[[#This Row],[charge_code]],charge_price_information_periods[charge_code],0),4),"")</f>
        <v>P1M</v>
      </c>
      <c r="I13" s="24">
        <f>IF(charge_link_periods[[#This Row],[quantity]]="","",VALUE(charge_link_periods[[#This Row],[quantity]]))</f>
        <v>1</v>
      </c>
      <c r="J13" s="24" t="str">
        <f>_xlfn.IFNA(IF(AND(VLOOKUP(charge_link_periods[[#This Row],[metering_point_id]],metering_point_periods[],2,FALSE)&lt;&gt;"E17",VLOOKUP(charge_link_periods[[#This Row],[metering_point_id]],metering_point_periods[],2,FALSE)&lt;&gt;"E18"),VLOOKUP(VLOOKUP(charge_link_periods[[#This Row],[metering_point_id]],metering_point_periods[],9,FALSE),metering_point_periods[],10,FALSE),VLOOKUP(charge_link_periods[[#This Row],[metering_point_id]],metering_point_periods[],10,FALSE)),"")</f>
        <v>2000000000000</v>
      </c>
      <c r="K13" s="24" t="str">
        <f>_xlfn.IFNA(VLOOKUP(VLOOKUP(charge_link_periods[[#This Row],[metering_point_id]],metering_point_periods[],2,FALSE),MPTypeMapping[],2,FALSE),"")</f>
        <v>production</v>
      </c>
      <c r="L13" s="24" t="str">
        <f>_xlfn.IFNA(VLOOKUP(VLOOKUP(charge_link_periods[[#This Row],[metering_point_id]],metering_point_periods[],4,FALSE),SettlementMapping[],2,FALSE),"")</f>
        <v/>
      </c>
      <c r="M13" s="24" t="str">
        <f>IFERROR(INDEX('calculation_arguments'!F$3:H$98,MATCH(charge_link_periods[[#This Row],[from_date]],'calculation_arguments'!H$3:H$98,0),1),"")</f>
        <v/>
      </c>
      <c r="N13" s="24" t="str">
        <f>IFERROR(INDEX('calculation_arguments'!F$3:H$98,MATCH(charge_link_periods[[#This Row],[to_date]],'calculation_arguments'!H$3:H$98,0),1),"")</f>
        <v>Day4</v>
      </c>
      <c r="O13" s="24" t="str">
        <f>IFERROR(INDEX(metering_point_periods[],MATCH(charge_link_periods[[#This Row],[metering_point_id]],metering_point_periods[metering_point_id],0),5),"")</f>
        <v>800</v>
      </c>
      <c r="P13" s="24" t="str">
        <f>_xlfn.TEXTJOIN("--",TRUE,charge_link_periods[[#This Row],[charge_code]],charge_link_periods[[#This Row],[charge_owner_id]],charge_link_periods[[#This Row],[energy_supplier_id]],charge_link_periods[[#This Row],[metering_point_type]],charge_link_periods[[#This Row],[ga]],charge_link_periods[[#This Row],[settlement_method]])</f>
        <v>subscription-2--0000000000800--2000000000000--production--800</v>
      </c>
    </row>
    <row r="14" spans="1:16" x14ac:dyDescent="0.35">
      <c r="A14" s="24" t="s">
        <v>96</v>
      </c>
      <c r="B14" s="24" t="s">
        <v>15</v>
      </c>
      <c r="C14" s="24" t="s">
        <v>103</v>
      </c>
      <c r="D14" s="24" t="s">
        <v>4</v>
      </c>
      <c r="E14" s="24" t="s">
        <v>57</v>
      </c>
      <c r="F14" s="24" t="s">
        <v>152</v>
      </c>
      <c r="G14" s="24" t="s">
        <v>157</v>
      </c>
      <c r="H14" s="24" t="str">
        <f>IFERROR(INDEX(charge_price_information_periods[],MATCH(charge_link_periods[[#This Row],[charge_code]],charge_price_information_periods[charge_code],0),4),"")</f>
        <v>P1M</v>
      </c>
      <c r="I14" s="24">
        <f>IF(charge_link_periods[[#This Row],[quantity]]="","",VALUE(charge_link_periods[[#This Row],[quantity]]))</f>
        <v>1</v>
      </c>
      <c r="J14" s="24" t="str">
        <f>_xlfn.IFNA(IF(AND(VLOOKUP(charge_link_periods[[#This Row],[metering_point_id]],metering_point_periods[],2,FALSE)&lt;&gt;"E17",VLOOKUP(charge_link_periods[[#This Row],[metering_point_id]],metering_point_periods[],2,FALSE)&lt;&gt;"E18"),VLOOKUP(VLOOKUP(charge_link_periods[[#This Row],[metering_point_id]],metering_point_periods[],9,FALSE),metering_point_periods[],10,FALSE),VLOOKUP(charge_link_periods[[#This Row],[metering_point_id]],metering_point_periods[],10,FALSE)),"")</f>
        <v>2000000000000</v>
      </c>
      <c r="K14" s="24" t="str">
        <f>_xlfn.IFNA(VLOOKUP(VLOOKUP(charge_link_periods[[#This Row],[metering_point_id]],metering_point_periods[],2,FALSE),MPTypeMapping[],2,FALSE),"")</f>
        <v>own_production</v>
      </c>
      <c r="L14" s="24" t="str">
        <f>_xlfn.IFNA(VLOOKUP(VLOOKUP(charge_link_periods[[#This Row],[metering_point_id]],metering_point_periods[],4,FALSE),SettlementMapping[],2,FALSE),"")</f>
        <v/>
      </c>
      <c r="M14" s="24" t="str">
        <f>IFERROR(INDEX('calculation_arguments'!F$3:H$98,MATCH(charge_link_periods[[#This Row],[from_date]],'calculation_arguments'!H$3:H$98,0),1),"")</f>
        <v/>
      </c>
      <c r="N14" s="24" t="str">
        <f>IFERROR(INDEX('calculation_arguments'!F$3:H$98,MATCH(charge_link_periods[[#This Row],[to_date]],'calculation_arguments'!H$3:H$98,0),1),"")</f>
        <v>Day4</v>
      </c>
      <c r="O14" s="24" t="str">
        <f>IFERROR(INDEX(metering_point_periods[],MATCH(charge_link_periods[[#This Row],[metering_point_id]],metering_point_periods[metering_point_id],0),5),"")</f>
        <v>800</v>
      </c>
      <c r="P14" s="24" t="str">
        <f>_xlfn.TEXTJOIN("--",TRUE,charge_link_periods[[#This Row],[charge_code]],charge_link_periods[[#This Row],[charge_owner_id]],charge_link_periods[[#This Row],[energy_supplier_id]],charge_link_periods[[#This Row],[metering_point_type]],charge_link_periods[[#This Row],[ga]],charge_link_periods[[#This Row],[settlement_method]])</f>
        <v>subscription-3--0000000000800--2000000000000--own_production--800</v>
      </c>
    </row>
    <row r="15" spans="1:16" x14ac:dyDescent="0.35">
      <c r="A15" s="24" t="s">
        <v>96</v>
      </c>
      <c r="B15" s="24" t="s">
        <v>15</v>
      </c>
      <c r="C15" s="24" t="s">
        <v>103</v>
      </c>
      <c r="D15" s="24" t="s">
        <v>5</v>
      </c>
      <c r="E15" s="24" t="s">
        <v>57</v>
      </c>
      <c r="F15" s="24" t="s">
        <v>152</v>
      </c>
      <c r="G15" s="24" t="s">
        <v>157</v>
      </c>
      <c r="H15" s="24" t="str">
        <f>IFERROR(INDEX(charge_price_information_periods[],MATCH(charge_link_periods[[#This Row],[charge_code]],charge_price_information_periods[charge_code],0),4),"")</f>
        <v>P1M</v>
      </c>
      <c r="I15" s="24">
        <f>IF(charge_link_periods[[#This Row],[quantity]]="","",VALUE(charge_link_periods[[#This Row],[quantity]]))</f>
        <v>1</v>
      </c>
      <c r="J15" s="24" t="str">
        <f>_xlfn.IFNA(IF(AND(VLOOKUP(charge_link_periods[[#This Row],[metering_point_id]],metering_point_periods[],2,FALSE)&lt;&gt;"E17",VLOOKUP(charge_link_periods[[#This Row],[metering_point_id]],metering_point_periods[],2,FALSE)&lt;&gt;"E18"),VLOOKUP(VLOOKUP(charge_link_periods[[#This Row],[metering_point_id]],metering_point_periods[],9,FALSE),metering_point_periods[],10,FALSE),VLOOKUP(charge_link_periods[[#This Row],[metering_point_id]],metering_point_periods[],10,FALSE)),"")</f>
        <v>4000000000000</v>
      </c>
      <c r="K15" s="24" t="str">
        <f>_xlfn.IFNA(VLOOKUP(VLOOKUP(charge_link_periods[[#This Row],[metering_point_id]],metering_point_periods[],2,FALSE),MPTypeMapping[],2,FALSE),"")</f>
        <v>production</v>
      </c>
      <c r="L15" s="24" t="str">
        <f>_xlfn.IFNA(VLOOKUP(VLOOKUP(charge_link_periods[[#This Row],[metering_point_id]],metering_point_periods[],4,FALSE),SettlementMapping[],2,FALSE),"")</f>
        <v/>
      </c>
      <c r="M15" s="24" t="str">
        <f>IFERROR(INDEX('calculation_arguments'!F$3:H$98,MATCH(charge_link_periods[[#This Row],[from_date]],'calculation_arguments'!H$3:H$98,0),1),"")</f>
        <v/>
      </c>
      <c r="N15" s="24" t="str">
        <f>IFERROR(INDEX('calculation_arguments'!F$3:H$98,MATCH(charge_link_periods[[#This Row],[to_date]],'calculation_arguments'!H$3:H$98,0),1),"")</f>
        <v>Day4</v>
      </c>
      <c r="O15" s="24" t="str">
        <f>IFERROR(INDEX(metering_point_periods[],MATCH(charge_link_periods[[#This Row],[metering_point_id]],metering_point_periods[metering_point_id],0),5),"")</f>
        <v>800</v>
      </c>
      <c r="P15" s="24" t="str">
        <f>_xlfn.TEXTJOIN("--",TRUE,charge_link_periods[[#This Row],[charge_code]],charge_link_periods[[#This Row],[charge_owner_id]],charge_link_periods[[#This Row],[energy_supplier_id]],charge_link_periods[[#This Row],[metering_point_type]],charge_link_periods[[#This Row],[ga]],charge_link_periods[[#This Row],[settlement_method]])</f>
        <v>subscription-3--0000000000800--4000000000000--production--800</v>
      </c>
    </row>
    <row r="16" spans="1:16" x14ac:dyDescent="0.35">
      <c r="A16" s="24" t="s">
        <v>97</v>
      </c>
      <c r="B16" s="24" t="s">
        <v>2</v>
      </c>
      <c r="C16" s="24" t="s">
        <v>103</v>
      </c>
      <c r="D16" s="24" t="s">
        <v>1</v>
      </c>
      <c r="E16" s="24" t="s">
        <v>57</v>
      </c>
      <c r="F16" s="24" t="s">
        <v>152</v>
      </c>
      <c r="G16" s="24" t="s">
        <v>157</v>
      </c>
      <c r="H16" s="24" t="str">
        <f>IFERROR(INDEX(charge_price_information_periods[],MATCH(charge_link_periods[[#This Row],[charge_code]],charge_price_information_periods[charge_code],0),4),"")</f>
        <v>PT1H</v>
      </c>
      <c r="I16" s="24">
        <f>IF(charge_link_periods[[#This Row],[quantity]]="","",VALUE(charge_link_periods[[#This Row],[quantity]]))</f>
        <v>1</v>
      </c>
      <c r="J16" s="24" t="str">
        <f>_xlfn.IFNA(IF(AND(VLOOKUP(charge_link_periods[[#This Row],[metering_point_id]],metering_point_periods[],2,FALSE)&lt;&gt;"E17",VLOOKUP(charge_link_periods[[#This Row],[metering_point_id]],metering_point_periods[],2,FALSE)&lt;&gt;"E18"),VLOOKUP(VLOOKUP(charge_link_periods[[#This Row],[metering_point_id]],metering_point_periods[],9,FALSE),metering_point_periods[],10,FALSE),VLOOKUP(charge_link_periods[[#This Row],[metering_point_id]],metering_point_periods[],10,FALSE)),"")</f>
        <v>3000000000000</v>
      </c>
      <c r="K16" s="24" t="str">
        <f>_xlfn.IFNA(VLOOKUP(VLOOKUP(charge_link_periods[[#This Row],[metering_point_id]],metering_point_periods[],2,FALSE),MPTypeMapping[],2,FALSE),"")</f>
        <v>consumption</v>
      </c>
      <c r="L16" s="24" t="str">
        <f>_xlfn.IFNA(VLOOKUP(VLOOKUP(charge_link_periods[[#This Row],[metering_point_id]],metering_point_periods[],4,FALSE),SettlementMapping[],2,FALSE),"")</f>
        <v>non_profiled</v>
      </c>
      <c r="M16" s="24" t="str">
        <f>IFERROR(INDEX('calculation_arguments'!F$3:H$98,MATCH(charge_link_periods[[#This Row],[from_date]],'calculation_arguments'!H$3:H$98,0),1),"")</f>
        <v/>
      </c>
      <c r="N16" s="24" t="str">
        <f>IFERROR(INDEX('calculation_arguments'!F$3:H$98,MATCH(charge_link_periods[[#This Row],[to_date]],'calculation_arguments'!H$3:H$98,0),1),"")</f>
        <v>Day4</v>
      </c>
      <c r="O16" s="24" t="str">
        <f>IFERROR(INDEX(metering_point_periods[],MATCH(charge_link_periods[[#This Row],[metering_point_id]],metering_point_periods[metering_point_id],0),5),"")</f>
        <v>800</v>
      </c>
      <c r="P16" s="24" t="str">
        <f>_xlfn.TEXTJOIN("--",TRUE,charge_link_periods[[#This Row],[charge_code]],charge_link_periods[[#This Row],[charge_owner_id]],charge_link_periods[[#This Row],[energy_supplier_id]],charge_link_periods[[#This Row],[metering_point_type]],charge_link_periods[[#This Row],[ga]],charge_link_periods[[#This Row],[settlement_method]])</f>
        <v>tariff-hourly-1--0000000000800--3000000000000--consumption--800--non_profiled</v>
      </c>
    </row>
    <row r="17" spans="1:16" x14ac:dyDescent="0.35">
      <c r="A17" s="24" t="s">
        <v>97</v>
      </c>
      <c r="B17" s="24" t="s">
        <v>2</v>
      </c>
      <c r="C17" s="24" t="s">
        <v>103</v>
      </c>
      <c r="D17" s="24" t="s">
        <v>28</v>
      </c>
      <c r="E17" s="24" t="s">
        <v>57</v>
      </c>
      <c r="F17" s="24" t="s">
        <v>152</v>
      </c>
      <c r="G17" s="24" t="s">
        <v>157</v>
      </c>
      <c r="H17" s="24" t="str">
        <f>IFERROR(INDEX(charge_price_information_periods[],MATCH(charge_link_periods[[#This Row],[charge_code]],charge_price_information_periods[charge_code],0),4),"")</f>
        <v>PT1H</v>
      </c>
      <c r="I17" s="24">
        <f>IF(charge_link_periods[[#This Row],[quantity]]="","",VALUE(charge_link_periods[[#This Row],[quantity]]))</f>
        <v>1</v>
      </c>
      <c r="J17" s="24" t="str">
        <f>_xlfn.IFNA(IF(AND(VLOOKUP(charge_link_periods[[#This Row],[metering_point_id]],metering_point_periods[],2,FALSE)&lt;&gt;"E17",VLOOKUP(charge_link_periods[[#This Row],[metering_point_id]],metering_point_periods[],2,FALSE)&lt;&gt;"E18"),VLOOKUP(VLOOKUP(charge_link_periods[[#This Row],[metering_point_id]],metering_point_periods[],9,FALSE),metering_point_periods[],10,FALSE),VLOOKUP(charge_link_periods[[#This Row],[metering_point_id]],metering_point_periods[],10,FALSE)),"")</f>
        <v>3000000000000</v>
      </c>
      <c r="K17" s="24" t="str">
        <f>_xlfn.IFNA(VLOOKUP(VLOOKUP(charge_link_periods[[#This Row],[metering_point_id]],metering_point_periods[],2,FALSE),MPTypeMapping[],2,FALSE),"")</f>
        <v>consumption</v>
      </c>
      <c r="L17" s="24" t="str">
        <f>_xlfn.IFNA(VLOOKUP(VLOOKUP(charge_link_periods[[#This Row],[metering_point_id]],metering_point_periods[],4,FALSE),SettlementMapping[],2,FALSE),"")</f>
        <v>non_profiled</v>
      </c>
      <c r="M17" s="24" t="str">
        <f>IFERROR(INDEX('calculation_arguments'!F$3:H$98,MATCH(charge_link_periods[[#This Row],[from_date]],'calculation_arguments'!H$3:H$98,0),1),"")</f>
        <v/>
      </c>
      <c r="N17" s="24" t="str">
        <f>IFERROR(INDEX('calculation_arguments'!F$3:H$98,MATCH(charge_link_periods[[#This Row],[to_date]],'calculation_arguments'!H$3:H$98,0),1),"")</f>
        <v>Day4</v>
      </c>
      <c r="O17" s="24" t="str">
        <f>IFERROR(INDEX(metering_point_periods[],MATCH(charge_link_periods[[#This Row],[metering_point_id]],metering_point_periods[metering_point_id],0),5),"")</f>
        <v>800</v>
      </c>
      <c r="P17" s="24" t="str">
        <f>_xlfn.TEXTJOIN("--",TRUE,charge_link_periods[[#This Row],[charge_code]],charge_link_periods[[#This Row],[charge_owner_id]],charge_link_periods[[#This Row],[energy_supplier_id]],charge_link_periods[[#This Row],[metering_point_type]],charge_link_periods[[#This Row],[ga]],charge_link_periods[[#This Row],[settlement_method]])</f>
        <v>tariff-hourly-1--0000000000800--3000000000000--consumption--800--non_profiled</v>
      </c>
    </row>
    <row r="18" spans="1:16" x14ac:dyDescent="0.35">
      <c r="A18" s="24" t="s">
        <v>97</v>
      </c>
      <c r="B18" s="24" t="s">
        <v>2</v>
      </c>
      <c r="C18" s="24" t="s">
        <v>103</v>
      </c>
      <c r="D18" s="24" t="s">
        <v>6</v>
      </c>
      <c r="E18" s="24" t="s">
        <v>57</v>
      </c>
      <c r="F18" s="24" t="s">
        <v>152</v>
      </c>
      <c r="G18" s="24" t="s">
        <v>157</v>
      </c>
      <c r="H18" s="24" t="str">
        <f>IFERROR(INDEX(charge_price_information_periods[],MATCH(charge_link_periods[[#This Row],[charge_code]],charge_price_information_periods[charge_code],0),4),"")</f>
        <v>PT1H</v>
      </c>
      <c r="I18" s="24">
        <f>IF(charge_link_periods[[#This Row],[quantity]]="","",VALUE(charge_link_periods[[#This Row],[quantity]]))</f>
        <v>1</v>
      </c>
      <c r="J18" s="24" t="str">
        <f>_xlfn.IFNA(IF(AND(VLOOKUP(charge_link_periods[[#This Row],[metering_point_id]],metering_point_periods[],2,FALSE)&lt;&gt;"E17",VLOOKUP(charge_link_periods[[#This Row],[metering_point_id]],metering_point_periods[],2,FALSE)&lt;&gt;"E18"),VLOOKUP(VLOOKUP(charge_link_periods[[#This Row],[metering_point_id]],metering_point_periods[],9,FALSE),metering_point_periods[],10,FALSE),VLOOKUP(charge_link_periods[[#This Row],[metering_point_id]],metering_point_periods[],10,FALSE)),"")</f>
        <v>1000000000000</v>
      </c>
      <c r="K18" s="24" t="str">
        <f>_xlfn.IFNA(VLOOKUP(VLOOKUP(charge_link_periods[[#This Row],[metering_point_id]],metering_point_periods[],2,FALSE),MPTypeMapping[],2,FALSE),"")</f>
        <v>consumption</v>
      </c>
      <c r="L18" s="24" t="str">
        <f>_xlfn.IFNA(VLOOKUP(VLOOKUP(charge_link_periods[[#This Row],[metering_point_id]],metering_point_periods[],4,FALSE),SettlementMapping[],2,FALSE),"")</f>
        <v>flex</v>
      </c>
      <c r="M18" s="24" t="str">
        <f>IFERROR(INDEX('calculation_arguments'!F$3:H$98,MATCH(charge_link_periods[[#This Row],[from_date]],'calculation_arguments'!H$3:H$98,0),1),"")</f>
        <v/>
      </c>
      <c r="N18" s="24" t="str">
        <f>IFERROR(INDEX('calculation_arguments'!F$3:H$98,MATCH(charge_link_periods[[#This Row],[to_date]],'calculation_arguments'!H$3:H$98,0),1),"")</f>
        <v>Day4</v>
      </c>
      <c r="O18" s="24" t="str">
        <f>IFERROR(INDEX(metering_point_periods[],MATCH(charge_link_periods[[#This Row],[metering_point_id]],metering_point_periods[metering_point_id],0),5),"")</f>
        <v>800</v>
      </c>
      <c r="P18" s="24" t="str">
        <f>_xlfn.TEXTJOIN("--",TRUE,charge_link_periods[[#This Row],[charge_code]],charge_link_periods[[#This Row],[charge_owner_id]],charge_link_periods[[#This Row],[energy_supplier_id]],charge_link_periods[[#This Row],[metering_point_type]],charge_link_periods[[#This Row],[ga]],charge_link_periods[[#This Row],[settlement_method]])</f>
        <v>tariff-hourly-1--0000000000800--1000000000000--consumption--800--flex</v>
      </c>
    </row>
    <row r="19" spans="1:16" x14ac:dyDescent="0.35">
      <c r="A19" s="24" t="s">
        <v>98</v>
      </c>
      <c r="B19" s="24" t="s">
        <v>2</v>
      </c>
      <c r="C19" s="24" t="s">
        <v>103</v>
      </c>
      <c r="D19" s="24" t="s">
        <v>27</v>
      </c>
      <c r="E19" s="24" t="s">
        <v>57</v>
      </c>
      <c r="F19" s="24" t="s">
        <v>152</v>
      </c>
      <c r="G19" s="24" t="s">
        <v>157</v>
      </c>
      <c r="H19" s="24" t="str">
        <f>IFERROR(INDEX(charge_price_information_periods[],MATCH(charge_link_periods[[#This Row],[charge_code]],charge_price_information_periods[charge_code],0),4),"")</f>
        <v>PT1H</v>
      </c>
      <c r="I19" s="24">
        <f>IF(charge_link_periods[[#This Row],[quantity]]="","",VALUE(charge_link_periods[[#This Row],[quantity]]))</f>
        <v>1</v>
      </c>
      <c r="J19" s="24" t="str">
        <f>_xlfn.IFNA(IF(AND(VLOOKUP(charge_link_periods[[#This Row],[metering_point_id]],metering_point_periods[],2,FALSE)&lt;&gt;"E17",VLOOKUP(charge_link_periods[[#This Row],[metering_point_id]],metering_point_periods[],2,FALSE)&lt;&gt;"E18"),VLOOKUP(VLOOKUP(charge_link_periods[[#This Row],[metering_point_id]],metering_point_periods[],9,FALSE),metering_point_periods[],10,FALSE),VLOOKUP(charge_link_periods[[#This Row],[metering_point_id]],metering_point_periods[],10,FALSE)),"")</f>
        <v>1000000000000</v>
      </c>
      <c r="K19" s="24" t="str">
        <f>_xlfn.IFNA(VLOOKUP(VLOOKUP(charge_link_periods[[#This Row],[metering_point_id]],metering_point_periods[],2,FALSE),MPTypeMapping[],2,FALSE),"")</f>
        <v>consumption_from_grid</v>
      </c>
      <c r="L19" s="24" t="str">
        <f>_xlfn.IFNA(VLOOKUP(VLOOKUP(charge_link_periods[[#This Row],[metering_point_id]],metering_point_periods[],4,FALSE),SettlementMapping[],2,FALSE),"")</f>
        <v/>
      </c>
      <c r="M19" s="24" t="str">
        <f>IFERROR(INDEX('calculation_arguments'!F$3:H$98,MATCH(charge_link_periods[[#This Row],[from_date]],'calculation_arguments'!H$3:H$98,0),1),"")</f>
        <v/>
      </c>
      <c r="N19" s="24" t="str">
        <f>IFERROR(INDEX('calculation_arguments'!F$3:H$98,MATCH(charge_link_periods[[#This Row],[to_date]],'calculation_arguments'!H$3:H$98,0),1),"")</f>
        <v>Day4</v>
      </c>
      <c r="O19" s="24" t="str">
        <f>IFERROR(INDEX(metering_point_periods[],MATCH(charge_link_periods[[#This Row],[metering_point_id]],metering_point_periods[metering_point_id],0),5),"")</f>
        <v>800</v>
      </c>
      <c r="P19" s="24" t="str">
        <f>_xlfn.TEXTJOIN("--",TRUE,charge_link_periods[[#This Row],[charge_code]],charge_link_periods[[#This Row],[charge_owner_id]],charge_link_periods[[#This Row],[energy_supplier_id]],charge_link_periods[[#This Row],[metering_point_type]],charge_link_periods[[#This Row],[ga]],charge_link_periods[[#This Row],[settlement_method]])</f>
        <v>tariff-hourly-2--0000000000800--1000000000000--consumption_from_grid--800</v>
      </c>
    </row>
    <row r="20" spans="1:16" x14ac:dyDescent="0.35">
      <c r="A20" s="24" t="s">
        <v>98</v>
      </c>
      <c r="B20" s="24" t="s">
        <v>2</v>
      </c>
      <c r="C20" s="24" t="s">
        <v>103</v>
      </c>
      <c r="D20" s="24" t="s">
        <v>5</v>
      </c>
      <c r="E20" s="24" t="s">
        <v>57</v>
      </c>
      <c r="F20" s="24" t="s">
        <v>152</v>
      </c>
      <c r="G20" s="24" t="s">
        <v>157</v>
      </c>
      <c r="H20" s="24" t="str">
        <f>IFERROR(INDEX(charge_price_information_periods[],MATCH(charge_link_periods[[#This Row],[charge_code]],charge_price_information_periods[charge_code],0),4),"")</f>
        <v>PT1H</v>
      </c>
      <c r="I20" s="24">
        <f>IF(charge_link_periods[[#This Row],[quantity]]="","",VALUE(charge_link_periods[[#This Row],[quantity]]))</f>
        <v>1</v>
      </c>
      <c r="J20" s="24" t="str">
        <f>_xlfn.IFNA(IF(AND(VLOOKUP(charge_link_periods[[#This Row],[metering_point_id]],metering_point_periods[],2,FALSE)&lt;&gt;"E17",VLOOKUP(charge_link_periods[[#This Row],[metering_point_id]],metering_point_periods[],2,FALSE)&lt;&gt;"E18"),VLOOKUP(VLOOKUP(charge_link_periods[[#This Row],[metering_point_id]],metering_point_periods[],9,FALSE),metering_point_periods[],10,FALSE),VLOOKUP(charge_link_periods[[#This Row],[metering_point_id]],metering_point_periods[],10,FALSE)),"")</f>
        <v>4000000000000</v>
      </c>
      <c r="K20" s="24" t="str">
        <f>_xlfn.IFNA(VLOOKUP(VLOOKUP(charge_link_periods[[#This Row],[metering_point_id]],metering_point_periods[],2,FALSE),MPTypeMapping[],2,FALSE),"")</f>
        <v>production</v>
      </c>
      <c r="L20" s="24" t="str">
        <f>_xlfn.IFNA(VLOOKUP(VLOOKUP(charge_link_periods[[#This Row],[metering_point_id]],metering_point_periods[],4,FALSE),SettlementMapping[],2,FALSE),"")</f>
        <v/>
      </c>
      <c r="M20" s="24" t="str">
        <f>IFERROR(INDEX('calculation_arguments'!F$3:H$98,MATCH(charge_link_periods[[#This Row],[from_date]],'calculation_arguments'!H$3:H$98,0),1),"")</f>
        <v/>
      </c>
      <c r="N20" s="24" t="str">
        <f>IFERROR(INDEX('calculation_arguments'!F$3:H$98,MATCH(charge_link_periods[[#This Row],[to_date]],'calculation_arguments'!H$3:H$98,0),1),"")</f>
        <v>Day4</v>
      </c>
      <c r="O20" s="24" t="str">
        <f>IFERROR(INDEX(metering_point_periods[],MATCH(charge_link_periods[[#This Row],[metering_point_id]],metering_point_periods[metering_point_id],0),5),"")</f>
        <v>800</v>
      </c>
      <c r="P20" s="24" t="str">
        <f>_xlfn.TEXTJOIN("--",TRUE,charge_link_periods[[#This Row],[charge_code]],charge_link_periods[[#This Row],[charge_owner_id]],charge_link_periods[[#This Row],[energy_supplier_id]],charge_link_periods[[#This Row],[metering_point_type]],charge_link_periods[[#This Row],[ga]],charge_link_periods[[#This Row],[settlement_method]])</f>
        <v>tariff-hourly-2--0000000000800--4000000000000--production--800</v>
      </c>
    </row>
    <row r="21" spans="1:16" x14ac:dyDescent="0.35">
      <c r="A21" s="24" t="s">
        <v>98</v>
      </c>
      <c r="B21" s="24" t="s">
        <v>2</v>
      </c>
      <c r="C21" s="24" t="s">
        <v>103</v>
      </c>
      <c r="D21" s="24" t="s">
        <v>4</v>
      </c>
      <c r="E21" s="24" t="s">
        <v>57</v>
      </c>
      <c r="F21" s="24" t="s">
        <v>152</v>
      </c>
      <c r="G21" s="24" t="s">
        <v>157</v>
      </c>
      <c r="H21" s="24" t="str">
        <f>IFERROR(INDEX(charge_price_information_periods[],MATCH(charge_link_periods[[#This Row],[charge_code]],charge_price_information_periods[charge_code],0),4),"")</f>
        <v>PT1H</v>
      </c>
      <c r="I21" s="24">
        <f>IF(charge_link_periods[[#This Row],[quantity]]="","",VALUE(charge_link_periods[[#This Row],[quantity]]))</f>
        <v>1</v>
      </c>
      <c r="J21" s="24" t="str">
        <f>_xlfn.IFNA(IF(AND(VLOOKUP(charge_link_periods[[#This Row],[metering_point_id]],metering_point_periods[],2,FALSE)&lt;&gt;"E17",VLOOKUP(charge_link_periods[[#This Row],[metering_point_id]],metering_point_periods[],2,FALSE)&lt;&gt;"E18"),VLOOKUP(VLOOKUP(charge_link_periods[[#This Row],[metering_point_id]],metering_point_periods[],9,FALSE),metering_point_periods[],10,FALSE),VLOOKUP(charge_link_periods[[#This Row],[metering_point_id]],metering_point_periods[],10,FALSE)),"")</f>
        <v>2000000000000</v>
      </c>
      <c r="K21" s="24" t="str">
        <f>_xlfn.IFNA(VLOOKUP(VLOOKUP(charge_link_periods[[#This Row],[metering_point_id]],metering_point_periods[],2,FALSE),MPTypeMapping[],2,FALSE),"")</f>
        <v>own_production</v>
      </c>
      <c r="L21" s="24" t="str">
        <f>_xlfn.IFNA(VLOOKUP(VLOOKUP(charge_link_periods[[#This Row],[metering_point_id]],metering_point_periods[],4,FALSE),SettlementMapping[],2,FALSE),"")</f>
        <v/>
      </c>
      <c r="M21" s="24" t="str">
        <f>IFERROR(INDEX('calculation_arguments'!F$3:H$98,MATCH(charge_link_periods[[#This Row],[from_date]],'calculation_arguments'!H$3:H$98,0),1),"")</f>
        <v/>
      </c>
      <c r="N21" s="24" t="str">
        <f>IFERROR(INDEX('calculation_arguments'!F$3:H$98,MATCH(charge_link_periods[[#This Row],[to_date]],'calculation_arguments'!H$3:H$98,0),1),"")</f>
        <v>Day4</v>
      </c>
      <c r="O21" s="24" t="str">
        <f>IFERROR(INDEX(metering_point_periods[],MATCH(charge_link_periods[[#This Row],[metering_point_id]],metering_point_periods[metering_point_id],0),5),"")</f>
        <v>800</v>
      </c>
      <c r="P21" s="24" t="str">
        <f>_xlfn.TEXTJOIN("--",TRUE,charge_link_periods[[#This Row],[charge_code]],charge_link_periods[[#This Row],[charge_owner_id]],charge_link_periods[[#This Row],[energy_supplier_id]],charge_link_periods[[#This Row],[metering_point_type]],charge_link_periods[[#This Row],[ga]],charge_link_periods[[#This Row],[settlement_method]])</f>
        <v>tariff-hourly-2--0000000000800--2000000000000--own_production--800</v>
      </c>
    </row>
    <row r="22" spans="1:16" x14ac:dyDescent="0.35">
      <c r="A22" s="24" t="s">
        <v>99</v>
      </c>
      <c r="B22" s="24" t="s">
        <v>2</v>
      </c>
      <c r="C22" s="24" t="s">
        <v>103</v>
      </c>
      <c r="D22" s="24" t="s">
        <v>3</v>
      </c>
      <c r="E22" s="24" t="s">
        <v>57</v>
      </c>
      <c r="F22" s="24" t="s">
        <v>152</v>
      </c>
      <c r="G22" s="24" t="s">
        <v>157</v>
      </c>
      <c r="H22" s="24" t="str">
        <f>IFERROR(INDEX(charge_price_information_periods[],MATCH(charge_link_periods[[#This Row],[charge_code]],charge_price_information_periods[charge_code],0),4),"")</f>
        <v>PT1H</v>
      </c>
      <c r="I22" s="24">
        <f>IF(charge_link_periods[[#This Row],[quantity]]="","",VALUE(charge_link_periods[[#This Row],[quantity]]))</f>
        <v>1</v>
      </c>
      <c r="J22" s="24" t="str">
        <f>_xlfn.IFNA(IF(AND(VLOOKUP(charge_link_periods[[#This Row],[metering_point_id]],metering_point_periods[],2,FALSE)&lt;&gt;"E17",VLOOKUP(charge_link_periods[[#This Row],[metering_point_id]],metering_point_periods[],2,FALSE)&lt;&gt;"E18"),VLOOKUP(VLOOKUP(charge_link_periods[[#This Row],[metering_point_id]],metering_point_periods[],9,FALSE),metering_point_periods[],10,FALSE),VLOOKUP(charge_link_periods[[#This Row],[metering_point_id]],metering_point_periods[],10,FALSE)),"")</f>
        <v>2000000000000</v>
      </c>
      <c r="K22" s="24" t="str">
        <f>_xlfn.IFNA(VLOOKUP(VLOOKUP(charge_link_periods[[#This Row],[metering_point_id]],metering_point_periods[],2,FALSE),MPTypeMapping[],2,FALSE),"")</f>
        <v>production</v>
      </c>
      <c r="L22" s="24" t="str">
        <f>_xlfn.IFNA(VLOOKUP(VLOOKUP(charge_link_periods[[#This Row],[metering_point_id]],metering_point_periods[],4,FALSE),SettlementMapping[],2,FALSE),"")</f>
        <v/>
      </c>
      <c r="M22" s="24" t="str">
        <f>IFERROR(INDEX('calculation_arguments'!F$3:H$98,MATCH(charge_link_periods[[#This Row],[from_date]],'calculation_arguments'!H$3:H$98,0),1),"")</f>
        <v/>
      </c>
      <c r="N22" s="24" t="str">
        <f>IFERROR(INDEX('calculation_arguments'!F$3:H$98,MATCH(charge_link_periods[[#This Row],[to_date]],'calculation_arguments'!H$3:H$98,0),1),"")</f>
        <v>Day4</v>
      </c>
      <c r="O22" s="24" t="str">
        <f>IFERROR(INDEX(metering_point_periods[],MATCH(charge_link_periods[[#This Row],[metering_point_id]],metering_point_periods[metering_point_id],0),5),"")</f>
        <v>800</v>
      </c>
      <c r="P22" s="24" t="str">
        <f>_xlfn.TEXTJOIN("--",TRUE,charge_link_periods[[#This Row],[charge_code]],charge_link_periods[[#This Row],[charge_owner_id]],charge_link_periods[[#This Row],[energy_supplier_id]],charge_link_periods[[#This Row],[metering_point_type]],charge_link_periods[[#This Row],[ga]],charge_link_periods[[#This Row],[settlement_method]])</f>
        <v>tariff-hourly-3--0000000000800--2000000000000--production--800</v>
      </c>
    </row>
    <row r="23" spans="1:16" x14ac:dyDescent="0.35">
      <c r="A23" s="24" t="s">
        <v>100</v>
      </c>
      <c r="B23" s="24" t="s">
        <v>2</v>
      </c>
      <c r="C23" s="24" t="s">
        <v>103</v>
      </c>
      <c r="D23" s="24" t="s">
        <v>1</v>
      </c>
      <c r="E23" s="24" t="s">
        <v>57</v>
      </c>
      <c r="F23" s="24" t="s">
        <v>152</v>
      </c>
      <c r="G23" s="24" t="s">
        <v>157</v>
      </c>
      <c r="H23" s="24" t="str">
        <f>IFERROR(INDEX(charge_price_information_periods[],MATCH(charge_link_periods[[#This Row],[charge_code]],charge_price_information_periods[charge_code],0),4),"")</f>
        <v>P1D</v>
      </c>
      <c r="I23" s="24">
        <f>IF(charge_link_periods[[#This Row],[quantity]]="","",VALUE(charge_link_periods[[#This Row],[quantity]]))</f>
        <v>1</v>
      </c>
      <c r="J23" s="24" t="str">
        <f>_xlfn.IFNA(IF(AND(VLOOKUP(charge_link_periods[[#This Row],[metering_point_id]],metering_point_periods[],2,FALSE)&lt;&gt;"E17",VLOOKUP(charge_link_periods[[#This Row],[metering_point_id]],metering_point_periods[],2,FALSE)&lt;&gt;"E18"),VLOOKUP(VLOOKUP(charge_link_periods[[#This Row],[metering_point_id]],metering_point_periods[],9,FALSE),metering_point_periods[],10,FALSE),VLOOKUP(charge_link_periods[[#This Row],[metering_point_id]],metering_point_periods[],10,FALSE)),"")</f>
        <v>3000000000000</v>
      </c>
      <c r="K23" s="24" t="str">
        <f>_xlfn.IFNA(VLOOKUP(VLOOKUP(charge_link_periods[[#This Row],[metering_point_id]],metering_point_periods[],2,FALSE),MPTypeMapping[],2,FALSE),"")</f>
        <v>consumption</v>
      </c>
      <c r="L23" s="24" t="str">
        <f>_xlfn.IFNA(VLOOKUP(VLOOKUP(charge_link_periods[[#This Row],[metering_point_id]],metering_point_periods[],4,FALSE),SettlementMapping[],2,FALSE),"")</f>
        <v>non_profiled</v>
      </c>
      <c r="M23" s="24" t="str">
        <f>IFERROR(INDEX('calculation_arguments'!F$3:H$98,MATCH(charge_link_periods[[#This Row],[from_date]],'calculation_arguments'!H$3:H$98,0),1),"")</f>
        <v/>
      </c>
      <c r="N23" s="24" t="str">
        <f>IFERROR(INDEX('calculation_arguments'!F$3:H$98,MATCH(charge_link_periods[[#This Row],[to_date]],'calculation_arguments'!H$3:H$98,0),1),"")</f>
        <v>Day4</v>
      </c>
      <c r="O23" s="24" t="str">
        <f>IFERROR(INDEX(metering_point_periods[],MATCH(charge_link_periods[[#This Row],[metering_point_id]],metering_point_periods[metering_point_id],0),5),"")</f>
        <v>800</v>
      </c>
      <c r="P23" s="24" t="str">
        <f>_xlfn.TEXTJOIN("--",TRUE,charge_link_periods[[#This Row],[charge_code]],charge_link_periods[[#This Row],[charge_owner_id]],charge_link_periods[[#This Row],[energy_supplier_id]],charge_link_periods[[#This Row],[metering_point_type]],charge_link_periods[[#This Row],[ga]],charge_link_periods[[#This Row],[settlement_method]])</f>
        <v>tariff-daily-1--0000000000800--3000000000000--consumption--800--non_profiled</v>
      </c>
    </row>
    <row r="24" spans="1:16" x14ac:dyDescent="0.35">
      <c r="A24" s="24" t="s">
        <v>100</v>
      </c>
      <c r="B24" s="24" t="s">
        <v>2</v>
      </c>
      <c r="C24" s="24" t="s">
        <v>103</v>
      </c>
      <c r="D24" s="24" t="s">
        <v>28</v>
      </c>
      <c r="E24" s="24" t="s">
        <v>57</v>
      </c>
      <c r="F24" s="24" t="s">
        <v>152</v>
      </c>
      <c r="G24" s="24" t="s">
        <v>157</v>
      </c>
      <c r="H24" s="24" t="str">
        <f>IFERROR(INDEX(charge_price_information_periods[],MATCH(charge_link_periods[[#This Row],[charge_code]],charge_price_information_periods[charge_code],0),4),"")</f>
        <v>P1D</v>
      </c>
      <c r="I24" s="24">
        <f>IF(charge_link_periods[[#This Row],[quantity]]="","",VALUE(charge_link_periods[[#This Row],[quantity]]))</f>
        <v>1</v>
      </c>
      <c r="J24" s="24" t="str">
        <f>_xlfn.IFNA(IF(AND(VLOOKUP(charge_link_periods[[#This Row],[metering_point_id]],metering_point_periods[],2,FALSE)&lt;&gt;"E17",VLOOKUP(charge_link_periods[[#This Row],[metering_point_id]],metering_point_periods[],2,FALSE)&lt;&gt;"E18"),VLOOKUP(VLOOKUP(charge_link_periods[[#This Row],[metering_point_id]],metering_point_periods[],9,FALSE),metering_point_periods[],10,FALSE),VLOOKUP(charge_link_periods[[#This Row],[metering_point_id]],metering_point_periods[],10,FALSE)),"")</f>
        <v>3000000000000</v>
      </c>
      <c r="K24" s="24" t="str">
        <f>_xlfn.IFNA(VLOOKUP(VLOOKUP(charge_link_periods[[#This Row],[metering_point_id]],metering_point_periods[],2,FALSE),MPTypeMapping[],2,FALSE),"")</f>
        <v>consumption</v>
      </c>
      <c r="L24" s="24" t="str">
        <f>_xlfn.IFNA(VLOOKUP(VLOOKUP(charge_link_periods[[#This Row],[metering_point_id]],metering_point_periods[],4,FALSE),SettlementMapping[],2,FALSE),"")</f>
        <v>non_profiled</v>
      </c>
      <c r="M24" s="24" t="str">
        <f>IFERROR(INDEX('calculation_arguments'!F$3:H$98,MATCH(charge_link_periods[[#This Row],[from_date]],'calculation_arguments'!H$3:H$98,0),1),"")</f>
        <v/>
      </c>
      <c r="N24" s="24" t="str">
        <f>IFERROR(INDEX('calculation_arguments'!F$3:H$98,MATCH(charge_link_periods[[#This Row],[to_date]],'calculation_arguments'!H$3:H$98,0),1),"")</f>
        <v>Day4</v>
      </c>
      <c r="O24" s="24" t="str">
        <f>IFERROR(INDEX(metering_point_periods[],MATCH(charge_link_periods[[#This Row],[metering_point_id]],metering_point_periods[metering_point_id],0),5),"")</f>
        <v>800</v>
      </c>
      <c r="P24" s="24" t="str">
        <f>_xlfn.TEXTJOIN("--",TRUE,charge_link_periods[[#This Row],[charge_code]],charge_link_periods[[#This Row],[charge_owner_id]],charge_link_periods[[#This Row],[energy_supplier_id]],charge_link_periods[[#This Row],[metering_point_type]],charge_link_periods[[#This Row],[ga]],charge_link_periods[[#This Row],[settlement_method]])</f>
        <v>tariff-daily-1--0000000000800--3000000000000--consumption--800--non_profiled</v>
      </c>
    </row>
    <row r="25" spans="1:16" x14ac:dyDescent="0.35">
      <c r="A25" s="24" t="s">
        <v>102</v>
      </c>
      <c r="B25" s="24" t="s">
        <v>2</v>
      </c>
      <c r="C25" s="24" t="s">
        <v>82</v>
      </c>
      <c r="D25" s="24" t="s">
        <v>27</v>
      </c>
      <c r="E25" s="24" t="s">
        <v>57</v>
      </c>
      <c r="F25" s="24" t="s">
        <v>152</v>
      </c>
      <c r="G25" s="24" t="s">
        <v>157</v>
      </c>
      <c r="H25" s="24" t="str">
        <f>IFERROR(INDEX(charge_price_information_periods[],MATCH(charge_link_periods[[#This Row],[charge_code]],charge_price_information_periods[charge_code],0),4),"")</f>
        <v>P1D</v>
      </c>
      <c r="I25" s="24">
        <f>IF(charge_link_periods[[#This Row],[quantity]]="","",VALUE(charge_link_periods[[#This Row],[quantity]]))</f>
        <v>1</v>
      </c>
      <c r="J25" s="24" t="str">
        <f>_xlfn.IFNA(IF(AND(VLOOKUP(charge_link_periods[[#This Row],[metering_point_id]],metering_point_periods[],2,FALSE)&lt;&gt;"E17",VLOOKUP(charge_link_periods[[#This Row],[metering_point_id]],metering_point_periods[],2,FALSE)&lt;&gt;"E18"),VLOOKUP(VLOOKUP(charge_link_periods[[#This Row],[metering_point_id]],metering_point_periods[],9,FALSE),metering_point_periods[],10,FALSE),VLOOKUP(charge_link_periods[[#This Row],[metering_point_id]],metering_point_periods[],10,FALSE)),"")</f>
        <v>1000000000000</v>
      </c>
      <c r="K25" s="24" t="str">
        <f>_xlfn.IFNA(VLOOKUP(VLOOKUP(charge_link_periods[[#This Row],[metering_point_id]],metering_point_periods[],2,FALSE),MPTypeMapping[],2,FALSE),"")</f>
        <v>consumption_from_grid</v>
      </c>
      <c r="L25" s="24" t="str">
        <f>_xlfn.IFNA(VLOOKUP(VLOOKUP(charge_link_periods[[#This Row],[metering_point_id]],metering_point_periods[],4,FALSE),SettlementMapping[],2,FALSE),"")</f>
        <v/>
      </c>
      <c r="M25" s="24" t="str">
        <f>IFERROR(INDEX('calculation_arguments'!F$3:H$98,MATCH(charge_link_periods[[#This Row],[from_date]],'calculation_arguments'!H$3:H$98,0),1),"")</f>
        <v/>
      </c>
      <c r="N25" s="24" t="str">
        <f>IFERROR(INDEX('calculation_arguments'!F$3:H$98,MATCH(charge_link_periods[[#This Row],[to_date]],'calculation_arguments'!H$3:H$98,0),1),"")</f>
        <v>Day4</v>
      </c>
      <c r="O25" s="24" t="str">
        <f>IFERROR(INDEX(metering_point_periods[],MATCH(charge_link_periods[[#This Row],[metering_point_id]],metering_point_periods[metering_point_id],0),5),"")</f>
        <v>800</v>
      </c>
      <c r="P25" s="24" t="str">
        <f>_xlfn.TEXTJOIN("--",TRUE,charge_link_periods[[#This Row],[charge_code]],charge_link_periods[[#This Row],[charge_owner_id]],charge_link_periods[[#This Row],[energy_supplier_id]],charge_link_periods[[#This Row],[metering_point_type]],charge_link_periods[[#This Row],[ga]],charge_link_periods[[#This Row],[settlement_method]])</f>
        <v>tariff-daily-3-co_is_tax--6660000000666--1000000000000--consumption_from_grid--800</v>
      </c>
    </row>
    <row r="26" spans="1:16" x14ac:dyDescent="0.35">
      <c r="A26" s="24" t="s">
        <v>105</v>
      </c>
      <c r="B26" s="24" t="s">
        <v>2</v>
      </c>
      <c r="C26" s="24" t="s">
        <v>82</v>
      </c>
      <c r="D26" s="24" t="s">
        <v>3</v>
      </c>
      <c r="E26" s="24" t="s">
        <v>57</v>
      </c>
      <c r="F26" s="24" t="s">
        <v>152</v>
      </c>
      <c r="G26" s="24" t="s">
        <v>157</v>
      </c>
      <c r="H26" s="24" t="str">
        <f>IFERROR(INDEX(charge_price_information_periods[],MATCH(charge_link_periods[[#This Row],[charge_code]],charge_price_information_periods[charge_code],0),4),"")</f>
        <v>P1D</v>
      </c>
      <c r="I26" s="24">
        <f>IF(charge_link_periods[[#This Row],[quantity]]="","",VALUE(charge_link_periods[[#This Row],[quantity]]))</f>
        <v>1</v>
      </c>
      <c r="J26" s="24" t="str">
        <f>_xlfn.IFNA(IF(AND(VLOOKUP(charge_link_periods[[#This Row],[metering_point_id]],metering_point_periods[],2,FALSE)&lt;&gt;"E17",VLOOKUP(charge_link_periods[[#This Row],[metering_point_id]],metering_point_periods[],2,FALSE)&lt;&gt;"E18"),VLOOKUP(VLOOKUP(charge_link_periods[[#This Row],[metering_point_id]],metering_point_periods[],9,FALSE),metering_point_periods[],10,FALSE),VLOOKUP(charge_link_periods[[#This Row],[metering_point_id]],metering_point_periods[],10,FALSE)),"")</f>
        <v>2000000000000</v>
      </c>
      <c r="K26" s="24" t="str">
        <f>_xlfn.IFNA(VLOOKUP(VLOOKUP(charge_link_periods[[#This Row],[metering_point_id]],metering_point_periods[],2,FALSE),MPTypeMapping[],2,FALSE),"")</f>
        <v>production</v>
      </c>
      <c r="L26" s="24" t="str">
        <f>_xlfn.IFNA(VLOOKUP(VLOOKUP(charge_link_periods[[#This Row],[metering_point_id]],metering_point_periods[],4,FALSE),SettlementMapping[],2,FALSE),"")</f>
        <v/>
      </c>
      <c r="M26" s="24" t="str">
        <f>IFERROR(INDEX('calculation_arguments'!F$3:H$98,MATCH(charge_link_periods[[#This Row],[from_date]],'calculation_arguments'!H$3:H$98,0),1),"")</f>
        <v/>
      </c>
      <c r="N26" s="24" t="str">
        <f>IFERROR(INDEX('calculation_arguments'!F$3:H$98,MATCH(charge_link_periods[[#This Row],[to_date]],'calculation_arguments'!H$3:H$98,0),1),"")</f>
        <v>Day4</v>
      </c>
      <c r="O26" s="24" t="str">
        <f>IFERROR(INDEX(metering_point_periods[],MATCH(charge_link_periods[[#This Row],[metering_point_id]],metering_point_periods[metering_point_id],0),5),"")</f>
        <v>800</v>
      </c>
      <c r="P26" s="24" t="str">
        <f>_xlfn.TEXTJOIN("--",TRUE,charge_link_periods[[#This Row],[charge_code]],charge_link_periods[[#This Row],[charge_owner_id]],charge_link_periods[[#This Row],[energy_supplier_id]],charge_link_periods[[#This Row],[metering_point_type]],charge_link_periods[[#This Row],[ga]],charge_link_periods[[#This Row],[settlement_method]])</f>
        <v>tariff-daily-4-co_is_not_tax--6660000000666--2000000000000--production--800</v>
      </c>
    </row>
    <row r="27" spans="1:16" x14ac:dyDescent="0.35">
      <c r="A27" s="24" t="s">
        <v>101</v>
      </c>
      <c r="B27" s="24" t="s">
        <v>2</v>
      </c>
      <c r="C27" s="24" t="s">
        <v>103</v>
      </c>
      <c r="D27" s="24" t="s">
        <v>5</v>
      </c>
      <c r="E27" s="24" t="s">
        <v>57</v>
      </c>
      <c r="F27" s="24" t="s">
        <v>152</v>
      </c>
      <c r="G27" s="24" t="s">
        <v>157</v>
      </c>
      <c r="H27" s="24" t="str">
        <f>IFERROR(INDEX(charge_price_information_periods[],MATCH(charge_link_periods[[#This Row],[charge_code]],charge_price_information_periods[charge_code],0),4),"")</f>
        <v>P1D</v>
      </c>
      <c r="I27" s="24">
        <f>IF(charge_link_periods[[#This Row],[quantity]]="","",VALUE(charge_link_periods[[#This Row],[quantity]]))</f>
        <v>1</v>
      </c>
      <c r="J27" s="24" t="str">
        <f>_xlfn.IFNA(IF(AND(VLOOKUP(charge_link_periods[[#This Row],[metering_point_id]],metering_point_periods[],2,FALSE)&lt;&gt;"E17",VLOOKUP(charge_link_periods[[#This Row],[metering_point_id]],metering_point_periods[],2,FALSE)&lt;&gt;"E18"),VLOOKUP(VLOOKUP(charge_link_periods[[#This Row],[metering_point_id]],metering_point_periods[],9,FALSE),metering_point_periods[],10,FALSE),VLOOKUP(charge_link_periods[[#This Row],[metering_point_id]],metering_point_periods[],10,FALSE)),"")</f>
        <v>4000000000000</v>
      </c>
      <c r="K27" s="24" t="str">
        <f>_xlfn.IFNA(VLOOKUP(VLOOKUP(charge_link_periods[[#This Row],[metering_point_id]],metering_point_periods[],2,FALSE),MPTypeMapping[],2,FALSE),"")</f>
        <v>production</v>
      </c>
      <c r="L27" s="24" t="str">
        <f>_xlfn.IFNA(VLOOKUP(VLOOKUP(charge_link_periods[[#This Row],[metering_point_id]],metering_point_periods[],4,FALSE),SettlementMapping[],2,FALSE),"")</f>
        <v/>
      </c>
      <c r="M27" s="24" t="str">
        <f>IFERROR(INDEX('calculation_arguments'!F$3:H$98,MATCH(charge_link_periods[[#This Row],[from_date]],'calculation_arguments'!H$3:H$98,0),1),"")</f>
        <v/>
      </c>
      <c r="N27" s="24" t="str">
        <f>IFERROR(INDEX('calculation_arguments'!F$3:H$98,MATCH(charge_link_periods[[#This Row],[to_date]],'calculation_arguments'!H$3:H$98,0),1),"")</f>
        <v>Day4</v>
      </c>
      <c r="O27" s="24" t="str">
        <f>IFERROR(INDEX(metering_point_periods[],MATCH(charge_link_periods[[#This Row],[metering_point_id]],metering_point_periods[metering_point_id],0),5),"")</f>
        <v>800</v>
      </c>
      <c r="P27" s="24" t="str">
        <f>_xlfn.TEXTJOIN("--",TRUE,charge_link_periods[[#This Row],[charge_code]],charge_link_periods[[#This Row],[charge_owner_id]],charge_link_periods[[#This Row],[energy_supplier_id]],charge_link_periods[[#This Row],[metering_point_type]],charge_link_periods[[#This Row],[ga]],charge_link_periods[[#This Row],[settlement_method]])</f>
        <v>tariff-daily-2--0000000000800--4000000000000--production--800</v>
      </c>
    </row>
    <row r="28" spans="1:16" x14ac:dyDescent="0.35">
      <c r="A28" s="24" t="s">
        <v>101</v>
      </c>
      <c r="B28" s="24" t="s">
        <v>2</v>
      </c>
      <c r="C28" s="24" t="s">
        <v>103</v>
      </c>
      <c r="D28" s="24" t="s">
        <v>4</v>
      </c>
      <c r="E28" s="24" t="s">
        <v>57</v>
      </c>
      <c r="F28" s="24" t="s">
        <v>152</v>
      </c>
      <c r="G28" s="24" t="s">
        <v>157</v>
      </c>
      <c r="H28" s="24" t="str">
        <f>IFERROR(INDEX(charge_price_information_periods[],MATCH(charge_link_periods[[#This Row],[charge_code]],charge_price_information_periods[charge_code],0),4),"")</f>
        <v>P1D</v>
      </c>
      <c r="I28" s="24">
        <f>IF(charge_link_periods[[#This Row],[quantity]]="","",VALUE(charge_link_periods[[#This Row],[quantity]]))</f>
        <v>1</v>
      </c>
      <c r="J28" s="24" t="str">
        <f>_xlfn.IFNA(IF(AND(VLOOKUP(charge_link_periods[[#This Row],[metering_point_id]],metering_point_periods[],2,FALSE)&lt;&gt;"E17",VLOOKUP(charge_link_periods[[#This Row],[metering_point_id]],metering_point_periods[],2,FALSE)&lt;&gt;"E18"),VLOOKUP(VLOOKUP(charge_link_periods[[#This Row],[metering_point_id]],metering_point_periods[],9,FALSE),metering_point_periods[],10,FALSE),VLOOKUP(charge_link_periods[[#This Row],[metering_point_id]],metering_point_periods[],10,FALSE)),"")</f>
        <v>2000000000000</v>
      </c>
      <c r="K28" s="24" t="str">
        <f>_xlfn.IFNA(VLOOKUP(VLOOKUP(charge_link_periods[[#This Row],[metering_point_id]],metering_point_periods[],2,FALSE),MPTypeMapping[],2,FALSE),"")</f>
        <v>own_production</v>
      </c>
      <c r="L28" s="24" t="str">
        <f>_xlfn.IFNA(VLOOKUP(VLOOKUP(charge_link_periods[[#This Row],[metering_point_id]],metering_point_periods[],4,FALSE),SettlementMapping[],2,FALSE),"")</f>
        <v/>
      </c>
      <c r="M28" s="24" t="str">
        <f>IFERROR(INDEX('calculation_arguments'!F$3:H$98,MATCH(charge_link_periods[[#This Row],[from_date]],'calculation_arguments'!H$3:H$98,0),1),"")</f>
        <v/>
      </c>
      <c r="N28" s="24" t="str">
        <f>IFERROR(INDEX('calculation_arguments'!F$3:H$98,MATCH(charge_link_periods[[#This Row],[to_date]],'calculation_arguments'!H$3:H$98,0),1),"")</f>
        <v>Day4</v>
      </c>
      <c r="O28" s="24" t="str">
        <f>IFERROR(INDEX(metering_point_periods[],MATCH(charge_link_periods[[#This Row],[metering_point_id]],metering_point_periods[metering_point_id],0),5),"")</f>
        <v>800</v>
      </c>
      <c r="P28" s="24" t="str">
        <f>_xlfn.TEXTJOIN("--",TRUE,charge_link_periods[[#This Row],[charge_code]],charge_link_periods[[#This Row],[charge_owner_id]],charge_link_periods[[#This Row],[energy_supplier_id]],charge_link_periods[[#This Row],[metering_point_type]],charge_link_periods[[#This Row],[ga]],charge_link_periods[[#This Row],[settlement_method]])</f>
        <v>tariff-daily-2--0000000000800--2000000000000--own_production--800</v>
      </c>
    </row>
    <row r="29" spans="1:16" x14ac:dyDescent="0.35">
      <c r="A29" s="24" t="s">
        <v>100</v>
      </c>
      <c r="B29" s="24" t="s">
        <v>2</v>
      </c>
      <c r="C29" s="24" t="s">
        <v>103</v>
      </c>
      <c r="D29" s="24" t="s">
        <v>108</v>
      </c>
      <c r="E29" s="24" t="s">
        <v>57</v>
      </c>
      <c r="F29" s="24" t="s">
        <v>152</v>
      </c>
      <c r="G29" s="24" t="s">
        <v>157</v>
      </c>
      <c r="H29" s="24" t="str">
        <f>IFERROR(INDEX(charge_price_information_periods[],MATCH(charge_link_periods[[#This Row],[charge_code]],charge_price_information_periods[charge_code],0),4),"")</f>
        <v>P1D</v>
      </c>
      <c r="I29" s="24">
        <f>IF(charge_link_periods[[#This Row],[quantity]]="","",VALUE(charge_link_periods[[#This Row],[quantity]]))</f>
        <v>1</v>
      </c>
      <c r="J29" s="24" t="str">
        <f>_xlfn.IFNA(IF(AND(VLOOKUP(charge_link_periods[[#This Row],[metering_point_id]],metering_point_periods[],2,FALSE)&lt;&gt;"E17",VLOOKUP(charge_link_periods[[#This Row],[metering_point_id]],metering_point_periods[],2,FALSE)&lt;&gt;"E18"),VLOOKUP(VLOOKUP(charge_link_periods[[#This Row],[metering_point_id]],metering_point_periods[],9,FALSE),metering_point_periods[],10,FALSE),VLOOKUP(charge_link_periods[[#This Row],[metering_point_id]],metering_point_periods[],10,FALSE)),"")</f>
        <v>2000000000000</v>
      </c>
      <c r="K29" s="24" t="str">
        <f>_xlfn.IFNA(VLOOKUP(VLOOKUP(charge_link_periods[[#This Row],[metering_point_id]],metering_point_periods[],2,FALSE),MPTypeMapping[],2,FALSE),"")</f>
        <v>production</v>
      </c>
      <c r="L29" s="24" t="str">
        <f>_xlfn.IFNA(VLOOKUP(VLOOKUP(charge_link_periods[[#This Row],[metering_point_id]],metering_point_periods[],4,FALSE),SettlementMapping[],2,FALSE),"")</f>
        <v/>
      </c>
      <c r="M29" s="24" t="str">
        <f>IFERROR(INDEX('calculation_arguments'!F$3:H$98,MATCH(charge_link_periods[[#This Row],[from_date]],'calculation_arguments'!H$3:H$98,0),1),"")</f>
        <v/>
      </c>
      <c r="N29" s="24" t="str">
        <f>IFERROR(INDEX('calculation_arguments'!F$3:H$98,MATCH(charge_link_periods[[#This Row],[to_date]],'calculation_arguments'!H$3:H$98,0),1),"")</f>
        <v>Day4</v>
      </c>
      <c r="O29" s="24" t="str">
        <f>IFERROR(INDEX(metering_point_periods[],MATCH(charge_link_periods[[#This Row],[metering_point_id]],metering_point_periods[metering_point_id],0),5),"")</f>
        <v>111</v>
      </c>
      <c r="P29" s="24" t="str">
        <f>_xlfn.TEXTJOIN("--",TRUE,charge_link_periods[[#This Row],[charge_code]],charge_link_periods[[#This Row],[charge_owner_id]],charge_link_periods[[#This Row],[energy_supplier_id]],charge_link_periods[[#This Row],[metering_point_type]],charge_link_periods[[#This Row],[ga]],charge_link_periods[[#This Row],[settlement_method]])</f>
        <v>tariff-daily-1--0000000000800--2000000000000--production--111</v>
      </c>
    </row>
    <row r="30" spans="1:16" x14ac:dyDescent="0.35">
      <c r="A30" s="24" t="s">
        <v>94</v>
      </c>
      <c r="B30" s="24" t="s">
        <v>15</v>
      </c>
      <c r="C30" s="24" t="s">
        <v>103</v>
      </c>
      <c r="D30" s="24" t="s">
        <v>110</v>
      </c>
      <c r="E30" s="24" t="s">
        <v>153</v>
      </c>
      <c r="F30" s="24" t="s">
        <v>152</v>
      </c>
      <c r="G30" s="24" t="s">
        <v>157</v>
      </c>
      <c r="H30" s="24" t="str">
        <f>IFERROR(INDEX(charge_price_information_periods[],MATCH(charge_link_periods[[#This Row],[charge_code]],charge_price_information_periods[charge_code],0),4),"")</f>
        <v>P1M</v>
      </c>
      <c r="I30" s="24">
        <f>IF(charge_link_periods[[#This Row],[quantity]]="","",VALUE(charge_link_periods[[#This Row],[quantity]]))</f>
        <v>2</v>
      </c>
      <c r="J30" s="24" t="str">
        <f>_xlfn.IFNA(IF(AND(VLOOKUP(charge_link_periods[[#This Row],[metering_point_id]],metering_point_periods[],2,FALSE)&lt;&gt;"E17",VLOOKUP(charge_link_periods[[#This Row],[metering_point_id]],metering_point_periods[],2,FALSE)&lt;&gt;"E18"),VLOOKUP(VLOOKUP(charge_link_periods[[#This Row],[metering_point_id]],metering_point_periods[],9,FALSE),metering_point_periods[],10,FALSE),VLOOKUP(charge_link_periods[[#This Row],[metering_point_id]],metering_point_periods[],10,FALSE)),"")</f>
        <v>2000000000000</v>
      </c>
      <c r="K30" s="24" t="str">
        <f>_xlfn.IFNA(VLOOKUP(VLOOKUP(charge_link_periods[[#This Row],[metering_point_id]],metering_point_periods[],2,FALSE),MPTypeMapping[],2,FALSE),"")</f>
        <v>production</v>
      </c>
      <c r="L30" s="24" t="str">
        <f>_xlfn.IFNA(VLOOKUP(VLOOKUP(charge_link_periods[[#This Row],[metering_point_id]],metering_point_periods[],4,FALSE),SettlementMapping[],2,FALSE),"")</f>
        <v/>
      </c>
      <c r="M30" s="24" t="str">
        <f>IFERROR(INDEX('calculation_arguments'!F$3:H$98,MATCH(charge_link_periods[[#This Row],[from_date]],'calculation_arguments'!H$3:H$98,0),1),"")</f>
        <v/>
      </c>
      <c r="N30" s="24" t="str">
        <f>IFERROR(INDEX('calculation_arguments'!F$3:H$98,MATCH(charge_link_periods[[#This Row],[to_date]],'calculation_arguments'!H$3:H$98,0),1),"")</f>
        <v>Day4</v>
      </c>
      <c r="O30" s="24" t="str">
        <f>IFERROR(INDEX(metering_point_periods[],MATCH(charge_link_periods[[#This Row],[metering_point_id]],metering_point_periods[metering_point_id],0),5),"")</f>
        <v>111</v>
      </c>
      <c r="P30" s="24" t="str">
        <f>_xlfn.TEXTJOIN("--",TRUE,charge_link_periods[[#This Row],[charge_code]],charge_link_periods[[#This Row],[charge_owner_id]],charge_link_periods[[#This Row],[energy_supplier_id]],charge_link_periods[[#This Row],[metering_point_type]],charge_link_periods[[#This Row],[ga]],charge_link_periods[[#This Row],[settlement_method]])</f>
        <v>subscription-1--0000000000800--2000000000000--production--111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7D95-73F3-4662-8877-0B60C0339CA4}">
  <dimension ref="A1:H20"/>
  <sheetViews>
    <sheetView workbookViewId="0">
      <selection activeCell="D18" sqref="D18"/>
    </sheetView>
  </sheetViews>
  <sheetFormatPr defaultRowHeight="14.5" x14ac:dyDescent="0.35"/>
  <cols>
    <col min="1" max="1" width="22.453125" style="25" bestFit="1" customWidth="1"/>
    <col min="2" max="2" width="13.1796875" style="25" bestFit="1" customWidth="1"/>
    <col min="3" max="3" width="17.1796875" style="25" bestFit="1" customWidth="1"/>
    <col min="4" max="4" width="13.81640625" style="25" bestFit="1" customWidth="1"/>
    <col min="5" max="5" width="24.36328125" style="25" bestFit="1" customWidth="1"/>
    <col min="6" max="6" width="23.6328125" style="25" bestFit="1" customWidth="1"/>
    <col min="7" max="7" width="22.81640625" style="25" bestFit="1" customWidth="1"/>
    <col min="8" max="8" width="17.26953125" style="25" bestFit="1" customWidth="1"/>
    <col min="9" max="16384" width="8.7265625" style="25"/>
  </cols>
  <sheetData>
    <row r="1" spans="1:8" x14ac:dyDescent="0.35">
      <c r="A1" s="24" t="s">
        <v>7</v>
      </c>
      <c r="B1" s="24" t="s">
        <v>8</v>
      </c>
      <c r="C1" s="24" t="s">
        <v>9</v>
      </c>
      <c r="D1" s="24" t="s">
        <v>0</v>
      </c>
      <c r="E1" s="24" t="s">
        <v>61</v>
      </c>
      <c r="F1" s="24" t="s">
        <v>121</v>
      </c>
      <c r="G1" s="24" t="s">
        <v>70</v>
      </c>
      <c r="H1" s="24" t="s">
        <v>137</v>
      </c>
    </row>
    <row r="2" spans="1:8" x14ac:dyDescent="0.35">
      <c r="A2" s="22" t="s">
        <v>91</v>
      </c>
      <c r="B2" s="22" t="s">
        <v>14</v>
      </c>
      <c r="C2" s="22" t="s">
        <v>103</v>
      </c>
      <c r="D2" s="22" t="s">
        <v>185</v>
      </c>
      <c r="E2" s="22" t="s">
        <v>62</v>
      </c>
      <c r="F2" s="22">
        <f>IFERROR(VALUE(SUBSTITUTE(charge_price_points[[#This Row],[charge_price]],".",",")),"")</f>
        <v>99</v>
      </c>
      <c r="G2" s="22" t="str">
        <f t="shared" ref="G2:G20" si="0">LEFT(E2,19)</f>
        <v>2023-02-01 23:00:00</v>
      </c>
      <c r="H2" s="22" t="str">
        <f>LEFT(charge_price_points[[#This Row],[charge_time]],10)</f>
        <v>2023-02-01</v>
      </c>
    </row>
    <row r="3" spans="1:8" x14ac:dyDescent="0.35">
      <c r="A3" s="22" t="s">
        <v>91</v>
      </c>
      <c r="B3" s="22" t="s">
        <v>14</v>
      </c>
      <c r="C3" s="22" t="s">
        <v>103</v>
      </c>
      <c r="D3" s="22" t="s">
        <v>186</v>
      </c>
      <c r="E3" s="22" t="s">
        <v>63</v>
      </c>
      <c r="F3" s="22">
        <f>IFERROR(VALUE(SUBSTITUTE(charge_price_points[[#This Row],[charge_price]],".",",")),"")</f>
        <v>55</v>
      </c>
      <c r="G3" s="22" t="str">
        <f t="shared" si="0"/>
        <v>2023-02-02 23:00:00</v>
      </c>
      <c r="H3" s="22" t="str">
        <f>LEFT(charge_price_points[[#This Row],[charge_time]],10)</f>
        <v>2023-02-02</v>
      </c>
    </row>
    <row r="4" spans="1:8" x14ac:dyDescent="0.35">
      <c r="A4" s="22" t="s">
        <v>92</v>
      </c>
      <c r="B4" s="22" t="s">
        <v>14</v>
      </c>
      <c r="C4" s="22" t="s">
        <v>103</v>
      </c>
      <c r="D4" s="22" t="s">
        <v>187</v>
      </c>
      <c r="E4" s="22" t="s">
        <v>63</v>
      </c>
      <c r="F4" s="22">
        <f>IFERROR(VALUE(SUBSTITUTE(charge_price_points[[#This Row],[charge_price]],".",",")),"")</f>
        <v>22</v>
      </c>
      <c r="G4" s="22" t="str">
        <f t="shared" si="0"/>
        <v>2023-02-02 23:00:00</v>
      </c>
      <c r="H4" s="22" t="str">
        <f>LEFT(charge_price_points[[#This Row],[charge_time]],10)</f>
        <v>2023-02-02</v>
      </c>
    </row>
    <row r="5" spans="1:8" x14ac:dyDescent="0.35">
      <c r="A5" s="22" t="s">
        <v>93</v>
      </c>
      <c r="B5" s="22" t="s">
        <v>14</v>
      </c>
      <c r="C5" s="22" t="s">
        <v>103</v>
      </c>
      <c r="D5" s="22" t="s">
        <v>188</v>
      </c>
      <c r="E5" s="22" t="s">
        <v>63</v>
      </c>
      <c r="F5" s="22">
        <f>IFERROR(VALUE(SUBSTITUTE(charge_price_points[[#This Row],[charge_price]],".",",")),"")</f>
        <v>19</v>
      </c>
      <c r="G5" s="22" t="str">
        <f t="shared" si="0"/>
        <v>2023-02-02 23:00:00</v>
      </c>
      <c r="H5" s="22" t="str">
        <f>LEFT(charge_price_points[[#This Row],[charge_time]],10)</f>
        <v>2023-02-02</v>
      </c>
    </row>
    <row r="6" spans="1:8" x14ac:dyDescent="0.35">
      <c r="A6" s="22" t="s">
        <v>94</v>
      </c>
      <c r="B6" s="22" t="s">
        <v>15</v>
      </c>
      <c r="C6" s="22" t="s">
        <v>103</v>
      </c>
      <c r="D6" s="22" t="s">
        <v>119</v>
      </c>
      <c r="E6" s="22" t="s">
        <v>64</v>
      </c>
      <c r="F6" s="22">
        <f>IFERROR(VALUE(SUBSTITUTE(charge_price_points[[#This Row],[charge_price]],".",",")),"")</f>
        <v>0.90860200000000002</v>
      </c>
      <c r="G6" s="22" t="str">
        <f t="shared" si="0"/>
        <v>2023-01-31 23:00:00</v>
      </c>
      <c r="H6" s="22" t="str">
        <f>LEFT(charge_price_points[[#This Row],[charge_time]],10)</f>
        <v>2023-01-31</v>
      </c>
    </row>
    <row r="7" spans="1:8" x14ac:dyDescent="0.35">
      <c r="A7" s="22" t="s">
        <v>95</v>
      </c>
      <c r="B7" s="22" t="s">
        <v>15</v>
      </c>
      <c r="C7" s="22" t="s">
        <v>103</v>
      </c>
      <c r="D7" s="22" t="s">
        <v>123</v>
      </c>
      <c r="E7" s="22" t="s">
        <v>64</v>
      </c>
      <c r="F7" s="22">
        <f>IFERROR(VALUE(SUBSTITUTE(charge_price_points[[#This Row],[charge_price]],".",",")),"")</f>
        <v>3</v>
      </c>
      <c r="G7" s="22" t="str">
        <f t="shared" si="0"/>
        <v>2023-01-31 23:00:00</v>
      </c>
      <c r="H7" s="22" t="str">
        <f>LEFT(charge_price_points[[#This Row],[charge_time]],10)</f>
        <v>2023-01-31</v>
      </c>
    </row>
    <row r="8" spans="1:8" x14ac:dyDescent="0.35">
      <c r="A8" s="22" t="s">
        <v>96</v>
      </c>
      <c r="B8" s="22" t="s">
        <v>15</v>
      </c>
      <c r="C8" s="22" t="s">
        <v>103</v>
      </c>
      <c r="D8" s="22" t="s">
        <v>123</v>
      </c>
      <c r="E8" s="22" t="s">
        <v>64</v>
      </c>
      <c r="F8" s="22">
        <f>IFERROR(VALUE(SUBSTITUTE(charge_price_points[[#This Row],[charge_price]],".",",")),"")</f>
        <v>3</v>
      </c>
      <c r="G8" s="22" t="str">
        <f t="shared" si="0"/>
        <v>2023-01-31 23:00:00</v>
      </c>
      <c r="H8" s="22" t="str">
        <f>LEFT(charge_price_points[[#This Row],[charge_time]],10)</f>
        <v>2023-01-31</v>
      </c>
    </row>
    <row r="9" spans="1:8" x14ac:dyDescent="0.35">
      <c r="A9" s="22" t="s">
        <v>97</v>
      </c>
      <c r="B9" s="22" t="s">
        <v>2</v>
      </c>
      <c r="C9" s="22" t="s">
        <v>103</v>
      </c>
      <c r="D9" s="22" t="s">
        <v>124</v>
      </c>
      <c r="E9" s="22" t="s">
        <v>65</v>
      </c>
      <c r="F9" s="22">
        <f>IFERROR(VALUE(SUBSTITUTE(charge_price_points[[#This Row],[charge_price]],".",",")),"")</f>
        <v>10</v>
      </c>
      <c r="G9" s="22" t="str">
        <f t="shared" si="0"/>
        <v>2023-02-01 02:00:00</v>
      </c>
      <c r="H9" s="22" t="str">
        <f>LEFT(charge_price_points[[#This Row],[charge_time]],10)</f>
        <v>2023-02-01</v>
      </c>
    </row>
    <row r="10" spans="1:8" x14ac:dyDescent="0.35">
      <c r="A10" s="22" t="s">
        <v>97</v>
      </c>
      <c r="B10" s="22" t="s">
        <v>2</v>
      </c>
      <c r="C10" s="22" t="s">
        <v>103</v>
      </c>
      <c r="D10" s="22" t="s">
        <v>124</v>
      </c>
      <c r="E10" s="22" t="s">
        <v>88</v>
      </c>
      <c r="F10" s="22">
        <f>IFERROR(VALUE(SUBSTITUTE(charge_price_points[[#This Row],[charge_price]],".",",")),"")</f>
        <v>10</v>
      </c>
      <c r="G10" s="22" t="str">
        <f t="shared" si="0"/>
        <v>2023-02-03 02:00:00</v>
      </c>
      <c r="H10" s="22" t="str">
        <f>LEFT(charge_price_points[[#This Row],[charge_time]],10)</f>
        <v>2023-02-03</v>
      </c>
    </row>
    <row r="11" spans="1:8" x14ac:dyDescent="0.35">
      <c r="A11" s="22" t="s">
        <v>97</v>
      </c>
      <c r="B11" s="22" t="s">
        <v>2</v>
      </c>
      <c r="C11" s="22" t="s">
        <v>103</v>
      </c>
      <c r="D11" s="22" t="s">
        <v>189</v>
      </c>
      <c r="E11" s="22" t="s">
        <v>190</v>
      </c>
      <c r="F11" s="22">
        <f>IFERROR(VALUE(SUBSTITUTE(charge_price_points[[#This Row],[charge_price]],".",",")),"")</f>
        <v>2.99</v>
      </c>
      <c r="G11" s="22" t="str">
        <f t="shared" si="0"/>
        <v>2023-02-03 03:00:00</v>
      </c>
      <c r="H11" s="22" t="str">
        <f>LEFT(charge_price_points[[#This Row],[charge_time]],10)</f>
        <v>2023-02-03</v>
      </c>
    </row>
    <row r="12" spans="1:8" x14ac:dyDescent="0.35">
      <c r="A12" s="22" t="s">
        <v>97</v>
      </c>
      <c r="B12" s="22" t="s">
        <v>2</v>
      </c>
      <c r="C12" s="22" t="s">
        <v>103</v>
      </c>
      <c r="D12" s="22" t="s">
        <v>189</v>
      </c>
      <c r="E12" s="22" t="s">
        <v>191</v>
      </c>
      <c r="F12" s="22">
        <f>IFERROR(VALUE(SUBSTITUTE(charge_price_points[[#This Row],[charge_price]],".",",")),"")</f>
        <v>2.99</v>
      </c>
      <c r="G12" s="22" t="str">
        <f t="shared" si="0"/>
        <v>2023-02-03 04:00:00</v>
      </c>
      <c r="H12" s="22" t="str">
        <f>LEFT(charge_price_points[[#This Row],[charge_time]],10)</f>
        <v>2023-02-03</v>
      </c>
    </row>
    <row r="13" spans="1:8" x14ac:dyDescent="0.35">
      <c r="A13" s="22" t="s">
        <v>97</v>
      </c>
      <c r="B13" s="22" t="s">
        <v>2</v>
      </c>
      <c r="C13" s="22" t="s">
        <v>103</v>
      </c>
      <c r="D13" s="22" t="s">
        <v>124</v>
      </c>
      <c r="E13" s="22" t="s">
        <v>88</v>
      </c>
      <c r="F13" s="22">
        <f>IFERROR(VALUE(SUBSTITUTE(charge_price_points[[#This Row],[charge_price]],".",",")),"")</f>
        <v>10</v>
      </c>
      <c r="G13" s="22" t="str">
        <f t="shared" si="0"/>
        <v>2023-02-03 02:00:00</v>
      </c>
      <c r="H13" s="22" t="str">
        <f>LEFT(charge_price_points[[#This Row],[charge_time]],10)</f>
        <v>2023-02-03</v>
      </c>
    </row>
    <row r="14" spans="1:8" x14ac:dyDescent="0.35">
      <c r="A14" s="22" t="s">
        <v>98</v>
      </c>
      <c r="B14" s="22" t="s">
        <v>2</v>
      </c>
      <c r="C14" s="22" t="s">
        <v>103</v>
      </c>
      <c r="D14" s="22" t="s">
        <v>124</v>
      </c>
      <c r="E14" s="22" t="s">
        <v>88</v>
      </c>
      <c r="F14" s="22">
        <f>IFERROR(VALUE(SUBSTITUTE(charge_price_points[[#This Row],[charge_price]],".",",")),"")</f>
        <v>10</v>
      </c>
      <c r="G14" s="22" t="str">
        <f t="shared" si="0"/>
        <v>2023-02-03 02:00:00</v>
      </c>
      <c r="H14" s="22" t="str">
        <f>LEFT(charge_price_points[[#This Row],[charge_time]],10)</f>
        <v>2023-02-03</v>
      </c>
    </row>
    <row r="15" spans="1:8" x14ac:dyDescent="0.35">
      <c r="A15" s="22" t="s">
        <v>99</v>
      </c>
      <c r="B15" s="22" t="s">
        <v>2</v>
      </c>
      <c r="C15" s="22" t="s">
        <v>103</v>
      </c>
      <c r="D15" s="22" t="s">
        <v>125</v>
      </c>
      <c r="E15" s="22" t="s">
        <v>65</v>
      </c>
      <c r="F15" s="22">
        <f>IFERROR(VALUE(SUBSTITUTE(charge_price_points[[#This Row],[charge_price]],".",",")),"")</f>
        <v>7.6543210000000004</v>
      </c>
      <c r="G15" s="22" t="str">
        <f t="shared" si="0"/>
        <v>2023-02-01 02:00:00</v>
      </c>
      <c r="H15" s="22" t="str">
        <f>LEFT(charge_price_points[[#This Row],[charge_time]],10)</f>
        <v>2023-02-01</v>
      </c>
    </row>
    <row r="16" spans="1:8" x14ac:dyDescent="0.35">
      <c r="A16" s="22" t="s">
        <v>79</v>
      </c>
      <c r="B16" s="22" t="s">
        <v>2</v>
      </c>
      <c r="C16" s="22" t="s">
        <v>82</v>
      </c>
      <c r="D16" s="22" t="s">
        <v>126</v>
      </c>
      <c r="E16" s="22" t="s">
        <v>65</v>
      </c>
      <c r="F16" s="22">
        <f>IFERROR(VALUE(SUBSTITUTE(charge_price_points[[#This Row],[charge_price]],".",",")),"")</f>
        <v>666.66666599999996</v>
      </c>
      <c r="G16" s="22" t="str">
        <f t="shared" si="0"/>
        <v>2023-02-01 02:00:00</v>
      </c>
      <c r="H16" s="22" t="str">
        <f>LEFT(charge_price_points[[#This Row],[charge_time]],10)</f>
        <v>2023-02-01</v>
      </c>
    </row>
    <row r="17" spans="1:8" x14ac:dyDescent="0.35">
      <c r="A17" s="22" t="s">
        <v>100</v>
      </c>
      <c r="B17" s="22" t="s">
        <v>2</v>
      </c>
      <c r="C17" s="22" t="s">
        <v>103</v>
      </c>
      <c r="D17" s="22" t="s">
        <v>120</v>
      </c>
      <c r="E17" s="22" t="s">
        <v>64</v>
      </c>
      <c r="F17" s="22">
        <f>IFERROR(VALUE(SUBSTITUTE(charge_price_points[[#This Row],[charge_price]],".",",")),"")</f>
        <v>1E-3</v>
      </c>
      <c r="G17" s="22" t="str">
        <f t="shared" si="0"/>
        <v>2023-01-31 23:00:00</v>
      </c>
      <c r="H17" s="22" t="str">
        <f>LEFT(charge_price_points[[#This Row],[charge_time]],10)</f>
        <v>2023-01-31</v>
      </c>
    </row>
    <row r="18" spans="1:8" x14ac:dyDescent="0.35">
      <c r="A18" s="22" t="s">
        <v>101</v>
      </c>
      <c r="B18" s="22" t="s">
        <v>2</v>
      </c>
      <c r="C18" s="22" t="s">
        <v>103</v>
      </c>
      <c r="D18" s="22" t="s">
        <v>57</v>
      </c>
      <c r="E18" s="22" t="s">
        <v>64</v>
      </c>
      <c r="F18" s="22">
        <f>IFERROR(VALUE(SUBSTITUTE(charge_price_points[[#This Row],[charge_price]],".",",")),"")</f>
        <v>1</v>
      </c>
      <c r="G18" s="22" t="str">
        <f t="shared" si="0"/>
        <v>2023-01-31 23:00:00</v>
      </c>
      <c r="H18" s="22" t="str">
        <f>LEFT(charge_price_points[[#This Row],[charge_time]],10)</f>
        <v>2023-01-31</v>
      </c>
    </row>
    <row r="19" spans="1:8" x14ac:dyDescent="0.35">
      <c r="A19" s="22" t="s">
        <v>102</v>
      </c>
      <c r="B19" s="22" t="s">
        <v>2</v>
      </c>
      <c r="C19" s="22" t="s">
        <v>82</v>
      </c>
      <c r="D19" s="22" t="s">
        <v>126</v>
      </c>
      <c r="E19" s="22" t="s">
        <v>63</v>
      </c>
      <c r="F19" s="22">
        <f>IFERROR(VALUE(SUBSTITUTE(charge_price_points[[#This Row],[charge_price]],".",",")),"")</f>
        <v>666.66666599999996</v>
      </c>
      <c r="G19" s="22" t="str">
        <f t="shared" si="0"/>
        <v>2023-02-02 23:00:00</v>
      </c>
      <c r="H19" s="22" t="str">
        <f>LEFT(charge_price_points[[#This Row],[charge_time]],10)</f>
        <v>2023-02-02</v>
      </c>
    </row>
    <row r="20" spans="1:8" x14ac:dyDescent="0.35">
      <c r="A20" s="22" t="s">
        <v>105</v>
      </c>
      <c r="B20" s="22" t="s">
        <v>2</v>
      </c>
      <c r="C20" s="22" t="s">
        <v>82</v>
      </c>
      <c r="D20" s="22" t="s">
        <v>124</v>
      </c>
      <c r="E20" s="22" t="s">
        <v>64</v>
      </c>
      <c r="F20" s="22">
        <f>IFERROR(VALUE(SUBSTITUTE(charge_price_points[[#This Row],[charge_price]],".",",")),"")</f>
        <v>10</v>
      </c>
      <c r="G20" s="22" t="str">
        <f t="shared" si="0"/>
        <v>2023-01-31 23:00:00</v>
      </c>
      <c r="H20" s="22" t="str">
        <f>LEFT(charge_price_points[[#This Row],[charge_time]],10)</f>
        <v>2023-01-31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BF6556-4CC3-4E3A-B494-F3FC7DB29D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fee_per_co_es</vt:lpstr>
      <vt:lpstr>subscription_per_co_es</vt:lpstr>
      <vt:lpstr>hourly_tariff_per_co_es</vt:lpstr>
      <vt:lpstr>daily_tariff_per_co_es</vt:lpstr>
      <vt:lpstr>calculation_arguments</vt:lpstr>
      <vt:lpstr>metering_point_periods</vt:lpstr>
      <vt:lpstr>time_series_points</vt:lpstr>
      <vt:lpstr>charge_price_information_period</vt:lpstr>
      <vt:lpstr>charge_link_periods</vt:lpstr>
      <vt:lpstr>charge_price_points</vt:lpstr>
      <vt:lpstr>CalculationExecutionTimeStart</vt:lpstr>
      <vt:lpstr>CalculationId</vt:lpstr>
      <vt:lpstr>CalculationType</vt:lpstr>
      <vt:lpstr>CurrentFilePath</vt:lpstr>
      <vt:lpstr>PeriodEnd</vt:lpstr>
      <vt:lpstr>PeriodStart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2024-06-20T13:39:54Z</dcterms:created>
  <dcterms:modified xsi:type="dcterms:W3CDTF">2024-10-28T11:10:56Z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2024-06-20T13:51:56Z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a7a49ec5-4ae1-4999-a166-9399b31be21f</vt:lpwstr>
  </property>
  <property fmtid="{D5CDD505-2E9C-101B-9397-08002B2CF9AE}" pid="8" name="MSIP_Label_388507bc-e780-4892-8083-f8b069738aec_ContentBits">
    <vt:lpwstr>0</vt:lpwstr>
  </property>
</Properties>
</file>