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5" windowWidth="19440" windowHeight="10305" activeTab="2"/>
  </bookViews>
  <sheets>
    <sheet name="About" sheetId="17" r:id="rId1"/>
    <sheet name="PCFURfE" sheetId="18" r:id="rId2"/>
    <sheet name="Efficiency implications" sheetId="16" r:id="rId3"/>
    <sheet name="Inputs and Initial Calcs" sheetId="1" r:id="rId4"/>
    <sheet name="weighted average of time series" sheetId="13" r:id="rId5"/>
    <sheet name="method collapsing time series" sheetId="14" r:id="rId6"/>
    <sheet name="Space heat -NREL- Fig.20" sheetId="10" r:id="rId7"/>
    <sheet name="Water heat - NREL - Fig.21" sheetId="11" r:id="rId8"/>
  </sheets>
  <calcPr calcId="145621"/>
</workbook>
</file>

<file path=xl/calcChain.xml><?xml version="1.0" encoding="utf-8"?>
<calcChain xmlns="http://schemas.openxmlformats.org/spreadsheetml/2006/main">
  <c r="B17" i="13" l="1"/>
  <c r="C17" i="13" s="1"/>
  <c r="D17" i="13" s="1"/>
  <c r="E17" i="13" s="1"/>
  <c r="F17" i="13" s="1"/>
  <c r="G17" i="13" s="1"/>
  <c r="H17" i="13" s="1"/>
  <c r="I17" i="13" s="1"/>
  <c r="J17" i="13" s="1"/>
  <c r="K17" i="13" s="1"/>
  <c r="L17" i="13" s="1"/>
  <c r="M17" i="13" s="1"/>
  <c r="N17" i="13" s="1"/>
  <c r="O17" i="13" s="1"/>
  <c r="P17" i="13" s="1"/>
  <c r="Q17" i="13" s="1"/>
  <c r="R17" i="13" s="1"/>
  <c r="S17" i="13" s="1"/>
  <c r="T17" i="13" s="1"/>
  <c r="U17" i="13" s="1"/>
  <c r="V17" i="13" s="1"/>
  <c r="W17" i="13" s="1"/>
  <c r="X17" i="13" s="1"/>
  <c r="Y17" i="13" s="1"/>
  <c r="Z17" i="13" s="1"/>
  <c r="AA17" i="13" s="1"/>
  <c r="AB17" i="13" s="1"/>
  <c r="AC17" i="13" s="1"/>
  <c r="AD17" i="13" s="1"/>
  <c r="AE17" i="13" s="1"/>
  <c r="AF17" i="13" s="1"/>
  <c r="AG17" i="13" s="1"/>
  <c r="AH17" i="13" s="1"/>
  <c r="AI17" i="13" s="1"/>
  <c r="A18" i="13"/>
  <c r="A19" i="13"/>
  <c r="G8" i="11"/>
  <c r="G7" i="11"/>
  <c r="G6" i="11"/>
  <c r="G6" i="10"/>
  <c r="G8" i="10"/>
  <c r="G7" i="10"/>
  <c r="E10" i="13"/>
  <c r="F10" i="13"/>
  <c r="G10" i="13"/>
  <c r="H10" i="13"/>
  <c r="I10" i="13"/>
  <c r="J10" i="13"/>
  <c r="E11" i="13"/>
  <c r="F11" i="13"/>
  <c r="G11" i="13"/>
  <c r="H11" i="13"/>
  <c r="I11" i="13"/>
  <c r="J11" i="13"/>
  <c r="K11" i="13"/>
  <c r="L11" i="13"/>
  <c r="M11" i="13"/>
  <c r="N11" i="13"/>
  <c r="O11" i="13"/>
  <c r="P11" i="13" s="1"/>
  <c r="Q11" i="13" l="1"/>
  <c r="R11" i="13" l="1"/>
  <c r="B8" i="13"/>
  <c r="B19" i="13" s="1"/>
  <c r="C19" i="13" s="1"/>
  <c r="D19" i="13" s="1"/>
  <c r="E19" i="13" s="1"/>
  <c r="O19" i="13" l="1"/>
  <c r="E24" i="13"/>
  <c r="S11" i="13"/>
  <c r="B14" i="16"/>
  <c r="A10" i="16"/>
  <c r="A11" i="16"/>
  <c r="A12" i="16"/>
  <c r="B26" i="1"/>
  <c r="B3" i="16" s="1"/>
  <c r="K3" i="14"/>
  <c r="L3" i="14" l="1"/>
  <c r="K10" i="13"/>
  <c r="T11" i="13"/>
  <c r="Y19" i="13"/>
  <c r="P19" i="13" s="1"/>
  <c r="O24" i="13"/>
  <c r="F19" i="13"/>
  <c r="F9" i="11"/>
  <c r="G9" i="11" s="1"/>
  <c r="F8" i="11"/>
  <c r="F7" i="11"/>
  <c r="F6" i="11"/>
  <c r="M9" i="10"/>
  <c r="N9" i="10" s="1"/>
  <c r="M8" i="10"/>
  <c r="N8" i="10" s="1"/>
  <c r="M7" i="10"/>
  <c r="N7" i="10" s="1"/>
  <c r="M6" i="10"/>
  <c r="N6" i="10" s="1"/>
  <c r="F9" i="10"/>
  <c r="G9" i="10" s="1"/>
  <c r="F8" i="10"/>
  <c r="F7" i="10"/>
  <c r="F6" i="10"/>
  <c r="M3" i="14" l="1"/>
  <c r="L10" i="13"/>
  <c r="Q19" i="13"/>
  <c r="P24" i="13"/>
  <c r="F24" i="13"/>
  <c r="G19" i="13"/>
  <c r="U11" i="13"/>
  <c r="B13" i="1"/>
  <c r="B7" i="13" s="1"/>
  <c r="B18" i="13" s="1"/>
  <c r="C18" i="13" s="1"/>
  <c r="D18" i="13" s="1"/>
  <c r="E18" i="13" s="1"/>
  <c r="N3" i="14" l="1"/>
  <c r="M10" i="13"/>
  <c r="O18" i="13"/>
  <c r="E23" i="13"/>
  <c r="R19" i="13"/>
  <c r="Q24" i="13"/>
  <c r="H19" i="13"/>
  <c r="G24" i="13"/>
  <c r="V11" i="13"/>
  <c r="O3" i="14" l="1"/>
  <c r="O10" i="13" s="1"/>
  <c r="N10" i="13"/>
  <c r="Y18" i="13"/>
  <c r="P18" i="13" s="1"/>
  <c r="O23" i="13"/>
  <c r="F18" i="13"/>
  <c r="W11" i="13"/>
  <c r="S19" i="13"/>
  <c r="R24" i="13"/>
  <c r="I19" i="13"/>
  <c r="H24" i="13"/>
  <c r="F23" i="13" l="1"/>
  <c r="G18" i="13"/>
  <c r="T19" i="13"/>
  <c r="S24" i="13"/>
  <c r="J19" i="13"/>
  <c r="I24" i="13"/>
  <c r="X11" i="13"/>
  <c r="Q18" i="13"/>
  <c r="P23" i="13"/>
  <c r="U19" i="13" l="1"/>
  <c r="T24" i="13"/>
  <c r="Y11" i="13"/>
  <c r="R18" i="13"/>
  <c r="Q23" i="13"/>
  <c r="H18" i="13"/>
  <c r="G23" i="13"/>
  <c r="K19" i="13"/>
  <c r="J24" i="13"/>
  <c r="I18" i="13" l="1"/>
  <c r="H23" i="13"/>
  <c r="Y23" i="13"/>
  <c r="Y24" i="13"/>
  <c r="B13" i="13"/>
  <c r="L19" i="13"/>
  <c r="K24" i="13"/>
  <c r="S18" i="13"/>
  <c r="R23" i="13"/>
  <c r="V19" i="13"/>
  <c r="U24" i="13"/>
  <c r="T18" i="13" l="1"/>
  <c r="S23" i="13"/>
  <c r="W19" i="13"/>
  <c r="V24" i="13"/>
  <c r="M19" i="13"/>
  <c r="L24" i="13"/>
  <c r="J18" i="13"/>
  <c r="I23" i="13"/>
  <c r="X19" i="13" l="1"/>
  <c r="X24" i="13" s="1"/>
  <c r="W24" i="13"/>
  <c r="N19" i="13"/>
  <c r="N24" i="13" s="1"/>
  <c r="M24" i="13"/>
  <c r="K18" i="13"/>
  <c r="J23" i="13"/>
  <c r="U18" i="13"/>
  <c r="T23" i="13"/>
  <c r="B28" i="13" l="1"/>
  <c r="B32" i="13" s="1"/>
  <c r="B3" i="13" s="1"/>
  <c r="B12" i="16" s="1"/>
  <c r="B4" i="16" s="1"/>
  <c r="B6" i="18" s="1"/>
  <c r="L18" i="13"/>
  <c r="K23" i="13"/>
  <c r="V18" i="13"/>
  <c r="U23" i="13"/>
  <c r="B7" i="18" l="1"/>
  <c r="W18" i="13"/>
  <c r="V23" i="13"/>
  <c r="M18" i="13"/>
  <c r="L23" i="13"/>
  <c r="X18" i="13" l="1"/>
  <c r="X23" i="13" s="1"/>
  <c r="W23" i="13"/>
  <c r="N18" i="13"/>
  <c r="N23" i="13" s="1"/>
  <c r="M23" i="13"/>
  <c r="B27" i="13" l="1"/>
  <c r="B31" i="13" s="1"/>
  <c r="B2" i="13" s="1"/>
  <c r="B11" i="16" s="1"/>
  <c r="B2" i="16" s="1"/>
  <c r="B2" i="18" s="1"/>
</calcChain>
</file>

<file path=xl/sharedStrings.xml><?xml version="1.0" encoding="utf-8"?>
<sst xmlns="http://schemas.openxmlformats.org/spreadsheetml/2006/main" count="119" uniqueCount="90">
  <si>
    <t>For heating, the calculation is as follows:</t>
  </si>
  <si>
    <t>HSPF = COP * 3.412</t>
  </si>
  <si>
    <t>AFUE = COP*100</t>
  </si>
  <si>
    <t>So 80 AFUE = 0.8 COP</t>
  </si>
  <si>
    <t>And 10.5 HSPF = 3.08 COP</t>
  </si>
  <si>
    <t>for most California buildings, the efficiency of an air source heat pump will actually be better than the manufacturer’s specification. This is because the California climate (at least where most people live) is warmer than the climate at which the specification is evaluated. This (relatively older) paper describes this effect: http://www.fsec.ucf.edu/en/publications/html/FSEC-PF-413-04/ and even attempts to show the relative difference in figure 5. You have to read the legend carefully, but it’s stating that for Los Angeles, a heat pump rated at HSPF 7.8 actually performs at HSPF 10.4 (and COP = HSPF/3.412). Likewise it shows that for San Francisco, the device rated 7.8 performs at 9.5, and for Fresno, the device performs right at the rated value of 7.8.</t>
  </si>
  <si>
    <t>Personal communication from Michael Henchen &lt;mhenchen@rmi.org&gt;</t>
  </si>
  <si>
    <t xml:space="preserve">COP = HSPF/3.412 </t>
  </si>
  <si>
    <t>heating</t>
  </si>
  <si>
    <t>http://www.fsec.ucf.edu/en/publications/html/FSEC-PF-413-04/</t>
  </si>
  <si>
    <t>% energy saved</t>
  </si>
  <si>
    <t xml:space="preserve">We assumed that the gas scenario has a cost of $1,520 to acquire and install an 0.62 UEF gas water heater, with a five percent adjustment for real-world performance. </t>
  </si>
  <si>
    <t>Figure 20. Installed unit costs (left) and performance projections (right) for residential ASHPs for space heating applications</t>
  </si>
  <si>
    <t>Figure Notes:</t>
  </si>
  <si>
    <t>Year</t>
  </si>
  <si>
    <t>Technology</t>
  </si>
  <si>
    <t>EFS Case</t>
  </si>
  <si>
    <t>Installed Cost (2016$/ton)</t>
  </si>
  <si>
    <t>Air Source Heat Pump</t>
  </si>
  <si>
    <t>Moderate Advancement</t>
  </si>
  <si>
    <t>Figure 21. Installed unit costs (left) and performance projections (right) for residential HPWHs</t>
  </si>
  <si>
    <t xml:space="preserve">Installed costs include both capital and installation costs. Costs are shown for a 50-gallon HPWH.
</t>
  </si>
  <si>
    <t>Installed Cost ($ per unit)</t>
  </si>
  <si>
    <t>Efficiency Energy Factor)</t>
  </si>
  <si>
    <t>Heat Pump Water Heater</t>
  </si>
  <si>
    <t>interpolate annual changes to impute future years after 2017.</t>
  </si>
  <si>
    <t>Moderate only</t>
  </si>
  <si>
    <t>annual % change</t>
  </si>
  <si>
    <t>air space heat pump</t>
  </si>
  <si>
    <t>annual delta (absolute fraction of rated efficiency)</t>
  </si>
  <si>
    <t>EFFICIENCY</t>
  </si>
  <si>
    <t>heat pump water heater</t>
  </si>
  <si>
    <t>This reference is 15 years old, and the actual products have advanced since then. Today’s top heat pumps are rated up around 13 HSPF (some higher) – equivalent to COP=3.8, see for instance the top product in Carrier’s lineup here – so the performance in such a warm climate as LA may actually be HSPF 17 or so (COP close to 5).</t>
  </si>
  <si>
    <t>Need to account for future deployment schedule to properly collapse current and future prices into a single parameter.</t>
  </si>
  <si>
    <t>policy strength over time</t>
  </si>
  <si>
    <t>intermediate calculations</t>
  </si>
  <si>
    <t xml:space="preserve">This means a 10.5 HSPF heat pump is 3.08/.8 = </t>
  </si>
  <si>
    <t>~3.8x more efficient than an 80 AFUE furnace, which reflects reality.</t>
  </si>
  <si>
    <t xml:space="preserve">Unsure if efficiency improvement over time from the NREL electrification futures study should be applied.   Take cautionary approach and hold it constant. </t>
  </si>
  <si>
    <t xml:space="preserve">Space heating </t>
  </si>
  <si>
    <t>Air pump cooling efficiency gain</t>
  </si>
  <si>
    <t>Using the SEER to calculation  the reduction of cooling energy use is a good enough assumption. In reality things are more complicated, but this is the best and most widely accepted metric out there today.</t>
  </si>
  <si>
    <t>Personal communication from Pierre Delforge</t>
  </si>
  <si>
    <t>Estimate the cooling improvement</t>
  </si>
  <si>
    <t>Inputs to bottom line calculations above</t>
  </si>
  <si>
    <t>base space heat</t>
  </si>
  <si>
    <t>base water heat</t>
  </si>
  <si>
    <t xml:space="preserve">From Synapse report, "For each home, we compared the cost of either a new gas water heater or a heat pump water heater. </t>
  </si>
  <si>
    <t xml:space="preserve">The HPWH scenario, by contrast, would cost $2,500 to install an appliance with a rated UEF of 3.7, and an annual average coefficient of performance </t>
  </si>
  <si>
    <t xml:space="preserve">of 3.1 to 3.2 (typical of the most efficient available mass market hybrid HPWH in the California climate). </t>
  </si>
  <si>
    <t>We based our installed cost figures on research conducted by NRDC,120 supported by similar research we conducted directly.</t>
  </si>
  <si>
    <t>base water heating COP</t>
  </si>
  <si>
    <t>advanced water heating COP in start year</t>
  </si>
  <si>
    <t>Water heating</t>
  </si>
  <si>
    <t>Electrification Futures Study: End-Use Electric Technology Cost and Performance Projections through 2050</t>
  </si>
  <si>
    <t>PCFURfE Percentage Components Fuel Use Reduction for Electricity</t>
  </si>
  <si>
    <t>Source:</t>
  </si>
  <si>
    <t>Notes:</t>
  </si>
  <si>
    <t xml:space="preserve">Forecast of future price and efficiency </t>
  </si>
  <si>
    <t>Decarbonization of Heating Energy Use in California Buildings: Technology, Markets, Impacts, and Policy Solutions</t>
  </si>
  <si>
    <t>https://www.nrel.gov/docs/fy18osti/70485.pdf</t>
  </si>
  <si>
    <t>Synapse Energy Economics Inc.</t>
  </si>
  <si>
    <t>http://www.synapse-energy.com/sites/default/files/Decarbonization-Heating-CA-Buildings-17-092-1.pdf</t>
  </si>
  <si>
    <t>National Renewable Energy Laboratory</t>
  </si>
  <si>
    <t>Perc Fuel Use Reduction</t>
  </si>
  <si>
    <t>cooling and ventilation</t>
  </si>
  <si>
    <t>envelope</t>
  </si>
  <si>
    <t>lighting</t>
  </si>
  <si>
    <t>appliances</t>
  </si>
  <si>
    <t>other</t>
  </si>
  <si>
    <t xml:space="preserve">If a building component energy demand is exclusively electricity, as with air conditioning, setting this variable to a nonzero value makes no difference in energy use. </t>
  </si>
  <si>
    <t>California actual efficiency likely great than rated value based on:</t>
  </si>
  <si>
    <t>Efficiency</t>
  </si>
  <si>
    <t>air heat pump</t>
  </si>
  <si>
    <t>"sum of policy strength" -- just an artificial number to properly weight the stock</t>
  </si>
  <si>
    <t>sum</t>
  </si>
  <si>
    <t>Since our expertise on this technology is limited, exercise caution in interpreting and applying the efficiency improvements, i.e. do not apply improvements between start year and 2020.</t>
  </si>
  <si>
    <t>sum of weighted average component parts</t>
  </si>
  <si>
    <t>Result</t>
  </si>
  <si>
    <t>Weighted average efficiency</t>
  </si>
  <si>
    <t>later years</t>
  </si>
  <si>
    <t>An advance heat pump offers efficiency gains over conventional air conditioning units.</t>
  </si>
  <si>
    <t>The effect is calculated on the "Efficiency implications" worksheet.</t>
  </si>
  <si>
    <t xml:space="preserve">However, this variable only applies to fuel savings due to fuel switching. </t>
  </si>
  <si>
    <t>Instead, we chose to hold aside these unaccounted for savings provide a margin of certainty that costs have not been underestimated.</t>
  </si>
  <si>
    <t>Air conditioning efficiency effect</t>
  </si>
  <si>
    <t xml:space="preserve"> Another option would be to incorporate this effect the appliance standards policy lever affecting electricity demand for AC. </t>
  </si>
  <si>
    <t>Assumed policy strength</t>
  </si>
  <si>
    <t>Even though calculated, note it is not possible to include this effect via this variable</t>
  </si>
  <si>
    <t>Background note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</si>
</sst>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9"/>
      <color theme="1"/>
      <name val="Calibri"/>
      <family val="2"/>
      <scheme val="minor"/>
    </font>
    <font>
      <u/>
      <sz val="11"/>
      <color theme="6"/>
      <name val="Calibri"/>
      <family val="2"/>
    </font>
    <font>
      <b/>
      <sz val="9"/>
      <color theme="1"/>
      <name val="Calibri"/>
      <family val="2"/>
      <scheme val="minor"/>
    </font>
    <font>
      <u/>
      <sz val="10"/>
      <color theme="4"/>
      <name val="Calibri"/>
      <family val="2"/>
      <scheme val="minor"/>
    </font>
    <font>
      <b/>
      <sz val="12"/>
      <color theme="4"/>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theme="0" tint="-0.149998474074526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style="thick">
        <color theme="0"/>
      </left>
      <right style="thick">
        <color theme="0"/>
      </right>
      <top/>
      <bottom style="thin">
        <color theme="0" tint="-0.24994659260841701"/>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s>
  <cellStyleXfs count="56">
    <xf numFmtId="0" fontId="0" fillId="0" borderId="0"/>
    <xf numFmtId="43" fontId="1" fillId="0" borderId="0" applyFont="0" applyFill="0" applyBorder="0" applyAlignment="0" applyProtection="0"/>
    <xf numFmtId="0" fontId="1" fillId="8" borderId="8" applyNumberFormat="0" applyFont="0" applyAlignment="0" applyProtection="0"/>
    <xf numFmtId="0" fontId="18"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9" fillId="0" borderId="10" applyNumberFormat="0" applyFont="0" applyProtection="0">
      <alignment wrapText="1"/>
    </xf>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20"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Protection="0">
      <alignment vertical="top" wrapText="1"/>
    </xf>
    <xf numFmtId="0" fontId="19" fillId="0" borderId="11" applyNumberFormat="0" applyProtection="0">
      <alignment vertical="top" wrapText="1"/>
    </xf>
    <xf numFmtId="0" fontId="6" fillId="2" borderId="0" applyNumberFormat="0" applyBorder="0" applyAlignment="0" applyProtection="0"/>
    <xf numFmtId="0" fontId="21" fillId="0" borderId="1" applyNumberFormat="0" applyProtection="0">
      <alignment wrapText="1"/>
    </xf>
    <xf numFmtId="0" fontId="21" fillId="0" borderId="12" applyNumberFormat="0" applyProtection="0">
      <alignment horizontal="left" wrapText="1"/>
    </xf>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0" fillId="6" borderId="5" applyNumberFormat="0" applyAlignment="0" applyProtection="0"/>
    <xf numFmtId="0" fontId="21" fillId="0" borderId="13" applyNumberFormat="0" applyProtection="0">
      <alignment wrapText="1"/>
    </xf>
    <xf numFmtId="0" fontId="19" fillId="0" borderId="14" applyNumberFormat="0" applyFont="0" applyFill="0" applyProtection="0">
      <alignment wrapText="1"/>
    </xf>
    <xf numFmtId="0" fontId="21" fillId="0" borderId="15" applyNumberFormat="0" applyFill="0" applyProtection="0">
      <alignment wrapText="1"/>
    </xf>
    <xf numFmtId="0" fontId="23" fillId="0" borderId="0" applyNumberFormat="0" applyProtection="0">
      <alignment horizontal="left"/>
    </xf>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20">
    <xf numFmtId="0" fontId="0" fillId="0" borderId="0" xfId="0"/>
    <xf numFmtId="0" fontId="0" fillId="0" borderId="0" xfId="0" applyAlignment="1">
      <alignment vertical="center"/>
    </xf>
    <xf numFmtId="2" fontId="0" fillId="0" borderId="0" xfId="0" applyNumberFormat="1"/>
    <xf numFmtId="0" fontId="0" fillId="0" borderId="0" xfId="0"/>
    <xf numFmtId="0" fontId="16" fillId="0" borderId="0" xfId="0" applyFont="1"/>
    <xf numFmtId="43" fontId="0" fillId="0" borderId="0" xfId="1" applyNumberFormat="1" applyFont="1"/>
    <xf numFmtId="0" fontId="0" fillId="0" borderId="0" xfId="0" applyFont="1"/>
    <xf numFmtId="0" fontId="16" fillId="33" borderId="0" xfId="0" applyFont="1" applyFill="1"/>
    <xf numFmtId="0" fontId="0" fillId="34" borderId="0" xfId="0" applyFill="1"/>
    <xf numFmtId="0" fontId="0" fillId="0" borderId="0" xfId="0"/>
    <xf numFmtId="0" fontId="16" fillId="0" borderId="0" xfId="0" applyFont="1"/>
    <xf numFmtId="0" fontId="0" fillId="0" borderId="0" xfId="0" applyAlignment="1">
      <alignment wrapText="1"/>
    </xf>
    <xf numFmtId="0" fontId="0" fillId="0" borderId="0" xfId="0" applyAlignment="1"/>
    <xf numFmtId="0" fontId="0" fillId="0" borderId="0" xfId="0" applyFill="1"/>
    <xf numFmtId="10" fontId="0" fillId="0" borderId="0" xfId="0" applyNumberFormat="1" applyFill="1"/>
    <xf numFmtId="0" fontId="16" fillId="0" borderId="0" xfId="0" applyFont="1" applyFill="1"/>
    <xf numFmtId="0" fontId="0" fillId="0" borderId="0" xfId="0" applyFill="1" applyAlignment="1">
      <alignment horizontal="left" vertical="top"/>
    </xf>
    <xf numFmtId="0" fontId="0" fillId="0" borderId="0" xfId="0" applyAlignment="1">
      <alignment horizontal="left" vertical="top"/>
    </xf>
    <xf numFmtId="0" fontId="0" fillId="0" borderId="0" xfId="0" applyFont="1" applyAlignment="1">
      <alignment horizontal="left" vertical="top"/>
    </xf>
    <xf numFmtId="0" fontId="0" fillId="35" borderId="0" xfId="0" applyFill="1"/>
  </cellXfs>
  <cellStyles count="56">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Body: normal cell" xfId="29"/>
    <cellStyle name="Calculation 2" xfId="30"/>
    <cellStyle name="Check Cell 2" xfId="31"/>
    <cellStyle name="Comma" xfId="1" builtinId="3"/>
    <cellStyle name="Explanatory Text 2" xfId="32"/>
    <cellStyle name="Followed Hyperlink 2" xfId="33"/>
    <cellStyle name="Font: Calibri, 9pt regular" xfId="34"/>
    <cellStyle name="Footnotes: all except top row" xfId="35"/>
    <cellStyle name="Footnotes: top row" xfId="36"/>
    <cellStyle name="Good 2" xfId="37"/>
    <cellStyle name="Header: bottom row" xfId="38"/>
    <cellStyle name="Header: top rows" xfId="39"/>
    <cellStyle name="Heading 1 2" xfId="40"/>
    <cellStyle name="Heading 2 2" xfId="41"/>
    <cellStyle name="Heading 3 2" xfId="42"/>
    <cellStyle name="Heading 4 2" xfId="43"/>
    <cellStyle name="Hyperlink 2" xfId="44"/>
    <cellStyle name="Input 2" xfId="45"/>
    <cellStyle name="Linked Cell 2" xfId="46"/>
    <cellStyle name="Neutral 2" xfId="47"/>
    <cellStyle name="Normal" xfId="0" builtinId="0"/>
    <cellStyle name="Normal 2" xfId="3"/>
    <cellStyle name="Note" xfId="2" builtinId="10" customBuiltin="1"/>
    <cellStyle name="Output 2" xfId="48"/>
    <cellStyle name="Parent row" xfId="49"/>
    <cellStyle name="Section Break" xfId="50"/>
    <cellStyle name="Section Break: parent row" xfId="51"/>
    <cellStyle name="Table title" xfId="52"/>
    <cellStyle name="Title 2" xfId="53"/>
    <cellStyle name="Total 2" xfId="54"/>
    <cellStyle name="Warning Text 2" xfId="55"/>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cid:image001.png@01D4C062.4BC2265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523876</xdr:colOff>
      <xdr:row>1</xdr:row>
      <xdr:rowOff>19051</xdr:rowOff>
    </xdr:from>
    <xdr:to>
      <xdr:col>10</xdr:col>
      <xdr:colOff>571500</xdr:colOff>
      <xdr:row>7</xdr:row>
      <xdr:rowOff>87439</xdr:rowOff>
    </xdr:to>
    <xdr:pic>
      <xdr:nvPicPr>
        <xdr:cNvPr id="2" name="Picture 1" descr="cid:image001.png@01D4C062.4BC2265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523876" y="228601"/>
          <a:ext cx="7715249" cy="1211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638175</xdr:colOff>
      <xdr:row>37</xdr:row>
      <xdr:rowOff>9525</xdr:rowOff>
    </xdr:from>
    <xdr:to>
      <xdr:col>5</xdr:col>
      <xdr:colOff>553265</xdr:colOff>
      <xdr:row>44</xdr:row>
      <xdr:rowOff>56706</xdr:rowOff>
    </xdr:to>
    <xdr:pic>
      <xdr:nvPicPr>
        <xdr:cNvPr id="3" name="Picture 2"/>
        <xdr:cNvPicPr>
          <a:picLocks noChangeAspect="1"/>
        </xdr:cNvPicPr>
      </xdr:nvPicPr>
      <xdr:blipFill>
        <a:blip xmlns:r="http://schemas.openxmlformats.org/officeDocument/2006/relationships" r:embed="rId3"/>
        <a:stretch>
          <a:fillRect/>
        </a:stretch>
      </xdr:blipFill>
      <xdr:spPr>
        <a:xfrm>
          <a:off x="638175" y="7077075"/>
          <a:ext cx="4849040" cy="13806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topLeftCell="A19" workbookViewId="0">
      <selection activeCell="A25" sqref="A25:G29"/>
    </sheetView>
  </sheetViews>
  <sheetFormatPr defaultRowHeight="15" x14ac:dyDescent="0.25"/>
  <sheetData>
    <row r="1" spans="1:5" x14ac:dyDescent="0.25">
      <c r="A1" s="10" t="s">
        <v>55</v>
      </c>
    </row>
    <row r="2" spans="1:5" x14ac:dyDescent="0.25">
      <c r="A2" s="9"/>
    </row>
    <row r="3" spans="1:5" x14ac:dyDescent="0.25">
      <c r="A3" s="9" t="s">
        <v>56</v>
      </c>
      <c r="B3" s="7" t="s">
        <v>72</v>
      </c>
      <c r="C3" s="7"/>
      <c r="D3" s="7"/>
      <c r="E3" s="7"/>
    </row>
    <row r="4" spans="1:5" x14ac:dyDescent="0.25">
      <c r="A4" s="9"/>
      <c r="B4" t="s">
        <v>61</v>
      </c>
    </row>
    <row r="5" spans="1:5" x14ac:dyDescent="0.25">
      <c r="A5" s="9"/>
      <c r="B5" s="9" t="s">
        <v>59</v>
      </c>
    </row>
    <row r="6" spans="1:5" x14ac:dyDescent="0.25">
      <c r="A6" s="9"/>
      <c r="B6">
        <v>2018</v>
      </c>
    </row>
    <row r="7" spans="1:5" x14ac:dyDescent="0.25">
      <c r="A7" s="9"/>
      <c r="B7" t="s">
        <v>62</v>
      </c>
    </row>
    <row r="8" spans="1:5" x14ac:dyDescent="0.25">
      <c r="A8" s="9"/>
    </row>
    <row r="9" spans="1:5" x14ac:dyDescent="0.25">
      <c r="A9" s="9"/>
      <c r="B9" s="7" t="s">
        <v>58</v>
      </c>
      <c r="C9" s="7"/>
      <c r="D9" s="7"/>
      <c r="E9" s="7"/>
    </row>
    <row r="10" spans="1:5" x14ac:dyDescent="0.25">
      <c r="A10" s="9"/>
      <c r="B10" t="s">
        <v>63</v>
      </c>
    </row>
    <row r="11" spans="1:5" x14ac:dyDescent="0.25">
      <c r="A11" s="9"/>
      <c r="B11" t="s">
        <v>54</v>
      </c>
    </row>
    <row r="12" spans="1:5" x14ac:dyDescent="0.25">
      <c r="A12" s="9"/>
      <c r="B12">
        <v>2018</v>
      </c>
    </row>
    <row r="13" spans="1:5" x14ac:dyDescent="0.25">
      <c r="A13" s="9"/>
      <c r="B13" t="s">
        <v>60</v>
      </c>
    </row>
    <row r="14" spans="1:5" x14ac:dyDescent="0.25">
      <c r="A14" s="9"/>
    </row>
    <row r="15" spans="1:5" x14ac:dyDescent="0.25">
      <c r="A15" s="10" t="s">
        <v>57</v>
      </c>
    </row>
    <row r="16" spans="1:5" s="9" customFormat="1" x14ac:dyDescent="0.25">
      <c r="A16" s="10" t="s">
        <v>85</v>
      </c>
    </row>
    <row r="17" spans="1:16" s="9" customFormat="1" x14ac:dyDescent="0.25">
      <c r="A17" s="17" t="s">
        <v>81</v>
      </c>
    </row>
    <row r="18" spans="1:16" s="9" customFormat="1" x14ac:dyDescent="0.25">
      <c r="A18" s="17" t="s">
        <v>82</v>
      </c>
      <c r="B18" s="6"/>
      <c r="C18" s="6"/>
      <c r="D18" s="6"/>
      <c r="E18" s="6"/>
      <c r="F18" s="6"/>
      <c r="G18" s="6"/>
      <c r="H18" s="6"/>
      <c r="I18" s="6"/>
      <c r="J18" s="6"/>
      <c r="K18" s="6"/>
      <c r="L18" s="6"/>
    </row>
    <row r="19" spans="1:16" s="9" customFormat="1" x14ac:dyDescent="0.25">
      <c r="A19" s="17" t="s">
        <v>83</v>
      </c>
      <c r="B19" s="6"/>
      <c r="C19" s="6"/>
      <c r="D19" s="6"/>
      <c r="E19" s="6"/>
      <c r="F19" s="6"/>
      <c r="G19" s="6"/>
      <c r="H19" s="6"/>
      <c r="I19" s="6"/>
      <c r="J19" s="6"/>
      <c r="K19" s="6"/>
      <c r="L19" s="6"/>
    </row>
    <row r="20" spans="1:16" x14ac:dyDescent="0.25">
      <c r="A20" s="18" t="s">
        <v>70</v>
      </c>
    </row>
    <row r="21" spans="1:16" s="9" customFormat="1" x14ac:dyDescent="0.25">
      <c r="A21" s="16" t="s">
        <v>86</v>
      </c>
    </row>
    <row r="22" spans="1:16" x14ac:dyDescent="0.25">
      <c r="A22" s="17" t="s">
        <v>84</v>
      </c>
      <c r="B22" s="9"/>
      <c r="D22" s="13"/>
      <c r="E22" s="13"/>
      <c r="F22" s="13"/>
      <c r="G22" s="13"/>
      <c r="H22" s="13"/>
      <c r="I22" s="13"/>
      <c r="J22" s="13"/>
      <c r="K22" s="13"/>
      <c r="L22" s="13"/>
      <c r="M22" s="13"/>
      <c r="N22" s="13"/>
      <c r="O22" s="13"/>
      <c r="P22" s="13"/>
    </row>
    <row r="30" spans="1:16" x14ac:dyDescent="0.25">
      <c r="A30" s="11"/>
      <c r="B30" s="11"/>
    </row>
    <row r="31" spans="1:16" x14ac:dyDescent="0.25">
      <c r="A31" s="11"/>
    </row>
    <row r="32" spans="1:16" x14ac:dyDescent="0.25">
      <c r="A32" s="11"/>
      <c r="B32"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B7"/>
  <sheetViews>
    <sheetView workbookViewId="0">
      <selection activeCell="B7" sqref="B7"/>
    </sheetView>
  </sheetViews>
  <sheetFormatPr defaultRowHeight="15" x14ac:dyDescent="0.25"/>
  <sheetData>
    <row r="1" spans="1:2" x14ac:dyDescent="0.25">
      <c r="B1" t="s">
        <v>64</v>
      </c>
    </row>
    <row r="2" spans="1:2" x14ac:dyDescent="0.25">
      <c r="A2" t="s">
        <v>8</v>
      </c>
      <c r="B2">
        <f>'Efficiency implications'!$B$2</f>
        <v>0.76020521161967547</v>
      </c>
    </row>
    <row r="3" spans="1:2" x14ac:dyDescent="0.25">
      <c r="A3" t="s">
        <v>65</v>
      </c>
      <c r="B3">
        <v>0</v>
      </c>
    </row>
    <row r="4" spans="1:2" x14ac:dyDescent="0.25">
      <c r="A4" t="s">
        <v>66</v>
      </c>
      <c r="B4">
        <v>0</v>
      </c>
    </row>
    <row r="5" spans="1:2" x14ac:dyDescent="0.25">
      <c r="A5" t="s">
        <v>67</v>
      </c>
      <c r="B5">
        <v>0</v>
      </c>
    </row>
    <row r="6" spans="1:2" x14ac:dyDescent="0.25">
      <c r="A6" t="s">
        <v>68</v>
      </c>
      <c r="B6">
        <f>'Efficiency implications'!$B$4</f>
        <v>0.84083226115038046</v>
      </c>
    </row>
    <row r="7" spans="1:2" x14ac:dyDescent="0.25">
      <c r="A7" t="s">
        <v>69</v>
      </c>
      <c r="B7">
        <f>'Efficiency implications'!$B$4</f>
        <v>0.84083226115038046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
  <sheetViews>
    <sheetView tabSelected="1" workbookViewId="0">
      <selection activeCell="C10" sqref="C10"/>
    </sheetView>
  </sheetViews>
  <sheetFormatPr defaultRowHeight="15" x14ac:dyDescent="0.25"/>
  <cols>
    <col min="1" max="1" width="31" customWidth="1"/>
  </cols>
  <sheetData>
    <row r="1" spans="1:35" x14ac:dyDescent="0.25">
      <c r="B1" t="s">
        <v>10</v>
      </c>
    </row>
    <row r="2" spans="1:35" x14ac:dyDescent="0.25">
      <c r="A2" t="s">
        <v>39</v>
      </c>
      <c r="B2">
        <f>(B11-B14)/B11</f>
        <v>0.76020521161967547</v>
      </c>
    </row>
    <row r="3" spans="1:35" x14ac:dyDescent="0.25">
      <c r="A3" t="s">
        <v>40</v>
      </c>
      <c r="B3">
        <f>'Inputs and Initial Calcs'!$B$26</f>
        <v>0.38461538461538464</v>
      </c>
      <c r="C3" s="19" t="s">
        <v>88</v>
      </c>
      <c r="D3" s="19"/>
      <c r="E3" s="19"/>
      <c r="F3" s="19"/>
      <c r="G3" s="19"/>
      <c r="H3" s="19"/>
      <c r="I3" s="19"/>
      <c r="J3" s="19"/>
      <c r="K3" s="19"/>
      <c r="L3" s="13"/>
      <c r="M3" s="13"/>
      <c r="N3" s="13"/>
      <c r="O3" s="13"/>
      <c r="P3" s="13"/>
      <c r="Q3" s="13"/>
      <c r="R3" s="13"/>
      <c r="S3" s="13"/>
      <c r="T3" s="13"/>
      <c r="U3" s="13"/>
      <c r="V3" s="13"/>
      <c r="W3" s="13"/>
      <c r="X3" s="13"/>
      <c r="Y3" s="13"/>
      <c r="Z3" s="13"/>
      <c r="AA3" s="13"/>
      <c r="AB3" s="13"/>
      <c r="AC3" s="13"/>
      <c r="AD3" s="13"/>
      <c r="AE3" s="13"/>
      <c r="AF3" s="13"/>
      <c r="AG3" s="13"/>
      <c r="AH3" s="13"/>
      <c r="AI3" s="13"/>
    </row>
    <row r="4" spans="1:35" x14ac:dyDescent="0.25">
      <c r="A4" t="s">
        <v>53</v>
      </c>
      <c r="B4">
        <f>(B12-B15)/B12</f>
        <v>0.84083226115038046</v>
      </c>
    </row>
    <row r="8" spans="1:35" x14ac:dyDescent="0.25">
      <c r="A8" t="s">
        <v>44</v>
      </c>
    </row>
    <row r="10" spans="1:35" x14ac:dyDescent="0.25">
      <c r="A10" t="str">
        <f>'weighted average of time series'!A1</f>
        <v>Weighted average efficiency</v>
      </c>
    </row>
    <row r="11" spans="1:35" x14ac:dyDescent="0.25">
      <c r="A11" t="str">
        <f>'weighted average of time series'!A2</f>
        <v>air space heat pump</v>
      </c>
      <c r="B11">
        <f>'weighted average of time series'!B2</f>
        <v>3.3361859338292472</v>
      </c>
    </row>
    <row r="12" spans="1:35" x14ac:dyDescent="0.25">
      <c r="A12" t="str">
        <f>'weighted average of time series'!A3</f>
        <v>heat pump water heater</v>
      </c>
      <c r="B12">
        <f>'weighted average of time series'!B3</f>
        <v>3.8952617187442189</v>
      </c>
    </row>
    <row r="14" spans="1:35" x14ac:dyDescent="0.25">
      <c r="A14" t="s">
        <v>45</v>
      </c>
      <c r="B14">
        <f>'Inputs and Initial Calcs'!$B$12</f>
        <v>0.8</v>
      </c>
    </row>
    <row r="15" spans="1:35" x14ac:dyDescent="0.25">
      <c r="A15" t="s">
        <v>46</v>
      </c>
      <c r="B15">
        <v>0.62</v>
      </c>
    </row>
    <row r="17" spans="1:2" s="9" customFormat="1" x14ac:dyDescent="0.25">
      <c r="A17" s="9" t="s">
        <v>89</v>
      </c>
    </row>
    <row r="19" spans="1:2" x14ac:dyDescent="0.25">
      <c r="A19" t="s">
        <v>71</v>
      </c>
    </row>
    <row r="20" spans="1:2" x14ac:dyDescent="0.25">
      <c r="A20" s="12" t="s">
        <v>6</v>
      </c>
      <c r="B20" s="11"/>
    </row>
    <row r="21" spans="1:2" x14ac:dyDescent="0.25">
      <c r="A21" s="9" t="s">
        <v>5</v>
      </c>
    </row>
    <row r="22" spans="1:2" x14ac:dyDescent="0.25">
      <c r="A22" s="12" t="s">
        <v>9</v>
      </c>
      <c r="B22" s="11"/>
    </row>
    <row r="23" spans="1:2" x14ac:dyDescent="0.25">
      <c r="A23" s="9" t="s">
        <v>32</v>
      </c>
      <c r="B23"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6" workbookViewId="0">
      <selection activeCell="B26" sqref="B26"/>
    </sheetView>
  </sheetViews>
  <sheetFormatPr defaultRowHeight="15" x14ac:dyDescent="0.25"/>
  <cols>
    <col min="1" max="1" width="37.42578125" customWidth="1"/>
  </cols>
  <sheetData>
    <row r="1" spans="1:4" ht="16.5" customHeight="1" x14ac:dyDescent="0.25"/>
    <row r="3" spans="1:4" x14ac:dyDescent="0.25">
      <c r="A3" s="1"/>
    </row>
    <row r="4" spans="1:4" s="9" customFormat="1" x14ac:dyDescent="0.25">
      <c r="A4" s="1"/>
    </row>
    <row r="5" spans="1:4" s="9" customFormat="1" x14ac:dyDescent="0.25">
      <c r="A5" s="1"/>
    </row>
    <row r="6" spans="1:4" s="9" customFormat="1" x14ac:dyDescent="0.25">
      <c r="A6" s="1"/>
    </row>
    <row r="7" spans="1:4" s="9" customFormat="1" x14ac:dyDescent="0.25">
      <c r="A7" s="1"/>
    </row>
    <row r="8" spans="1:4" s="9" customFormat="1" x14ac:dyDescent="0.25">
      <c r="A8" s="1"/>
    </row>
    <row r="9" spans="1:4" x14ac:dyDescent="0.25">
      <c r="A9" s="1" t="s">
        <v>0</v>
      </c>
    </row>
    <row r="10" spans="1:4" x14ac:dyDescent="0.25">
      <c r="A10" s="1" t="s">
        <v>1</v>
      </c>
    </row>
    <row r="11" spans="1:4" x14ac:dyDescent="0.25">
      <c r="A11" s="1" t="s">
        <v>2</v>
      </c>
    </row>
    <row r="12" spans="1:4" x14ac:dyDescent="0.25">
      <c r="A12" s="1" t="s">
        <v>3</v>
      </c>
      <c r="B12">
        <v>0.8</v>
      </c>
    </row>
    <row r="13" spans="1:4" x14ac:dyDescent="0.25">
      <c r="A13" s="1" t="s">
        <v>4</v>
      </c>
      <c r="B13">
        <f>10.5/3.412</f>
        <v>3.0773739742086752</v>
      </c>
    </row>
    <row r="14" spans="1:4" x14ac:dyDescent="0.25">
      <c r="A14" s="1"/>
    </row>
    <row r="15" spans="1:4" x14ac:dyDescent="0.25">
      <c r="A15" s="1" t="s">
        <v>36</v>
      </c>
      <c r="D15" t="s">
        <v>37</v>
      </c>
    </row>
    <row r="17" spans="1:2" x14ac:dyDescent="0.25">
      <c r="A17" t="s">
        <v>7</v>
      </c>
    </row>
    <row r="18" spans="1:2" x14ac:dyDescent="0.25">
      <c r="A18" s="1"/>
    </row>
    <row r="19" spans="1:2" s="9" customFormat="1" x14ac:dyDescent="0.25"/>
    <row r="20" spans="1:2" s="9" customFormat="1" x14ac:dyDescent="0.25"/>
    <row r="21" spans="1:2" s="9" customFormat="1" x14ac:dyDescent="0.25"/>
    <row r="22" spans="1:2" s="9" customFormat="1" x14ac:dyDescent="0.25">
      <c r="A22" s="1" t="s">
        <v>42</v>
      </c>
    </row>
    <row r="23" spans="1:2" x14ac:dyDescent="0.25">
      <c r="A23" s="1" t="s">
        <v>41</v>
      </c>
    </row>
    <row r="24" spans="1:2" x14ac:dyDescent="0.25">
      <c r="A24" s="1" t="s">
        <v>38</v>
      </c>
    </row>
    <row r="25" spans="1:2" x14ac:dyDescent="0.25">
      <c r="A25" s="1"/>
    </row>
    <row r="26" spans="1:2" x14ac:dyDescent="0.25">
      <c r="A26" s="1" t="s">
        <v>43</v>
      </c>
      <c r="B26" s="9">
        <f>(18-13)/13</f>
        <v>0.38461538461538464</v>
      </c>
    </row>
    <row r="29" spans="1:2" x14ac:dyDescent="0.25">
      <c r="A29" t="s">
        <v>47</v>
      </c>
    </row>
    <row r="30" spans="1:2" x14ac:dyDescent="0.25">
      <c r="A30" t="s">
        <v>11</v>
      </c>
    </row>
    <row r="31" spans="1:2" x14ac:dyDescent="0.25">
      <c r="A31" t="s">
        <v>48</v>
      </c>
    </row>
    <row r="32" spans="1:2" ht="14.45" x14ac:dyDescent="0.35">
      <c r="A32" t="s">
        <v>49</v>
      </c>
    </row>
    <row r="33" spans="1:2" ht="14.45" x14ac:dyDescent="0.35">
      <c r="A33" t="s">
        <v>50</v>
      </c>
    </row>
    <row r="35" spans="1:2" ht="14.45" x14ac:dyDescent="0.35">
      <c r="A35" t="s">
        <v>51</v>
      </c>
      <c r="B35">
        <v>0.62</v>
      </c>
    </row>
    <row r="36" spans="1:2" ht="14.45" x14ac:dyDescent="0.35">
      <c r="A36" t="s">
        <v>52</v>
      </c>
      <c r="B36">
        <v>3.7</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2"/>
  <sheetViews>
    <sheetView workbookViewId="0">
      <selection activeCell="E2" sqref="E2"/>
    </sheetView>
  </sheetViews>
  <sheetFormatPr defaultRowHeight="15" x14ac:dyDescent="0.25"/>
  <cols>
    <col min="1" max="1" width="34" customWidth="1"/>
  </cols>
  <sheetData>
    <row r="1" spans="1:35" s="9" customFormat="1" x14ac:dyDescent="0.25">
      <c r="A1" t="s">
        <v>79</v>
      </c>
    </row>
    <row r="2" spans="1:35" s="9" customFormat="1" x14ac:dyDescent="0.25">
      <c r="A2" s="9" t="s">
        <v>28</v>
      </c>
      <c r="B2" s="9">
        <f t="shared" ref="B2:B3" si="0">B31</f>
        <v>3.3361859338292472</v>
      </c>
      <c r="E2" s="13"/>
      <c r="F2" s="13"/>
      <c r="G2" s="13"/>
      <c r="H2" s="13"/>
      <c r="I2" s="13"/>
      <c r="J2" s="13"/>
      <c r="K2" s="13"/>
      <c r="L2" s="13"/>
      <c r="M2" s="13"/>
      <c r="N2" s="13"/>
    </row>
    <row r="3" spans="1:35" x14ac:dyDescent="0.25">
      <c r="A3" s="9" t="s">
        <v>31</v>
      </c>
      <c r="B3" s="9">
        <f t="shared" si="0"/>
        <v>3.8952617187442189</v>
      </c>
      <c r="E3" s="13"/>
      <c r="F3" s="13"/>
      <c r="G3" s="13"/>
      <c r="H3" s="14"/>
      <c r="I3" s="13"/>
      <c r="J3" s="13"/>
      <c r="K3" s="13"/>
      <c r="L3" s="13"/>
      <c r="M3" s="13"/>
      <c r="N3" s="13"/>
    </row>
    <row r="4" spans="1:35" s="9" customFormat="1" ht="14.45" x14ac:dyDescent="0.35">
      <c r="E4" s="13"/>
      <c r="F4" s="13"/>
      <c r="G4" s="13"/>
      <c r="H4" s="15"/>
      <c r="I4" s="13"/>
      <c r="J4" s="13"/>
      <c r="K4" s="13"/>
      <c r="L4" s="13"/>
      <c r="M4" s="13"/>
      <c r="N4" s="13"/>
    </row>
    <row r="5" spans="1:35" s="9" customFormat="1" x14ac:dyDescent="0.25">
      <c r="E5" s="13"/>
      <c r="F5" s="13"/>
      <c r="G5" s="13"/>
      <c r="H5" s="13"/>
      <c r="I5" s="13"/>
      <c r="J5" s="13"/>
      <c r="K5" s="13"/>
      <c r="L5" s="13"/>
      <c r="M5" s="13"/>
      <c r="N5" s="13"/>
    </row>
    <row r="6" spans="1:35" x14ac:dyDescent="0.25">
      <c r="B6">
        <v>2017</v>
      </c>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row>
    <row r="7" spans="1:35" x14ac:dyDescent="0.25">
      <c r="A7" t="s">
        <v>73</v>
      </c>
      <c r="B7">
        <f>'Inputs and Initial Calcs'!$B$13</f>
        <v>3.0773739742086752</v>
      </c>
      <c r="D7" s="9"/>
      <c r="E7" s="9"/>
      <c r="G7" s="9"/>
      <c r="H7" s="9"/>
      <c r="I7" s="9"/>
      <c r="J7" s="9"/>
      <c r="K7" s="9"/>
      <c r="L7" s="9"/>
      <c r="M7" s="9"/>
      <c r="N7" s="9"/>
      <c r="O7" s="9"/>
    </row>
    <row r="8" spans="1:35" x14ac:dyDescent="0.25">
      <c r="A8" t="s">
        <v>31</v>
      </c>
      <c r="B8">
        <f>'Inputs and Initial Calcs'!$B$36</f>
        <v>3.7</v>
      </c>
      <c r="D8" s="9"/>
      <c r="E8" s="9"/>
      <c r="G8" s="9"/>
      <c r="H8" s="9"/>
      <c r="I8" s="9"/>
      <c r="J8" s="9"/>
      <c r="K8" s="9"/>
      <c r="L8" s="9"/>
      <c r="M8" s="9"/>
      <c r="N8" s="9"/>
      <c r="O8" s="9"/>
    </row>
    <row r="9" spans="1:35" s="9" customFormat="1" x14ac:dyDescent="0.25"/>
    <row r="10" spans="1:35" x14ac:dyDescent="0.25">
      <c r="A10" s="9"/>
      <c r="B10" s="9"/>
      <c r="C10" s="9"/>
      <c r="D10" s="9"/>
      <c r="E10" s="9">
        <f>'method collapsing time series'!E3</f>
        <v>2020</v>
      </c>
      <c r="F10" s="9">
        <f>'method collapsing time series'!F3</f>
        <v>2021</v>
      </c>
      <c r="G10" s="9">
        <f>'method collapsing time series'!G3</f>
        <v>2022</v>
      </c>
      <c r="H10" s="9">
        <f>'method collapsing time series'!H3</f>
        <v>2023</v>
      </c>
      <c r="I10" s="9">
        <f>'method collapsing time series'!I3</f>
        <v>2024</v>
      </c>
      <c r="J10" s="9">
        <f>'method collapsing time series'!J3</f>
        <v>2025</v>
      </c>
      <c r="K10" s="9">
        <f>'method collapsing time series'!K3</f>
        <v>2026</v>
      </c>
      <c r="L10" s="9">
        <f>'method collapsing time series'!L3</f>
        <v>2027</v>
      </c>
      <c r="M10" s="9">
        <f>'method collapsing time series'!M3</f>
        <v>2028</v>
      </c>
      <c r="N10" s="9">
        <f>'method collapsing time series'!N3</f>
        <v>2029</v>
      </c>
      <c r="O10" s="9">
        <f>'method collapsing time series'!O3</f>
        <v>2030</v>
      </c>
    </row>
    <row r="11" spans="1:35" x14ac:dyDescent="0.25">
      <c r="A11" s="9" t="s">
        <v>34</v>
      </c>
      <c r="B11" s="9"/>
      <c r="C11" s="9"/>
      <c r="D11" s="9"/>
      <c r="E11" s="9">
        <f>'method collapsing time series'!E4</f>
        <v>9.0909090999999997E-2</v>
      </c>
      <c r="F11" s="9">
        <f>'method collapsing time series'!F4</f>
        <v>0.18181818199999999</v>
      </c>
      <c r="G11" s="2">
        <f>'method collapsing time series'!G4</f>
        <v>0.27272727299999999</v>
      </c>
      <c r="H11" s="2">
        <f>'method collapsing time series'!H4</f>
        <v>0.36363636399999999</v>
      </c>
      <c r="I11" s="9">
        <f>'method collapsing time series'!I4</f>
        <v>0.45454545499999999</v>
      </c>
      <c r="J11" s="9">
        <f>'method collapsing time series'!J4</f>
        <v>0.54545454500000001</v>
      </c>
      <c r="K11" s="9">
        <f>'method collapsing time series'!K4</f>
        <v>0.63636363600000001</v>
      </c>
      <c r="L11" s="9">
        <f>'method collapsing time series'!L4</f>
        <v>0.72727272700000001</v>
      </c>
      <c r="M11" s="9">
        <f>'method collapsing time series'!M4</f>
        <v>0.81818181800000001</v>
      </c>
      <c r="N11" s="9">
        <f>'method collapsing time series'!N4</f>
        <v>0.909090909</v>
      </c>
      <c r="O11" s="9">
        <f>'method collapsing time series'!O4</f>
        <v>1</v>
      </c>
      <c r="P11" s="9">
        <f>O11</f>
        <v>1</v>
      </c>
      <c r="Q11" s="9">
        <f t="shared" ref="Q11:Y11" si="1">P11</f>
        <v>1</v>
      </c>
      <c r="R11" s="9">
        <f t="shared" si="1"/>
        <v>1</v>
      </c>
      <c r="S11" s="9">
        <f t="shared" si="1"/>
        <v>1</v>
      </c>
      <c r="T11" s="9">
        <f t="shared" si="1"/>
        <v>1</v>
      </c>
      <c r="U11" s="9">
        <f t="shared" si="1"/>
        <v>1</v>
      </c>
      <c r="V11" s="9">
        <f t="shared" si="1"/>
        <v>1</v>
      </c>
      <c r="W11" s="9">
        <f t="shared" si="1"/>
        <v>1</v>
      </c>
      <c r="X11" s="9">
        <f t="shared" si="1"/>
        <v>1</v>
      </c>
      <c r="Y11" s="9">
        <f t="shared" si="1"/>
        <v>1</v>
      </c>
    </row>
    <row r="12" spans="1:35" ht="14.45" x14ac:dyDescent="0.35">
      <c r="A12" t="s">
        <v>74</v>
      </c>
    </row>
    <row r="13" spans="1:35" ht="14.45" x14ac:dyDescent="0.35">
      <c r="A13" t="s">
        <v>75</v>
      </c>
      <c r="B13">
        <f>SUM(E11:Y11)</f>
        <v>16</v>
      </c>
    </row>
    <row r="15" spans="1:35" ht="14.45" x14ac:dyDescent="0.35">
      <c r="A15" t="s">
        <v>76</v>
      </c>
    </row>
    <row r="17" spans="1:35" ht="14.45" x14ac:dyDescent="0.35">
      <c r="B17">
        <f>B6</f>
        <v>2017</v>
      </c>
      <c r="C17" s="9">
        <f t="shared" ref="C17" si="2">B17+1</f>
        <v>2018</v>
      </c>
      <c r="D17" s="9">
        <f t="shared" ref="D17" si="3">C17+1</f>
        <v>2019</v>
      </c>
      <c r="E17" s="9">
        <f t="shared" ref="E17" si="4">D17+1</f>
        <v>2020</v>
      </c>
      <c r="F17" s="9">
        <f t="shared" ref="F17" si="5">E17+1</f>
        <v>2021</v>
      </c>
      <c r="G17" s="9">
        <f t="shared" ref="G17" si="6">F17+1</f>
        <v>2022</v>
      </c>
      <c r="H17" s="9">
        <f t="shared" ref="H17" si="7">G17+1</f>
        <v>2023</v>
      </c>
      <c r="I17" s="9">
        <f t="shared" ref="I17" si="8">H17+1</f>
        <v>2024</v>
      </c>
      <c r="J17" s="9">
        <f t="shared" ref="J17" si="9">I17+1</f>
        <v>2025</v>
      </c>
      <c r="K17" s="9">
        <f t="shared" ref="K17" si="10">J17+1</f>
        <v>2026</v>
      </c>
      <c r="L17" s="9">
        <f t="shared" ref="L17" si="11">K17+1</f>
        <v>2027</v>
      </c>
      <c r="M17" s="9">
        <f t="shared" ref="M17" si="12">L17+1</f>
        <v>2028</v>
      </c>
      <c r="N17" s="9">
        <f t="shared" ref="N17" si="13">M17+1</f>
        <v>2029</v>
      </c>
      <c r="O17" s="9">
        <f t="shared" ref="O17" si="14">N17+1</f>
        <v>2030</v>
      </c>
      <c r="P17" s="9">
        <f t="shared" ref="P17" si="15">O17+1</f>
        <v>2031</v>
      </c>
      <c r="Q17" s="9">
        <f t="shared" ref="Q17" si="16">P17+1</f>
        <v>2032</v>
      </c>
      <c r="R17" s="9">
        <f t="shared" ref="R17" si="17">Q17+1</f>
        <v>2033</v>
      </c>
      <c r="S17" s="9">
        <f t="shared" ref="S17" si="18">R17+1</f>
        <v>2034</v>
      </c>
      <c r="T17" s="9">
        <f t="shared" ref="T17" si="19">S17+1</f>
        <v>2035</v>
      </c>
      <c r="U17" s="9">
        <f t="shared" ref="U17" si="20">T17+1</f>
        <v>2036</v>
      </c>
      <c r="V17" s="9">
        <f t="shared" ref="V17" si="21">U17+1</f>
        <v>2037</v>
      </c>
      <c r="W17" s="9">
        <f t="shared" ref="W17" si="22">V17+1</f>
        <v>2038</v>
      </c>
      <c r="X17" s="9">
        <f t="shared" ref="X17" si="23">W17+1</f>
        <v>2039</v>
      </c>
      <c r="Y17" s="9">
        <f t="shared" ref="Y17" si="24">X17+1</f>
        <v>2040</v>
      </c>
      <c r="Z17" s="9">
        <f t="shared" ref="Z17" si="25">Y17+1</f>
        <v>2041</v>
      </c>
      <c r="AA17" s="9">
        <f t="shared" ref="AA17" si="26">Z17+1</f>
        <v>2042</v>
      </c>
      <c r="AB17" s="9">
        <f t="shared" ref="AB17" si="27">AA17+1</f>
        <v>2043</v>
      </c>
      <c r="AC17" s="9">
        <f t="shared" ref="AC17" si="28">AB17+1</f>
        <v>2044</v>
      </c>
      <c r="AD17" s="9">
        <f t="shared" ref="AD17" si="29">AC17+1</f>
        <v>2045</v>
      </c>
      <c r="AE17" s="9">
        <f t="shared" ref="AE17" si="30">AD17+1</f>
        <v>2046</v>
      </c>
      <c r="AF17" s="9">
        <f t="shared" ref="AF17" si="31">AE17+1</f>
        <v>2047</v>
      </c>
      <c r="AG17" s="9">
        <f t="shared" ref="AG17" si="32">AF17+1</f>
        <v>2048</v>
      </c>
      <c r="AH17" s="9">
        <f t="shared" ref="AH17" si="33">AG17+1</f>
        <v>2049</v>
      </c>
      <c r="AI17" s="9">
        <f t="shared" ref="AI17" si="34">AH17+1</f>
        <v>2050</v>
      </c>
    </row>
    <row r="18" spans="1:35" ht="14.45" x14ac:dyDescent="0.35">
      <c r="A18" t="str">
        <f>A7</f>
        <v>air heat pump</v>
      </c>
      <c r="B18">
        <f>B7</f>
        <v>3.0773739742086752</v>
      </c>
      <c r="C18">
        <f>B18</f>
        <v>3.0773739742086752</v>
      </c>
      <c r="D18" s="9">
        <f t="shared" ref="D18:E18" si="35">C18</f>
        <v>3.0773739742086752</v>
      </c>
      <c r="E18" s="9">
        <f t="shared" si="35"/>
        <v>3.0773739742086752</v>
      </c>
      <c r="F18">
        <f>E18+($O$18-$E$18)/10</f>
        <v>3.1004542790152403</v>
      </c>
      <c r="G18" s="9">
        <f t="shared" ref="G18:N18" si="36">F18+($O$18-$E$18)/10</f>
        <v>3.1235345838218054</v>
      </c>
      <c r="H18" s="9">
        <f t="shared" si="36"/>
        <v>3.1466148886283705</v>
      </c>
      <c r="I18" s="9">
        <f t="shared" si="36"/>
        <v>3.1696951934349356</v>
      </c>
      <c r="J18" s="9">
        <f t="shared" si="36"/>
        <v>3.1927754982415006</v>
      </c>
      <c r="K18" s="9">
        <f t="shared" si="36"/>
        <v>3.2158558030480657</v>
      </c>
      <c r="L18" s="9">
        <f t="shared" si="36"/>
        <v>3.2389361078546308</v>
      </c>
      <c r="M18" s="9">
        <f t="shared" si="36"/>
        <v>3.2620164126611959</v>
      </c>
      <c r="N18" s="9">
        <f t="shared" si="36"/>
        <v>3.285096717467761</v>
      </c>
      <c r="O18">
        <f>E18+E18*'Space heat -NREL- Fig.20'!F7</f>
        <v>3.3081770222743256</v>
      </c>
      <c r="P18">
        <f>O18+(-$O$18+$Y$18)/10</f>
        <v>3.3247179073856974</v>
      </c>
      <c r="Q18" s="9">
        <f t="shared" ref="Q18:X18" si="37">P18+(-$O$18+$Y$18)/10</f>
        <v>3.3412587924970691</v>
      </c>
      <c r="R18" s="9">
        <f t="shared" si="37"/>
        <v>3.3577996776084409</v>
      </c>
      <c r="S18" s="9">
        <f t="shared" si="37"/>
        <v>3.3743405627198126</v>
      </c>
      <c r="T18" s="9">
        <f t="shared" si="37"/>
        <v>3.3908814478311844</v>
      </c>
      <c r="U18" s="9">
        <f t="shared" si="37"/>
        <v>3.4074223329425561</v>
      </c>
      <c r="V18" s="9">
        <f t="shared" si="37"/>
        <v>3.4239632180539279</v>
      </c>
      <c r="W18" s="9">
        <f t="shared" si="37"/>
        <v>3.4405041031652996</v>
      </c>
      <c r="X18" s="9">
        <f t="shared" si="37"/>
        <v>3.4570449882766714</v>
      </c>
      <c r="Y18">
        <f>O18+O18*'Space heat -NREL- Fig.20'!F8</f>
        <v>3.4735858733880418</v>
      </c>
    </row>
    <row r="19" spans="1:35" ht="14.45" x14ac:dyDescent="0.35">
      <c r="A19" t="str">
        <f>A8</f>
        <v>heat pump water heater</v>
      </c>
      <c r="B19">
        <f>B8</f>
        <v>3.7</v>
      </c>
      <c r="C19">
        <f>B19</f>
        <v>3.7</v>
      </c>
      <c r="D19" s="9">
        <f t="shared" ref="D19:E19" si="38">C19</f>
        <v>3.7</v>
      </c>
      <c r="E19" s="9">
        <f t="shared" si="38"/>
        <v>3.7</v>
      </c>
      <c r="F19">
        <f>E19+($O$19-$E$19)/10</f>
        <v>3.7185000000000001</v>
      </c>
      <c r="G19" s="9">
        <f t="shared" ref="G19:N19" si="39">F19+($O$19-$E$19)/10</f>
        <v>3.7370000000000001</v>
      </c>
      <c r="H19" s="9">
        <f t="shared" si="39"/>
        <v>3.7555000000000001</v>
      </c>
      <c r="I19" s="9">
        <f t="shared" si="39"/>
        <v>3.774</v>
      </c>
      <c r="J19" s="9">
        <f t="shared" si="39"/>
        <v>3.7925</v>
      </c>
      <c r="K19" s="9">
        <f t="shared" si="39"/>
        <v>3.8109999999999999</v>
      </c>
      <c r="L19" s="9">
        <f t="shared" si="39"/>
        <v>3.8294999999999999</v>
      </c>
      <c r="M19" s="9">
        <f t="shared" si="39"/>
        <v>3.8479999999999999</v>
      </c>
      <c r="N19" s="9">
        <f t="shared" si="39"/>
        <v>3.8664999999999998</v>
      </c>
      <c r="O19">
        <f>E19+E19*'Water heat - NREL - Fig.21'!F7</f>
        <v>3.8850000000000002</v>
      </c>
      <c r="P19">
        <f>O19+($Y$19-$O$19)/10</f>
        <v>3.8947125000000002</v>
      </c>
      <c r="Q19" s="9">
        <f t="shared" ref="Q19:X19" si="40">P19+($Y$19-$O$19)/10</f>
        <v>3.9044250000000003</v>
      </c>
      <c r="R19" s="9">
        <f t="shared" si="40"/>
        <v>3.9141375000000003</v>
      </c>
      <c r="S19" s="9">
        <f t="shared" si="40"/>
        <v>3.9238500000000003</v>
      </c>
      <c r="T19" s="9">
        <f t="shared" si="40"/>
        <v>3.9335625000000003</v>
      </c>
      <c r="U19" s="9">
        <f t="shared" si="40"/>
        <v>3.9432750000000003</v>
      </c>
      <c r="V19" s="9">
        <f t="shared" si="40"/>
        <v>3.9529875000000003</v>
      </c>
      <c r="W19" s="9">
        <f t="shared" si="40"/>
        <v>3.9627000000000003</v>
      </c>
      <c r="X19" s="9">
        <f t="shared" si="40"/>
        <v>3.9724125000000003</v>
      </c>
      <c r="Y19">
        <f>O19+O19*'Water heat - NREL - Fig.21'!F8</f>
        <v>3.9821250000000004</v>
      </c>
    </row>
    <row r="22" spans="1:35" ht="14.45" x14ac:dyDescent="0.35">
      <c r="A22" s="9" t="s">
        <v>35</v>
      </c>
    </row>
    <row r="23" spans="1:35" ht="14.45" x14ac:dyDescent="0.35">
      <c r="A23" s="9" t="s">
        <v>28</v>
      </c>
      <c r="E23">
        <f t="shared" ref="E23:Y23" si="41">E11*E18</f>
        <v>0.27976127066236811</v>
      </c>
      <c r="F23" s="9">
        <f t="shared" si="41"/>
        <v>0.56371896038467173</v>
      </c>
      <c r="G23" s="9">
        <f t="shared" si="41"/>
        <v>0.85187306916691086</v>
      </c>
      <c r="H23" s="9">
        <f t="shared" si="41"/>
        <v>1.1442235970090855</v>
      </c>
      <c r="I23" s="9">
        <f t="shared" si="41"/>
        <v>1.4407705439111957</v>
      </c>
      <c r="J23" s="9">
        <f t="shared" si="41"/>
        <v>1.7415139066804661</v>
      </c>
      <c r="K23" s="9">
        <f t="shared" si="41"/>
        <v>2.0464536916793672</v>
      </c>
      <c r="L23" s="9">
        <f t="shared" si="41"/>
        <v>2.3555898957382033</v>
      </c>
      <c r="M23" s="9">
        <f t="shared" si="41"/>
        <v>2.6689225188569754</v>
      </c>
      <c r="N23" s="9">
        <f t="shared" si="41"/>
        <v>2.986451561035683</v>
      </c>
      <c r="O23" s="9">
        <f t="shared" si="41"/>
        <v>3.3081770222743256</v>
      </c>
      <c r="P23" s="9">
        <f t="shared" si="41"/>
        <v>3.3247179073856974</v>
      </c>
      <c r="Q23" s="9">
        <f t="shared" si="41"/>
        <v>3.3412587924970691</v>
      </c>
      <c r="R23" s="9">
        <f t="shared" si="41"/>
        <v>3.3577996776084409</v>
      </c>
      <c r="S23" s="9">
        <f t="shared" si="41"/>
        <v>3.3743405627198126</v>
      </c>
      <c r="T23" s="9">
        <f t="shared" si="41"/>
        <v>3.3908814478311844</v>
      </c>
      <c r="U23" s="9">
        <f t="shared" si="41"/>
        <v>3.4074223329425561</v>
      </c>
      <c r="V23" s="9">
        <f t="shared" si="41"/>
        <v>3.4239632180539279</v>
      </c>
      <c r="W23" s="9">
        <f t="shared" si="41"/>
        <v>3.4405041031652996</v>
      </c>
      <c r="X23" s="9">
        <f t="shared" si="41"/>
        <v>3.4570449882766714</v>
      </c>
      <c r="Y23" s="9">
        <f t="shared" si="41"/>
        <v>3.4735858733880418</v>
      </c>
    </row>
    <row r="24" spans="1:35" ht="14.45" x14ac:dyDescent="0.35">
      <c r="A24" s="9" t="s">
        <v>31</v>
      </c>
      <c r="E24">
        <f t="shared" ref="E24:Y24" si="42">E11*E19</f>
        <v>0.33636363670000002</v>
      </c>
      <c r="F24" s="9">
        <f t="shared" si="42"/>
        <v>0.67609090976700004</v>
      </c>
      <c r="G24" s="9">
        <f t="shared" si="42"/>
        <v>1.019181819201</v>
      </c>
      <c r="H24" s="9">
        <f t="shared" si="42"/>
        <v>1.365636365002</v>
      </c>
      <c r="I24" s="9">
        <f t="shared" si="42"/>
        <v>1.71545454717</v>
      </c>
      <c r="J24" s="9">
        <f t="shared" si="42"/>
        <v>2.0686363619125001</v>
      </c>
      <c r="K24" s="9">
        <f t="shared" si="42"/>
        <v>2.425181816796</v>
      </c>
      <c r="L24" s="9">
        <f t="shared" si="42"/>
        <v>2.7850909080465001</v>
      </c>
      <c r="M24" s="9">
        <f t="shared" si="42"/>
        <v>3.1483636356639999</v>
      </c>
      <c r="N24" s="9">
        <f t="shared" si="42"/>
        <v>3.5149999996485</v>
      </c>
      <c r="O24" s="9">
        <f t="shared" si="42"/>
        <v>3.8850000000000002</v>
      </c>
      <c r="P24" s="9">
        <f t="shared" si="42"/>
        <v>3.8947125000000002</v>
      </c>
      <c r="Q24" s="9">
        <f t="shared" si="42"/>
        <v>3.9044250000000003</v>
      </c>
      <c r="R24" s="9">
        <f t="shared" si="42"/>
        <v>3.9141375000000003</v>
      </c>
      <c r="S24" s="9">
        <f t="shared" si="42"/>
        <v>3.9238500000000003</v>
      </c>
      <c r="T24" s="9">
        <f t="shared" si="42"/>
        <v>3.9335625000000003</v>
      </c>
      <c r="U24" s="9">
        <f t="shared" si="42"/>
        <v>3.9432750000000003</v>
      </c>
      <c r="V24" s="9">
        <f t="shared" si="42"/>
        <v>3.9529875000000003</v>
      </c>
      <c r="W24" s="9">
        <f t="shared" si="42"/>
        <v>3.9627000000000003</v>
      </c>
      <c r="X24" s="9">
        <f t="shared" si="42"/>
        <v>3.9724125000000003</v>
      </c>
      <c r="Y24" s="9">
        <f t="shared" si="42"/>
        <v>3.9821250000000004</v>
      </c>
    </row>
    <row r="26" spans="1:35" ht="14.45" x14ac:dyDescent="0.35">
      <c r="A26" t="s">
        <v>77</v>
      </c>
    </row>
    <row r="27" spans="1:35" ht="14.45" x14ac:dyDescent="0.35">
      <c r="A27" s="9" t="s">
        <v>28</v>
      </c>
      <c r="B27">
        <f>SUM(E23:Y23)</f>
        <v>53.378974941267956</v>
      </c>
    </row>
    <row r="28" spans="1:35" ht="14.45" x14ac:dyDescent="0.35">
      <c r="A28" s="9" t="s">
        <v>31</v>
      </c>
      <c r="B28" s="9">
        <f>SUM(E24:Y24)</f>
        <v>62.324187499907502</v>
      </c>
    </row>
    <row r="30" spans="1:35" ht="14.45" x14ac:dyDescent="0.35">
      <c r="A30" t="s">
        <v>78</v>
      </c>
    </row>
    <row r="31" spans="1:35" ht="14.45" x14ac:dyDescent="0.35">
      <c r="A31" s="9" t="s">
        <v>28</v>
      </c>
      <c r="B31">
        <f>B27/B13</f>
        <v>3.3361859338292472</v>
      </c>
    </row>
    <row r="32" spans="1:35" ht="14.45" x14ac:dyDescent="0.35">
      <c r="A32" s="9" t="s">
        <v>31</v>
      </c>
      <c r="B32">
        <f>B28/B13</f>
        <v>3.8952617187442189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workbookViewId="0">
      <selection activeCell="E22" sqref="E22"/>
    </sheetView>
  </sheetViews>
  <sheetFormatPr defaultRowHeight="15" x14ac:dyDescent="0.25"/>
  <cols>
    <col min="4" max="4" width="14.140625" customWidth="1"/>
  </cols>
  <sheetData>
    <row r="1" spans="1:16" x14ac:dyDescent="0.25">
      <c r="A1" s="9" t="s">
        <v>33</v>
      </c>
      <c r="B1" s="9"/>
      <c r="C1" s="9"/>
      <c r="D1" s="9"/>
      <c r="E1" s="9"/>
      <c r="F1" s="9"/>
      <c r="G1" s="9"/>
      <c r="H1" s="9"/>
      <c r="I1" s="9"/>
      <c r="J1" s="9"/>
      <c r="K1" s="9"/>
      <c r="L1" s="9"/>
      <c r="M1" s="9"/>
      <c r="N1" s="9"/>
      <c r="O1" s="9"/>
    </row>
    <row r="2" spans="1:16" x14ac:dyDescent="0.25">
      <c r="A2" s="9"/>
      <c r="B2" s="9"/>
      <c r="C2" s="9"/>
      <c r="D2" s="9"/>
      <c r="E2" s="9"/>
      <c r="F2" s="9"/>
      <c r="G2" s="9"/>
      <c r="H2" s="9"/>
      <c r="I2" s="9"/>
      <c r="J2" s="9"/>
      <c r="K2" s="9"/>
      <c r="L2" s="9"/>
      <c r="M2" s="9"/>
      <c r="N2" s="9"/>
      <c r="O2" s="9"/>
    </row>
    <row r="3" spans="1:16" x14ac:dyDescent="0.25">
      <c r="A3" s="9"/>
      <c r="B3" s="9"/>
      <c r="C3" s="9"/>
      <c r="D3" s="9"/>
      <c r="E3">
        <v>2020</v>
      </c>
      <c r="F3" s="9">
        <v>2021</v>
      </c>
      <c r="G3" s="9">
        <v>2022</v>
      </c>
      <c r="H3" s="9">
        <v>2023</v>
      </c>
      <c r="I3" s="9">
        <v>2024</v>
      </c>
      <c r="J3" s="9">
        <v>2025</v>
      </c>
      <c r="K3" s="9">
        <f>J3+1</f>
        <v>2026</v>
      </c>
      <c r="L3" s="9">
        <f t="shared" ref="L3:O3" si="0">K3+1</f>
        <v>2027</v>
      </c>
      <c r="M3" s="9">
        <f t="shared" si="0"/>
        <v>2028</v>
      </c>
      <c r="N3" s="9">
        <f t="shared" si="0"/>
        <v>2029</v>
      </c>
      <c r="O3" s="9">
        <f t="shared" si="0"/>
        <v>2030</v>
      </c>
      <c r="P3" t="s">
        <v>80</v>
      </c>
    </row>
    <row r="4" spans="1:16" ht="14.45" x14ac:dyDescent="0.35">
      <c r="A4" s="9" t="s">
        <v>87</v>
      </c>
      <c r="B4" s="9"/>
      <c r="C4" s="9"/>
      <c r="D4" s="9"/>
      <c r="E4" s="9">
        <v>9.0909090999999997E-2</v>
      </c>
      <c r="F4" s="9">
        <v>0.18181818199999999</v>
      </c>
      <c r="G4" s="9">
        <v>0.27272727299999999</v>
      </c>
      <c r="H4" s="9">
        <v>0.36363636399999999</v>
      </c>
      <c r="I4" s="9">
        <v>0.45454545499999999</v>
      </c>
      <c r="J4" s="9">
        <v>0.54545454500000001</v>
      </c>
      <c r="K4" s="9">
        <v>0.63636363600000001</v>
      </c>
      <c r="L4" s="9">
        <v>0.72727272700000001</v>
      </c>
      <c r="M4" s="9">
        <v>0.81818181800000001</v>
      </c>
      <c r="N4" s="9">
        <v>0.909090909</v>
      </c>
      <c r="O4" s="9">
        <v>1</v>
      </c>
      <c r="P4">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workbookViewId="0">
      <selection activeCell="A15" sqref="A15"/>
    </sheetView>
  </sheetViews>
  <sheetFormatPr defaultRowHeight="15" x14ac:dyDescent="0.25"/>
  <cols>
    <col min="2" max="2" width="10.140625" customWidth="1"/>
    <col min="6" max="6" width="18.42578125" customWidth="1"/>
    <col min="12" max="12" width="24.140625" bestFit="1" customWidth="1"/>
  </cols>
  <sheetData>
    <row r="1" spans="1:14" x14ac:dyDescent="0.25">
      <c r="A1" s="4" t="s">
        <v>12</v>
      </c>
      <c r="B1" s="4"/>
      <c r="C1" s="4"/>
      <c r="D1" s="4"/>
      <c r="E1" s="4"/>
    </row>
    <row r="2" spans="1:14" x14ac:dyDescent="0.25">
      <c r="A2" s="4" t="s">
        <v>13</v>
      </c>
      <c r="B2" s="3"/>
      <c r="C2" s="3"/>
      <c r="D2" s="3"/>
      <c r="E2" s="3"/>
    </row>
    <row r="3" spans="1:14" x14ac:dyDescent="0.25">
      <c r="E3" s="8" t="s">
        <v>30</v>
      </c>
      <c r="F3" s="8"/>
      <c r="G3" s="8"/>
    </row>
    <row r="4" spans="1:14" ht="120" x14ac:dyDescent="0.25">
      <c r="A4" t="s">
        <v>26</v>
      </c>
      <c r="F4" s="11" t="s">
        <v>29</v>
      </c>
      <c r="G4" s="11" t="s">
        <v>27</v>
      </c>
      <c r="I4" s="4"/>
      <c r="J4" s="4"/>
      <c r="K4" s="4"/>
      <c r="L4" s="4" t="s">
        <v>17</v>
      </c>
      <c r="M4" s="11" t="s">
        <v>29</v>
      </c>
      <c r="N4" s="11" t="s">
        <v>27</v>
      </c>
    </row>
    <row r="5" spans="1:14" x14ac:dyDescent="0.25">
      <c r="A5">
        <v>2015</v>
      </c>
      <c r="B5" t="s">
        <v>18</v>
      </c>
      <c r="C5" t="s">
        <v>19</v>
      </c>
      <c r="E5">
        <v>2.4510000000000001</v>
      </c>
      <c r="I5" s="3"/>
      <c r="J5" s="3"/>
      <c r="K5" s="3"/>
      <c r="L5" s="5">
        <v>1716</v>
      </c>
      <c r="M5" s="9"/>
      <c r="N5" s="9"/>
    </row>
    <row r="6" spans="1:14" x14ac:dyDescent="0.25">
      <c r="A6">
        <v>2020</v>
      </c>
      <c r="B6" t="s">
        <v>18</v>
      </c>
      <c r="C6" t="s">
        <v>19</v>
      </c>
      <c r="E6">
        <v>3</v>
      </c>
      <c r="F6">
        <f>(E6-E5)/5</f>
        <v>0.10979999999999998</v>
      </c>
      <c r="G6">
        <f>F6/5</f>
        <v>2.1959999999999997E-2</v>
      </c>
      <c r="I6" s="3"/>
      <c r="J6" s="3"/>
      <c r="K6" s="3"/>
      <c r="L6" s="5">
        <v>1648.3405714285716</v>
      </c>
      <c r="M6" s="9">
        <f>(L6-L5)/5</f>
        <v>-13.531885714285682</v>
      </c>
      <c r="N6" s="9">
        <f>M6/L5</f>
        <v>-7.8857142857142667E-3</v>
      </c>
    </row>
    <row r="7" spans="1:14" x14ac:dyDescent="0.25">
      <c r="A7">
        <v>2030</v>
      </c>
      <c r="B7" t="s">
        <v>18</v>
      </c>
      <c r="C7" t="s">
        <v>19</v>
      </c>
      <c r="E7">
        <v>3.75</v>
      </c>
      <c r="F7" s="9">
        <f>(E7-E6)/10</f>
        <v>7.4999999999999997E-2</v>
      </c>
      <c r="G7">
        <f>F7/10</f>
        <v>7.4999999999999997E-3</v>
      </c>
      <c r="I7" s="3"/>
      <c r="J7" s="3"/>
      <c r="K7" s="3"/>
      <c r="L7" s="5">
        <v>1513.0217142857143</v>
      </c>
      <c r="M7" s="9">
        <f>(L7-L6)/10</f>
        <v>-13.531885714285727</v>
      </c>
      <c r="N7" s="9">
        <f>M7/L6</f>
        <v>-8.2093991671624098E-3</v>
      </c>
    </row>
    <row r="8" spans="1:14" x14ac:dyDescent="0.25">
      <c r="A8">
        <v>2040</v>
      </c>
      <c r="B8" t="s">
        <v>18</v>
      </c>
      <c r="C8" t="s">
        <v>19</v>
      </c>
      <c r="E8">
        <v>4.25</v>
      </c>
      <c r="F8" s="9">
        <f>(E8-E7)/10</f>
        <v>0.05</v>
      </c>
      <c r="G8" s="9">
        <f>F8/10</f>
        <v>5.0000000000000001E-3</v>
      </c>
      <c r="I8" s="3"/>
      <c r="J8" s="3"/>
      <c r="K8" s="3"/>
      <c r="L8" s="5">
        <v>1377.7028571428571</v>
      </c>
      <c r="M8" s="9">
        <f>(L8-L7)/10</f>
        <v>-13.531885714285727</v>
      </c>
      <c r="N8" s="9">
        <f>M8/L7</f>
        <v>-8.9436163318211363E-3</v>
      </c>
    </row>
    <row r="9" spans="1:14" x14ac:dyDescent="0.25">
      <c r="A9">
        <v>2050</v>
      </c>
      <c r="B9" t="s">
        <v>18</v>
      </c>
      <c r="C9" t="s">
        <v>19</v>
      </c>
      <c r="E9">
        <v>4.3962485345838216</v>
      </c>
      <c r="F9" s="9">
        <f>(E9-E8)/10</f>
        <v>1.4624853458382159E-2</v>
      </c>
      <c r="G9" s="9">
        <f>F9/E8</f>
        <v>3.441141990207567E-3</v>
      </c>
      <c r="I9" s="3"/>
      <c r="J9" s="3"/>
      <c r="K9" s="3"/>
      <c r="L9" s="5">
        <v>1242.384</v>
      </c>
      <c r="M9" s="9">
        <f>(L9-L8)/10</f>
        <v>-13.531885714285703</v>
      </c>
      <c r="N9" s="9">
        <f>M9/L8</f>
        <v>-9.8220640569394949E-3</v>
      </c>
    </row>
    <row r="12" spans="1:14" x14ac:dyDescent="0.25">
      <c r="B12" t="s">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G9" sqref="G9"/>
    </sheetView>
  </sheetViews>
  <sheetFormatPr defaultRowHeight="15" x14ac:dyDescent="0.25"/>
  <sheetData>
    <row r="1" spans="1:7" x14ac:dyDescent="0.25">
      <c r="A1" s="10" t="s">
        <v>20</v>
      </c>
      <c r="B1" s="9"/>
      <c r="C1" s="9"/>
      <c r="D1" s="9"/>
      <c r="E1" s="9"/>
    </row>
    <row r="2" spans="1:7" x14ac:dyDescent="0.25">
      <c r="A2" s="10" t="s">
        <v>13</v>
      </c>
      <c r="B2" s="12" t="s">
        <v>21</v>
      </c>
      <c r="C2" s="9"/>
      <c r="D2" s="9"/>
      <c r="E2" s="9"/>
    </row>
    <row r="3" spans="1:7" x14ac:dyDescent="0.25">
      <c r="A3" s="9"/>
      <c r="B3" s="9"/>
      <c r="C3" s="9"/>
      <c r="D3" s="9"/>
      <c r="E3" s="9"/>
    </row>
    <row r="4" spans="1:7" ht="120" x14ac:dyDescent="0.25">
      <c r="A4" s="10" t="s">
        <v>14</v>
      </c>
      <c r="B4" s="10" t="s">
        <v>15</v>
      </c>
      <c r="C4" s="10" t="s">
        <v>16</v>
      </c>
      <c r="D4" s="10" t="s">
        <v>22</v>
      </c>
      <c r="E4" s="10" t="s">
        <v>23</v>
      </c>
      <c r="F4" s="11" t="s">
        <v>29</v>
      </c>
      <c r="G4" s="11" t="s">
        <v>27</v>
      </c>
    </row>
    <row r="5" spans="1:7" x14ac:dyDescent="0.25">
      <c r="A5" s="9">
        <v>2015</v>
      </c>
      <c r="B5" s="9" t="s">
        <v>24</v>
      </c>
      <c r="C5" s="9" t="s">
        <v>19</v>
      </c>
      <c r="D5" s="9">
        <v>1990</v>
      </c>
      <c r="E5" s="9">
        <v>2.4500000000000002</v>
      </c>
      <c r="F5" s="9"/>
      <c r="G5" s="9"/>
    </row>
    <row r="6" spans="1:7" x14ac:dyDescent="0.25">
      <c r="A6" s="9">
        <v>2020</v>
      </c>
      <c r="B6" s="9" t="s">
        <v>24</v>
      </c>
      <c r="C6" s="9" t="s">
        <v>19</v>
      </c>
      <c r="D6" s="9">
        <v>1650</v>
      </c>
      <c r="E6" s="9">
        <v>3</v>
      </c>
      <c r="F6" s="9">
        <f>(E6-E5)/5</f>
        <v>0.10999999999999996</v>
      </c>
      <c r="G6" s="9">
        <f>F6/5</f>
        <v>2.1999999999999992E-2</v>
      </c>
    </row>
    <row r="7" spans="1:7" x14ac:dyDescent="0.25">
      <c r="A7" s="9">
        <v>2030</v>
      </c>
      <c r="B7" s="9" t="s">
        <v>24</v>
      </c>
      <c r="C7" s="9" t="s">
        <v>19</v>
      </c>
      <c r="D7" s="9">
        <v>1350</v>
      </c>
      <c r="E7" s="9">
        <v>3.5</v>
      </c>
      <c r="F7" s="9">
        <f>(E7-E6)/10</f>
        <v>0.05</v>
      </c>
      <c r="G7" s="9">
        <f>F7/10</f>
        <v>5.0000000000000001E-3</v>
      </c>
    </row>
    <row r="8" spans="1:7" x14ac:dyDescent="0.25">
      <c r="A8" s="9">
        <v>2040</v>
      </c>
      <c r="B8" s="9" t="s">
        <v>24</v>
      </c>
      <c r="C8" s="9" t="s">
        <v>19</v>
      </c>
      <c r="D8" s="9">
        <v>1100</v>
      </c>
      <c r="E8" s="9">
        <v>3.75</v>
      </c>
      <c r="F8" s="9">
        <f>(E8-E7)/10</f>
        <v>2.5000000000000001E-2</v>
      </c>
      <c r="G8" s="9">
        <f>F8/10</f>
        <v>2.5000000000000001E-3</v>
      </c>
    </row>
    <row r="9" spans="1:7" x14ac:dyDescent="0.25">
      <c r="A9" s="9">
        <v>2050</v>
      </c>
      <c r="B9" s="9" t="s">
        <v>24</v>
      </c>
      <c r="C9" s="9" t="s">
        <v>19</v>
      </c>
      <c r="D9" s="9">
        <v>1000</v>
      </c>
      <c r="E9" s="9">
        <v>3.75</v>
      </c>
      <c r="F9" s="9">
        <f>(E9-E8)/10</f>
        <v>0</v>
      </c>
      <c r="G9" s="9">
        <f>F9/E8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PCFURfE</vt:lpstr>
      <vt:lpstr>Efficiency implications</vt:lpstr>
      <vt:lpstr>Inputs and Initial Calcs</vt:lpstr>
      <vt:lpstr>weighted average of time series</vt:lpstr>
      <vt:lpstr>method collapsing time series</vt:lpstr>
      <vt:lpstr>Space heat -NREL- Fig.20</vt:lpstr>
      <vt:lpstr>Water heat - NREL - Fig.21</vt:lpstr>
    </vt:vector>
  </TitlesOfParts>
  <Company>Endsight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Busch</dc:creator>
  <cp:lastModifiedBy>Chris Busch</cp:lastModifiedBy>
  <dcterms:created xsi:type="dcterms:W3CDTF">2019-02-12T21:07:45Z</dcterms:created>
  <dcterms:modified xsi:type="dcterms:W3CDTF">2020-01-08T01:58:44Z</dcterms:modified>
</cp:coreProperties>
</file>