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60" yWindow="120" windowWidth="18840" windowHeight="6248" activeTab="2"/>
  </bookViews>
  <sheets>
    <sheet name="About" sheetId="1" r:id="rId1"/>
    <sheet name="CSA-BTCS" sheetId="5" r:id="rId2"/>
    <sheet name="CSA-ACP" sheetId="6" r:id="rId3"/>
    <sheet name="BAU CCS" sheetId="14" r:id="rId4"/>
    <sheet name="Additional potential cals" sheetId="17" r:id="rId5"/>
    <sheet name="Capture efficiency" sheetId="12" r:id="rId6"/>
    <sheet name="Separate Refineries-OGE in NGPS" sheetId="18" r:id="rId7"/>
    <sheet name="EI Scenario before CCS" sheetId="16" r:id="rId8"/>
  </sheets>
  <externalReferences>
    <externalReference r:id="rId9"/>
  </externalReferences>
  <definedNames>
    <definedName name="HHV_Adjust">[1]About!$A$207</definedName>
  </definedNames>
  <calcPr calcId="145621"/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B8" i="16" l="1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A8" i="16"/>
  <c r="A24" i="17" l="1"/>
  <c r="A26" i="17"/>
  <c r="A27" i="17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24" i="18"/>
  <c r="Q11" i="18"/>
  <c r="Q6" i="18" s="1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Q7" i="18" l="1"/>
  <c r="B12" i="18"/>
  <c r="B45" i="16" l="1"/>
  <c r="C45" i="16"/>
  <c r="D45" i="16"/>
  <c r="E45" i="16"/>
  <c r="F45" i="16"/>
  <c r="G45" i="16"/>
  <c r="A46" i="16"/>
  <c r="B46" i="16"/>
  <c r="C46" i="16"/>
  <c r="D46" i="16"/>
  <c r="Q8" i="18" s="1"/>
  <c r="E46" i="16"/>
  <c r="F46" i="16"/>
  <c r="G46" i="16"/>
  <c r="A41" i="16" l="1"/>
  <c r="A31" i="16" s="1"/>
  <c r="B41" i="16"/>
  <c r="B31" i="16" s="1"/>
  <c r="C41" i="16"/>
  <c r="C31" i="16" s="1"/>
  <c r="D41" i="16"/>
  <c r="D31" i="16" s="1"/>
  <c r="E41" i="16"/>
  <c r="E31" i="16" s="1"/>
  <c r="F41" i="16"/>
  <c r="F31" i="16" s="1"/>
  <c r="G41" i="16"/>
  <c r="G31" i="16" s="1"/>
  <c r="H41" i="16"/>
  <c r="H31" i="16" s="1"/>
  <c r="I41" i="16"/>
  <c r="I31" i="16" s="1"/>
  <c r="J41" i="16"/>
  <c r="J31" i="16" s="1"/>
  <c r="K41" i="16"/>
  <c r="K31" i="16" s="1"/>
  <c r="L41" i="16"/>
  <c r="L31" i="16" s="1"/>
  <c r="M41" i="16"/>
  <c r="M31" i="16" s="1"/>
  <c r="N41" i="16"/>
  <c r="N31" i="16" s="1"/>
  <c r="O41" i="16"/>
  <c r="O31" i="16" s="1"/>
  <c r="A37" i="16"/>
  <c r="A27" i="16" s="1"/>
  <c r="B37" i="16"/>
  <c r="B27" i="16" s="1"/>
  <c r="C37" i="16"/>
  <c r="C27" i="16" s="1"/>
  <c r="D37" i="16"/>
  <c r="D27" i="16" s="1"/>
  <c r="E37" i="16"/>
  <c r="E27" i="16" s="1"/>
  <c r="F37" i="16"/>
  <c r="F27" i="16" s="1"/>
  <c r="G37" i="16"/>
  <c r="G27" i="16" s="1"/>
  <c r="H37" i="16"/>
  <c r="H27" i="16" s="1"/>
  <c r="I37" i="16"/>
  <c r="I27" i="16" s="1"/>
  <c r="J37" i="16"/>
  <c r="J27" i="16" s="1"/>
  <c r="K37" i="16"/>
  <c r="K27" i="16" s="1"/>
  <c r="L37" i="16"/>
  <c r="L27" i="16" s="1"/>
  <c r="M37" i="16"/>
  <c r="M27" i="16" s="1"/>
  <c r="N37" i="16"/>
  <c r="N27" i="16" s="1"/>
  <c r="O37" i="16"/>
  <c r="O27" i="16" s="1"/>
  <c r="A40" i="16"/>
  <c r="A30" i="16" s="1"/>
  <c r="B40" i="16"/>
  <c r="B30" i="16" s="1"/>
  <c r="C40" i="16"/>
  <c r="C30" i="16" s="1"/>
  <c r="D40" i="16"/>
  <c r="D30" i="16" s="1"/>
  <c r="E40" i="16"/>
  <c r="E30" i="16" s="1"/>
  <c r="F40" i="16"/>
  <c r="F30" i="16" s="1"/>
  <c r="G40" i="16"/>
  <c r="G30" i="16" s="1"/>
  <c r="H40" i="16"/>
  <c r="H30" i="16" s="1"/>
  <c r="I40" i="16"/>
  <c r="I30" i="16" s="1"/>
  <c r="J40" i="16"/>
  <c r="J30" i="16" s="1"/>
  <c r="K40" i="16"/>
  <c r="K30" i="16" s="1"/>
  <c r="L40" i="16"/>
  <c r="L30" i="16" s="1"/>
  <c r="M40" i="16"/>
  <c r="M30" i="16" s="1"/>
  <c r="N40" i="16"/>
  <c r="N30" i="16" s="1"/>
  <c r="O40" i="16"/>
  <c r="O30" i="16" s="1"/>
  <c r="A35" i="16"/>
  <c r="A25" i="16" s="1"/>
  <c r="B35" i="16"/>
  <c r="B25" i="16" s="1"/>
  <c r="C35" i="16"/>
  <c r="C25" i="16" s="1"/>
  <c r="D35" i="16"/>
  <c r="D25" i="16" s="1"/>
  <c r="E35" i="16"/>
  <c r="E25" i="16" s="1"/>
  <c r="F35" i="16"/>
  <c r="F25" i="16" s="1"/>
  <c r="G35" i="16"/>
  <c r="G25" i="16" s="1"/>
  <c r="H35" i="16"/>
  <c r="H25" i="16" s="1"/>
  <c r="I35" i="16"/>
  <c r="I25" i="16" s="1"/>
  <c r="J35" i="16"/>
  <c r="J25" i="16" s="1"/>
  <c r="K35" i="16"/>
  <c r="K25" i="16" s="1"/>
  <c r="L35" i="16"/>
  <c r="L25" i="16" s="1"/>
  <c r="M35" i="16"/>
  <c r="M25" i="16" s="1"/>
  <c r="N35" i="16"/>
  <c r="N25" i="16" s="1"/>
  <c r="O35" i="16"/>
  <c r="O25" i="16" s="1"/>
  <c r="A36" i="16"/>
  <c r="A26" i="16" s="1"/>
  <c r="B36" i="16"/>
  <c r="B26" i="16" s="1"/>
  <c r="B18" i="16" s="1"/>
  <c r="C36" i="16"/>
  <c r="C26" i="16" s="1"/>
  <c r="C18" i="16" s="1"/>
  <c r="D36" i="16"/>
  <c r="D26" i="16" s="1"/>
  <c r="D18" i="16" s="1"/>
  <c r="E36" i="16"/>
  <c r="E26" i="16" s="1"/>
  <c r="F36" i="16"/>
  <c r="F26" i="16" s="1"/>
  <c r="G36" i="16"/>
  <c r="G26" i="16" s="1"/>
  <c r="G18" i="16" s="1"/>
  <c r="H36" i="16"/>
  <c r="H26" i="16" s="1"/>
  <c r="H18" i="16" s="1"/>
  <c r="I36" i="16"/>
  <c r="I26" i="16" s="1"/>
  <c r="I18" i="16" s="1"/>
  <c r="J36" i="16"/>
  <c r="J26" i="16" s="1"/>
  <c r="J18" i="16" s="1"/>
  <c r="K36" i="16"/>
  <c r="K26" i="16" s="1"/>
  <c r="K18" i="16" s="1"/>
  <c r="L36" i="16"/>
  <c r="L26" i="16" s="1"/>
  <c r="L18" i="16" s="1"/>
  <c r="M36" i="16"/>
  <c r="M26" i="16" s="1"/>
  <c r="N36" i="16"/>
  <c r="N26" i="16" s="1"/>
  <c r="O36" i="16"/>
  <c r="O26" i="16" s="1"/>
  <c r="O18" i="16" s="1"/>
  <c r="O4" i="16" s="1"/>
  <c r="A39" i="16"/>
  <c r="A29" i="16" s="1"/>
  <c r="B39" i="16"/>
  <c r="B29" i="16" s="1"/>
  <c r="B19" i="16" s="1"/>
  <c r="B15" i="16" s="1"/>
  <c r="B5" i="16" s="1"/>
  <c r="B27" i="17" s="1"/>
  <c r="B14" i="17" s="1"/>
  <c r="C39" i="16"/>
  <c r="C29" i="16" s="1"/>
  <c r="C19" i="16" s="1"/>
  <c r="C15" i="16" s="1"/>
  <c r="C5" i="16" s="1"/>
  <c r="C27" i="17" s="1"/>
  <c r="C14" i="17" s="1"/>
  <c r="D39" i="16"/>
  <c r="D29" i="16" s="1"/>
  <c r="D19" i="16" s="1"/>
  <c r="D15" i="16" s="1"/>
  <c r="D5" i="16" s="1"/>
  <c r="D27" i="17" s="1"/>
  <c r="D14" i="17" s="1"/>
  <c r="E39" i="16"/>
  <c r="E29" i="16" s="1"/>
  <c r="E19" i="16" s="1"/>
  <c r="E15" i="16" s="1"/>
  <c r="E5" i="16" s="1"/>
  <c r="E27" i="17" s="1"/>
  <c r="E14" i="17" s="1"/>
  <c r="F39" i="16"/>
  <c r="F29" i="16" s="1"/>
  <c r="F19" i="16" s="1"/>
  <c r="F15" i="16" s="1"/>
  <c r="F5" i="16" s="1"/>
  <c r="F27" i="17" s="1"/>
  <c r="F14" i="17" s="1"/>
  <c r="G39" i="16"/>
  <c r="G29" i="16" s="1"/>
  <c r="G19" i="16" s="1"/>
  <c r="G15" i="16" s="1"/>
  <c r="G5" i="16" s="1"/>
  <c r="G27" i="17" s="1"/>
  <c r="G14" i="17" s="1"/>
  <c r="H39" i="16"/>
  <c r="H29" i="16" s="1"/>
  <c r="H19" i="16" s="1"/>
  <c r="H15" i="16" s="1"/>
  <c r="H5" i="16" s="1"/>
  <c r="H27" i="17" s="1"/>
  <c r="H14" i="17" s="1"/>
  <c r="I39" i="16"/>
  <c r="I29" i="16" s="1"/>
  <c r="I19" i="16" s="1"/>
  <c r="I15" i="16" s="1"/>
  <c r="I5" i="16" s="1"/>
  <c r="I27" i="17" s="1"/>
  <c r="I14" i="17" s="1"/>
  <c r="J39" i="16"/>
  <c r="J29" i="16" s="1"/>
  <c r="J19" i="16" s="1"/>
  <c r="J15" i="16" s="1"/>
  <c r="J5" i="16" s="1"/>
  <c r="J27" i="17" s="1"/>
  <c r="J14" i="17" s="1"/>
  <c r="K39" i="16"/>
  <c r="K29" i="16" s="1"/>
  <c r="K19" i="16" s="1"/>
  <c r="K15" i="16" s="1"/>
  <c r="K5" i="16" s="1"/>
  <c r="K27" i="17" s="1"/>
  <c r="K14" i="17" s="1"/>
  <c r="L39" i="16"/>
  <c r="L29" i="16" s="1"/>
  <c r="L19" i="16" s="1"/>
  <c r="L15" i="16" s="1"/>
  <c r="L5" i="16" s="1"/>
  <c r="L27" i="17" s="1"/>
  <c r="L14" i="17" s="1"/>
  <c r="M39" i="16"/>
  <c r="M29" i="16" s="1"/>
  <c r="M19" i="16" s="1"/>
  <c r="M15" i="16" s="1"/>
  <c r="M5" i="16" s="1"/>
  <c r="M27" i="17" s="1"/>
  <c r="M14" i="17" s="1"/>
  <c r="N39" i="16"/>
  <c r="N29" i="16" s="1"/>
  <c r="N19" i="16" s="1"/>
  <c r="N15" i="16" s="1"/>
  <c r="N5" i="16" s="1"/>
  <c r="N27" i="17" s="1"/>
  <c r="N14" i="17" s="1"/>
  <c r="O39" i="16"/>
  <c r="O29" i="16" s="1"/>
  <c r="O19" i="16" s="1"/>
  <c r="O15" i="16" s="1"/>
  <c r="O5" i="16" s="1"/>
  <c r="O27" i="17" s="1"/>
  <c r="O14" i="17" s="1"/>
  <c r="L4" i="16" l="1"/>
  <c r="L26" i="17" s="1"/>
  <c r="L13" i="17" s="1"/>
  <c r="H26" i="17"/>
  <c r="H13" i="17" s="1"/>
  <c r="H4" i="16"/>
  <c r="D4" i="16"/>
  <c r="D26" i="17" s="1"/>
  <c r="D13" i="17" s="1"/>
  <c r="K26" i="17"/>
  <c r="K13" i="17" s="1"/>
  <c r="K4" i="16"/>
  <c r="G4" i="16"/>
  <c r="G26" i="17" s="1"/>
  <c r="G13" i="17" s="1"/>
  <c r="C26" i="17"/>
  <c r="C13" i="17" s="1"/>
  <c r="C4" i="16"/>
  <c r="J4" i="16"/>
  <c r="J26" i="17" s="1"/>
  <c r="J13" i="17" s="1"/>
  <c r="B26" i="17"/>
  <c r="B13" i="17" s="1"/>
  <c r="B4" i="16"/>
  <c r="I4" i="16"/>
  <c r="I26" i="17" s="1"/>
  <c r="I13" i="17" s="1"/>
  <c r="O26" i="17"/>
  <c r="O13" i="17" s="1"/>
  <c r="M18" i="16"/>
  <c r="E18" i="16"/>
  <c r="N18" i="16"/>
  <c r="F18" i="16"/>
  <c r="N4" i="16" l="1"/>
  <c r="N26" i="17" s="1"/>
  <c r="N13" i="17" s="1"/>
  <c r="M4" i="16"/>
  <c r="M26" i="17" s="1"/>
  <c r="M13" i="17" s="1"/>
  <c r="E4" i="16"/>
  <c r="E26" i="17" s="1"/>
  <c r="E13" i="17" s="1"/>
  <c r="F4" i="16"/>
  <c r="F26" i="17" s="1"/>
  <c r="F13" i="17" s="1"/>
  <c r="O16" i="17"/>
  <c r="I9" i="17" l="1"/>
  <c r="M9" i="17"/>
  <c r="H9" i="17"/>
  <c r="J9" i="17"/>
  <c r="N9" i="17"/>
  <c r="L9" i="17"/>
  <c r="F9" i="17"/>
  <c r="G9" i="17"/>
  <c r="K9" i="17"/>
  <c r="O9" i="17"/>
  <c r="E9" i="17"/>
  <c r="O17" i="17"/>
  <c r="C18" i="17" s="1"/>
  <c r="E20" i="17" l="1"/>
  <c r="E30" i="17" s="1"/>
  <c r="H2" i="6"/>
  <c r="F20" i="17"/>
  <c r="F30" i="17" s="1"/>
  <c r="O2" i="6"/>
  <c r="M20" i="17"/>
  <c r="I2" i="6"/>
  <c r="G20" i="17"/>
  <c r="G30" i="17" s="1"/>
  <c r="L2" i="6"/>
  <c r="J20" i="17"/>
  <c r="J2" i="6"/>
  <c r="H20" i="17"/>
  <c r="H30" i="17" s="1"/>
  <c r="Q2" i="6"/>
  <c r="R2" i="6" s="1"/>
  <c r="S2" i="6" s="1"/>
  <c r="O20" i="17"/>
  <c r="N2" i="6"/>
  <c r="L20" i="17"/>
  <c r="L30" i="17" s="1"/>
  <c r="M2" i="6"/>
  <c r="K20" i="17"/>
  <c r="K30" i="17" s="1"/>
  <c r="P2" i="6"/>
  <c r="N20" i="17"/>
  <c r="N30" i="17" s="1"/>
  <c r="K2" i="6"/>
  <c r="I20" i="17"/>
  <c r="G2" i="6"/>
  <c r="I30" i="17" l="1"/>
  <c r="O30" i="17"/>
  <c r="J30" i="17"/>
  <c r="M30" i="17"/>
  <c r="B21" i="17"/>
  <c r="T2" i="6"/>
  <c r="U2" i="6" l="1"/>
  <c r="V2" i="6" l="1"/>
  <c r="W2" i="6" l="1"/>
  <c r="X2" i="6" l="1"/>
  <c r="Y2" i="6" l="1"/>
  <c r="Z2" i="6" l="1"/>
  <c r="AA2" i="6" l="1"/>
  <c r="AB2" i="6" l="1"/>
  <c r="AC2" i="6" l="1"/>
  <c r="AD2" i="6" l="1"/>
  <c r="AE2" i="6" l="1"/>
  <c r="AF2" i="6" l="1"/>
  <c r="AG2" i="6" l="1"/>
  <c r="AH2" i="6" l="1"/>
  <c r="AI2" i="6" l="1"/>
  <c r="AJ2" i="6" l="1"/>
  <c r="AK2" i="6" l="1"/>
</calcChain>
</file>

<file path=xl/sharedStrings.xml><?xml version="1.0" encoding="utf-8"?>
<sst xmlns="http://schemas.openxmlformats.org/spreadsheetml/2006/main" count="176" uniqueCount="170">
  <si>
    <t>Source:</t>
  </si>
  <si>
    <t>Year</t>
  </si>
  <si>
    <t>BAU CO2 Stored (tons/yr)</t>
  </si>
  <si>
    <t>CSA BAU Tons CO2 Sequestered</t>
  </si>
  <si>
    <t>CSA Additional CCS Potential</t>
  </si>
  <si>
    <t>Additional Potential CO2 Stored (tons/yr)</t>
  </si>
  <si>
    <t>Additional CCS Potential</t>
  </si>
  <si>
    <t>BAU CCS Amounts</t>
  </si>
  <si>
    <r>
      <t>CO</t>
    </r>
    <r>
      <rPr>
        <sz val="7"/>
        <color indexed="8"/>
        <rFont val="Arial"/>
        <family val="2"/>
      </rPr>
      <t>2</t>
    </r>
    <r>
      <rPr>
        <sz val="9"/>
        <color indexed="8"/>
        <rFont val="Arial"/>
        <family val="2"/>
      </rPr>
      <t> Capture by Calcium Looping at Relevant Conditions for Cement Plants: Experimental Testing in a 30 kW</t>
    </r>
    <r>
      <rPr>
        <sz val="7"/>
        <color indexed="8"/>
        <rFont val="Arial"/>
        <family val="2"/>
      </rPr>
      <t>th</t>
    </r>
    <r>
      <rPr>
        <sz val="9"/>
        <color indexed="8"/>
        <rFont val="Arial"/>
        <family val="2"/>
      </rPr>
      <t> Pilot Plant</t>
    </r>
  </si>
  <si>
    <t>Scoping Plan scenario</t>
  </si>
  <si>
    <t>“• 9 percent reduction in cement non-energy emissions due to the use of fly ash and other substitutes”</t>
  </si>
  <si>
    <t>p.28</t>
  </si>
  <si>
    <t>https://ww3.arb.ca.gov/cc/scopingplan/2030sp_appd_pathways_final.pdf</t>
  </si>
  <si>
    <r>
      <t> An average CO</t>
    </r>
    <r>
      <rPr>
        <sz val="6"/>
        <color indexed="8"/>
        <rFont val="Arial"/>
        <family val="2"/>
      </rPr>
      <t>2</t>
    </r>
    <r>
      <rPr>
        <sz val="9"/>
        <color indexed="8"/>
        <rFont val="Arial"/>
        <family val="2"/>
      </rPr>
      <t> capture efficiency of 0.78 was achieved by maintaining a solids circulation rate of 2.2 kg/m</t>
    </r>
    <r>
      <rPr>
        <sz val="6"/>
        <color indexed="8"/>
        <rFont val="Arial"/>
        <family val="2"/>
      </rPr>
      <t>2</t>
    </r>
    <r>
      <rPr>
        <sz val="9"/>
        <color indexed="8"/>
        <rFont val="Arial"/>
        <family val="2"/>
      </rPr>
      <t>s between the reactors by using a sorbent with a CO</t>
    </r>
    <r>
      <rPr>
        <sz val="6"/>
        <color indexed="8"/>
        <rFont val="Arial"/>
        <family val="2"/>
      </rPr>
      <t>2</t>
    </r>
    <r>
      <rPr>
        <sz val="9"/>
        <color indexed="8"/>
        <rFont val="Arial"/>
        <family val="2"/>
      </rPr>
      <t> carrying capacity of 0.34.</t>
    </r>
  </si>
  <si>
    <t>Publication Date:February 24, 2017</t>
  </si>
  <si>
    <t>https://doi.org/10.1021/acs.iecr.6b04617</t>
  </si>
  <si>
    <r>
      <t>Ind. Eng. Chem. Res.</t>
    </r>
    <r>
      <rPr>
        <sz val="10"/>
        <color indexed="8"/>
        <rFont val="Arial"/>
        <family val="2"/>
      </rPr>
      <t>201756102634-2640</t>
    </r>
  </si>
  <si>
    <t>https://pubs.acs.org/doi/pdf/10.1021/acs.iecr.6b04617?rand=alc3atou</t>
  </si>
  <si>
    <t>Scoping Plan reduction in cement</t>
  </si>
  <si>
    <t xml:space="preserve">are higher than for typical coal or natural gas power plants or other industrial factories.  The IEA estimates that 95% of CO2 can be captured cost-effectivelly.  </t>
  </si>
  <si>
    <t xml:space="preserve">As well, concentrations of carbon dioxide in flue gas waste streams flowing out of cement kilns (the main energy using stage) </t>
  </si>
  <si>
    <t xml:space="preserve">IEA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</si>
  <si>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</si>
  <si>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</si>
  <si>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</si>
  <si>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</si>
  <si>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</si>
  <si>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</si>
  <si>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DOI: 10.1016/j.ijggc.2017.03.020</t>
  </si>
  <si>
    <t xml:space="preserve">“A Techno-economic analysis and systematic review of carbon capture and Storage.” International Journal of Greenhouse Gas Control </t>
  </si>
  <si>
    <t>2017 (June)</t>
  </si>
  <si>
    <t>Notes:</t>
  </si>
  <si>
    <t>"BAU CCS" tab shows relevant Pathways data for the electricity sector, in the 60 percent RPS / Scoping Plan Scenario.</t>
  </si>
  <si>
    <t xml:space="preserve">...refineries are highly heterogeneous; it is assumed that 15% of [refinery] emissions can be captured at a cost of $40.7/tCO2corresponding to </t>
  </si>
  <si>
    <t>from emissions).</t>
  </si>
  <si>
    <t>Cement (60 percent capture rate)</t>
  </si>
  <si>
    <t>Other notes</t>
  </si>
  <si>
    <t xml:space="preserve">Petroleum Refining and Hydrogen Production (65 percent capture rate). </t>
  </si>
  <si>
    <t>That is incorporated in our BAU.</t>
  </si>
  <si>
    <t>Time (Year)</t>
  </si>
  <si>
    <t>Industrial Fuel Use[hard coal if,cement and other carbonates] : EI</t>
  </si>
  <si>
    <t>Industrial Fuel Use[hard coal if,natural gas and petroleum systems] : EI</t>
  </si>
  <si>
    <t>Industrial Fuel Use[hard coal if,iron and steel] : EI</t>
  </si>
  <si>
    <t>Industrial Fuel Use[hard coal if,chemicals] : EI</t>
  </si>
  <si>
    <t>Industrial Fuel Use[hard coal if,mining] : EI</t>
  </si>
  <si>
    <t>Industrial Fuel Use[hard coal if,waste management] : EI</t>
  </si>
  <si>
    <t>Industrial Fuel Use[hard coal if,agriculture] : EI</t>
  </si>
  <si>
    <t>Industrial Fuel Use[hard coal if,other industries] : EI</t>
  </si>
  <si>
    <t>Industrial Fuel Use[natural gas if,cement and other carbonates] : EI</t>
  </si>
  <si>
    <t>Industrial Fuel Use[natural gas if,natural gas and petroleum systems] : EI</t>
  </si>
  <si>
    <t>Industrial Fuel Use[natural gas if,iron and steel] : EI</t>
  </si>
  <si>
    <t>Industrial Fuel Use[natural gas if,chemicals] : EI</t>
  </si>
  <si>
    <t>Industrial Fuel Use[natural gas if,mining] : EI</t>
  </si>
  <si>
    <t>Industrial Fuel Use[natural gas if,waste management] : EI</t>
  </si>
  <si>
    <t>Industrial Fuel Use[natural gas if,agriculture] : EI</t>
  </si>
  <si>
    <t>Industrial Fuel Use[natural gas if,other industries] : EI</t>
  </si>
  <si>
    <t>Industrial Fuel Use[biomass if,cement and other carbonates] : EI</t>
  </si>
  <si>
    <t>Industrial Fuel Use[biomass if,natural gas and petroleum systems] : EI</t>
  </si>
  <si>
    <t>Industrial Fuel Use[biomass if,iron and steel] : EI</t>
  </si>
  <si>
    <t>Industrial Fuel Use[biomass if,chemicals] : EI</t>
  </si>
  <si>
    <t>Industrial Fuel Use[biomass if,mining] : EI</t>
  </si>
  <si>
    <t>Industrial Fuel Use[biomass if,waste management] : EI</t>
  </si>
  <si>
    <t>Industrial Fuel Use[biomass if,agriculture] : EI</t>
  </si>
  <si>
    <t>Industrial Fuel Use[biomass if,other industries] : EI</t>
  </si>
  <si>
    <t>Industrial Fuel Use[petroleum diesel if,cement and other carbonates] : EI</t>
  </si>
  <si>
    <t>Industrial Fuel Use[petroleum diesel if,natural gas and petroleum systems] : EI</t>
  </si>
  <si>
    <t>Industrial Fuel Use[petroleum diesel if,iron and steel] : EI</t>
  </si>
  <si>
    <t>Industrial Fuel Use[petroleum diesel if,chemicals] : EI</t>
  </si>
  <si>
    <t>Industrial Fuel Use[petroleum diesel if,mining] : EI</t>
  </si>
  <si>
    <t>Industrial Fuel Use[petroleum diesel if,waste management] : EI</t>
  </si>
  <si>
    <t>Industrial Fuel Use[petroleum diesel if,agriculture] : EI</t>
  </si>
  <si>
    <t>Industrial Fuel Use[petroleum diesel if,other industries] : EI</t>
  </si>
  <si>
    <t>Industrial Fuel Use[heat if,cement and other carbonates] : EI</t>
  </si>
  <si>
    <t>Industrial Fuel Use[heat if,natural gas and petroleum systems] : EI</t>
  </si>
  <si>
    <t>Industrial Fuel Use[heat if,iron and steel] : EI</t>
  </si>
  <si>
    <t>Industrial Fuel Use[heat if,chemicals] : EI</t>
  </si>
  <si>
    <t>Industrial Fuel Use[heat if,mining] : EI</t>
  </si>
  <si>
    <t>Industrial Fuel Use[heat if,waste management] : EI</t>
  </si>
  <si>
    <t>Industrial Fuel Use[heat if,agriculture] : EI</t>
  </si>
  <si>
    <t>Industrial Fuel Use[heat if,other industries] : EI</t>
  </si>
  <si>
    <t>Pollutant emission factors from the PEI spreadsheet</t>
  </si>
  <si>
    <t>electricity</t>
  </si>
  <si>
    <t>coal</t>
  </si>
  <si>
    <t>natural gas</t>
  </si>
  <si>
    <t>biomass</t>
  </si>
  <si>
    <t>petroleum diesel</t>
  </si>
  <si>
    <t>heat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</si>
  <si>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</si>
  <si>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</si>
  <si>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</si>
  <si>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</si>
  <si>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</si>
  <si>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</si>
  <si>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</si>
  <si>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</si>
  <si>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</si>
  <si>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</si>
  <si>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</si>
  <si>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</si>
  <si>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Data from Pollutant Emission Intensities spreadsheet, industrial category of data</t>
  </si>
  <si>
    <t>Fuel use in Btus</t>
  </si>
  <si>
    <t>Emissions in grams</t>
  </si>
  <si>
    <t>Cement</t>
  </si>
  <si>
    <t>NGPS</t>
  </si>
  <si>
    <t>Emissions in MMT - total combustion emissions</t>
  </si>
  <si>
    <t>BAU carbon dioxide process emissions in cement production based on Updated Scoping Plan scenario in Pathways modeling (assumed 9% reduction from BAU due to fly ash substitution for Clinker)</t>
  </si>
  <si>
    <t>The general consensus in the literature is that about 60% of cement production emissions were process emissions from calcination</t>
  </si>
  <si>
    <t xml:space="preserve"> (and hence cannot be reduced without lowering production)and the remaining 40% were attributable </t>
  </si>
  <si>
    <r>
      <t xml:space="preserve">to heat generation forthe kiln (Barker et al., 2009; Dean et al., 2011b), </t>
    </r>
    <r>
      <rPr>
        <b/>
        <u/>
        <sz val="11"/>
        <color theme="6" tint="-0.249977111117893"/>
        <rFont val="Calibri"/>
        <family val="2"/>
        <scheme val="minor"/>
      </rPr>
      <t xml:space="preserve">both sources [emphasis added] </t>
    </r>
    <r>
      <rPr>
        <sz val="11"/>
        <color theme="6" tint="-0.249977111117893"/>
        <rFont val="Calibri"/>
        <family val="2"/>
        <scheme val="minor"/>
      </rPr>
      <t>are amenable to CO2 capture.</t>
    </r>
  </si>
  <si>
    <t>Basis for subsector targeting for combustion emissions, again quoting from Mac Dowell et al:</t>
  </si>
  <si>
    <t>BAU cement process emissions (CO2)</t>
  </si>
  <si>
    <t>Pipeline Gas--Mtherm</t>
  </si>
  <si>
    <t>Natural gas and petroleum systems</t>
  </si>
  <si>
    <t>OGE unspecified</t>
  </si>
  <si>
    <t>Petroleum refining unspecified</t>
  </si>
  <si>
    <t>Source data, pathways (see BAU fuel use for more information)</t>
  </si>
  <si>
    <t>in therms, convert to BTUs</t>
  </si>
  <si>
    <t>OGE</t>
  </si>
  <si>
    <t>Refineries</t>
  </si>
  <si>
    <t>Fuel</t>
  </si>
  <si>
    <t>Pipeline Gas</t>
  </si>
  <si>
    <t>Native unit</t>
  </si>
  <si>
    <t>Mtherm</t>
  </si>
  <si>
    <t>BTU conversion factor</t>
  </si>
  <si>
    <t>Refining</t>
  </si>
  <si>
    <t>Before adjusting for solar thermal steam standard</t>
  </si>
  <si>
    <t>Amount of natural gas shifted at 30% zero emission steam for OGE</t>
  </si>
  <si>
    <t xml:space="preserve">Remaining natural gas in OGE extraction </t>
  </si>
  <si>
    <t>Remove as unvailable for carbon sequestration</t>
  </si>
  <si>
    <t>2030 value</t>
  </si>
  <si>
    <t>After adjusting for solar thermal steam standard - assume 30% shift.</t>
  </si>
  <si>
    <t>NGPS - excluding OGE at 2030 level across all years</t>
  </si>
  <si>
    <t>NGPS afer exlcuding Oil and Gas Extraction part</t>
  </si>
  <si>
    <t>Emissions available at 60% capture rate</t>
  </si>
  <si>
    <t>Total potential</t>
  </si>
  <si>
    <t>Amount  captured for linear ramp 2020-2030</t>
  </si>
  <si>
    <t>Approach assumes petroleum diesel categorized combustion emissions not eligible.  Find amount of coal, gas, and refinery gas used in (1) Cement and (2) NGPS</t>
  </si>
  <si>
    <t>Cement (combustion plus process)</t>
  </si>
  <si>
    <t>Emissions in MMT - theoretical maximum available emissions (hypothetical 100% capture) assuming carbon price rises to $63 and 50% of BAU coal use replaced with natural gas (after fuel switch)</t>
  </si>
  <si>
    <t>High purity stream (15%) fraction of Refinery portion of NGPS subsector</t>
  </si>
  <si>
    <t>Cement as fraction of total</t>
  </si>
  <si>
    <t>The standard structure involves a constant policy schedule (set at 1) and ramp up reflected in potential.</t>
  </si>
  <si>
    <t xml:space="preserve">That approach is reflected below. </t>
  </si>
  <si>
    <t>Increasing potential</t>
  </si>
  <si>
    <t xml:space="preserve">"ARB 2017 inventory" data and estimated "Capture efficiency" (the fraction of carbon dioxide collected </t>
  </si>
  <si>
    <t xml:space="preserve">Additional potential </t>
  </si>
  <si>
    <t>The base costs (P) at the start date are $39.4/tCO2 for calcium looping in the cement industry and [… with respect to petroleum refining]</t>
  </si>
  <si>
    <t>Availability of cement process emissions for CCS</t>
  </si>
  <si>
    <t xml:space="preserve">"Mac Dowell et al" (at page 75) provide basis for assuming process emissions are also a potential target for CCS. </t>
  </si>
  <si>
    <t xml:space="preserve"> Quoted in green text, emphasis added on key phrase.</t>
  </si>
  <si>
    <t>The model structure does not currently incorporate CCS for process emissions.</t>
  </si>
  <si>
    <t>Expected CCS based on policy setting</t>
  </si>
  <si>
    <t>Policy setting</t>
  </si>
  <si>
    <t xml:space="preserve">Annual addition to CCS </t>
  </si>
  <si>
    <t>Cumulative MMT reduced 2020-2030 before other policy effects (e.g. carbon price ramp up)</t>
  </si>
  <si>
    <t>We use the same rates as the Energy Futures Initiative (2019) report, which uses the following:</t>
  </si>
  <si>
    <t xml:space="preserve">Capture rates for (1) cement and concrete production, and (2) Refining and hydrogen production </t>
  </si>
  <si>
    <t>Optionality, Flexibility, and Innovation: Pathways for Deep Decarbonization in California</t>
  </si>
  <si>
    <t>Energy Futures Initiative</t>
  </si>
  <si>
    <t xml:space="preserve">To manage this, the model also uses CCS to reduce emissions from petroleum refineries, to approximate the intended policy. </t>
  </si>
  <si>
    <t xml:space="preserve">The tab "Separate Refineries-OGE in NGPS" explains the calculations to estimate refinery emissions as distinct from those related to extraction. </t>
  </si>
  <si>
    <t>high purity sources such as a gasifier.</t>
  </si>
  <si>
    <t xml:space="preserve">Sector targeting - explaining calibration of potential base on cement on a portion available from petroleum refining. </t>
  </si>
  <si>
    <t>For these reasons, additional potential is calibrated to reflect cement as well emission from higher purity sources from refineries.</t>
  </si>
  <si>
    <t>MacDowell et al. point to (1) cement and (2) 15% of higher carbon dioxide purity emissions from refineries as available for an average cost of $40 (more detail at "CCS costs.xls").</t>
  </si>
  <si>
    <t xml:space="preserve">The sheet tabbed "capture efficency" containts input assumption on the fraction of carbon dioxide captured from included emission streams. </t>
  </si>
  <si>
    <t xml:space="preserve">EI Scenario outputs </t>
  </si>
  <si>
    <t>Additional potential calculated using model outputs running all policies in the Energy Innovation Scenario except for CCS.</t>
  </si>
  <si>
    <t>We also want to account for lessened potential after other policies such as carbon pricing and the proposed zero emission heat  standard.</t>
  </si>
  <si>
    <t xml:space="preserve">Leeson, D. Mac Dowell, Niall. Neelkumar Shah, and Camille Petit.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</si>
</sst>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00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u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0" fillId="0" borderId="0" xfId="0" applyFill="1"/>
    <xf numFmtId="0" fontId="6" fillId="0" borderId="0" xfId="0" applyFont="1" applyFill="1"/>
    <xf numFmtId="11" fontId="0" fillId="0" borderId="0" xfId="0" applyNumberFormat="1"/>
    <xf numFmtId="0" fontId="5" fillId="0" borderId="0" xfId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13" fillId="0" borderId="0" xfId="0" applyFont="1"/>
    <xf numFmtId="0" fontId="14" fillId="0" borderId="0" xfId="0" applyFont="1"/>
    <xf numFmtId="0" fontId="0" fillId="4" borderId="0" xfId="0" applyFill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1" fontId="0" fillId="0" borderId="0" xfId="2" applyNumberFormat="1" applyFont="1"/>
    <xf numFmtId="0" fontId="17" fillId="0" borderId="0" xfId="0" applyFont="1" applyAlignment="1"/>
    <xf numFmtId="0" fontId="5" fillId="0" borderId="0" xfId="1" applyAlignment="1">
      <alignment horizontal="left" vertical="top"/>
    </xf>
    <xf numFmtId="0" fontId="0" fillId="0" borderId="0" xfId="0" applyFont="1" applyFill="1"/>
    <xf numFmtId="0" fontId="5" fillId="0" borderId="0" xfId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120650</xdr:colOff>
      <xdr:row>17</xdr:row>
      <xdr:rowOff>88900</xdr:rowOff>
    </xdr:to>
    <xdr:pic>
      <xdr:nvPicPr>
        <xdr:cNvPr id="819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74250" cy="321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539750</xdr:colOff>
      <xdr:row>39</xdr:row>
      <xdr:rowOff>107950</xdr:rowOff>
    </xdr:to>
    <xdr:pic>
      <xdr:nvPicPr>
        <xdr:cNvPr id="61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0050"/>
          <a:ext cx="5943600" cy="287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Wip%20F%20-eps-1.4.3-california-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ipeline gas GHGs"/>
      <sheetName val="intermediate calcs and sources"/>
      <sheetName val="biofuel gasoline"/>
      <sheetName val="biofuel diesel"/>
      <sheetName val="E3 electricity sector emissions"/>
      <sheetName val="E3 electricity detailed by tech"/>
      <sheetName val="GHGs in E3 -non electricity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IFPEI"/>
      <sheetName val="PEI-BFPEI"/>
      <sheetName val="PEI-EFPEI"/>
    </sheetNames>
    <sheetDataSet>
      <sheetData sheetId="0">
        <row r="207">
          <cell r="A207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>electricity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1.squarespace.com/static/58ec123cb3db2bd94e057628/t/5ced6fc515fcc0b190b60cd2/1559064542876/EFI_CA_Decarbonization_Full.pdf" TargetMode="External"/><Relationship Id="rId2" Type="http://schemas.openxmlformats.org/officeDocument/2006/relationships/hyperlink" Target="https://static1.squarespace.com/static/58ec123cb3db2bd94e057628/t/5ced6fc515fcc0b190b60cd2/1559064542876/EFI_CA_Decarbonization_Full.pdf" TargetMode="External"/><Relationship Id="rId1" Type="http://schemas.openxmlformats.org/officeDocument/2006/relationships/hyperlink" Target="https://static1.squarespace.com/static/58ec123cb3db2bd94e057628/t/5ced6fc515fcc0b190b60cd2/1559064542876/EFI_CA_Decarbonization_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pii/S175058361730289X?via%3Dihu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ubs.acs.org/doi/pdf/10.1021/acs.iecr.6b04617?rand=alc3atou" TargetMode="External"/><Relationship Id="rId1" Type="http://schemas.openxmlformats.org/officeDocument/2006/relationships/hyperlink" Target="https://doi.org/10.1021/acs.iecr.6b0461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3.arb.ca.gov/cc/scopingplan/2030sp_appd_pathway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1" workbookViewId="0">
      <selection activeCell="B35" sqref="B35"/>
    </sheetView>
  </sheetViews>
  <sheetFormatPr defaultRowHeight="14.25" x14ac:dyDescent="0.45"/>
  <cols>
    <col min="2" max="2" width="103.46484375" customWidth="1"/>
    <col min="3" max="3" width="17.19921875" customWidth="1"/>
    <col min="4" max="4" width="22.19921875" customWidth="1"/>
    <col min="5" max="5" width="18.46484375" customWidth="1"/>
  </cols>
  <sheetData>
    <row r="1" spans="1:2" ht="14.55" x14ac:dyDescent="0.35">
      <c r="A1" s="1" t="s">
        <v>3</v>
      </c>
    </row>
    <row r="2" spans="1:2" ht="14.55" x14ac:dyDescent="0.35">
      <c r="A2" s="1" t="s">
        <v>4</v>
      </c>
    </row>
    <row r="4" spans="1:2" ht="14.55" x14ac:dyDescent="0.35">
      <c r="A4" s="1" t="s">
        <v>0</v>
      </c>
      <c r="B4" s="6" t="s">
        <v>7</v>
      </c>
    </row>
    <row r="5" spans="1:2" ht="14.55" x14ac:dyDescent="0.35">
      <c r="B5" s="16" t="s">
        <v>22</v>
      </c>
    </row>
    <row r="6" spans="1:2" ht="14.55" x14ac:dyDescent="0.35">
      <c r="B6" s="16" t="s">
        <v>23</v>
      </c>
    </row>
    <row r="7" spans="1:2" ht="14.55" x14ac:dyDescent="0.35">
      <c r="B7" s="16" t="s">
        <v>24</v>
      </c>
    </row>
    <row r="8" spans="1:2" ht="14.55" x14ac:dyDescent="0.35">
      <c r="B8" s="16" t="s">
        <v>25</v>
      </c>
    </row>
    <row r="9" spans="1:2" ht="14.55" x14ac:dyDescent="0.35">
      <c r="B9" s="16" t="s">
        <v>26</v>
      </c>
    </row>
    <row r="10" spans="1:2" ht="14.55" x14ac:dyDescent="0.35">
      <c r="B10" s="17" t="s">
        <v>27</v>
      </c>
    </row>
    <row r="12" spans="1:2" x14ac:dyDescent="0.45">
      <c r="B12" s="6" t="s">
        <v>6</v>
      </c>
    </row>
    <row r="13" spans="1:2" x14ac:dyDescent="0.45">
      <c r="B13" s="16" t="s">
        <v>158</v>
      </c>
    </row>
    <row r="14" spans="1:2" x14ac:dyDescent="0.45">
      <c r="B14" s="29">
        <v>2019</v>
      </c>
    </row>
    <row r="15" spans="1:2" x14ac:dyDescent="0.45">
      <c r="B15" s="28" t="s">
        <v>157</v>
      </c>
    </row>
    <row r="16" spans="1:2" x14ac:dyDescent="0.45">
      <c r="B16" s="5"/>
    </row>
    <row r="17" spans="1:2" s="2" customFormat="1" x14ac:dyDescent="0.45">
      <c r="B17" s="31" t="s">
        <v>169</v>
      </c>
    </row>
    <row r="18" spans="1:2" s="2" customFormat="1" x14ac:dyDescent="0.45">
      <c r="B18" s="16" t="s">
        <v>30</v>
      </c>
    </row>
    <row r="19" spans="1:2" s="2" customFormat="1" x14ac:dyDescent="0.45">
      <c r="B19" s="16" t="s">
        <v>29</v>
      </c>
    </row>
    <row r="20" spans="1:2" s="2" customFormat="1" x14ac:dyDescent="0.45">
      <c r="B20" s="16" t="s">
        <v>28</v>
      </c>
    </row>
    <row r="21" spans="1:2" s="2" customFormat="1" x14ac:dyDescent="0.45">
      <c r="B21" s="3"/>
    </row>
    <row r="22" spans="1:2" s="2" customFormat="1" x14ac:dyDescent="0.45">
      <c r="A22" s="1" t="s">
        <v>31</v>
      </c>
      <c r="B22" s="30" t="s">
        <v>32</v>
      </c>
    </row>
    <row r="24" spans="1:2" x14ac:dyDescent="0.45">
      <c r="B24" t="s">
        <v>145</v>
      </c>
    </row>
    <row r="26" spans="1:2" x14ac:dyDescent="0.45">
      <c r="B26" s="1" t="s">
        <v>162</v>
      </c>
    </row>
    <row r="27" spans="1:2" x14ac:dyDescent="0.45">
      <c r="B27" t="s">
        <v>164</v>
      </c>
    </row>
    <row r="28" spans="1:2" x14ac:dyDescent="0.45">
      <c r="B28" t="s">
        <v>144</v>
      </c>
    </row>
    <row r="29" spans="1:2" x14ac:dyDescent="0.45">
      <c r="B29" t="s">
        <v>34</v>
      </c>
    </row>
    <row r="30" spans="1:2" x14ac:dyDescent="0.45">
      <c r="B30" s="21" t="s">
        <v>163</v>
      </c>
    </row>
    <row r="32" spans="1:2" x14ac:dyDescent="0.45">
      <c r="B32" s="21" t="s">
        <v>109</v>
      </c>
    </row>
    <row r="33" spans="2:2" x14ac:dyDescent="0.45">
      <c r="B33" s="21" t="s">
        <v>146</v>
      </c>
    </row>
    <row r="34" spans="2:2" x14ac:dyDescent="0.45">
      <c r="B34" s="21" t="s">
        <v>33</v>
      </c>
    </row>
    <row r="35" spans="2:2" x14ac:dyDescent="0.45">
      <c r="B35" s="21" t="s">
        <v>161</v>
      </c>
    </row>
    <row r="38" spans="2:2" x14ac:dyDescent="0.45">
      <c r="B38" s="1" t="s">
        <v>147</v>
      </c>
    </row>
    <row r="39" spans="2:2" x14ac:dyDescent="0.45">
      <c r="B39" t="s">
        <v>148</v>
      </c>
    </row>
    <row r="40" spans="2:2" x14ac:dyDescent="0.45">
      <c r="B40" t="s">
        <v>149</v>
      </c>
    </row>
    <row r="41" spans="2:2" x14ac:dyDescent="0.45">
      <c r="B41" s="22" t="s">
        <v>106</v>
      </c>
    </row>
    <row r="42" spans="2:2" x14ac:dyDescent="0.45">
      <c r="B42" s="22" t="s">
        <v>107</v>
      </c>
    </row>
    <row r="43" spans="2:2" x14ac:dyDescent="0.45">
      <c r="B43" s="22" t="s">
        <v>108</v>
      </c>
    </row>
    <row r="45" spans="2:2" x14ac:dyDescent="0.45">
      <c r="B45" s="21" t="s">
        <v>150</v>
      </c>
    </row>
    <row r="46" spans="2:2" x14ac:dyDescent="0.45">
      <c r="B46" s="21" t="s">
        <v>159</v>
      </c>
    </row>
    <row r="47" spans="2:2" x14ac:dyDescent="0.45">
      <c r="B47" t="s">
        <v>160</v>
      </c>
    </row>
    <row r="48" spans="2:2" x14ac:dyDescent="0.45">
      <c r="B48" s="21" t="s">
        <v>165</v>
      </c>
    </row>
    <row r="50" spans="2:2" x14ac:dyDescent="0.45">
      <c r="B50" s="21"/>
    </row>
  </sheetData>
  <hyperlinks>
    <hyperlink ref="B13" r:id="rId1" display="https://static1.squarespace.com/static/58ec123cb3db2bd94e057628/t/5ced6fc515fcc0b190b60cd2/1559064542876/EFI_CA_Decarbonization_Full.pdf"/>
    <hyperlink ref="B14" r:id="rId2" display="https://static1.squarespace.com/static/58ec123cb3db2bd94e057628/t/5ced6fc515fcc0b190b60cd2/1559064542876/EFI_CA_Decarbonization_Full.pdf"/>
    <hyperlink ref="B15" r:id="rId3" display="https://static1.squarespace.com/static/58ec123cb3db2bd94e057628/t/5ced6fc515fcc0b190b60cd2/1559064542876/EFI_CA_Decarbonization_Full.pdf"/>
    <hyperlink ref="B17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D37" sqref="D37"/>
    </sheetView>
  </sheetViews>
  <sheetFormatPr defaultRowHeight="14.25" x14ac:dyDescent="0.45"/>
  <cols>
    <col min="1" max="1" width="29.19921875" customWidth="1"/>
    <col min="12" max="12" width="10" bestFit="1" customWidth="1"/>
    <col min="17" max="17" width="10" bestFit="1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workbookViewId="0">
      <selection activeCell="M5" sqref="M5"/>
    </sheetView>
  </sheetViews>
  <sheetFormatPr defaultRowHeight="14.25" x14ac:dyDescent="0.45"/>
  <cols>
    <col min="1" max="1" width="38.265625" customWidth="1"/>
    <col min="2" max="5" width="10.33203125" bestFit="1" customWidth="1"/>
    <col min="6" max="16" width="9.53125" customWidth="1"/>
    <col min="17" max="17" width="13" customWidth="1"/>
    <col min="37" max="37" width="10.33203125" bestFit="1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5</v>
      </c>
      <c r="B2" s="24">
        <f>0*1000000</f>
        <v>0</v>
      </c>
      <c r="C2" s="24">
        <f>0</f>
        <v>0</v>
      </c>
      <c r="D2" s="24">
        <f>'Additional potential cals'!B9</f>
        <v>0</v>
      </c>
      <c r="E2" s="24">
        <f>'Additional potential cals'!C9</f>
        <v>0</v>
      </c>
      <c r="F2" s="24">
        <f>'Additional potential cals'!D9</f>
        <v>0</v>
      </c>
      <c r="G2" s="4">
        <f>'Additional potential cals'!E9*1000000</f>
        <v>576352.99965526303</v>
      </c>
      <c r="H2" s="4">
        <f>'Additional potential cals'!F9*1000000</f>
        <v>1152705.9993105261</v>
      </c>
      <c r="I2" s="4">
        <f>'Additional potential cals'!G9*1000000</f>
        <v>1729058.9989657889</v>
      </c>
      <c r="J2" s="4">
        <f>'Additional potential cals'!H9*1000000</f>
        <v>2305411.9986210521</v>
      </c>
      <c r="K2" s="4">
        <f>'Additional potential cals'!I9*1000000</f>
        <v>2881764.9982763152</v>
      </c>
      <c r="L2" s="4">
        <f>'Additional potential cals'!J9*1000000</f>
        <v>3458117.9915916952</v>
      </c>
      <c r="M2" s="4">
        <f>'Additional potential cals'!K9*1000000</f>
        <v>4034470.9912469583</v>
      </c>
      <c r="N2" s="4">
        <f>'Additional potential cals'!L9*1000000</f>
        <v>4610823.9909022218</v>
      </c>
      <c r="O2" s="4">
        <f>'Additional potential cals'!M9*1000000</f>
        <v>5187176.9905574843</v>
      </c>
      <c r="P2" s="4">
        <f>'Additional potential cals'!N9*1000000</f>
        <v>5763529.9902127478</v>
      </c>
      <c r="Q2" s="27">
        <f>'Additional potential cals'!O9*1000000</f>
        <v>6339882.9898680104</v>
      </c>
      <c r="R2" s="24">
        <f>Q2</f>
        <v>6339882.9898680104</v>
      </c>
      <c r="S2" s="24">
        <f t="shared" ref="S2:AK2" si="0">R2</f>
        <v>6339882.9898680104</v>
      </c>
      <c r="T2" s="24">
        <f t="shared" si="0"/>
        <v>6339882.9898680104</v>
      </c>
      <c r="U2" s="24">
        <f t="shared" si="0"/>
        <v>6339882.9898680104</v>
      </c>
      <c r="V2" s="24">
        <f t="shared" si="0"/>
        <v>6339882.9898680104</v>
      </c>
      <c r="W2" s="24">
        <f t="shared" si="0"/>
        <v>6339882.9898680104</v>
      </c>
      <c r="X2" s="24">
        <f t="shared" si="0"/>
        <v>6339882.9898680104</v>
      </c>
      <c r="Y2" s="24">
        <f t="shared" si="0"/>
        <v>6339882.9898680104</v>
      </c>
      <c r="Z2" s="24">
        <f t="shared" si="0"/>
        <v>6339882.9898680104</v>
      </c>
      <c r="AA2" s="24">
        <f t="shared" si="0"/>
        <v>6339882.9898680104</v>
      </c>
      <c r="AB2" s="24">
        <f t="shared" si="0"/>
        <v>6339882.9898680104</v>
      </c>
      <c r="AC2" s="24">
        <f t="shared" si="0"/>
        <v>6339882.9898680104</v>
      </c>
      <c r="AD2" s="24">
        <f t="shared" si="0"/>
        <v>6339882.9898680104</v>
      </c>
      <c r="AE2" s="24">
        <f t="shared" si="0"/>
        <v>6339882.9898680104</v>
      </c>
      <c r="AF2" s="24">
        <f t="shared" si="0"/>
        <v>6339882.9898680104</v>
      </c>
      <c r="AG2" s="24">
        <f t="shared" si="0"/>
        <v>6339882.9898680104</v>
      </c>
      <c r="AH2" s="24">
        <f t="shared" si="0"/>
        <v>6339882.9898680104</v>
      </c>
      <c r="AI2" s="24">
        <f t="shared" si="0"/>
        <v>6339882.9898680104</v>
      </c>
      <c r="AJ2" s="24">
        <f t="shared" si="0"/>
        <v>6339882.9898680104</v>
      </c>
      <c r="AK2" s="24">
        <f t="shared" si="0"/>
        <v>6339882.9898680104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12" workbookViewId="0">
      <selection activeCell="A30" sqref="A30"/>
    </sheetView>
  </sheetViews>
  <sheetFormatPr defaultRowHeight="14.25" x14ac:dyDescent="0.45"/>
  <cols>
    <col min="1" max="1" width="24.59765625" customWidth="1"/>
    <col min="2" max="2" width="11.796875" bestFit="1" customWidth="1"/>
    <col min="5" max="5" width="11.796875" bestFit="1" customWidth="1"/>
    <col min="6" max="12" width="11.06640625" bestFit="1" customWidth="1"/>
    <col min="13" max="15" width="12.53125" bestFit="1" customWidth="1"/>
  </cols>
  <sheetData>
    <row r="1" spans="1:16" ht="14.55" x14ac:dyDescent="0.35">
      <c r="A1" t="s">
        <v>141</v>
      </c>
    </row>
    <row r="2" spans="1:16" ht="14.55" x14ac:dyDescent="0.35">
      <c r="E2" t="s">
        <v>135</v>
      </c>
      <c r="O2" s="2"/>
    </row>
    <row r="3" spans="1:16" ht="14.55" x14ac:dyDescent="0.35"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</row>
    <row r="4" spans="1:16" ht="14.55" x14ac:dyDescent="0.35">
      <c r="E4">
        <v>9.0909090999999997E-2</v>
      </c>
      <c r="F4">
        <v>0.18181818199999999</v>
      </c>
      <c r="G4">
        <v>0.27272727299999999</v>
      </c>
      <c r="H4">
        <v>0.36363636399999999</v>
      </c>
      <c r="I4">
        <v>0.45454545499999999</v>
      </c>
      <c r="J4">
        <v>0.54545454500000001</v>
      </c>
      <c r="K4">
        <v>0.63636363600000001</v>
      </c>
      <c r="L4">
        <v>0.72727272700000001</v>
      </c>
      <c r="M4">
        <v>0.81818181800000001</v>
      </c>
      <c r="N4">
        <v>0.909090909</v>
      </c>
      <c r="O4">
        <v>1</v>
      </c>
    </row>
    <row r="6" spans="1:16" ht="14.55" x14ac:dyDescent="0.35">
      <c r="A6" t="s">
        <v>142</v>
      </c>
    </row>
    <row r="8" spans="1:16" ht="14.55" x14ac:dyDescent="0.35">
      <c r="B8">
        <v>2017</v>
      </c>
      <c r="C8">
        <v>2018</v>
      </c>
      <c r="D8">
        <v>2019</v>
      </c>
      <c r="E8">
        <v>2020</v>
      </c>
      <c r="F8">
        <v>2021</v>
      </c>
      <c r="G8">
        <v>2022</v>
      </c>
      <c r="H8">
        <v>2023</v>
      </c>
      <c r="I8">
        <v>2024</v>
      </c>
      <c r="J8">
        <v>2025</v>
      </c>
      <c r="K8">
        <v>2026</v>
      </c>
      <c r="L8">
        <v>2027</v>
      </c>
      <c r="M8">
        <v>2028</v>
      </c>
      <c r="N8">
        <v>2029</v>
      </c>
      <c r="O8">
        <v>2030</v>
      </c>
    </row>
    <row r="9" spans="1:16" ht="14.55" x14ac:dyDescent="0.35">
      <c r="A9" t="s">
        <v>143</v>
      </c>
      <c r="B9">
        <v>0</v>
      </c>
      <c r="C9">
        <v>0</v>
      </c>
      <c r="D9">
        <v>0</v>
      </c>
      <c r="E9">
        <f t="shared" ref="E9:O9" si="0">E4*$O$16</f>
        <v>0.57635299965526299</v>
      </c>
      <c r="F9">
        <f t="shared" si="0"/>
        <v>1.152705999310526</v>
      </c>
      <c r="G9">
        <f t="shared" si="0"/>
        <v>1.729058998965789</v>
      </c>
      <c r="H9">
        <f t="shared" si="0"/>
        <v>2.3054119986210519</v>
      </c>
      <c r="I9">
        <f t="shared" si="0"/>
        <v>2.8817649982763149</v>
      </c>
      <c r="J9">
        <f t="shared" si="0"/>
        <v>3.4581179915916951</v>
      </c>
      <c r="K9">
        <f t="shared" si="0"/>
        <v>4.0344709912469581</v>
      </c>
      <c r="L9">
        <f t="shared" si="0"/>
        <v>4.6108239909022215</v>
      </c>
      <c r="M9">
        <f t="shared" si="0"/>
        <v>5.187176990557484</v>
      </c>
      <c r="N9">
        <f t="shared" si="0"/>
        <v>5.7635299902127475</v>
      </c>
      <c r="O9">
        <f t="shared" si="0"/>
        <v>6.33988298986801</v>
      </c>
    </row>
    <row r="11" spans="1:16" ht="14.55" x14ac:dyDescent="0.35">
      <c r="A11" t="s">
        <v>133</v>
      </c>
    </row>
    <row r="12" spans="1:16" ht="14.55" x14ac:dyDescent="0.35"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</row>
    <row r="13" spans="1:16" ht="14.55" x14ac:dyDescent="0.35">
      <c r="A13" t="s">
        <v>102</v>
      </c>
      <c r="B13">
        <f>B26*'Capture efficiency'!$A$4</f>
        <v>4.7337950400026854</v>
      </c>
      <c r="C13">
        <f t="shared" ref="C13:O13" si="1">0.6*C26</f>
        <v>4.6853523792043932</v>
      </c>
      <c r="D13">
        <f t="shared" si="1"/>
        <v>4.6347086724573776</v>
      </c>
      <c r="E13">
        <f t="shared" si="1"/>
        <v>4.5460598655498954</v>
      </c>
      <c r="F13">
        <f t="shared" si="1"/>
        <v>4.4672270703911527</v>
      </c>
      <c r="G13">
        <f t="shared" si="1"/>
        <v>4.3922781909374402</v>
      </c>
      <c r="H13">
        <f t="shared" si="1"/>
        <v>4.3168221282186687</v>
      </c>
      <c r="I13">
        <f t="shared" si="1"/>
        <v>4.2492470511399691</v>
      </c>
      <c r="J13">
        <f t="shared" si="1"/>
        <v>4.1835348592976969</v>
      </c>
      <c r="K13">
        <f t="shared" si="1"/>
        <v>4.1229232238320677</v>
      </c>
      <c r="L13">
        <f t="shared" si="1"/>
        <v>4.0655415897810441</v>
      </c>
      <c r="M13">
        <f t="shared" si="1"/>
        <v>4.0045105476137106</v>
      </c>
      <c r="N13">
        <f t="shared" si="1"/>
        <v>3.9503156058619839</v>
      </c>
      <c r="O13">
        <f t="shared" si="1"/>
        <v>3.8810890247935106</v>
      </c>
    </row>
    <row r="14" spans="1:16" ht="14.55" x14ac:dyDescent="0.35">
      <c r="A14" t="s">
        <v>103</v>
      </c>
      <c r="B14">
        <f>B27*'Capture efficiency'!$A$5</f>
        <v>3.4955586869130864</v>
      </c>
      <c r="C14">
        <f>C27*'Capture efficiency'!$A$5</f>
        <v>3.4377379954358238</v>
      </c>
      <c r="D14">
        <f>D27*'Capture efficiency'!$A$5</f>
        <v>3.3656468993755109</v>
      </c>
      <c r="E14">
        <f>E27*'Capture efficiency'!$A$5</f>
        <v>3.2299589165132896</v>
      </c>
      <c r="F14">
        <f>F27*'Capture efficiency'!$A$5</f>
        <v>3.1000849830792729</v>
      </c>
      <c r="G14">
        <f>G27*'Capture efficiency'!$A$5</f>
        <v>2.9825563640683459</v>
      </c>
      <c r="H14">
        <f>H27*'Capture efficiency'!$A$5</f>
        <v>2.8775523514731942</v>
      </c>
      <c r="I14">
        <f>I27*'Capture efficiency'!$A$5</f>
        <v>2.7771871237997585</v>
      </c>
      <c r="J14">
        <f>J27*'Capture efficiency'!$A$5</f>
        <v>2.7079923312822873</v>
      </c>
      <c r="K14">
        <f>K27*'Capture efficiency'!$A$5</f>
        <v>2.659762223318511</v>
      </c>
      <c r="L14">
        <f>L27*'Capture efficiency'!$A$5</f>
        <v>2.608605864653383</v>
      </c>
      <c r="M14">
        <f>M27*'Capture efficiency'!$A$5</f>
        <v>2.5491732782776668</v>
      </c>
      <c r="N14">
        <f>N27*'Capture efficiency'!$A$5</f>
        <v>2.504615706937305</v>
      </c>
      <c r="O14">
        <f>O27*'Capture efficiency'!$A$5</f>
        <v>2.4587939650744994</v>
      </c>
    </row>
    <row r="16" spans="1:16" ht="14.55" x14ac:dyDescent="0.35">
      <c r="O16">
        <f>O13+O14</f>
        <v>6.33988298986801</v>
      </c>
      <c r="P16" t="s">
        <v>134</v>
      </c>
    </row>
    <row r="17" spans="1:16" ht="14.55" x14ac:dyDescent="0.35">
      <c r="O17">
        <f>O13/O16</f>
        <v>0.61217045030578887</v>
      </c>
      <c r="P17" t="s">
        <v>140</v>
      </c>
    </row>
    <row r="18" spans="1:16" ht="14.55" x14ac:dyDescent="0.35">
      <c r="A18" t="s">
        <v>152</v>
      </c>
      <c r="C18">
        <f>$O$17</f>
        <v>0.61217045030578887</v>
      </c>
    </row>
    <row r="20" spans="1:16" ht="14.55" x14ac:dyDescent="0.35">
      <c r="A20" t="s">
        <v>151</v>
      </c>
      <c r="E20">
        <f>E9*$C$18</f>
        <v>0.35282627533405453</v>
      </c>
      <c r="F20">
        <f>F9*$C$18</f>
        <v>0.70565255066810906</v>
      </c>
      <c r="G20">
        <f t="shared" ref="G20:O20" si="2">G9*$C$18</f>
        <v>1.0584788260021636</v>
      </c>
      <c r="H20">
        <f t="shared" si="2"/>
        <v>1.4113051013362181</v>
      </c>
      <c r="I20">
        <f t="shared" si="2"/>
        <v>1.7641313766702726</v>
      </c>
      <c r="J20">
        <f t="shared" si="2"/>
        <v>2.1169576481232384</v>
      </c>
      <c r="K20">
        <f t="shared" si="2"/>
        <v>2.4697839234572929</v>
      </c>
      <c r="L20">
        <f t="shared" si="2"/>
        <v>2.8226101987913474</v>
      </c>
      <c r="M20">
        <f t="shared" si="2"/>
        <v>3.175436474125402</v>
      </c>
      <c r="N20">
        <f t="shared" si="2"/>
        <v>3.5282627494594565</v>
      </c>
      <c r="O20">
        <f t="shared" si="2"/>
        <v>3.8810890247935106</v>
      </c>
    </row>
    <row r="21" spans="1:16" ht="57" x14ac:dyDescent="0.45">
      <c r="A21" s="25" t="s">
        <v>154</v>
      </c>
      <c r="B21" s="26">
        <f>SUM(E20:O20)</f>
        <v>23.286534148761064</v>
      </c>
    </row>
    <row r="22" spans="1:16" x14ac:dyDescent="0.45">
      <c r="B22" s="26"/>
    </row>
    <row r="24" spans="1:16" x14ac:dyDescent="0.45">
      <c r="A24" t="str">
        <f>'EI Scenario before CCS'!A3</f>
        <v>Emissions in MMT - theoretical maximum available emissions (hypothetical 100% capture) assuming carbon price rises to $63 and 50% of BAU coal use replaced with natural gas (after fuel switch)</v>
      </c>
    </row>
    <row r="26" spans="1:16" x14ac:dyDescent="0.45">
      <c r="A26" t="str">
        <f>'EI Scenario before CCS'!A4</f>
        <v>Cement (combustion plus process)</v>
      </c>
      <c r="B26">
        <f>'EI Scenario before CCS'!B4</f>
        <v>7.8896584000044765</v>
      </c>
      <c r="C26">
        <f>'EI Scenario before CCS'!C4</f>
        <v>7.8089206320073226</v>
      </c>
      <c r="D26">
        <f>'EI Scenario before CCS'!D4</f>
        <v>7.7245144540956296</v>
      </c>
      <c r="E26">
        <f>'EI Scenario before CCS'!E4</f>
        <v>7.5767664425831587</v>
      </c>
      <c r="F26">
        <f>'EI Scenario before CCS'!F4</f>
        <v>7.4453784506519209</v>
      </c>
      <c r="G26">
        <f>'EI Scenario before CCS'!G4</f>
        <v>7.3204636515624006</v>
      </c>
      <c r="H26">
        <f>'EI Scenario before CCS'!H4</f>
        <v>7.1947035470311143</v>
      </c>
      <c r="I26">
        <f>'EI Scenario before CCS'!I4</f>
        <v>7.0820784185666152</v>
      </c>
      <c r="J26">
        <f>'EI Scenario before CCS'!J4</f>
        <v>6.9725580988294951</v>
      </c>
      <c r="K26">
        <f>'EI Scenario before CCS'!K4</f>
        <v>6.8715387063867794</v>
      </c>
      <c r="L26">
        <f>'EI Scenario before CCS'!L4</f>
        <v>6.775902649635074</v>
      </c>
      <c r="M26">
        <f>'EI Scenario before CCS'!M4</f>
        <v>6.6741842460228513</v>
      </c>
      <c r="N26">
        <f>'EI Scenario before CCS'!N4</f>
        <v>6.583859343103307</v>
      </c>
      <c r="O26">
        <f>'EI Scenario before CCS'!O4</f>
        <v>6.4684817079891843</v>
      </c>
    </row>
    <row r="27" spans="1:16" x14ac:dyDescent="0.45">
      <c r="A27" t="str">
        <f>'EI Scenario before CCS'!A5</f>
        <v>High purity stream (15%) fraction of Refinery portion of NGPS subsector</v>
      </c>
      <c r="B27">
        <f>'EI Scenario before CCS'!B5</f>
        <v>5.3777825952509017</v>
      </c>
      <c r="C27">
        <f>'EI Scenario before CCS'!C5</f>
        <v>5.2888276852858827</v>
      </c>
      <c r="D27">
        <f>'EI Scenario before CCS'!D5</f>
        <v>5.1779183067315548</v>
      </c>
      <c r="E27">
        <f>'EI Scenario before CCS'!E5</f>
        <v>4.9691675638665993</v>
      </c>
      <c r="F27">
        <f>'EI Scenario before CCS'!F5</f>
        <v>4.7693615124296507</v>
      </c>
      <c r="G27">
        <f>'EI Scenario before CCS'!G5</f>
        <v>4.5885482524128394</v>
      </c>
      <c r="H27">
        <f>'EI Scenario before CCS'!H5</f>
        <v>4.4270036176510681</v>
      </c>
      <c r="I27">
        <f>'EI Scenario before CCS'!I5</f>
        <v>4.2725955750765516</v>
      </c>
      <c r="J27">
        <f>'EI Scenario before CCS'!J5</f>
        <v>4.1661420481265958</v>
      </c>
      <c r="K27">
        <f>'EI Scenario before CCS'!K5</f>
        <v>4.0919418820284781</v>
      </c>
      <c r="L27">
        <f>'EI Scenario before CCS'!L5</f>
        <v>4.0132397917744349</v>
      </c>
      <c r="M27">
        <f>'EI Scenario before CCS'!M5</f>
        <v>3.9218050435041025</v>
      </c>
      <c r="N27">
        <f>'EI Scenario before CCS'!N5</f>
        <v>3.8532549337496995</v>
      </c>
      <c r="O27">
        <f>'EI Scenario before CCS'!O5</f>
        <v>3.7827599462684605</v>
      </c>
    </row>
    <row r="30" spans="1:16" x14ac:dyDescent="0.45">
      <c r="A30" t="s">
        <v>153</v>
      </c>
      <c r="E30">
        <f>E20</f>
        <v>0.35282627533405453</v>
      </c>
      <c r="F30">
        <f>F20-E30</f>
        <v>0.35282627533405453</v>
      </c>
      <c r="G30">
        <f>G20-F20</f>
        <v>0.35282627533405453</v>
      </c>
      <c r="H30">
        <f t="shared" ref="H30:O30" si="3">H20-G20</f>
        <v>0.35282627533405453</v>
      </c>
      <c r="I30">
        <f t="shared" si="3"/>
        <v>0.35282627533405453</v>
      </c>
      <c r="J30">
        <f t="shared" si="3"/>
        <v>0.35282627145296575</v>
      </c>
      <c r="K30">
        <f t="shared" si="3"/>
        <v>0.35282627533405453</v>
      </c>
      <c r="L30">
        <f t="shared" si="3"/>
        <v>0.35282627533405453</v>
      </c>
      <c r="M30">
        <f t="shared" si="3"/>
        <v>0.35282627533405453</v>
      </c>
      <c r="N30">
        <f t="shared" si="3"/>
        <v>0.35282627533405453</v>
      </c>
      <c r="O30">
        <f t="shared" si="3"/>
        <v>0.35282627533405408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3" sqref="A3:XFD3"/>
    </sheetView>
  </sheetViews>
  <sheetFormatPr defaultRowHeight="14.25" x14ac:dyDescent="0.45"/>
  <cols>
    <col min="1" max="1" width="34.06640625" customWidth="1"/>
    <col min="2" max="3" width="17.265625" customWidth="1"/>
  </cols>
  <sheetData>
    <row r="1" spans="1:2" ht="14.55" x14ac:dyDescent="0.35">
      <c r="A1" t="s">
        <v>155</v>
      </c>
    </row>
    <row r="3" spans="1:2" ht="14.55" x14ac:dyDescent="0.35">
      <c r="A3" t="s">
        <v>156</v>
      </c>
    </row>
    <row r="4" spans="1:2" ht="14.55" x14ac:dyDescent="0.35">
      <c r="A4">
        <v>0.6</v>
      </c>
      <c r="B4" t="s">
        <v>35</v>
      </c>
    </row>
    <row r="5" spans="1:2" ht="14.55" x14ac:dyDescent="0.35">
      <c r="A5">
        <v>0.65</v>
      </c>
      <c r="B5" t="s">
        <v>37</v>
      </c>
    </row>
    <row r="8" spans="1:2" ht="14.55" x14ac:dyDescent="0.35">
      <c r="A8" s="7" t="s">
        <v>36</v>
      </c>
      <c r="B8" s="7"/>
    </row>
    <row r="10" spans="1:2" x14ac:dyDescent="0.45">
      <c r="A10" s="8" t="s">
        <v>8</v>
      </c>
    </row>
    <row r="12" spans="1:2" x14ac:dyDescent="0.45">
      <c r="A12" s="11" t="s">
        <v>13</v>
      </c>
    </row>
    <row r="14" spans="1:2" ht="25.5" x14ac:dyDescent="0.35">
      <c r="A14" s="12" t="s">
        <v>16</v>
      </c>
    </row>
    <row r="15" spans="1:2" ht="14.55" x14ac:dyDescent="0.35">
      <c r="A15" s="13" t="s">
        <v>14</v>
      </c>
    </row>
    <row r="16" spans="1:2" ht="14.55" x14ac:dyDescent="0.35">
      <c r="A16" s="14" t="s">
        <v>15</v>
      </c>
    </row>
    <row r="17" spans="1:2" ht="14.55" x14ac:dyDescent="0.35">
      <c r="A17" s="15"/>
    </row>
    <row r="18" spans="1:2" ht="14.55" x14ac:dyDescent="0.35">
      <c r="A18" s="5" t="s">
        <v>17</v>
      </c>
    </row>
    <row r="20" spans="1:2" x14ac:dyDescent="0.45">
      <c r="A20" s="7" t="s">
        <v>21</v>
      </c>
      <c r="B20" s="7"/>
    </row>
    <row r="22" spans="1:2" x14ac:dyDescent="0.45">
      <c r="A22" s="9" t="s">
        <v>20</v>
      </c>
    </row>
    <row r="23" spans="1:2" x14ac:dyDescent="0.45">
      <c r="A23" t="s">
        <v>19</v>
      </c>
    </row>
    <row r="48" spans="2:4" x14ac:dyDescent="0.45">
      <c r="B48" s="6"/>
      <c r="C48" s="18"/>
      <c r="D48" s="18"/>
    </row>
  </sheetData>
  <hyperlinks>
    <hyperlink ref="A16" r:id="rId1" tooltip="DOI URL"/>
    <hyperlink ref="A18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7"/>
  <sheetViews>
    <sheetView workbookViewId="0">
      <selection activeCell="A2" sqref="A2"/>
    </sheetView>
  </sheetViews>
  <sheetFormatPr defaultRowHeight="14.25" x14ac:dyDescent="0.45"/>
  <cols>
    <col min="2" max="2" width="11.796875" bestFit="1" customWidth="1"/>
    <col min="17" max="17" width="11.796875" bestFit="1" customWidth="1"/>
  </cols>
  <sheetData>
    <row r="2" spans="1:37" ht="14.55" x14ac:dyDescent="0.35">
      <c r="A2" t="s">
        <v>115</v>
      </c>
    </row>
    <row r="3" spans="1:37" ht="14.5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5" spans="1:37" ht="14.55" x14ac:dyDescent="0.35">
      <c r="A5" t="s">
        <v>130</v>
      </c>
      <c r="Q5">
        <v>2030</v>
      </c>
    </row>
    <row r="6" spans="1:37" ht="14.55" x14ac:dyDescent="0.35">
      <c r="K6" s="7" t="s">
        <v>126</v>
      </c>
      <c r="L6" s="7"/>
      <c r="M6" s="7"/>
      <c r="N6" s="7"/>
      <c r="O6" s="7"/>
      <c r="P6" s="7"/>
      <c r="Q6">
        <f>Q11*0.3</f>
        <v>84651295967606.703</v>
      </c>
    </row>
    <row r="7" spans="1:37" ht="14.55" x14ac:dyDescent="0.35">
      <c r="K7" s="7" t="s">
        <v>127</v>
      </c>
      <c r="L7" s="7"/>
      <c r="M7" s="7"/>
      <c r="N7" s="7"/>
      <c r="O7" s="7"/>
      <c r="P7" s="7"/>
      <c r="Q7">
        <f>Q11-Q6</f>
        <v>197519690591082.31</v>
      </c>
    </row>
    <row r="8" spans="1:37" ht="14.55" x14ac:dyDescent="0.35">
      <c r="K8" s="7" t="s">
        <v>128</v>
      </c>
      <c r="L8" s="7"/>
      <c r="M8" s="7"/>
      <c r="N8" s="7"/>
      <c r="O8" s="7"/>
      <c r="P8" s="7"/>
      <c r="Q8">
        <f>Q7*'EI Scenario before CCS'!D46</f>
        <v>10584753986932.5</v>
      </c>
    </row>
    <row r="10" spans="1:37" ht="14.55" x14ac:dyDescent="0.35">
      <c r="A10" s="1" t="s">
        <v>125</v>
      </c>
    </row>
    <row r="11" spans="1:37" ht="14.55" x14ac:dyDescent="0.35">
      <c r="A11" t="s">
        <v>117</v>
      </c>
      <c r="B11">
        <f>B17*$C$27</f>
        <v>333827839787328</v>
      </c>
      <c r="C11">
        <f t="shared" ref="C11:Q11" si="0">C17*$C$27</f>
        <v>328068663804744</v>
      </c>
      <c r="D11">
        <f t="shared" si="0"/>
        <v>322314369228121</v>
      </c>
      <c r="E11">
        <f t="shared" si="0"/>
        <v>316564956057460</v>
      </c>
      <c r="F11">
        <f t="shared" si="0"/>
        <v>310820424292760</v>
      </c>
      <c r="G11">
        <f t="shared" si="0"/>
        <v>305080773934022</v>
      </c>
      <c r="H11">
        <f t="shared" si="0"/>
        <v>299346004981246</v>
      </c>
      <c r="I11">
        <f t="shared" si="0"/>
        <v>293616117434432</v>
      </c>
      <c r="J11">
        <f t="shared" si="0"/>
        <v>287891111293580</v>
      </c>
      <c r="K11">
        <f t="shared" si="0"/>
        <v>282170986558689</v>
      </c>
      <c r="L11">
        <f t="shared" si="0"/>
        <v>282170986558689</v>
      </c>
      <c r="M11">
        <f t="shared" si="0"/>
        <v>282170986558689</v>
      </c>
      <c r="N11">
        <f t="shared" si="0"/>
        <v>282170986558689</v>
      </c>
      <c r="O11">
        <f t="shared" si="0"/>
        <v>282170986558689</v>
      </c>
      <c r="P11">
        <f t="shared" si="0"/>
        <v>282170986558689</v>
      </c>
      <c r="Q11">
        <f t="shared" si="0"/>
        <v>282170986558689</v>
      </c>
    </row>
    <row r="12" spans="1:37" ht="14.55" x14ac:dyDescent="0.35">
      <c r="A12" t="s">
        <v>124</v>
      </c>
      <c r="B12">
        <f>B19*$C$27</f>
        <v>88398863994883.094</v>
      </c>
      <c r="C12">
        <f t="shared" ref="C12:Q12" si="1">C19*$C$27</f>
        <v>88006812340455.703</v>
      </c>
      <c r="D12">
        <f t="shared" si="1"/>
        <v>87614760686028.203</v>
      </c>
      <c r="E12">
        <f t="shared" si="1"/>
        <v>87222709031600.797</v>
      </c>
      <c r="F12">
        <f t="shared" si="1"/>
        <v>86830657377173.391</v>
      </c>
      <c r="G12">
        <f t="shared" si="1"/>
        <v>86438605722746</v>
      </c>
      <c r="H12">
        <f t="shared" si="1"/>
        <v>86046554068318.594</v>
      </c>
      <c r="I12">
        <f t="shared" si="1"/>
        <v>85654502413891.203</v>
      </c>
      <c r="J12">
        <f t="shared" si="1"/>
        <v>85262450759463.797</v>
      </c>
      <c r="K12">
        <f t="shared" si="1"/>
        <v>84870399105036.406</v>
      </c>
      <c r="L12">
        <f t="shared" si="1"/>
        <v>84478347450609</v>
      </c>
      <c r="M12">
        <f t="shared" si="1"/>
        <v>84086295796181.609</v>
      </c>
      <c r="N12">
        <f t="shared" si="1"/>
        <v>83694244141754.203</v>
      </c>
      <c r="O12">
        <f t="shared" si="1"/>
        <v>83302192487326.797</v>
      </c>
      <c r="P12">
        <f t="shared" si="1"/>
        <v>82910140832899.297</v>
      </c>
      <c r="Q12">
        <f t="shared" si="1"/>
        <v>82518089178471.906</v>
      </c>
    </row>
    <row r="14" spans="1:37" ht="14.55" x14ac:dyDescent="0.35">
      <c r="A14" t="s">
        <v>112</v>
      </c>
    </row>
    <row r="15" spans="1:37" ht="14.55" x14ac:dyDescent="0.35">
      <c r="A15" s="1" t="s">
        <v>1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</row>
    <row r="16" spans="1:37" ht="14.55" x14ac:dyDescent="0.35">
      <c r="A16" s="23" t="s">
        <v>113</v>
      </c>
    </row>
    <row r="17" spans="1:37" ht="14.55" x14ac:dyDescent="0.35">
      <c r="A17" t="s">
        <v>111</v>
      </c>
      <c r="B17">
        <v>3338.27839787328</v>
      </c>
      <c r="C17">
        <v>3280.6866380474398</v>
      </c>
      <c r="D17">
        <v>3223.14369228121</v>
      </c>
      <c r="E17">
        <v>3165.6495605745999</v>
      </c>
      <c r="F17">
        <v>3108.2042429275998</v>
      </c>
      <c r="G17">
        <v>3050.80773934022</v>
      </c>
      <c r="H17">
        <v>2993.4600498124601</v>
      </c>
      <c r="I17">
        <v>2936.16117434432</v>
      </c>
      <c r="J17">
        <v>2878.9111129357998</v>
      </c>
      <c r="K17">
        <v>2821.7098655868899</v>
      </c>
      <c r="L17">
        <v>2821.7098655868899</v>
      </c>
      <c r="M17">
        <v>2821.7098655868899</v>
      </c>
      <c r="N17">
        <v>2821.7098655868899</v>
      </c>
      <c r="O17">
        <v>2821.7098655868899</v>
      </c>
      <c r="P17">
        <v>2821.7098655868899</v>
      </c>
      <c r="Q17">
        <v>2821.7098655868899</v>
      </c>
      <c r="R17">
        <v>2842.5761980734601</v>
      </c>
      <c r="S17">
        <v>2863.4425305600198</v>
      </c>
      <c r="T17">
        <v>2884.30886304659</v>
      </c>
      <c r="U17">
        <v>2905.1751955331601</v>
      </c>
      <c r="V17">
        <v>2926.0415280197199</v>
      </c>
      <c r="W17">
        <v>2946.90786050629</v>
      </c>
      <c r="X17">
        <v>2967.7741929928602</v>
      </c>
      <c r="Y17">
        <v>2988.6405254794199</v>
      </c>
      <c r="Z17">
        <v>3009.5068579659901</v>
      </c>
      <c r="AA17">
        <v>3030.3731904525598</v>
      </c>
      <c r="AB17">
        <v>3051.23952293913</v>
      </c>
      <c r="AC17">
        <v>3072.1058554256902</v>
      </c>
      <c r="AD17">
        <v>3092.9721879122599</v>
      </c>
      <c r="AE17">
        <v>3113.83852039883</v>
      </c>
      <c r="AF17">
        <v>3134.7048528853902</v>
      </c>
      <c r="AG17">
        <v>3155.5711853719599</v>
      </c>
      <c r="AH17">
        <v>3176.4375178585301</v>
      </c>
      <c r="AI17">
        <v>3197.3038503450998</v>
      </c>
      <c r="AJ17">
        <v>3218.17018283166</v>
      </c>
      <c r="AK17">
        <v>3239.0365153182302</v>
      </c>
    </row>
    <row r="18" spans="1:37" ht="14.55" x14ac:dyDescent="0.35">
      <c r="A18" t="s">
        <v>114</v>
      </c>
    </row>
    <row r="19" spans="1:37" ht="14.55" x14ac:dyDescent="0.35">
      <c r="A19" t="s">
        <v>111</v>
      </c>
      <c r="B19">
        <v>883.98863994883095</v>
      </c>
      <c r="C19">
        <v>880.06812340455701</v>
      </c>
      <c r="D19">
        <v>876.14760686028205</v>
      </c>
      <c r="E19">
        <v>872.227090316008</v>
      </c>
      <c r="F19">
        <v>868.30657377173395</v>
      </c>
      <c r="G19">
        <v>864.38605722746001</v>
      </c>
      <c r="H19">
        <v>860.46554068318596</v>
      </c>
      <c r="I19">
        <v>856.54502413891203</v>
      </c>
      <c r="J19">
        <v>852.62450759463798</v>
      </c>
      <c r="K19">
        <v>848.70399105036404</v>
      </c>
      <c r="L19">
        <v>844.78347450608999</v>
      </c>
      <c r="M19">
        <v>840.86295796181605</v>
      </c>
      <c r="N19">
        <v>836.942441417542</v>
      </c>
      <c r="O19">
        <v>833.02192487326795</v>
      </c>
      <c r="P19">
        <v>829.10140832899299</v>
      </c>
      <c r="Q19">
        <v>825.18089178471905</v>
      </c>
      <c r="R19">
        <v>834.51886285509897</v>
      </c>
      <c r="S19">
        <v>843.85683392547901</v>
      </c>
      <c r="T19">
        <v>853.19480499585904</v>
      </c>
      <c r="U19">
        <v>862.53277606623897</v>
      </c>
      <c r="V19">
        <v>871.870747136619</v>
      </c>
      <c r="W19">
        <v>881.20871820699904</v>
      </c>
      <c r="X19">
        <v>890.54668927737896</v>
      </c>
      <c r="Y19">
        <v>899.884660347759</v>
      </c>
      <c r="Z19">
        <v>909.22263141813903</v>
      </c>
      <c r="AA19">
        <v>918.56060248851895</v>
      </c>
      <c r="AB19">
        <v>927.89857355889899</v>
      </c>
      <c r="AC19">
        <v>937.23654462927902</v>
      </c>
      <c r="AD19">
        <v>946.57451569965895</v>
      </c>
      <c r="AE19">
        <v>955.91248677003898</v>
      </c>
      <c r="AF19">
        <v>965.25045784041902</v>
      </c>
      <c r="AG19">
        <v>974.58842891079905</v>
      </c>
      <c r="AH19">
        <v>983.92639998117897</v>
      </c>
      <c r="AI19">
        <v>993.26437105155901</v>
      </c>
      <c r="AJ19">
        <v>1002.60234212194</v>
      </c>
      <c r="AK19">
        <v>1011.94031319231</v>
      </c>
    </row>
    <row r="21" spans="1:37" ht="14.55" x14ac:dyDescent="0.35">
      <c r="A21" t="s">
        <v>116</v>
      </c>
    </row>
    <row r="23" spans="1:37" x14ac:dyDescent="0.45">
      <c r="A23" t="s">
        <v>117</v>
      </c>
    </row>
    <row r="24" spans="1:37" x14ac:dyDescent="0.45">
      <c r="A24" t="s">
        <v>118</v>
      </c>
      <c r="B24">
        <f>B19*10000000000</f>
        <v>8839886399488.3086</v>
      </c>
    </row>
    <row r="26" spans="1:37" x14ac:dyDescent="0.45">
      <c r="A26" t="s">
        <v>119</v>
      </c>
      <c r="B26" t="s">
        <v>121</v>
      </c>
      <c r="C26" t="s">
        <v>123</v>
      </c>
    </row>
    <row r="27" spans="1:37" x14ac:dyDescent="0.45">
      <c r="A27" t="s">
        <v>120</v>
      </c>
      <c r="B27" t="s">
        <v>122</v>
      </c>
      <c r="C27">
        <v>100000000000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8"/>
  <sheetViews>
    <sheetView topLeftCell="A34" workbookViewId="0">
      <selection activeCell="A124" sqref="A124"/>
    </sheetView>
  </sheetViews>
  <sheetFormatPr defaultRowHeight="14.25" x14ac:dyDescent="0.45"/>
  <cols>
    <col min="1" max="1" width="64.796875" customWidth="1"/>
    <col min="2" max="2" width="11.796875" bestFit="1" customWidth="1"/>
  </cols>
  <sheetData>
    <row r="1" spans="1:15" ht="14.55" x14ac:dyDescent="0.35">
      <c r="A1" t="s">
        <v>136</v>
      </c>
    </row>
    <row r="3" spans="1:15" ht="43.5" x14ac:dyDescent="0.35">
      <c r="A3" s="25" t="s">
        <v>138</v>
      </c>
    </row>
    <row r="4" spans="1:15" ht="14.55" x14ac:dyDescent="0.35">
      <c r="A4" t="s">
        <v>137</v>
      </c>
      <c r="B4" s="24">
        <f>B18+B8</f>
        <v>7.8896584000044765</v>
      </c>
      <c r="C4" s="24">
        <f t="shared" ref="C4:O4" si="0">C18+C8</f>
        <v>7.8089206320073226</v>
      </c>
      <c r="D4" s="24">
        <f t="shared" si="0"/>
        <v>7.7245144540956296</v>
      </c>
      <c r="E4" s="24">
        <f t="shared" si="0"/>
        <v>7.5767664425831587</v>
      </c>
      <c r="F4" s="24">
        <f t="shared" si="0"/>
        <v>7.4453784506519209</v>
      </c>
      <c r="G4" s="24">
        <f t="shared" si="0"/>
        <v>7.3204636515624006</v>
      </c>
      <c r="H4" s="24">
        <f t="shared" si="0"/>
        <v>7.1947035470311143</v>
      </c>
      <c r="I4" s="24">
        <f t="shared" si="0"/>
        <v>7.0820784185666152</v>
      </c>
      <c r="J4" s="24">
        <f t="shared" si="0"/>
        <v>6.9725580988294951</v>
      </c>
      <c r="K4" s="24">
        <f t="shared" si="0"/>
        <v>6.8715387063867794</v>
      </c>
      <c r="L4" s="24">
        <f t="shared" si="0"/>
        <v>6.775902649635074</v>
      </c>
      <c r="M4" s="24">
        <f t="shared" si="0"/>
        <v>6.6741842460228513</v>
      </c>
      <c r="N4" s="24">
        <f t="shared" si="0"/>
        <v>6.583859343103307</v>
      </c>
      <c r="O4" s="24">
        <f t="shared" si="0"/>
        <v>6.4684817079891843</v>
      </c>
    </row>
    <row r="5" spans="1:15" ht="14.55" x14ac:dyDescent="0.35">
      <c r="A5" t="s">
        <v>139</v>
      </c>
      <c r="B5">
        <f t="shared" ref="B5" si="1">B15*0.15</f>
        <v>5.3777825952509017</v>
      </c>
      <c r="C5">
        <f t="shared" ref="C5:N5" si="2">C15*0.15</f>
        <v>5.2888276852858827</v>
      </c>
      <c r="D5">
        <f t="shared" si="2"/>
        <v>5.1779183067315548</v>
      </c>
      <c r="E5">
        <f t="shared" si="2"/>
        <v>4.9691675638665993</v>
      </c>
      <c r="F5">
        <f t="shared" si="2"/>
        <v>4.7693615124296507</v>
      </c>
      <c r="G5">
        <f t="shared" si="2"/>
        <v>4.5885482524128394</v>
      </c>
      <c r="H5">
        <f t="shared" si="2"/>
        <v>4.4270036176510681</v>
      </c>
      <c r="I5">
        <f t="shared" si="2"/>
        <v>4.2725955750765516</v>
      </c>
      <c r="J5">
        <f t="shared" si="2"/>
        <v>4.1661420481265958</v>
      </c>
      <c r="K5">
        <f t="shared" si="2"/>
        <v>4.0919418820284781</v>
      </c>
      <c r="L5">
        <f t="shared" si="2"/>
        <v>4.0132397917744349</v>
      </c>
      <c r="M5">
        <f t="shared" si="2"/>
        <v>3.9218050435041025</v>
      </c>
      <c r="N5">
        <f t="shared" si="2"/>
        <v>3.8532549337496995</v>
      </c>
      <c r="O5">
        <f>O15*0.15</f>
        <v>3.7827599462684605</v>
      </c>
    </row>
    <row r="7" spans="1:15" ht="14.55" x14ac:dyDescent="0.35">
      <c r="A7" t="s">
        <v>105</v>
      </c>
      <c r="O7" t="s">
        <v>129</v>
      </c>
    </row>
    <row r="8" spans="1:15" ht="14.55" x14ac:dyDescent="0.35">
      <c r="A8" t="str">
        <f>A110</f>
        <v>BAU cement process emissions (CO2)</v>
      </c>
      <c r="B8" s="24">
        <f t="shared" ref="B8:N8" si="3">B110/1000000000000</f>
        <v>4.8527491499591768</v>
      </c>
      <c r="C8" s="24">
        <f t="shared" si="3"/>
        <v>4.8213510605633214</v>
      </c>
      <c r="D8" s="24">
        <f t="shared" si="3"/>
        <v>4.789952971167466</v>
      </c>
      <c r="E8" s="24">
        <f t="shared" si="3"/>
        <v>4.7585548817716106</v>
      </c>
      <c r="F8" s="24">
        <f t="shared" si="3"/>
        <v>4.727156792375756</v>
      </c>
      <c r="G8" s="24">
        <f t="shared" si="3"/>
        <v>4.6957587029799024</v>
      </c>
      <c r="H8" s="24">
        <f t="shared" si="3"/>
        <v>4.664360613584055</v>
      </c>
      <c r="I8" s="24">
        <f t="shared" si="3"/>
        <v>4.6329625241882004</v>
      </c>
      <c r="J8" s="24">
        <f t="shared" si="3"/>
        <v>4.6015644347923459</v>
      </c>
      <c r="K8" s="24">
        <f t="shared" si="3"/>
        <v>4.5701663453964896</v>
      </c>
      <c r="L8" s="24">
        <f t="shared" si="3"/>
        <v>4.538768256000635</v>
      </c>
      <c r="M8" s="24">
        <f t="shared" si="3"/>
        <v>4.5073701666047796</v>
      </c>
      <c r="N8" s="24">
        <f t="shared" si="3"/>
        <v>4.4759720772089251</v>
      </c>
      <c r="O8" s="24">
        <f>O110/1000000000000</f>
        <v>4.4189903594164557</v>
      </c>
    </row>
    <row r="9" spans="1:15" ht="14.55" x14ac:dyDescent="0.35">
      <c r="O9" s="4"/>
    </row>
    <row r="10" spans="1:15" ht="14.55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4" spans="1:15" ht="14.55" x14ac:dyDescent="0.35">
      <c r="A14" s="1" t="s">
        <v>132</v>
      </c>
    </row>
    <row r="15" spans="1:15" ht="14.55" x14ac:dyDescent="0.35">
      <c r="A15" t="s">
        <v>131</v>
      </c>
      <c r="B15">
        <f>B19-'Separate Refineries-OGE in NGPS'!$Q$8/1000000000000</f>
        <v>35.851883968339344</v>
      </c>
      <c r="C15">
        <f>C19-'Separate Refineries-OGE in NGPS'!$Q$8/1000000000000</f>
        <v>35.25885123523922</v>
      </c>
      <c r="D15">
        <f>D19-'Separate Refineries-OGE in NGPS'!$Q$8/1000000000000</f>
        <v>34.519455378210367</v>
      </c>
      <c r="E15">
        <f>E19-'Separate Refineries-OGE in NGPS'!$Q$8/1000000000000</f>
        <v>33.127783759110663</v>
      </c>
      <c r="F15">
        <f>F19-'Separate Refineries-OGE in NGPS'!$Q$8/1000000000000</f>
        <v>31.795743416197674</v>
      </c>
      <c r="G15">
        <f>G19-'Separate Refineries-OGE in NGPS'!$Q$8/1000000000000</f>
        <v>30.590321682752261</v>
      </c>
      <c r="H15">
        <f>H19-'Separate Refineries-OGE in NGPS'!$Q$8/1000000000000</f>
        <v>29.513357451007124</v>
      </c>
      <c r="I15">
        <f>I19-'Separate Refineries-OGE in NGPS'!$Q$8/1000000000000</f>
        <v>28.483970500510345</v>
      </c>
      <c r="J15">
        <f>J19-'Separate Refineries-OGE in NGPS'!$Q$8/1000000000000</f>
        <v>27.774280320843971</v>
      </c>
      <c r="K15">
        <f>K19-'Separate Refineries-OGE in NGPS'!$Q$8/1000000000000</f>
        <v>27.279612546856519</v>
      </c>
      <c r="L15">
        <f>L19-'Separate Refineries-OGE in NGPS'!$Q$8/1000000000000</f>
        <v>26.754931945162902</v>
      </c>
      <c r="M15">
        <f>M19-'Separate Refineries-OGE in NGPS'!$Q$8/1000000000000</f>
        <v>26.145366956694019</v>
      </c>
      <c r="N15">
        <f>N19-'Separate Refineries-OGE in NGPS'!$Q$8/1000000000000</f>
        <v>25.688366224997999</v>
      </c>
      <c r="O15">
        <f>O19-'Separate Refineries-OGE in NGPS'!$Q$8/1000000000000</f>
        <v>25.218399641789738</v>
      </c>
    </row>
    <row r="17" spans="1:15" ht="14.55" x14ac:dyDescent="0.35">
      <c r="A17" t="s">
        <v>104</v>
      </c>
    </row>
    <row r="18" spans="1:15" ht="14.55" x14ac:dyDescent="0.35">
      <c r="A18" t="s">
        <v>102</v>
      </c>
      <c r="B18">
        <f>(B26+B27)/1000000000000</f>
        <v>3.0369092500452992</v>
      </c>
      <c r="C18">
        <f t="shared" ref="C18:O18" si="4">(C26+C27)/1000000000000</f>
        <v>2.9875695714440011</v>
      </c>
      <c r="D18">
        <f t="shared" si="4"/>
        <v>2.9345614829281637</v>
      </c>
      <c r="E18">
        <f t="shared" si="4"/>
        <v>2.8182115608115486</v>
      </c>
      <c r="F18">
        <f t="shared" si="4"/>
        <v>2.7182216582761649</v>
      </c>
      <c r="G18">
        <f t="shared" si="4"/>
        <v>2.6247049485824983</v>
      </c>
      <c r="H18">
        <f t="shared" si="4"/>
        <v>2.5303429334470597</v>
      </c>
      <c r="I18">
        <f t="shared" si="4"/>
        <v>2.4491158943784144</v>
      </c>
      <c r="J18">
        <f t="shared" si="4"/>
        <v>2.3709936640371496</v>
      </c>
      <c r="K18">
        <f t="shared" si="4"/>
        <v>2.3013723609902899</v>
      </c>
      <c r="L18">
        <f t="shared" si="4"/>
        <v>2.237134393634439</v>
      </c>
      <c r="M18">
        <f t="shared" si="4"/>
        <v>2.1668140794180717</v>
      </c>
      <c r="N18">
        <f t="shared" si="4"/>
        <v>2.1078872658943819</v>
      </c>
      <c r="O18">
        <f t="shared" si="4"/>
        <v>2.0494913485727282</v>
      </c>
    </row>
    <row r="19" spans="1:15" ht="14.55" x14ac:dyDescent="0.35">
      <c r="A19" t="s">
        <v>103</v>
      </c>
      <c r="B19">
        <f>(B29+B30+B31)/1000000000000</f>
        <v>46.436637955271841</v>
      </c>
      <c r="C19">
        <f t="shared" ref="C19:O19" si="5">(C29+C30+C31)/1000000000000</f>
        <v>45.843605222171718</v>
      </c>
      <c r="D19">
        <f t="shared" si="5"/>
        <v>45.104209365142864</v>
      </c>
      <c r="E19">
        <f t="shared" si="5"/>
        <v>43.712537746043161</v>
      </c>
      <c r="F19">
        <f t="shared" si="5"/>
        <v>42.380497403130171</v>
      </c>
      <c r="G19">
        <f t="shared" si="5"/>
        <v>41.175075669684759</v>
      </c>
      <c r="H19">
        <f t="shared" si="5"/>
        <v>40.098111437939622</v>
      </c>
      <c r="I19">
        <f t="shared" si="5"/>
        <v>39.068724487442843</v>
      </c>
      <c r="J19">
        <f t="shared" si="5"/>
        <v>38.359034307776469</v>
      </c>
      <c r="K19">
        <f t="shared" si="5"/>
        <v>37.864366533789017</v>
      </c>
      <c r="L19">
        <f t="shared" si="5"/>
        <v>37.339685932095399</v>
      </c>
      <c r="M19">
        <f t="shared" si="5"/>
        <v>36.730120943626517</v>
      </c>
      <c r="N19">
        <f t="shared" si="5"/>
        <v>36.273120211930497</v>
      </c>
      <c r="O19">
        <f t="shared" si="5"/>
        <v>35.803153628722235</v>
      </c>
    </row>
    <row r="24" spans="1:15" x14ac:dyDescent="0.45">
      <c r="A24" s="7" t="s">
        <v>101</v>
      </c>
    </row>
    <row r="25" spans="1:15" x14ac:dyDescent="0.45">
      <c r="A25" t="str">
        <f t="shared" ref="A25:O25" si="6">A35</f>
        <v>Time (Year)</v>
      </c>
      <c r="B25">
        <f t="shared" si="6"/>
        <v>2017</v>
      </c>
      <c r="C25">
        <f t="shared" si="6"/>
        <v>2018</v>
      </c>
      <c r="D25">
        <f t="shared" si="6"/>
        <v>2019</v>
      </c>
      <c r="E25">
        <f t="shared" si="6"/>
        <v>2020</v>
      </c>
      <c r="F25">
        <f t="shared" si="6"/>
        <v>2021</v>
      </c>
      <c r="G25">
        <f t="shared" si="6"/>
        <v>2022</v>
      </c>
      <c r="H25">
        <f t="shared" si="6"/>
        <v>2023</v>
      </c>
      <c r="I25">
        <f t="shared" si="6"/>
        <v>2024</v>
      </c>
      <c r="J25">
        <f t="shared" si="6"/>
        <v>2025</v>
      </c>
      <c r="K25">
        <f t="shared" si="6"/>
        <v>2026</v>
      </c>
      <c r="L25">
        <f t="shared" si="6"/>
        <v>2027</v>
      </c>
      <c r="M25">
        <f t="shared" si="6"/>
        <v>2028</v>
      </c>
      <c r="N25">
        <f t="shared" si="6"/>
        <v>2029</v>
      </c>
      <c r="O25">
        <f t="shared" si="6"/>
        <v>2030</v>
      </c>
    </row>
    <row r="26" spans="1:15" x14ac:dyDescent="0.45">
      <c r="A26" t="str">
        <f t="shared" ref="A26" si="7">A36</f>
        <v>Industrial Fuel Use[hard coal if,cement and other carbonates] : EI</v>
      </c>
      <c r="B26">
        <f>B36*$C$46</f>
        <v>2887260571955.0615</v>
      </c>
      <c r="C26">
        <f t="shared" ref="C26:O26" si="8">C36*$C$46</f>
        <v>2840393995630.4785</v>
      </c>
      <c r="D26">
        <f t="shared" si="8"/>
        <v>2790039066241.8394</v>
      </c>
      <c r="E26">
        <f t="shared" si="8"/>
        <v>2654495941277.3711</v>
      </c>
      <c r="F26">
        <f t="shared" si="8"/>
        <v>2536796697260.1646</v>
      </c>
      <c r="G26">
        <f t="shared" si="8"/>
        <v>2425973630464.3252</v>
      </c>
      <c r="H26">
        <f t="shared" si="8"/>
        <v>2315251092575.231</v>
      </c>
      <c r="I26">
        <f t="shared" si="8"/>
        <v>2218200486003.4756</v>
      </c>
      <c r="J26">
        <f t="shared" si="8"/>
        <v>2125462569531.0867</v>
      </c>
      <c r="K26">
        <f t="shared" si="8"/>
        <v>2040565907784.8181</v>
      </c>
      <c r="L26">
        <f t="shared" si="8"/>
        <v>1961741192005.9561</v>
      </c>
      <c r="M26">
        <f t="shared" si="8"/>
        <v>1878533415893.0061</v>
      </c>
      <c r="N26">
        <f t="shared" si="8"/>
        <v>1806102338583.1348</v>
      </c>
      <c r="O26">
        <f t="shared" si="8"/>
        <v>1734937925498.2522</v>
      </c>
    </row>
    <row r="27" spans="1:15" x14ac:dyDescent="0.45">
      <c r="A27" t="str">
        <f t="shared" ref="A27" si="9">A37</f>
        <v>Industrial Fuel Use[natural gas if,cement and other carbonates] : EI</v>
      </c>
      <c r="B27">
        <f>B37*$D$46</f>
        <v>149648678090.23767</v>
      </c>
      <c r="C27">
        <f t="shared" ref="C27:O27" si="10">C37*$D$46</f>
        <v>147175575813.52222</v>
      </c>
      <c r="D27">
        <f t="shared" si="10"/>
        <v>144522416686.32437</v>
      </c>
      <c r="E27">
        <f t="shared" si="10"/>
        <v>163715619534.17706</v>
      </c>
      <c r="F27">
        <f t="shared" si="10"/>
        <v>181424961016.00049</v>
      </c>
      <c r="G27">
        <f t="shared" si="10"/>
        <v>198731318118.17279</v>
      </c>
      <c r="H27">
        <f t="shared" si="10"/>
        <v>215091840871.82877</v>
      </c>
      <c r="I27">
        <f t="shared" si="10"/>
        <v>230915408374.93896</v>
      </c>
      <c r="J27">
        <f t="shared" si="10"/>
        <v>245531094506.06287</v>
      </c>
      <c r="K27">
        <f t="shared" si="10"/>
        <v>260806453205.47211</v>
      </c>
      <c r="L27">
        <f t="shared" si="10"/>
        <v>275393201628.48279</v>
      </c>
      <c r="M27">
        <f t="shared" si="10"/>
        <v>288280663525.06561</v>
      </c>
      <c r="N27">
        <f t="shared" si="10"/>
        <v>301784927311.24738</v>
      </c>
      <c r="O27">
        <f t="shared" si="10"/>
        <v>314553423074.47577</v>
      </c>
    </row>
    <row r="29" spans="1:15" x14ac:dyDescent="0.45">
      <c r="A29" t="str">
        <f t="shared" ref="A29" si="11">A39</f>
        <v>Industrial Fuel Use[hard coal if,natural gas and petroleum systems] : EI</v>
      </c>
      <c r="B29">
        <f>B39*$C$46</f>
        <v>5374898633816.8535</v>
      </c>
      <c r="C29">
        <f t="shared" ref="C29:O29" si="12">C39*$C$46</f>
        <v>5263663398503.3594</v>
      </c>
      <c r="D29">
        <f t="shared" si="12"/>
        <v>5136423961236.0391</v>
      </c>
      <c r="E29">
        <f t="shared" si="12"/>
        <v>4871329234149.1123</v>
      </c>
      <c r="F29">
        <f t="shared" si="12"/>
        <v>4632402181487.9453</v>
      </c>
      <c r="G29">
        <f t="shared" si="12"/>
        <v>4398752896430.8975</v>
      </c>
      <c r="H29">
        <f t="shared" si="12"/>
        <v>4191542713847.8208</v>
      </c>
      <c r="I29">
        <f t="shared" si="12"/>
        <v>3986091787132.7837</v>
      </c>
      <c r="J29">
        <f t="shared" si="12"/>
        <v>3790281582574.6055</v>
      </c>
      <c r="K29">
        <f t="shared" si="12"/>
        <v>3632049083357.7598</v>
      </c>
      <c r="L29">
        <f t="shared" si="12"/>
        <v>3463703376122.353</v>
      </c>
      <c r="M29">
        <f t="shared" si="12"/>
        <v>3302334375015.0586</v>
      </c>
      <c r="N29">
        <f t="shared" si="12"/>
        <v>3155230425774.8994</v>
      </c>
      <c r="O29">
        <f t="shared" si="12"/>
        <v>3004406906985.1699</v>
      </c>
    </row>
    <row r="30" spans="1:15" x14ac:dyDescent="0.45">
      <c r="A30" t="str">
        <f t="shared" ref="A30" si="13">A40</f>
        <v>Industrial Fuel Use[natural gas if,natural gas and petroleum systems] : EI</v>
      </c>
      <c r="B30">
        <f>B40*$D$46</f>
        <v>21834894068501.977</v>
      </c>
      <c r="C30">
        <f t="shared" ref="C30:O30" si="14">C40*$D$46</f>
        <v>21388128008242.461</v>
      </c>
      <c r="D30">
        <f t="shared" si="14"/>
        <v>20916336189299.824</v>
      </c>
      <c r="E30">
        <f t="shared" si="14"/>
        <v>20055600137975.809</v>
      </c>
      <c r="F30">
        <f t="shared" si="14"/>
        <v>19200222921487.574</v>
      </c>
      <c r="G30">
        <f t="shared" si="14"/>
        <v>18442858794145.879</v>
      </c>
      <c r="H30">
        <f t="shared" si="14"/>
        <v>17747067679067.367</v>
      </c>
      <c r="I30">
        <f t="shared" si="14"/>
        <v>17083161631261.787</v>
      </c>
      <c r="J30">
        <f t="shared" si="14"/>
        <v>16717528330416.078</v>
      </c>
      <c r="K30">
        <f t="shared" si="14"/>
        <v>16416522577689.955</v>
      </c>
      <c r="L30">
        <f t="shared" si="14"/>
        <v>16129932090672.096</v>
      </c>
      <c r="M30">
        <f t="shared" si="14"/>
        <v>15811670889774.74</v>
      </c>
      <c r="N30">
        <f t="shared" si="14"/>
        <v>15549623866304.783</v>
      </c>
      <c r="O30">
        <f t="shared" si="14"/>
        <v>15283664893404.701</v>
      </c>
    </row>
    <row r="31" spans="1:15" x14ac:dyDescent="0.45">
      <c r="A31" t="str">
        <f t="shared" ref="A31" si="15">A41</f>
        <v>Industrial Fuel Use[heat if,natural gas and petroleum systems] : EI</v>
      </c>
      <c r="B31">
        <f>B41*$G$46</f>
        <v>19226845252953.016</v>
      </c>
      <c r="C31">
        <f t="shared" ref="C31:O31" si="16">C41*$G$46</f>
        <v>19191813815425.895</v>
      </c>
      <c r="D31">
        <f t="shared" si="16"/>
        <v>19051449214607.004</v>
      </c>
      <c r="E31">
        <f t="shared" si="16"/>
        <v>18785608373918.242</v>
      </c>
      <c r="F31">
        <f t="shared" si="16"/>
        <v>18547872300154.648</v>
      </c>
      <c r="G31">
        <f t="shared" si="16"/>
        <v>18333463979107.98</v>
      </c>
      <c r="H31">
        <f t="shared" si="16"/>
        <v>18159501045024.437</v>
      </c>
      <c r="I31">
        <f t="shared" si="16"/>
        <v>17999471069048.273</v>
      </c>
      <c r="J31">
        <f t="shared" si="16"/>
        <v>17851224394785.781</v>
      </c>
      <c r="K31">
        <f t="shared" si="16"/>
        <v>17815794872741.305</v>
      </c>
      <c r="L31">
        <f t="shared" si="16"/>
        <v>17746050465300.949</v>
      </c>
      <c r="M31">
        <f t="shared" si="16"/>
        <v>17616115678836.719</v>
      </c>
      <c r="N31">
        <f t="shared" si="16"/>
        <v>17568265919850.812</v>
      </c>
      <c r="O31">
        <f t="shared" si="16"/>
        <v>17515081828332.367</v>
      </c>
    </row>
    <row r="34" spans="1:15" x14ac:dyDescent="0.45">
      <c r="A34" s="7" t="s">
        <v>100</v>
      </c>
    </row>
    <row r="35" spans="1:15" x14ac:dyDescent="0.45">
      <c r="A35" t="str">
        <f t="shared" ref="A35:O35" si="17">A51</f>
        <v>Time (Year)</v>
      </c>
      <c r="B35">
        <f t="shared" si="17"/>
        <v>2017</v>
      </c>
      <c r="C35">
        <f t="shared" si="17"/>
        <v>2018</v>
      </c>
      <c r="D35">
        <f t="shared" si="17"/>
        <v>2019</v>
      </c>
      <c r="E35">
        <f t="shared" si="17"/>
        <v>2020</v>
      </c>
      <c r="F35">
        <f t="shared" si="17"/>
        <v>2021</v>
      </c>
      <c r="G35">
        <f t="shared" si="17"/>
        <v>2022</v>
      </c>
      <c r="H35">
        <f t="shared" si="17"/>
        <v>2023</v>
      </c>
      <c r="I35">
        <f t="shared" si="17"/>
        <v>2024</v>
      </c>
      <c r="J35">
        <f t="shared" si="17"/>
        <v>2025</v>
      </c>
      <c r="K35">
        <f t="shared" si="17"/>
        <v>2026</v>
      </c>
      <c r="L35">
        <f t="shared" si="17"/>
        <v>2027</v>
      </c>
      <c r="M35">
        <f t="shared" si="17"/>
        <v>2028</v>
      </c>
      <c r="N35">
        <f t="shared" si="17"/>
        <v>2029</v>
      </c>
      <c r="O35">
        <f t="shared" si="17"/>
        <v>2030</v>
      </c>
    </row>
    <row r="36" spans="1:15" x14ac:dyDescent="0.45">
      <c r="A36" t="str">
        <f t="shared" ref="A36:O36" si="18">A52</f>
        <v>Industrial Fuel Use[hard coal if,cement and other carbonates] : EI</v>
      </c>
      <c r="B36">
        <f t="shared" si="18"/>
        <v>28720700000000</v>
      </c>
      <c r="C36">
        <f t="shared" si="18"/>
        <v>28254500000000</v>
      </c>
      <c r="D36">
        <f t="shared" si="18"/>
        <v>27753600000000</v>
      </c>
      <c r="E36">
        <f t="shared" si="18"/>
        <v>26405300000000</v>
      </c>
      <c r="F36">
        <f t="shared" si="18"/>
        <v>25234500000000</v>
      </c>
      <c r="G36">
        <f t="shared" si="18"/>
        <v>24132100000000</v>
      </c>
      <c r="H36">
        <f t="shared" si="18"/>
        <v>23030700000000</v>
      </c>
      <c r="I36">
        <f t="shared" si="18"/>
        <v>22065300000000</v>
      </c>
      <c r="J36">
        <f t="shared" si="18"/>
        <v>21142800000000</v>
      </c>
      <c r="K36">
        <f t="shared" si="18"/>
        <v>20298300000000</v>
      </c>
      <c r="L36">
        <f t="shared" si="18"/>
        <v>19514200000000</v>
      </c>
      <c r="M36">
        <f t="shared" si="18"/>
        <v>18686500000000</v>
      </c>
      <c r="N36">
        <f t="shared" si="18"/>
        <v>17966000000000</v>
      </c>
      <c r="O36">
        <f t="shared" si="18"/>
        <v>17258100000000</v>
      </c>
    </row>
    <row r="37" spans="1:15" x14ac:dyDescent="0.45">
      <c r="A37" t="str">
        <f t="shared" ref="A37:O37" si="19">A60</f>
        <v>Industrial Fuel Use[natural gas if,cement and other carbonates] : EI</v>
      </c>
      <c r="B37">
        <f t="shared" si="19"/>
        <v>2792560000000</v>
      </c>
      <c r="C37">
        <f t="shared" si="19"/>
        <v>2746410000000</v>
      </c>
      <c r="D37">
        <f t="shared" si="19"/>
        <v>2696900000000</v>
      </c>
      <c r="E37">
        <f t="shared" si="19"/>
        <v>3055060000000</v>
      </c>
      <c r="F37">
        <f t="shared" si="19"/>
        <v>3385530000000</v>
      </c>
      <c r="G37">
        <f t="shared" si="19"/>
        <v>3708480000000</v>
      </c>
      <c r="H37">
        <f t="shared" si="19"/>
        <v>4013780000000</v>
      </c>
      <c r="I37">
        <f t="shared" si="19"/>
        <v>4309060000000</v>
      </c>
      <c r="J37">
        <f t="shared" si="19"/>
        <v>4581800000000</v>
      </c>
      <c r="K37">
        <f t="shared" si="19"/>
        <v>4866850000000</v>
      </c>
      <c r="L37">
        <f t="shared" si="19"/>
        <v>5139050000000</v>
      </c>
      <c r="M37">
        <f t="shared" si="19"/>
        <v>5379540000000</v>
      </c>
      <c r="N37">
        <f t="shared" si="19"/>
        <v>5631540000000</v>
      </c>
      <c r="O37">
        <f t="shared" si="19"/>
        <v>5869810000000</v>
      </c>
    </row>
    <row r="39" spans="1:15" x14ac:dyDescent="0.45">
      <c r="A39" t="str">
        <f t="shared" ref="A39:O39" si="20">A53</f>
        <v>Industrial Fuel Use[hard coal if,natural gas and petroleum systems] : EI</v>
      </c>
      <c r="B39">
        <f t="shared" si="20"/>
        <v>53466200000000</v>
      </c>
      <c r="C39">
        <f t="shared" si="20"/>
        <v>52359700000000</v>
      </c>
      <c r="D39">
        <f t="shared" si="20"/>
        <v>51094000000000</v>
      </c>
      <c r="E39">
        <f t="shared" si="20"/>
        <v>48457000000000</v>
      </c>
      <c r="F39">
        <f t="shared" si="20"/>
        <v>46080300000000</v>
      </c>
      <c r="G39">
        <f t="shared" si="20"/>
        <v>43756100000000</v>
      </c>
      <c r="H39">
        <f t="shared" si="20"/>
        <v>41694900000000</v>
      </c>
      <c r="I39">
        <f t="shared" si="20"/>
        <v>39651200000000</v>
      </c>
      <c r="J39">
        <f t="shared" si="20"/>
        <v>37703400000000</v>
      </c>
      <c r="K39">
        <f t="shared" si="20"/>
        <v>36129400000000</v>
      </c>
      <c r="L39">
        <f t="shared" si="20"/>
        <v>34454800000000</v>
      </c>
      <c r="M39">
        <f t="shared" si="20"/>
        <v>32849600000000</v>
      </c>
      <c r="N39">
        <f t="shared" si="20"/>
        <v>31386300000000</v>
      </c>
      <c r="O39">
        <f t="shared" si="20"/>
        <v>29886000000000</v>
      </c>
    </row>
    <row r="40" spans="1:15" x14ac:dyDescent="0.45">
      <c r="A40" t="str">
        <f t="shared" ref="A40:O40" si="21">A61</f>
        <v>Industrial Fuel Use[natural gas if,natural gas and petroleum systems] : EI</v>
      </c>
      <c r="B40">
        <f t="shared" si="21"/>
        <v>407456000000000</v>
      </c>
      <c r="C40">
        <f t="shared" si="21"/>
        <v>399119000000000</v>
      </c>
      <c r="D40">
        <f t="shared" si="21"/>
        <v>390315000000000</v>
      </c>
      <c r="E40">
        <f t="shared" si="21"/>
        <v>374253000000000</v>
      </c>
      <c r="F40">
        <f t="shared" si="21"/>
        <v>358291000000000</v>
      </c>
      <c r="G40">
        <f t="shared" si="21"/>
        <v>344158000000000</v>
      </c>
      <c r="H40">
        <f t="shared" si="21"/>
        <v>331174000000000</v>
      </c>
      <c r="I40">
        <f t="shared" si="21"/>
        <v>318785000000000</v>
      </c>
      <c r="J40">
        <f t="shared" si="21"/>
        <v>311962000000000</v>
      </c>
      <c r="K40">
        <f t="shared" si="21"/>
        <v>306345000000000</v>
      </c>
      <c r="L40">
        <f t="shared" si="21"/>
        <v>300997000000000</v>
      </c>
      <c r="M40">
        <f t="shared" si="21"/>
        <v>295058000000000</v>
      </c>
      <c r="N40">
        <f t="shared" si="21"/>
        <v>290168000000000</v>
      </c>
      <c r="O40">
        <f t="shared" si="21"/>
        <v>285205000000000</v>
      </c>
    </row>
    <row r="41" spans="1:15" x14ac:dyDescent="0.45">
      <c r="A41" t="str">
        <f t="shared" ref="A41:O41" si="22">A77</f>
        <v>Industrial Fuel Use[heat if,natural gas and petroleum systems] : EI</v>
      </c>
      <c r="B41">
        <f t="shared" si="22"/>
        <v>241492000000000</v>
      </c>
      <c r="C41">
        <f t="shared" si="22"/>
        <v>241052000000000</v>
      </c>
      <c r="D41">
        <f t="shared" si="22"/>
        <v>239289000000000</v>
      </c>
      <c r="E41">
        <f t="shared" si="22"/>
        <v>235950000000000</v>
      </c>
      <c r="F41">
        <f t="shared" si="22"/>
        <v>232964000000000</v>
      </c>
      <c r="G41">
        <f t="shared" si="22"/>
        <v>230271000000000</v>
      </c>
      <c r="H41">
        <f t="shared" si="22"/>
        <v>228086000000000</v>
      </c>
      <c r="I41">
        <f t="shared" si="22"/>
        <v>226076000000000</v>
      </c>
      <c r="J41">
        <f t="shared" si="22"/>
        <v>224214000000000</v>
      </c>
      <c r="K41">
        <f t="shared" si="22"/>
        <v>223769000000000</v>
      </c>
      <c r="L41">
        <f t="shared" si="22"/>
        <v>222893000000000</v>
      </c>
      <c r="M41">
        <f t="shared" si="22"/>
        <v>221261000000000</v>
      </c>
      <c r="N41">
        <f t="shared" si="22"/>
        <v>220660000000000</v>
      </c>
      <c r="O41">
        <f t="shared" si="22"/>
        <v>219992000000000</v>
      </c>
    </row>
    <row r="43" spans="1:15" x14ac:dyDescent="0.45">
      <c r="A43" t="s">
        <v>80</v>
      </c>
    </row>
    <row r="45" spans="1:15" x14ac:dyDescent="0.45">
      <c r="B45" t="str">
        <f t="shared" ref="A45:G46" si="23">B95</f>
        <v>electricity</v>
      </c>
      <c r="C45" t="str">
        <f t="shared" si="23"/>
        <v>coal</v>
      </c>
      <c r="D45" t="str">
        <f t="shared" si="23"/>
        <v>natural gas</v>
      </c>
      <c r="E45" t="str">
        <f t="shared" si="23"/>
        <v>biomass</v>
      </c>
      <c r="F45" t="str">
        <f t="shared" si="23"/>
        <v>petroleum diesel</v>
      </c>
      <c r="G45" t="str">
        <f t="shared" si="23"/>
        <v>heat</v>
      </c>
    </row>
    <row r="46" spans="1:15" x14ac:dyDescent="0.45">
      <c r="A46" t="str">
        <f t="shared" si="23"/>
        <v>CO2</v>
      </c>
      <c r="B46">
        <f t="shared" si="23"/>
        <v>0</v>
      </c>
      <c r="C46">
        <f t="shared" si="23"/>
        <v>0.10052890674513719</v>
      </c>
      <c r="D46">
        <f t="shared" si="23"/>
        <v>5.358834835786435E-2</v>
      </c>
      <c r="E46">
        <f t="shared" si="23"/>
        <v>0</v>
      </c>
      <c r="F46">
        <f t="shared" si="23"/>
        <v>7.4859198775265007E-2</v>
      </c>
      <c r="G46">
        <f t="shared" si="23"/>
        <v>7.9616903470727876E-2</v>
      </c>
    </row>
    <row r="49" spans="1:15" x14ac:dyDescent="0.45">
      <c r="A49" t="s">
        <v>166</v>
      </c>
    </row>
    <row r="51" spans="1:15" x14ac:dyDescent="0.45">
      <c r="A51" t="s">
        <v>39</v>
      </c>
      <c r="B51">
        <v>2017</v>
      </c>
      <c r="C51">
        <v>2018</v>
      </c>
      <c r="D51">
        <v>2019</v>
      </c>
      <c r="E51">
        <v>2020</v>
      </c>
      <c r="F51">
        <v>2021</v>
      </c>
      <c r="G51">
        <v>2022</v>
      </c>
      <c r="H51">
        <v>2023</v>
      </c>
      <c r="I51">
        <v>2024</v>
      </c>
      <c r="J51">
        <v>2025</v>
      </c>
      <c r="K51">
        <v>2026</v>
      </c>
      <c r="L51">
        <v>2027</v>
      </c>
      <c r="M51">
        <v>2028</v>
      </c>
      <c r="N51">
        <v>2029</v>
      </c>
      <c r="O51">
        <v>2030</v>
      </c>
    </row>
    <row r="52" spans="1:15" x14ac:dyDescent="0.45">
      <c r="A52" t="s">
        <v>40</v>
      </c>
      <c r="B52" s="4">
        <v>28720700000000</v>
      </c>
      <c r="C52" s="4">
        <v>28254500000000</v>
      </c>
      <c r="D52" s="4">
        <v>27753600000000</v>
      </c>
      <c r="E52" s="4">
        <v>26405300000000</v>
      </c>
      <c r="F52" s="4">
        <v>25234500000000</v>
      </c>
      <c r="G52" s="4">
        <v>24132100000000</v>
      </c>
      <c r="H52" s="4">
        <v>23030700000000</v>
      </c>
      <c r="I52" s="4">
        <v>22065300000000</v>
      </c>
      <c r="J52" s="4">
        <v>21142800000000</v>
      </c>
      <c r="K52" s="4">
        <v>20298300000000</v>
      </c>
      <c r="L52" s="4">
        <v>19514200000000</v>
      </c>
      <c r="M52" s="4">
        <v>18686500000000</v>
      </c>
      <c r="N52" s="4">
        <v>17966000000000</v>
      </c>
      <c r="O52" s="4">
        <v>17258100000000</v>
      </c>
    </row>
    <row r="53" spans="1:15" x14ac:dyDescent="0.45">
      <c r="A53" t="s">
        <v>41</v>
      </c>
      <c r="B53" s="4">
        <v>53466200000000</v>
      </c>
      <c r="C53" s="4">
        <v>52359700000000</v>
      </c>
      <c r="D53" s="4">
        <v>51094000000000</v>
      </c>
      <c r="E53" s="4">
        <v>48457000000000</v>
      </c>
      <c r="F53" s="4">
        <v>46080300000000</v>
      </c>
      <c r="G53" s="4">
        <v>43756100000000</v>
      </c>
      <c r="H53" s="4">
        <v>41694900000000</v>
      </c>
      <c r="I53" s="4">
        <v>39651200000000</v>
      </c>
      <c r="J53" s="4">
        <v>37703400000000</v>
      </c>
      <c r="K53" s="4">
        <v>36129400000000</v>
      </c>
      <c r="L53" s="4">
        <v>34454800000000</v>
      </c>
      <c r="M53" s="4">
        <v>32849600000000</v>
      </c>
      <c r="N53" s="4">
        <v>31386300000000</v>
      </c>
      <c r="O53" s="4">
        <v>29886000000000</v>
      </c>
    </row>
    <row r="54" spans="1:15" x14ac:dyDescent="0.45">
      <c r="A54" t="s">
        <v>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45">
      <c r="A55" t="s">
        <v>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45">
      <c r="A56" t="s">
        <v>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45">
      <c r="A57" t="s">
        <v>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45">
      <c r="A58" t="s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45">
      <c r="A59" t="s">
        <v>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45">
      <c r="A60" t="s">
        <v>48</v>
      </c>
      <c r="B60" s="4">
        <v>2792560000000</v>
      </c>
      <c r="C60" s="4">
        <v>2746410000000</v>
      </c>
      <c r="D60" s="4">
        <v>2696900000000</v>
      </c>
      <c r="E60" s="4">
        <v>3055060000000</v>
      </c>
      <c r="F60" s="4">
        <v>3385530000000</v>
      </c>
      <c r="G60" s="4">
        <v>3708480000000</v>
      </c>
      <c r="H60" s="4">
        <v>4013780000000</v>
      </c>
      <c r="I60" s="4">
        <v>4309060000000</v>
      </c>
      <c r="J60" s="4">
        <v>4581800000000</v>
      </c>
      <c r="K60" s="4">
        <v>4866850000000</v>
      </c>
      <c r="L60" s="4">
        <v>5139050000000</v>
      </c>
      <c r="M60" s="4">
        <v>5379540000000</v>
      </c>
      <c r="N60" s="4">
        <v>5631540000000</v>
      </c>
      <c r="O60" s="4">
        <v>5869810000000</v>
      </c>
    </row>
    <row r="61" spans="1:15" x14ac:dyDescent="0.45">
      <c r="A61" t="s">
        <v>49</v>
      </c>
      <c r="B61" s="4">
        <v>407456000000000</v>
      </c>
      <c r="C61" s="4">
        <v>399119000000000</v>
      </c>
      <c r="D61" s="4">
        <v>390315000000000</v>
      </c>
      <c r="E61" s="4">
        <v>374253000000000</v>
      </c>
      <c r="F61" s="4">
        <v>358291000000000</v>
      </c>
      <c r="G61" s="4">
        <v>344158000000000</v>
      </c>
      <c r="H61" s="4">
        <v>331174000000000</v>
      </c>
      <c r="I61" s="4">
        <v>318785000000000</v>
      </c>
      <c r="J61" s="4">
        <v>311962000000000</v>
      </c>
      <c r="K61" s="4">
        <v>306345000000000</v>
      </c>
      <c r="L61" s="4">
        <v>300997000000000</v>
      </c>
      <c r="M61" s="4">
        <v>295058000000000</v>
      </c>
      <c r="N61" s="4">
        <v>290168000000000</v>
      </c>
      <c r="O61" s="4">
        <v>285205000000000</v>
      </c>
    </row>
    <row r="62" spans="1:15" x14ac:dyDescent="0.45">
      <c r="A62" t="s">
        <v>50</v>
      </c>
      <c r="B62" s="4">
        <v>21366600000000</v>
      </c>
      <c r="C62" s="4">
        <v>21141500000000</v>
      </c>
      <c r="D62" s="4">
        <v>20790700000000</v>
      </c>
      <c r="E62" s="4">
        <v>19908400000000</v>
      </c>
      <c r="F62" s="4">
        <v>19175300000000</v>
      </c>
      <c r="G62" s="4">
        <v>18486100000000</v>
      </c>
      <c r="H62" s="4">
        <v>17767300000000</v>
      </c>
      <c r="I62" s="4">
        <v>17082400000000</v>
      </c>
      <c r="J62" s="4">
        <v>16846900000000</v>
      </c>
      <c r="K62" s="4">
        <v>16633300000000</v>
      </c>
      <c r="L62" s="4">
        <v>16388300000000</v>
      </c>
      <c r="M62" s="4">
        <v>16153000000000</v>
      </c>
      <c r="N62" s="4">
        <v>15929100000000</v>
      </c>
      <c r="O62" s="4">
        <v>15700900000000</v>
      </c>
    </row>
    <row r="63" spans="1:15" x14ac:dyDescent="0.45">
      <c r="A63" t="s">
        <v>51</v>
      </c>
      <c r="B63" s="4">
        <v>65789200000000</v>
      </c>
      <c r="C63" s="4">
        <v>65597800000000</v>
      </c>
      <c r="D63" s="4">
        <v>65117900000000</v>
      </c>
      <c r="E63" s="4">
        <v>63059200000000</v>
      </c>
      <c r="F63" s="4">
        <v>61231400000000</v>
      </c>
      <c r="G63" s="4">
        <v>59425900000000</v>
      </c>
      <c r="H63" s="4">
        <v>57787700000000</v>
      </c>
      <c r="I63" s="4">
        <v>56054200000000</v>
      </c>
      <c r="J63" s="4">
        <v>55318100000000</v>
      </c>
      <c r="K63" s="4">
        <v>54593500000000</v>
      </c>
      <c r="L63" s="4">
        <v>53766400000000</v>
      </c>
      <c r="M63" s="4">
        <v>52972300000000</v>
      </c>
      <c r="N63" s="4">
        <v>52293900000000</v>
      </c>
      <c r="O63" s="4">
        <v>51447000000000</v>
      </c>
    </row>
    <row r="64" spans="1:15" x14ac:dyDescent="0.45">
      <c r="A64" t="s">
        <v>52</v>
      </c>
      <c r="B64" s="4">
        <v>2136660000000</v>
      </c>
      <c r="C64" s="4">
        <v>2133900000000</v>
      </c>
      <c r="D64" s="4">
        <v>2010420000000</v>
      </c>
      <c r="E64" s="4">
        <v>2190880000000</v>
      </c>
      <c r="F64" s="4">
        <v>1723000000000</v>
      </c>
      <c r="G64" s="4">
        <v>1578080000000</v>
      </c>
      <c r="H64" s="4">
        <v>1460080000000</v>
      </c>
      <c r="I64" s="4">
        <v>1313370000000</v>
      </c>
      <c r="J64" s="4">
        <v>1165030000000</v>
      </c>
      <c r="K64" s="4">
        <v>1045760000000</v>
      </c>
      <c r="L64" s="4">
        <v>936472000000</v>
      </c>
      <c r="M64" s="4">
        <v>823486000000</v>
      </c>
      <c r="N64" s="4">
        <v>723412000000</v>
      </c>
      <c r="O64" s="4">
        <v>624986000000</v>
      </c>
    </row>
    <row r="65" spans="1:1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45">
      <c r="A66" t="s">
        <v>54</v>
      </c>
      <c r="B66" s="4">
        <v>11925500000000</v>
      </c>
      <c r="C66" s="4">
        <v>11855000000000</v>
      </c>
      <c r="D66" s="4">
        <v>11768300000000</v>
      </c>
      <c r="E66" s="4">
        <v>11335400000000</v>
      </c>
      <c r="F66" s="4">
        <v>10930900000000</v>
      </c>
      <c r="G66" s="4">
        <v>10550600000000</v>
      </c>
      <c r="H66" s="4">
        <v>10115000000000</v>
      </c>
      <c r="I66" s="4">
        <v>9700050000000</v>
      </c>
      <c r="J66" s="4">
        <v>9471130000000</v>
      </c>
      <c r="K66" s="4">
        <v>9304770000000</v>
      </c>
      <c r="L66" s="4">
        <v>9122530000000</v>
      </c>
      <c r="M66" s="4">
        <v>9026670000000</v>
      </c>
      <c r="N66" s="4">
        <v>8858110000000</v>
      </c>
      <c r="O66" s="4">
        <v>8688830000000</v>
      </c>
    </row>
    <row r="67" spans="1:15" x14ac:dyDescent="0.45">
      <c r="A67" t="s">
        <v>55</v>
      </c>
      <c r="B67" s="4">
        <v>239505000000000</v>
      </c>
      <c r="C67" s="4">
        <v>238088000000000</v>
      </c>
      <c r="D67" s="4">
        <v>234385000000000</v>
      </c>
      <c r="E67" s="4">
        <v>226708000000000</v>
      </c>
      <c r="F67" s="4">
        <v>216765000000000</v>
      </c>
      <c r="G67" s="4">
        <v>208306000000000</v>
      </c>
      <c r="H67" s="4">
        <v>200542000000000</v>
      </c>
      <c r="I67" s="4">
        <v>193142000000000</v>
      </c>
      <c r="J67" s="4">
        <v>187746000000000</v>
      </c>
      <c r="K67" s="4">
        <v>183625000000000</v>
      </c>
      <c r="L67" s="4">
        <v>179221000000000</v>
      </c>
      <c r="M67" s="4">
        <v>174991000000000</v>
      </c>
      <c r="N67" s="4">
        <v>170946000000000</v>
      </c>
      <c r="O67" s="4">
        <v>166917000000000</v>
      </c>
    </row>
    <row r="68" spans="1:15" x14ac:dyDescent="0.45">
      <c r="A68" t="s">
        <v>64</v>
      </c>
      <c r="B68" s="4">
        <v>333915000000</v>
      </c>
      <c r="C68" s="4">
        <v>336880000000</v>
      </c>
      <c r="D68" s="4">
        <v>339319000000</v>
      </c>
      <c r="E68" s="4">
        <v>338034000000</v>
      </c>
      <c r="F68" s="4">
        <v>337134000000</v>
      </c>
      <c r="G68" s="4">
        <v>336549000000</v>
      </c>
      <c r="H68" s="4">
        <v>336611000000</v>
      </c>
      <c r="I68" s="4">
        <v>336844000000</v>
      </c>
      <c r="J68" s="4">
        <v>337218000000</v>
      </c>
      <c r="K68" s="4">
        <v>339665000000</v>
      </c>
      <c r="L68" s="4">
        <v>341415000000</v>
      </c>
      <c r="M68" s="4">
        <v>343305000000</v>
      </c>
      <c r="N68" s="4">
        <v>345380000000</v>
      </c>
      <c r="O68" s="4">
        <v>347311000000</v>
      </c>
    </row>
    <row r="69" spans="1:15" x14ac:dyDescent="0.45">
      <c r="A69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45">
      <c r="A70" t="s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45">
      <c r="A71" t="s">
        <v>67</v>
      </c>
      <c r="B71" s="4">
        <v>333915000000</v>
      </c>
      <c r="C71" s="4">
        <v>336880000000</v>
      </c>
      <c r="D71" s="4">
        <v>339319000000</v>
      </c>
      <c r="E71" s="4">
        <v>338034000000</v>
      </c>
      <c r="F71" s="4">
        <v>337134000000</v>
      </c>
      <c r="G71" s="4">
        <v>336549000000</v>
      </c>
      <c r="H71" s="4">
        <v>336611000000</v>
      </c>
      <c r="I71" s="4">
        <v>336844000000</v>
      </c>
      <c r="J71" s="4">
        <v>337218000000</v>
      </c>
      <c r="K71" s="4">
        <v>339665000000</v>
      </c>
      <c r="L71" s="4">
        <v>341415000000</v>
      </c>
      <c r="M71" s="4">
        <v>343305000000</v>
      </c>
      <c r="N71" s="4">
        <v>345380000000</v>
      </c>
      <c r="O71" s="4">
        <v>347311000000</v>
      </c>
    </row>
    <row r="72" spans="1:15" x14ac:dyDescent="0.45">
      <c r="A72" t="s">
        <v>68</v>
      </c>
      <c r="B72" s="4">
        <v>14906900000000</v>
      </c>
      <c r="C72" s="4">
        <v>15411500000000</v>
      </c>
      <c r="D72" s="4">
        <v>15887200000000</v>
      </c>
      <c r="E72" s="4">
        <v>16083100000000</v>
      </c>
      <c r="F72" s="4">
        <v>16383200000000</v>
      </c>
      <c r="G72" s="4">
        <v>16687600000000</v>
      </c>
      <c r="H72" s="4">
        <v>16922500000000</v>
      </c>
      <c r="I72" s="4">
        <v>17250800000000</v>
      </c>
      <c r="J72" s="4">
        <v>17219600000000</v>
      </c>
      <c r="K72" s="4">
        <v>17384400000000</v>
      </c>
      <c r="L72" s="4">
        <v>17424600000000</v>
      </c>
      <c r="M72" s="4">
        <v>17472600000000</v>
      </c>
      <c r="N72" s="4">
        <v>17530700000000</v>
      </c>
      <c r="O72" s="4">
        <v>17668700000000</v>
      </c>
    </row>
    <row r="73" spans="1:15" x14ac:dyDescent="0.45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45">
      <c r="A74" t="s">
        <v>70</v>
      </c>
      <c r="B74" s="4">
        <v>38161700000000</v>
      </c>
      <c r="C74" s="4">
        <v>37936100000000</v>
      </c>
      <c r="D74" s="4">
        <v>37658600000000</v>
      </c>
      <c r="E74" s="4">
        <v>36885200000000</v>
      </c>
      <c r="F74" s="4">
        <v>36270300000000</v>
      </c>
      <c r="G74" s="4">
        <v>35612700000000</v>
      </c>
      <c r="H74" s="4">
        <v>35132600000000</v>
      </c>
      <c r="I74" s="4">
        <v>34683100000000</v>
      </c>
      <c r="J74" s="4">
        <v>34170200000000</v>
      </c>
      <c r="K74" s="4">
        <v>33966500000000</v>
      </c>
      <c r="L74" s="4">
        <v>33610800000000</v>
      </c>
      <c r="M74" s="4">
        <v>33364700000000</v>
      </c>
      <c r="N74" s="4">
        <v>33142600000000</v>
      </c>
      <c r="O74" s="4">
        <v>32825600000000</v>
      </c>
    </row>
    <row r="75" spans="1:15" x14ac:dyDescent="0.45">
      <c r="A75" t="s">
        <v>71</v>
      </c>
      <c r="B75" s="4">
        <v>21565300000000</v>
      </c>
      <c r="C75" s="4">
        <v>22129400000000</v>
      </c>
      <c r="D75" s="4">
        <v>22654000000000</v>
      </c>
      <c r="E75" s="4">
        <v>22824600000000</v>
      </c>
      <c r="F75" s="4">
        <v>23107000000000</v>
      </c>
      <c r="G75" s="4">
        <v>23400000000000</v>
      </c>
      <c r="H75" s="4">
        <v>23636300000000</v>
      </c>
      <c r="I75" s="4">
        <v>23969500000000</v>
      </c>
      <c r="J75" s="4">
        <v>23946100000000</v>
      </c>
      <c r="K75" s="4">
        <v>24159900000000</v>
      </c>
      <c r="L75" s="4">
        <v>24235200000000</v>
      </c>
      <c r="M75" s="4">
        <v>24321100000000</v>
      </c>
      <c r="N75" s="4">
        <v>24420800000000</v>
      </c>
      <c r="O75" s="4">
        <v>24597600000000</v>
      </c>
    </row>
    <row r="76" spans="1:15" x14ac:dyDescent="0.45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45">
      <c r="A77" t="s">
        <v>73</v>
      </c>
      <c r="B77" s="4">
        <v>241492000000000</v>
      </c>
      <c r="C77" s="4">
        <v>241052000000000</v>
      </c>
      <c r="D77" s="4">
        <v>239289000000000</v>
      </c>
      <c r="E77" s="4">
        <v>235950000000000</v>
      </c>
      <c r="F77" s="4">
        <v>232964000000000</v>
      </c>
      <c r="G77" s="4">
        <v>230271000000000</v>
      </c>
      <c r="H77" s="4">
        <v>228086000000000</v>
      </c>
      <c r="I77" s="4">
        <v>226076000000000</v>
      </c>
      <c r="J77" s="4">
        <v>224214000000000</v>
      </c>
      <c r="K77" s="4">
        <v>223769000000000</v>
      </c>
      <c r="L77" s="4">
        <v>222893000000000</v>
      </c>
      <c r="M77" s="4">
        <v>221261000000000</v>
      </c>
      <c r="N77" s="4">
        <v>220660000000000</v>
      </c>
      <c r="O77" s="4">
        <v>219992000000000</v>
      </c>
    </row>
    <row r="78" spans="1:15" x14ac:dyDescent="0.45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45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45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45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45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45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45">
      <c r="A84" t="s">
        <v>56</v>
      </c>
      <c r="B84">
        <v>0</v>
      </c>
      <c r="C84">
        <v>0</v>
      </c>
      <c r="D84">
        <v>0</v>
      </c>
      <c r="E84" s="4">
        <v>28576700000</v>
      </c>
      <c r="F84" s="4">
        <v>55374000000</v>
      </c>
      <c r="G84" s="4">
        <v>80853200000</v>
      </c>
      <c r="H84" s="4">
        <v>105147000000</v>
      </c>
      <c r="I84" s="4">
        <v>128266000000</v>
      </c>
      <c r="J84" s="4">
        <v>149694000000</v>
      </c>
      <c r="K84" s="4">
        <v>171559000000</v>
      </c>
      <c r="L84" s="4">
        <v>192209000000</v>
      </c>
      <c r="M84" s="4">
        <v>211203000000</v>
      </c>
      <c r="N84" s="4">
        <v>230254000000</v>
      </c>
      <c r="O84" s="4">
        <v>248401000000</v>
      </c>
    </row>
    <row r="85" spans="1:15" x14ac:dyDescent="0.45">
      <c r="A85" t="s">
        <v>57</v>
      </c>
      <c r="B85">
        <v>0</v>
      </c>
      <c r="C85">
        <v>0</v>
      </c>
      <c r="D85">
        <v>0</v>
      </c>
      <c r="E85" s="4">
        <v>4118400000000</v>
      </c>
      <c r="F85" s="4">
        <v>7954850000000</v>
      </c>
      <c r="G85" s="4">
        <v>11563500000000</v>
      </c>
      <c r="H85" s="4">
        <v>14969400000000</v>
      </c>
      <c r="I85" s="4">
        <v>18175200000000</v>
      </c>
      <c r="J85" s="4">
        <v>21544100000000</v>
      </c>
      <c r="K85" s="4">
        <v>24916900000000</v>
      </c>
      <c r="L85" s="4">
        <v>28252400000000</v>
      </c>
      <c r="M85" s="4">
        <v>31465000000000</v>
      </c>
      <c r="N85" s="4">
        <v>34728300000000</v>
      </c>
      <c r="O85" s="4">
        <v>37935700000000</v>
      </c>
    </row>
    <row r="86" spans="1:15" x14ac:dyDescent="0.45">
      <c r="A86" t="s">
        <v>58</v>
      </c>
      <c r="B86">
        <v>0</v>
      </c>
      <c r="C86">
        <v>0</v>
      </c>
      <c r="D86">
        <v>0</v>
      </c>
      <c r="E86" s="4">
        <v>219578000000</v>
      </c>
      <c r="F86" s="4">
        <v>427703000000</v>
      </c>
      <c r="G86" s="4">
        <v>625468000000</v>
      </c>
      <c r="H86" s="4">
        <v>810675000000</v>
      </c>
      <c r="I86" s="4">
        <v>985522000000</v>
      </c>
      <c r="J86" s="4">
        <v>1179940000000</v>
      </c>
      <c r="K86" s="4">
        <v>1375190000000</v>
      </c>
      <c r="L86" s="4">
        <v>1567000000000</v>
      </c>
      <c r="M86" s="4">
        <v>1758590000000</v>
      </c>
      <c r="N86" s="4">
        <v>1950500000000</v>
      </c>
      <c r="O86" s="4">
        <v>2141030000000</v>
      </c>
    </row>
    <row r="87" spans="1:15" x14ac:dyDescent="0.45">
      <c r="A87" t="s">
        <v>59</v>
      </c>
      <c r="B87">
        <v>0</v>
      </c>
      <c r="C87">
        <v>0</v>
      </c>
      <c r="D87">
        <v>0</v>
      </c>
      <c r="E87" s="4">
        <v>695505000000</v>
      </c>
      <c r="F87" s="4">
        <v>1365760000000</v>
      </c>
      <c r="G87" s="4">
        <v>2010650000000</v>
      </c>
      <c r="H87" s="4">
        <v>2636700000000</v>
      </c>
      <c r="I87" s="4">
        <v>3233900000000</v>
      </c>
      <c r="J87" s="4">
        <v>3874420000000</v>
      </c>
      <c r="K87" s="4">
        <v>4513630000000</v>
      </c>
      <c r="L87" s="4">
        <v>5141010000000</v>
      </c>
      <c r="M87" s="4">
        <v>5767150000000</v>
      </c>
      <c r="N87" s="4">
        <v>6403330000000</v>
      </c>
      <c r="O87" s="4">
        <v>7015500000000</v>
      </c>
    </row>
    <row r="88" spans="1:15" x14ac:dyDescent="0.45">
      <c r="A88" t="s">
        <v>60</v>
      </c>
      <c r="B88">
        <v>0</v>
      </c>
      <c r="C88">
        <v>0</v>
      </c>
      <c r="D88">
        <v>0</v>
      </c>
      <c r="E88" s="4">
        <v>24164100000</v>
      </c>
      <c r="F88" s="4">
        <v>38431200000</v>
      </c>
      <c r="G88" s="4">
        <v>53393600000</v>
      </c>
      <c r="H88" s="4">
        <v>66619800000</v>
      </c>
      <c r="I88" s="4">
        <v>75771300000</v>
      </c>
      <c r="J88" s="4">
        <v>81597700000</v>
      </c>
      <c r="K88" s="4">
        <v>86460200000</v>
      </c>
      <c r="L88" s="4">
        <v>89543100000</v>
      </c>
      <c r="M88" s="4">
        <v>89653700000</v>
      </c>
      <c r="N88" s="4">
        <v>88581100000</v>
      </c>
      <c r="O88" s="4">
        <v>85225400000</v>
      </c>
    </row>
    <row r="89" spans="1:15" x14ac:dyDescent="0.45">
      <c r="A89" t="s">
        <v>61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45">
      <c r="A90" t="s">
        <v>62</v>
      </c>
      <c r="B90">
        <v>0</v>
      </c>
      <c r="C90">
        <v>0</v>
      </c>
      <c r="D90">
        <v>0</v>
      </c>
      <c r="E90" s="4">
        <v>125023000000</v>
      </c>
      <c r="F90" s="4">
        <v>243811000000</v>
      </c>
      <c r="G90" s="4">
        <v>356974000000</v>
      </c>
      <c r="H90" s="4">
        <v>461523000000</v>
      </c>
      <c r="I90" s="4">
        <v>559618000000</v>
      </c>
      <c r="J90" s="4">
        <v>663348000000</v>
      </c>
      <c r="K90" s="4">
        <v>769292000000</v>
      </c>
      <c r="L90" s="4">
        <v>872274000000</v>
      </c>
      <c r="M90" s="4">
        <v>982742000000</v>
      </c>
      <c r="N90" s="4">
        <v>1084670000000</v>
      </c>
      <c r="O90" s="4">
        <v>1184840000000</v>
      </c>
    </row>
    <row r="91" spans="1:15" x14ac:dyDescent="0.45">
      <c r="A91" t="s">
        <v>63</v>
      </c>
      <c r="B91">
        <v>0</v>
      </c>
      <c r="C91">
        <v>0</v>
      </c>
      <c r="D91">
        <v>0</v>
      </c>
      <c r="E91" s="4">
        <v>2500460000000</v>
      </c>
      <c r="F91" s="4">
        <v>4834900000000</v>
      </c>
      <c r="G91" s="4">
        <v>7047960000000</v>
      </c>
      <c r="H91" s="4">
        <v>9150190000000</v>
      </c>
      <c r="I91" s="4">
        <v>11142800000000</v>
      </c>
      <c r="J91" s="4">
        <v>13149600000000</v>
      </c>
      <c r="K91" s="4">
        <v>15181600000000</v>
      </c>
      <c r="L91" s="4">
        <v>17136700000000</v>
      </c>
      <c r="M91" s="4">
        <v>19051400000000</v>
      </c>
      <c r="N91" s="4">
        <v>20932200000000</v>
      </c>
      <c r="O91" s="4">
        <v>22761400000000</v>
      </c>
    </row>
    <row r="93" spans="1:15" x14ac:dyDescent="0.45">
      <c r="A93" t="s">
        <v>99</v>
      </c>
    </row>
    <row r="95" spans="1:15" x14ac:dyDescent="0.45">
      <c r="B95" s="19" t="s">
        <v>81</v>
      </c>
      <c r="C95" s="19" t="s">
        <v>82</v>
      </c>
      <c r="D95" s="19" t="s">
        <v>83</v>
      </c>
      <c r="E95" s="19" t="s">
        <v>84</v>
      </c>
      <c r="F95" s="19" t="s">
        <v>85</v>
      </c>
      <c r="G95" s="19" t="s">
        <v>86</v>
      </c>
    </row>
    <row r="96" spans="1:15" x14ac:dyDescent="0.45">
      <c r="A96" t="s">
        <v>87</v>
      </c>
      <c r="B96">
        <v>0</v>
      </c>
      <c r="C96" s="20">
        <v>0.10052890674513719</v>
      </c>
      <c r="D96" s="20">
        <v>5.358834835786435E-2</v>
      </c>
      <c r="E96" s="20">
        <v>0</v>
      </c>
      <c r="F96" s="20">
        <v>7.4859198775265007E-2</v>
      </c>
      <c r="G96">
        <v>7.9616903470727876E-2</v>
      </c>
    </row>
    <row r="97" spans="1:24" x14ac:dyDescent="0.45">
      <c r="A97" t="s">
        <v>88</v>
      </c>
      <c r="B97">
        <v>0</v>
      </c>
      <c r="C97" s="20">
        <v>4.4418685147442677E-7</v>
      </c>
      <c r="D97" s="20">
        <v>2.2927640036730946E-6</v>
      </c>
      <c r="E97" s="20">
        <v>0</v>
      </c>
      <c r="F97" s="20">
        <v>7.4799825302081826E-7</v>
      </c>
      <c r="G97" s="20">
        <v>2.2927640036730946E-6</v>
      </c>
    </row>
    <row r="98" spans="1:24" x14ac:dyDescent="0.45">
      <c r="A98" t="s">
        <v>89</v>
      </c>
      <c r="B98">
        <v>0</v>
      </c>
      <c r="C98" s="20">
        <v>2.2564999961601792E-5</v>
      </c>
      <c r="D98" s="20">
        <v>2.0048145087236E-5</v>
      </c>
      <c r="E98" s="20">
        <v>0</v>
      </c>
      <c r="F98" s="20">
        <v>1.9510599432231768E-5</v>
      </c>
      <c r="G98" s="20">
        <v>2.0048145087236E-5</v>
      </c>
    </row>
    <row r="99" spans="1:24" x14ac:dyDescent="0.45">
      <c r="A99" t="s">
        <v>90</v>
      </c>
      <c r="B99">
        <v>0</v>
      </c>
      <c r="C99" s="20">
        <v>1.1457409823848689E-4</v>
      </c>
      <c r="D99" s="20">
        <v>3.2856932966023873E-5</v>
      </c>
      <c r="E99" s="20">
        <v>0</v>
      </c>
      <c r="F99" s="20">
        <v>5.035898238462659E-5</v>
      </c>
      <c r="G99" s="20">
        <v>3.2856932966023873E-5</v>
      </c>
    </row>
    <row r="100" spans="1:24" x14ac:dyDescent="0.45">
      <c r="A100" t="s">
        <v>91</v>
      </c>
      <c r="B100">
        <v>0</v>
      </c>
      <c r="C100" s="20">
        <v>2.5088763131325774E-6</v>
      </c>
      <c r="D100" s="20">
        <v>3.1656391184573004E-6</v>
      </c>
      <c r="E100" s="20">
        <v>0</v>
      </c>
      <c r="F100" s="20">
        <v>7.5940522637938562E-6</v>
      </c>
      <c r="G100" s="20">
        <v>3.1656391184573004E-6</v>
      </c>
    </row>
    <row r="101" spans="1:24" x14ac:dyDescent="0.45">
      <c r="A101" t="s">
        <v>92</v>
      </c>
      <c r="B101">
        <v>0</v>
      </c>
      <c r="C101" s="20">
        <v>2.374816413451271E-6</v>
      </c>
      <c r="D101" s="20">
        <v>3.1656391184573004E-6</v>
      </c>
      <c r="E101" s="20">
        <v>0</v>
      </c>
      <c r="F101" s="20">
        <v>5.1172430484786721E-6</v>
      </c>
      <c r="G101" s="20">
        <v>3.1656391184573004E-6</v>
      </c>
    </row>
    <row r="102" spans="1:24" x14ac:dyDescent="0.45">
      <c r="A102" t="s">
        <v>93</v>
      </c>
      <c r="B102">
        <v>0</v>
      </c>
      <c r="C102" s="20">
        <v>5.1281595897533969E-4</v>
      </c>
      <c r="D102" s="20">
        <v>2.4242424242424244E-7</v>
      </c>
      <c r="E102" s="20">
        <v>0</v>
      </c>
      <c r="F102" s="20">
        <v>5.0716261464550878E-7</v>
      </c>
      <c r="G102" s="20">
        <v>2.4242424242424244E-7</v>
      </c>
    </row>
    <row r="103" spans="1:24" x14ac:dyDescent="0.45">
      <c r="A103" t="s">
        <v>94</v>
      </c>
      <c r="B103">
        <v>0</v>
      </c>
      <c r="C103" s="20">
        <v>1.0211710577840467E-7</v>
      </c>
      <c r="D103" s="20">
        <v>5.2233045454545449E-7</v>
      </c>
      <c r="E103" s="20">
        <v>0</v>
      </c>
      <c r="F103" s="20">
        <v>5.1172430484786725E-7</v>
      </c>
      <c r="G103" s="20">
        <v>5.2233045454545449E-7</v>
      </c>
    </row>
    <row r="104" spans="1:24" x14ac:dyDescent="0.45">
      <c r="A104" t="s">
        <v>95</v>
      </c>
      <c r="B104">
        <v>0</v>
      </c>
      <c r="C104" s="20">
        <v>1.9236012948955296E-7</v>
      </c>
      <c r="D104" s="20">
        <v>1.3548935426997242E-6</v>
      </c>
      <c r="E104" s="20">
        <v>0</v>
      </c>
      <c r="F104" s="20">
        <v>1.279310762119668E-6</v>
      </c>
      <c r="G104" s="20">
        <v>1.3548935426997242E-6</v>
      </c>
    </row>
    <row r="105" spans="1:24" x14ac:dyDescent="0.45">
      <c r="A105" t="s">
        <v>96</v>
      </c>
      <c r="B105">
        <v>0</v>
      </c>
      <c r="C105" s="20">
        <v>9.7988810012329395E-6</v>
      </c>
      <c r="D105" s="4">
        <v>9.5682277318640952E-7</v>
      </c>
      <c r="E105" s="20">
        <v>0</v>
      </c>
      <c r="F105" s="20">
        <v>9.6734687017290841E-6</v>
      </c>
      <c r="G105">
        <v>2.3828336905728567E-6</v>
      </c>
    </row>
    <row r="106" spans="1:24" x14ac:dyDescent="0.45">
      <c r="A106" t="s">
        <v>97</v>
      </c>
      <c r="B106">
        <v>0</v>
      </c>
      <c r="C106" s="20">
        <v>1.7612431994078765E-6</v>
      </c>
      <c r="D106" s="20">
        <v>6.769972451790634E-7</v>
      </c>
      <c r="E106" s="20">
        <v>0</v>
      </c>
      <c r="F106" s="20">
        <v>6.2124980578760926E-7</v>
      </c>
      <c r="G106">
        <v>5.4048733103521968E-7</v>
      </c>
    </row>
    <row r="107" spans="1:24" x14ac:dyDescent="0.45">
      <c r="A107" t="s">
        <v>98</v>
      </c>
      <c r="B107">
        <v>0</v>
      </c>
      <c r="C107">
        <v>0</v>
      </c>
      <c r="D107">
        <v>0</v>
      </c>
      <c r="E107" s="20">
        <v>0</v>
      </c>
      <c r="F107">
        <v>0</v>
      </c>
      <c r="G107">
        <v>0</v>
      </c>
    </row>
    <row r="109" spans="1:24" x14ac:dyDescent="0.45">
      <c r="B109">
        <v>2017</v>
      </c>
      <c r="C109">
        <v>2018</v>
      </c>
      <c r="D109">
        <v>2019</v>
      </c>
      <c r="E109">
        <v>2020</v>
      </c>
      <c r="F109">
        <v>2021</v>
      </c>
      <c r="G109">
        <v>2022</v>
      </c>
      <c r="H109">
        <v>2023</v>
      </c>
      <c r="I109">
        <v>2024</v>
      </c>
      <c r="J109">
        <v>2025</v>
      </c>
      <c r="K109">
        <v>2026</v>
      </c>
      <c r="L109">
        <v>2027</v>
      </c>
      <c r="M109">
        <v>2028</v>
      </c>
      <c r="N109">
        <v>2029</v>
      </c>
      <c r="O109">
        <v>2030</v>
      </c>
    </row>
    <row r="110" spans="1:24" x14ac:dyDescent="0.45">
      <c r="A110" t="s">
        <v>110</v>
      </c>
      <c r="B110" s="4">
        <v>4852749149959.1768</v>
      </c>
      <c r="C110" s="4">
        <v>4821351060563.3213</v>
      </c>
      <c r="D110" s="4">
        <v>4789952971167.4658</v>
      </c>
      <c r="E110" s="4">
        <v>4758554881771.6104</v>
      </c>
      <c r="F110" s="4">
        <v>4727156792375.7559</v>
      </c>
      <c r="G110" s="4">
        <v>4695758702979.9023</v>
      </c>
      <c r="H110" s="4">
        <v>4664360613584.0547</v>
      </c>
      <c r="I110" s="4">
        <v>4632962524188.2002</v>
      </c>
      <c r="J110" s="4">
        <v>4601564434792.3457</v>
      </c>
      <c r="K110" s="4">
        <v>4570166345396.4893</v>
      </c>
      <c r="L110" s="4">
        <v>4538768256000.6348</v>
      </c>
      <c r="M110" s="4">
        <v>4507370166604.7793</v>
      </c>
      <c r="N110" s="4">
        <v>4475972077208.9248</v>
      </c>
      <c r="O110" s="4">
        <v>4418990359416.4561</v>
      </c>
      <c r="P110" s="4"/>
      <c r="Q110" s="4"/>
      <c r="R110" s="4"/>
      <c r="S110" s="4"/>
      <c r="T110" s="4"/>
      <c r="U110" s="4"/>
      <c r="V110" s="4"/>
      <c r="W110" s="4"/>
      <c r="X110" s="4"/>
    </row>
    <row r="113" spans="1:43" x14ac:dyDescent="0.45">
      <c r="A113" s="6" t="s">
        <v>18</v>
      </c>
      <c r="H113" s="4"/>
      <c r="I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 x14ac:dyDescent="0.45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3" x14ac:dyDescent="0.45">
      <c r="A115" s="9" t="s">
        <v>9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3" x14ac:dyDescent="0.45">
      <c r="A116" s="9" t="s">
        <v>10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3" x14ac:dyDescent="0.45">
      <c r="A117" s="9" t="s">
        <v>11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x14ac:dyDescent="0.45">
      <c r="A118" s="10" t="s">
        <v>12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x14ac:dyDescent="0.45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x14ac:dyDescent="0.45">
      <c r="A120" s="9" t="s">
        <v>38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x14ac:dyDescent="0.45">
      <c r="A121" t="s">
        <v>168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x14ac:dyDescent="0.45">
      <c r="A122" t="s">
        <v>167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x14ac:dyDescent="0.45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x14ac:dyDescent="0.45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x14ac:dyDescent="0.45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x14ac:dyDescent="0.45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x14ac:dyDescent="0.45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x14ac:dyDescent="0.45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8:43" x14ac:dyDescent="0.45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8:43" x14ac:dyDescent="0.45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8:43" x14ac:dyDescent="0.45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8:43" x14ac:dyDescent="0.45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8:43" x14ac:dyDescent="0.45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8:43" x14ac:dyDescent="0.45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8:43" x14ac:dyDescent="0.4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8:43" x14ac:dyDescent="0.45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8:43" x14ac:dyDescent="0.45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8:43" x14ac:dyDescent="0.45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8:43" x14ac:dyDescent="0.45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8:43" x14ac:dyDescent="0.45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8:43" x14ac:dyDescent="0.45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8:43" x14ac:dyDescent="0.45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8:43" x14ac:dyDescent="0.45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8:43" x14ac:dyDescent="0.45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8:43" x14ac:dyDescent="0.45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8:43" x14ac:dyDescent="0.45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8:43" x14ac:dyDescent="0.45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8:43" x14ac:dyDescent="0.45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</sheetData>
  <hyperlinks>
    <hyperlink ref="A11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CSA-BTCS</vt:lpstr>
      <vt:lpstr>CSA-ACP</vt:lpstr>
      <vt:lpstr>BAU CCS</vt:lpstr>
      <vt:lpstr>Additional potential cals</vt:lpstr>
      <vt:lpstr>Capture efficiency</vt:lpstr>
      <vt:lpstr>Separate Refineries-OGE in NGPS</vt:lpstr>
      <vt:lpstr>EI Scenario before CCS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2014-08-19T22:24:38Z</dcterms:created>
  <dcterms:modified xsi:type="dcterms:W3CDTF">2020-01-14T18:11:42Z</dcterms:modified>
</cp:coreProperties>
</file>