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23" yWindow="3810" windowWidth="12878" windowHeight="3413" activeTab="1"/>
  </bookViews>
  <sheets>
    <sheet name="About" sheetId="1" r:id="rId1"/>
    <sheet name="BRPSPTY" sheetId="2" r:id="rId2"/>
    <sheet name="SB100 RPS and sales adjustment" sheetId="5" r:id="rId3"/>
    <sheet name="Account for imports+small hydro" sheetId="10" r:id="rId4"/>
    <sheet name="IRP-2019-2020" sheetId="21" r:id="rId5"/>
    <sheet name="IRP excerpts" sheetId="17" r:id="rId6"/>
    <sheet name="EIA-CHP Table 10" sheetId="13" r:id="rId7"/>
    <sheet name="CAISO 2017 load" sheetId="18" r:id="rId8"/>
    <sheet name="IPER 2017" sheetId="19" r:id="rId9"/>
    <sheet name="CHP time series" sheetId="14" r:id="rId10"/>
    <sheet name="CHP notes from the IRP" sheetId="16" r:id="rId11"/>
  </sheets>
  <calcPr calcId="145621"/>
</workbook>
</file>

<file path=xl/calcChain.xml><?xml version="1.0" encoding="utf-8"?>
<calcChain xmlns="http://schemas.openxmlformats.org/spreadsheetml/2006/main">
  <c r="O2" i="2" l="1"/>
  <c r="F31" i="5" l="1"/>
  <c r="G31" i="5" s="1"/>
  <c r="H31" i="5" l="1"/>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B19" i="5"/>
  <c r="I31" i="5" l="1"/>
  <c r="C23" i="5"/>
  <c r="C24" i="5" s="1"/>
  <c r="D23" i="5"/>
  <c r="D24" i="5" s="1"/>
  <c r="E23" i="5"/>
  <c r="E24" i="5" s="1"/>
  <c r="F23" i="5"/>
  <c r="F24" i="5" s="1"/>
  <c r="G23" i="5"/>
  <c r="G24" i="5" s="1"/>
  <c r="H23" i="5"/>
  <c r="H24" i="5" s="1"/>
  <c r="I23" i="5"/>
  <c r="I24" i="5" s="1"/>
  <c r="J23" i="5"/>
  <c r="J24" i="5" s="1"/>
  <c r="K23" i="5"/>
  <c r="K24" i="5" s="1"/>
  <c r="L23" i="5"/>
  <c r="L24" i="5" s="1"/>
  <c r="M23" i="5"/>
  <c r="M24" i="5" s="1"/>
  <c r="N23" i="5"/>
  <c r="N24" i="5" s="1"/>
  <c r="O23" i="5"/>
  <c r="O24" i="5" s="1"/>
  <c r="P23" i="5"/>
  <c r="P24" i="5" s="1"/>
  <c r="Q23" i="5"/>
  <c r="Q24" i="5" s="1"/>
  <c r="R23" i="5"/>
  <c r="R24" i="5" s="1"/>
  <c r="S23" i="5"/>
  <c r="S24" i="5" s="1"/>
  <c r="T23" i="5"/>
  <c r="T24" i="5" s="1"/>
  <c r="U23" i="5"/>
  <c r="U24" i="5" s="1"/>
  <c r="V23" i="5"/>
  <c r="V24" i="5" s="1"/>
  <c r="W23" i="5"/>
  <c r="W24" i="5" s="1"/>
  <c r="X23" i="5"/>
  <c r="X24" i="5" s="1"/>
  <c r="Y23" i="5"/>
  <c r="Y24" i="5" s="1"/>
  <c r="Z23" i="5"/>
  <c r="Z24" i="5" s="1"/>
  <c r="AA23" i="5"/>
  <c r="AA24" i="5" s="1"/>
  <c r="AB23" i="5"/>
  <c r="AB24" i="5" s="1"/>
  <c r="AC23" i="5"/>
  <c r="AC24" i="5" s="1"/>
  <c r="AD23" i="5"/>
  <c r="AD24" i="5" s="1"/>
  <c r="AE23" i="5"/>
  <c r="AE24" i="5" s="1"/>
  <c r="AF23" i="5"/>
  <c r="AF24" i="5" s="1"/>
  <c r="AG23" i="5"/>
  <c r="AG24" i="5" s="1"/>
  <c r="AH23" i="5"/>
  <c r="AH24" i="5" s="1"/>
  <c r="AI23" i="5"/>
  <c r="AI24" i="5" s="1"/>
  <c r="B23" i="5"/>
  <c r="B24" i="5" s="1"/>
  <c r="B36" i="13"/>
  <c r="J31" i="5" l="1"/>
  <c r="P41" i="5"/>
  <c r="P42" i="5" s="1"/>
  <c r="K31" i="5" l="1"/>
  <c r="Q41" i="5"/>
  <c r="R41" i="5" s="1"/>
  <c r="S41" i="5" s="1"/>
  <c r="T41" i="5" s="1"/>
  <c r="U41" i="5" s="1"/>
  <c r="V41" i="5" s="1"/>
  <c r="W41" i="5" s="1"/>
  <c r="X41" i="5" s="1"/>
  <c r="Y41" i="5" s="1"/>
  <c r="Z41" i="5" s="1"/>
  <c r="AA41" i="5" s="1"/>
  <c r="AB41" i="5" s="1"/>
  <c r="AC41" i="5" s="1"/>
  <c r="AC42" i="5" s="1"/>
  <c r="L31" i="5" l="1"/>
  <c r="AB42" i="5"/>
  <c r="U42" i="5"/>
  <c r="R42" i="5"/>
  <c r="S42" i="5"/>
  <c r="AA42" i="5"/>
  <c r="Z42" i="5"/>
  <c r="T42" i="5"/>
  <c r="Q42" i="5"/>
  <c r="AD42" i="5"/>
  <c r="X42" i="5"/>
  <c r="Y42" i="5"/>
  <c r="V42" i="5"/>
  <c r="W42" i="5"/>
  <c r="D21" i="14"/>
  <c r="E21" i="14" s="1"/>
  <c r="F21" i="14" s="1"/>
  <c r="G21" i="14" s="1"/>
  <c r="H21" i="14" s="1"/>
  <c r="I21" i="14" s="1"/>
  <c r="J21" i="14" s="1"/>
  <c r="K21" i="14" s="1"/>
  <c r="L21" i="14" s="1"/>
  <c r="M21" i="14" s="1"/>
  <c r="N21" i="14" s="1"/>
  <c r="C21" i="14"/>
  <c r="M31" i="5" l="1"/>
  <c r="B43" i="17"/>
  <c r="B44" i="17" s="1"/>
  <c r="O21" i="14"/>
  <c r="O20" i="14"/>
  <c r="D20" i="14"/>
  <c r="E20" i="14" s="1"/>
  <c r="F20" i="14" s="1"/>
  <c r="G20" i="14" s="1"/>
  <c r="H20" i="14" s="1"/>
  <c r="I20" i="14" s="1"/>
  <c r="J20" i="14" s="1"/>
  <c r="K20" i="14" s="1"/>
  <c r="L20" i="14" s="1"/>
  <c r="M20" i="14" s="1"/>
  <c r="N20" i="14" s="1"/>
  <c r="C20" i="14"/>
  <c r="B18" i="14"/>
  <c r="B13" i="14"/>
  <c r="B11" i="14"/>
  <c r="A17" i="14"/>
  <c r="B17" i="14"/>
  <c r="L3" i="16"/>
  <c r="L4" i="16" s="1"/>
  <c r="A28" i="14"/>
  <c r="B28" i="14"/>
  <c r="A10" i="14"/>
  <c r="B10" i="14"/>
  <c r="A12" i="14"/>
  <c r="B12" i="14"/>
  <c r="A6" i="14"/>
  <c r="B6" i="14"/>
  <c r="A5" i="14"/>
  <c r="B5" i="14"/>
  <c r="A4" i="14"/>
  <c r="B4" i="14"/>
  <c r="B29" i="14"/>
  <c r="B30" i="14"/>
  <c r="N31" i="5" l="1"/>
  <c r="B15" i="14"/>
  <c r="C42" i="10" l="1"/>
  <c r="C48" i="10" s="1"/>
  <c r="C49" i="10" s="1"/>
  <c r="D42" i="10"/>
  <c r="D48" i="10" s="1"/>
  <c r="D49" i="10" s="1"/>
  <c r="E42" i="10"/>
  <c r="E48" i="10" s="1"/>
  <c r="E49" i="10" s="1"/>
  <c r="F42" i="10"/>
  <c r="F48" i="10" s="1"/>
  <c r="F49" i="10" s="1"/>
  <c r="G42" i="10"/>
  <c r="G48" i="10" s="1"/>
  <c r="G49" i="10" s="1"/>
  <c r="H42" i="10"/>
  <c r="H48" i="10" s="1"/>
  <c r="H49" i="10" s="1"/>
  <c r="I42" i="10"/>
  <c r="I48" i="10" s="1"/>
  <c r="I49" i="10" s="1"/>
  <c r="J42" i="10"/>
  <c r="J48" i="10" s="1"/>
  <c r="J49" i="10" s="1"/>
  <c r="K42" i="10"/>
  <c r="K48" i="10" s="1"/>
  <c r="K49" i="10" s="1"/>
  <c r="L42" i="10"/>
  <c r="L48" i="10" s="1"/>
  <c r="L49" i="10" s="1"/>
  <c r="M42" i="10"/>
  <c r="M48" i="10" s="1"/>
  <c r="M49" i="10" s="1"/>
  <c r="N42" i="10"/>
  <c r="N48" i="10" s="1"/>
  <c r="N49" i="10" s="1"/>
  <c r="O42" i="10"/>
  <c r="O48" i="10" s="1"/>
  <c r="O49" i="10" s="1"/>
  <c r="P42" i="10"/>
  <c r="P48" i="10" s="1"/>
  <c r="P49" i="10" s="1"/>
  <c r="Q42" i="10"/>
  <c r="Q48" i="10" s="1"/>
  <c r="Q49" i="10" s="1"/>
  <c r="R42" i="10"/>
  <c r="R48" i="10" s="1"/>
  <c r="R49" i="10" s="1"/>
  <c r="S42" i="10"/>
  <c r="S48" i="10" s="1"/>
  <c r="S49" i="10" s="1"/>
  <c r="T42" i="10"/>
  <c r="T48" i="10" s="1"/>
  <c r="T49" i="10" s="1"/>
  <c r="U42" i="10"/>
  <c r="U48" i="10" s="1"/>
  <c r="U49" i="10" s="1"/>
  <c r="V42" i="10"/>
  <c r="V48" i="10" s="1"/>
  <c r="V49" i="10" s="1"/>
  <c r="W42" i="10"/>
  <c r="W48" i="10" s="1"/>
  <c r="W49" i="10" s="1"/>
  <c r="X42" i="10"/>
  <c r="X48" i="10" s="1"/>
  <c r="X49" i="10" s="1"/>
  <c r="Y42" i="10"/>
  <c r="Y48" i="10" s="1"/>
  <c r="Y49" i="10" s="1"/>
  <c r="Z42" i="10"/>
  <c r="Z48" i="10" s="1"/>
  <c r="Z49" i="10" s="1"/>
  <c r="AA42" i="10"/>
  <c r="AA48" i="10" s="1"/>
  <c r="AA49" i="10" s="1"/>
  <c r="AB42" i="10"/>
  <c r="AB48" i="10" s="1"/>
  <c r="AB49" i="10" s="1"/>
  <c r="AC42" i="10"/>
  <c r="AC48" i="10" s="1"/>
  <c r="AC49" i="10" s="1"/>
  <c r="AD42" i="10"/>
  <c r="AD48" i="10" s="1"/>
  <c r="AD49" i="10" s="1"/>
  <c r="AE42" i="10"/>
  <c r="AE48" i="10" s="1"/>
  <c r="AE49" i="10" s="1"/>
  <c r="AF42" i="10"/>
  <c r="AF48" i="10" s="1"/>
  <c r="AF49" i="10" s="1"/>
  <c r="AG42" i="10"/>
  <c r="AG48" i="10" s="1"/>
  <c r="AG49" i="10" s="1"/>
  <c r="AH42" i="10"/>
  <c r="AH48" i="10" s="1"/>
  <c r="AH49" i="10" s="1"/>
  <c r="AI42" i="10"/>
  <c r="AI48" i="10" s="1"/>
  <c r="AI49" i="10" s="1"/>
  <c r="B42" i="10"/>
  <c r="B48" i="10" s="1"/>
  <c r="B49" i="10" s="1"/>
  <c r="C27" i="10"/>
  <c r="C34" i="10" s="1"/>
  <c r="D27" i="10"/>
  <c r="D34" i="10" s="1"/>
  <c r="E27" i="10"/>
  <c r="E34" i="10" s="1"/>
  <c r="F27" i="10"/>
  <c r="F34" i="10" s="1"/>
  <c r="G27" i="10"/>
  <c r="G34" i="10" s="1"/>
  <c r="H27" i="10"/>
  <c r="H34" i="10" s="1"/>
  <c r="I27" i="10"/>
  <c r="I34" i="10" s="1"/>
  <c r="J27" i="10"/>
  <c r="J34" i="10" s="1"/>
  <c r="K27" i="10"/>
  <c r="K34" i="10" s="1"/>
  <c r="L27" i="10"/>
  <c r="L34" i="10" s="1"/>
  <c r="M27" i="10"/>
  <c r="M34" i="10" s="1"/>
  <c r="N27" i="10"/>
  <c r="N34" i="10" s="1"/>
  <c r="O27" i="10"/>
  <c r="O34" i="10" s="1"/>
  <c r="P27" i="10"/>
  <c r="P34" i="10" s="1"/>
  <c r="Q27" i="10"/>
  <c r="Q34" i="10" s="1"/>
  <c r="R27" i="10"/>
  <c r="R34" i="10" s="1"/>
  <c r="S27" i="10"/>
  <c r="S34" i="10" s="1"/>
  <c r="T27" i="10"/>
  <c r="T34" i="10" s="1"/>
  <c r="U27" i="10"/>
  <c r="U34" i="10" s="1"/>
  <c r="V27" i="10"/>
  <c r="V34" i="10" s="1"/>
  <c r="W27" i="10"/>
  <c r="W34" i="10" s="1"/>
  <c r="X27" i="10"/>
  <c r="X34" i="10" s="1"/>
  <c r="Y27" i="10"/>
  <c r="Y34" i="10" s="1"/>
  <c r="Z27" i="10"/>
  <c r="Z34" i="10" s="1"/>
  <c r="AA27" i="10"/>
  <c r="AA34" i="10" s="1"/>
  <c r="AB27" i="10"/>
  <c r="AB34" i="10" s="1"/>
  <c r="AC27" i="10"/>
  <c r="AC34" i="10" s="1"/>
  <c r="AD27" i="10"/>
  <c r="AD34" i="10" s="1"/>
  <c r="AE27" i="10"/>
  <c r="AE34" i="10" s="1"/>
  <c r="AF27" i="10"/>
  <c r="AF34" i="10" s="1"/>
  <c r="AG27" i="10"/>
  <c r="AG34" i="10" s="1"/>
  <c r="AH27" i="10"/>
  <c r="AH34" i="10" s="1"/>
  <c r="AI27" i="10"/>
  <c r="AI34" i="10" s="1"/>
  <c r="B27" i="10"/>
  <c r="B34" i="10" s="1"/>
  <c r="AI37" i="10" l="1"/>
  <c r="AI28" i="5"/>
  <c r="S37" i="10"/>
  <c r="S28" i="5"/>
  <c r="AD37" i="10"/>
  <c r="AD28" i="5"/>
  <c r="AA37" i="10"/>
  <c r="AA28" i="5"/>
  <c r="K37" i="10"/>
  <c r="K28" i="5"/>
  <c r="G37" i="10"/>
  <c r="G28" i="5"/>
  <c r="C37" i="10"/>
  <c r="C28" i="5"/>
  <c r="W37" i="10"/>
  <c r="W28" i="5"/>
  <c r="AH37" i="10"/>
  <c r="AH28" i="5"/>
  <c r="V37" i="10"/>
  <c r="V28" i="5"/>
  <c r="R37" i="10"/>
  <c r="R28" i="5"/>
  <c r="J37" i="10"/>
  <c r="J28" i="5"/>
  <c r="F37" i="10"/>
  <c r="F28" i="5"/>
  <c r="AE37" i="10"/>
  <c r="AE28" i="5"/>
  <c r="O37" i="10"/>
  <c r="O28" i="5"/>
  <c r="Z37" i="10"/>
  <c r="Z28" i="5"/>
  <c r="N37" i="10"/>
  <c r="N28" i="5"/>
  <c r="AG37" i="10"/>
  <c r="AG28" i="5"/>
  <c r="AF37" i="10"/>
  <c r="AF28" i="5"/>
  <c r="T37" i="10"/>
  <c r="T28" i="5"/>
  <c r="B37" i="10"/>
  <c r="B28" i="5"/>
  <c r="X37" i="10"/>
  <c r="X28" i="5"/>
  <c r="AC37" i="10"/>
  <c r="AC28" i="5"/>
  <c r="U37" i="10"/>
  <c r="U28" i="5"/>
  <c r="Q37" i="10"/>
  <c r="Q28" i="5"/>
  <c r="M37" i="10"/>
  <c r="M28" i="5"/>
  <c r="I37" i="10"/>
  <c r="I28" i="5"/>
  <c r="E37" i="10"/>
  <c r="E28" i="5"/>
  <c r="Y37" i="10"/>
  <c r="Y28" i="5"/>
  <c r="AB37" i="10"/>
  <c r="AB28" i="5"/>
  <c r="P37" i="10"/>
  <c r="P28" i="5"/>
  <c r="L37" i="10"/>
  <c r="L28" i="5"/>
  <c r="H37" i="10"/>
  <c r="H28" i="5"/>
  <c r="D37" i="10"/>
  <c r="D28" i="5"/>
  <c r="L6" i="5"/>
  <c r="L9" i="5" s="1"/>
  <c r="L10" i="5" s="1"/>
  <c r="K6" i="5"/>
  <c r="K9" i="5" s="1"/>
  <c r="K10" i="5" s="1"/>
  <c r="K30" i="5" s="1"/>
  <c r="K32" i="5" s="1"/>
  <c r="C6" i="5"/>
  <c r="C9" i="5" s="1"/>
  <c r="C10" i="5" s="1"/>
  <c r="B6" i="5"/>
  <c r="B9" i="5" s="1"/>
  <c r="B10" i="5" s="1"/>
  <c r="C30" i="5" l="1"/>
  <c r="C32" i="5" s="1"/>
  <c r="L30" i="5"/>
  <c r="L32" i="5" s="1"/>
  <c r="B30" i="5"/>
  <c r="M5" i="5"/>
  <c r="J5" i="5"/>
  <c r="J6" i="5" s="1"/>
  <c r="J9" i="5" s="1"/>
  <c r="J10" i="5" s="1"/>
  <c r="J30" i="5" s="1"/>
  <c r="J32" i="5" s="1"/>
  <c r="D5" i="5"/>
  <c r="D6" i="5" s="1"/>
  <c r="D9" i="5" s="1"/>
  <c r="D10" i="5" s="1"/>
  <c r="D30" i="5" s="1"/>
  <c r="D32" i="5" s="1"/>
  <c r="B34" i="5" l="1"/>
  <c r="B32" i="5"/>
  <c r="N5" i="5"/>
  <c r="N6" i="5" s="1"/>
  <c r="N9" i="5" s="1"/>
  <c r="N10" i="5" s="1"/>
  <c r="N30" i="5" s="1"/>
  <c r="N32" i="5" s="1"/>
  <c r="M6" i="5"/>
  <c r="M9" i="5" s="1"/>
  <c r="M10" i="5" s="1"/>
  <c r="M30" i="5" s="1"/>
  <c r="M32" i="5" s="1"/>
  <c r="E5" i="5"/>
  <c r="E6" i="5" s="1"/>
  <c r="E9" i="5" s="1"/>
  <c r="E10" i="5" s="1"/>
  <c r="E30" i="5" s="1"/>
  <c r="E32" i="5" s="1"/>
  <c r="C2" i="5"/>
  <c r="D2" i="5" s="1"/>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AH2" i="5" s="1"/>
  <c r="AI2" i="5" s="1"/>
  <c r="B2" i="2" l="1"/>
  <c r="O5" i="5"/>
  <c r="O6" i="5" s="1"/>
  <c r="O9" i="5" s="1"/>
  <c r="O10" i="5" s="1"/>
  <c r="O30" i="5" s="1"/>
  <c r="O32" i="5" s="1"/>
  <c r="F5" i="5"/>
  <c r="F6" i="5" s="1"/>
  <c r="F9" i="5" s="1"/>
  <c r="F10" i="5" s="1"/>
  <c r="F30" i="5" s="1"/>
  <c r="F32" i="5" s="1"/>
  <c r="O34" i="5" l="1"/>
  <c r="P6" i="5"/>
  <c r="G5" i="5"/>
  <c r="G6" i="5" s="1"/>
  <c r="G9" i="5" s="1"/>
  <c r="G10" i="5" s="1"/>
  <c r="G30" i="5" s="1"/>
  <c r="G32" i="5" s="1"/>
  <c r="Q6" i="5" l="1"/>
  <c r="R6" i="5" s="1"/>
  <c r="AF2" i="2"/>
  <c r="AG2" i="2" s="1"/>
  <c r="AH2" i="2" s="1"/>
  <c r="AI2" i="2" s="1"/>
  <c r="O43" i="5"/>
  <c r="P43" i="5" s="1"/>
  <c r="Q43" i="5" s="1"/>
  <c r="R43" i="5" s="1"/>
  <c r="S43" i="5" s="1"/>
  <c r="T43" i="5" s="1"/>
  <c r="U43" i="5" s="1"/>
  <c r="V43" i="5" s="1"/>
  <c r="W43" i="5" s="1"/>
  <c r="X43" i="5" s="1"/>
  <c r="Y43" i="5" s="1"/>
  <c r="Z43" i="5" s="1"/>
  <c r="AA43" i="5" s="1"/>
  <c r="AB43" i="5" s="1"/>
  <c r="AC43" i="5" s="1"/>
  <c r="AD43" i="5" s="1"/>
  <c r="H5" i="5"/>
  <c r="H6" i="5" s="1"/>
  <c r="H9" i="5" s="1"/>
  <c r="H10" i="5" s="1"/>
  <c r="H30" i="5" s="1"/>
  <c r="H32" i="5" s="1"/>
  <c r="S6" i="5" l="1"/>
  <c r="I5" i="5"/>
  <c r="I6" i="5" s="1"/>
  <c r="I9" i="5" s="1"/>
  <c r="I10" i="5" s="1"/>
  <c r="I30" i="5" s="1"/>
  <c r="I32" i="5" s="1"/>
  <c r="T6" i="5" l="1"/>
  <c r="U6" i="5" l="1"/>
  <c r="V6" i="5" l="1"/>
  <c r="W6" i="5" l="1"/>
  <c r="X6" i="5" l="1"/>
  <c r="Y6" i="5" l="1"/>
  <c r="Z6" i="5" l="1"/>
  <c r="AA6" i="5" l="1"/>
  <c r="AB6" i="5" l="1"/>
  <c r="AC6" i="5" l="1"/>
  <c r="AD6" i="5" l="1"/>
  <c r="AE6" i="5" l="1"/>
  <c r="AF6" i="5" l="1"/>
  <c r="AG6" i="5" l="1"/>
  <c r="AH6" i="5" l="1"/>
  <c r="AI6" i="5" l="1"/>
  <c r="C34" i="5" l="1"/>
  <c r="D34" i="5" l="1"/>
  <c r="E34" i="5"/>
  <c r="C2" i="2"/>
  <c r="F34" i="5" l="1"/>
  <c r="E2" i="2"/>
  <c r="D2" i="2"/>
  <c r="G34" i="5" l="1"/>
  <c r="F2" i="2"/>
  <c r="H34" i="5" l="1"/>
  <c r="G2" i="2"/>
  <c r="I34" i="5" l="1"/>
  <c r="H2" i="2"/>
  <c r="J34" i="5" l="1"/>
  <c r="I2" i="2"/>
  <c r="K34" i="5" l="1"/>
  <c r="J2" i="2"/>
  <c r="L34" i="5" l="1"/>
  <c r="K2" i="2"/>
  <c r="M34" i="5" l="1"/>
  <c r="N34" i="5"/>
  <c r="L2" i="2"/>
  <c r="M2" i="2" l="1"/>
  <c r="N2" i="2"/>
</calcChain>
</file>

<file path=xl/sharedStrings.xml><?xml version="1.0" encoding="utf-8"?>
<sst xmlns="http://schemas.openxmlformats.org/spreadsheetml/2006/main" count="335" uniqueCount="206">
  <si>
    <t>BRPSPTY BAU Renewable Portfolio Std Percentage This Year</t>
  </si>
  <si>
    <t>Year</t>
  </si>
  <si>
    <t>RPS Fraction</t>
  </si>
  <si>
    <t>Sources:</t>
  </si>
  <si>
    <t>Notes</t>
  </si>
  <si>
    <t>Total System Electric Generation</t>
  </si>
  <si>
    <t>California Energy Commission</t>
  </si>
  <si>
    <t>http://www.energy.ca.gov/almanac/electricity_data/total_system_power.html</t>
  </si>
  <si>
    <t>The EPS does not account for out of state renewables or divide in-region hydro into convention and small scale hydro, so we remove the existing</t>
  </si>
  <si>
    <t>share of RPS compliance coming from out of state renewables and small scale hydro. See BAU Electricity Imports and Exports for more</t>
  </si>
  <si>
    <t>information.</t>
  </si>
  <si>
    <t>This bill would revise the above-described legislative findings and declarations to state that the goal of the program is to achieve that 50% renewable resources target by December 31, 2026, and to achieve a 60% target by December 31, 2030. The bill would require that retail sellers and local publicly owned electric utilities procure a minimum quantity of electricity products from eligible renewable energy resources so that the total kilowatthours of those products sold to their retail end-use customers achieve 44% of retail sales by December 31, 2024, 52% by December 31, 2027, and 60% by December 31, 2030.</t>
  </si>
  <si>
    <t>https://leginfo.legislature.ca.gov/faces/billNavClient.xhtml?bill_id=201720180SB100</t>
  </si>
  <si>
    <t>SB 100 (Senate Bill 100)</t>
  </si>
  <si>
    <t xml:space="preserve">Long range decarbonization targets </t>
  </si>
  <si>
    <t>requirement after transmission losses (see BAU transmission losses for details on these).</t>
  </si>
  <si>
    <t>Actual levels for 2017 and 2018</t>
  </si>
  <si>
    <t>This bill would state that it is the policy of the state that eligible renewable energy resources and zero-carbon resources supply 100% of retail sales of electricity to California end-use customers and 100% of electricity procured to serve all state agencies by December 31, 2045. The bill would require that the achievement of this policy for California not increase carbon emissions elsewhere in the western grid and that the achievement not allow resource shuffling. The bill would require the PUC and the Energy Commission, in consultation with the state board, to take steps to ensure that a transition to a zero-carbon electric system for the State of California does not cause or contribute to greenhouse gas emissions increases elsewhere in the western grid. The bill would require the PUC, Energy Commission, state board, and all other state agencies to incorporate that policy into all relevant planning. The bill would require the PUC, Energy Commission, state board, and all other state agencies to ensure actions taken in furtherance of these purposes achieve specified objectives. The bill would require the PUC, Energy Commission, and state board to utilize programs authorized under existing statutes to achieve that policy and, as part of a public process, issue a joint report to the Legislature by January 1, 2021, and every 4 years thereafter, that includes specified information relating to the implementation of the policy.</t>
  </si>
  <si>
    <t>Linear interpolation to 2030 goal</t>
  </si>
  <si>
    <t xml:space="preserve">The SB 100 legislation is purposefully vague about how exactly the 100% target will be achieved.  The precise, optimal way to achieve zero </t>
  </si>
  <si>
    <t>emissions remains under study.  The EPS model currently supports very high levels of zero carbon electricity, but the last few percentage</t>
  </si>
  <si>
    <t>This (below) was the schedule under 33% RPS</t>
  </si>
  <si>
    <t xml:space="preserve">EPS calculates RPS required % as a function of generation.  The state policy applies to sales.  We adjust to account for the somewhat smaller </t>
  </si>
  <si>
    <t>(2) Adjustment for imported renewables and in-state small hydroelectric power</t>
  </si>
  <si>
    <t>Below are excerpts from the SB 100 legislation</t>
  </si>
  <si>
    <t>NoSettings</t>
  </si>
  <si>
    <t>Electricity Generation by Type Including Distributed Generation[nuclear es]</t>
  </si>
  <si>
    <t>Electricity Generation by Type Including Distributed Generation[hydro es]</t>
  </si>
  <si>
    <t>Total Electricity Demand</t>
  </si>
  <si>
    <t>Current Renewable Procurement Status</t>
  </si>
  <si>
    <t>All electricity retail sellers had an interim target between compliance periods to serve at least 27% of their load with RPS-eligible resources by December 31, 2017. In general, retail sellers either met or exceeded the interim 27% target and are on track to achieve their compliance requirements.</t>
  </si>
  <si>
    <t>http://cpuc.ca.gov/rps/</t>
  </si>
  <si>
    <t>hard coal</t>
  </si>
  <si>
    <t>natural gas nonpeaker</t>
  </si>
  <si>
    <t>nuclear</t>
  </si>
  <si>
    <t>hydro</t>
  </si>
  <si>
    <t>onshore wind</t>
  </si>
  <si>
    <t>solar PV</t>
  </si>
  <si>
    <t>solar thermal</t>
  </si>
  <si>
    <t>biomass</t>
  </si>
  <si>
    <t>geothermal</t>
  </si>
  <si>
    <t>petroleum</t>
  </si>
  <si>
    <t>natural gas peaker</t>
  </si>
  <si>
    <t>lignite</t>
  </si>
  <si>
    <t>offshore wind</t>
  </si>
  <si>
    <t>Time (Year)</t>
  </si>
  <si>
    <t>Selected Variables Runs:</t>
  </si>
  <si>
    <t xml:space="preserve">instate small hydro not reflected in domestic renewable electricity total. </t>
  </si>
  <si>
    <t>sum</t>
  </si>
  <si>
    <t>Demand</t>
  </si>
  <si>
    <t>Imports</t>
  </si>
  <si>
    <t>Small hydro</t>
  </si>
  <si>
    <t>sum of other RE</t>
  </si>
  <si>
    <t>Sum up</t>
  </si>
  <si>
    <t>fraction renewable electricity before domestic resources considered</t>
  </si>
  <si>
    <t xml:space="preserve">Domestic zero carbon </t>
  </si>
  <si>
    <t>Renewables not sensitivite to RPS</t>
  </si>
  <si>
    <t>Other zero carbon resources</t>
  </si>
  <si>
    <t>sum of zero carbon</t>
  </si>
  <si>
    <t>fraction</t>
  </si>
  <si>
    <t>Level of renewables needed to close the gap in 2045</t>
  </si>
  <si>
    <t>100% carbon free</t>
  </si>
  <si>
    <t>Find post 2030 path to zero carbon</t>
  </si>
  <si>
    <t xml:space="preserve">increment above 2030 level </t>
  </si>
  <si>
    <t>California Public Utilties Commision</t>
  </si>
  <si>
    <t>Fact Sheet: Proposed Decision Implementing Load-Serving Entity Integrated Resource Planning Process (R.16-02-007)</t>
  </si>
  <si>
    <t>http://www.cpuc.ca.gov/uploadedFiles/CPUCWebsite/Content/UtilitiesIndustries/Energy/EnergyPrograms/ElectPowerProcurementGeneration/irp/IRP%20PD%20Fact%20Sheet_2018-01-29.pdf</t>
  </si>
  <si>
    <t>The worksheet "SB 100 RPS and sales adjustments" provides an annual interpretation of long run sector targets.</t>
  </si>
  <si>
    <t xml:space="preserve">The worksheet "accounting imports-small hydro" takes account of renewables that are exogenous to model calculations of RPS. </t>
  </si>
  <si>
    <t>(1) It also carries out an adjustment for generation (how the EPS caculates RPS compliance vs. sales (how RPS compliance is calculated in California).</t>
  </si>
  <si>
    <t>points of the transition are beyond current scope.  For this reason, the model does not eliminate natural gas peaker plants, currently.</t>
  </si>
  <si>
    <t>(3)  post 2030 goals for BAU are set to leave the 2030 desired parameters undistributed.</t>
  </si>
  <si>
    <t>The EPS builds on a linear trajectory, essentially, and so individual year requirements cannot be specified by themselves but must</t>
  </si>
  <si>
    <t xml:space="preserve">take into account future goals. </t>
  </si>
  <si>
    <t xml:space="preserve">The result of this is that almost any post 2030 strengthening, even a small increase of 8% in the RPS by 2045, increases that </t>
  </si>
  <si>
    <t xml:space="preserve">amount of renewables built before 2031.  For this reason, no post-2030 RPS goals are specified in BAU. </t>
  </si>
  <si>
    <t>No date / proposed decision was dated December 28, 2017.</t>
  </si>
  <si>
    <t>CEC Tracking Progress</t>
  </si>
  <si>
    <t>https://www.energy.ca.gov/renewables/tracking_progress/documents/renewable.pdf</t>
  </si>
  <si>
    <t>(5) Calibration</t>
  </si>
  <si>
    <t>Because of the mismatch between the model structure and California realities, some calibration of the final values was carried out.</t>
  </si>
  <si>
    <t>These involve the years 2028-2030 and are shown on the "Calibration" tab.</t>
  </si>
  <si>
    <t>To save effort, these steps are not exhaustively documented.</t>
  </si>
  <si>
    <t xml:space="preserve">Essentially, increments were added and subtracted to arrive at a valuable that serves as an approximation of the 60% RPS level in 2030. </t>
  </si>
  <si>
    <t>California</t>
  </si>
  <si>
    <t/>
  </si>
  <si>
    <t>Energy Information Administration, US Department of Energy</t>
  </si>
  <si>
    <t>https://www.eia.gov/electricity/state/California/state_tables.php</t>
  </si>
  <si>
    <t>Table 10. Supply and disposition of electricity, 1990 through 2017</t>
  </si>
  <si>
    <t>megawatthours</t>
  </si>
  <si>
    <t>Category</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</si>
  <si>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</si>
  <si>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</si>
  <si>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</si>
  <si>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</si>
  <si>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</si>
  <si>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</si>
  <si>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</si>
  <si>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</si>
  <si>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</si>
  <si>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</si>
  <si>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</si>
  <si>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</si>
  <si>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</si>
  <si>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</si>
  <si>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</si>
  <si>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</si>
  <si>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</si>
  <si>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</si>
  <si>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</si>
  <si>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</si>
  <si>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</si>
  <si>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</si>
  <si>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</si>
  <si>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</si>
  <si>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</si>
  <si>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</si>
  <si>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</si>
  <si>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</si>
  <si>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</si>
  <si>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</si>
  <si>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</si>
  <si>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</si>
  <si>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</si>
  <si>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</si>
  <si>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</si>
  <si>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</si>
  <si>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</si>
  <si>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</si>
  <si>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</si>
  <si>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</si>
  <si>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</si>
  <si>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</si>
  <si>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</si>
  <si>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</si>
  <si>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</si>
  <si>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</si>
  <si>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Total electric industry retail sales</t>
  </si>
  <si>
    <t>Direct use</t>
  </si>
  <si>
    <t>Total international exports</t>
  </si>
  <si>
    <t>Estimated losses</t>
  </si>
  <si>
    <t>Unaccounted</t>
  </si>
  <si>
    <t>.</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</si>
  <si>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</si>
  <si>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</si>
  <si>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</si>
  <si>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</si>
  <si>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</si>
  <si>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Fraction of retail in total final demand</t>
  </si>
  <si>
    <t>includes industrial CHP but not behind the meter solar (our working assumption)</t>
  </si>
  <si>
    <t>Reasoning bolstered by Pathways modeling for Scoping Plan analysis, which stated:</t>
  </si>
  <si>
    <t>"Updates to the RPS modeling include the exclusion of state water project pumping loads from RPS compliance, as well as a model fix to deduct behind the-meter combined and power (CHP) from retail sales."</t>
  </si>
  <si>
    <t>~ Appendix D, Scoping Plan Analysis</t>
  </si>
  <si>
    <t xml:space="preserve">This line item, utility managed CHP, is assumed to be treated as in front of the meter/ system power. </t>
  </si>
  <si>
    <t>Note:</t>
  </si>
  <si>
    <t>As of the end of 2017, there was about 7,649 MW of CHP installed statewide.</t>
  </si>
  <si>
    <t>“From 2010 to 2017, California’s CHP fleet has decreased 8 percent in nameplate capacity and 25 percent in annual electrical generation. Figure 1 shows the annual percentage changes to CHP capacity and generation relative to 2010.”</t>
  </si>
  <si>
    <t>https://www.energy.ca.gov/renewables/tracking_progress/documents/combined_heat_and_power.pdf</t>
  </si>
  <si>
    <t>We assume that the behind the meter CHP declines in capacity and output at the same rate.</t>
  </si>
  <si>
    <t xml:space="preserve">2030 data - right most column (most recent scenario), shows CHP dropping to </t>
  </si>
  <si>
    <t>Calculate the reduction from 2017 level shown in DOE state energy profile (Tab EIA-CHP Table 10)</t>
  </si>
  <si>
    <t>2030 estimate</t>
  </si>
  <si>
    <t>2017 level</t>
  </si>
  <si>
    <t>% decline</t>
  </si>
  <si>
    <t>Industrial and Commercial CHP</t>
  </si>
  <si>
    <t>subtotal not in retail</t>
  </si>
  <si>
    <t>Chart linear path to (amount remaining not included in retail sales)</t>
  </si>
  <si>
    <t>IPER 2017 final revised demand</t>
  </si>
  <si>
    <t>The February 2018 IRP decision, D.18-02-018, adopted an electric sector 42 MMT in 2030 planning target, statewide</t>
  </si>
  <si>
    <r>
      <t>•</t>
    </r>
    <r>
      <rPr>
        <sz val="18"/>
        <color rgb="FF000000"/>
        <rFont val="Calibri"/>
        <family val="2"/>
        <scheme val="minor"/>
      </rPr>
      <t>This translated to a 34 MMT in 2030 planning target for the CAISO footprint, assuming CAISO share of statewide electric sector emissions is about 81%</t>
    </r>
  </si>
  <si>
    <r>
      <t>•</t>
    </r>
    <r>
      <rPr>
        <sz val="18"/>
        <color rgb="FF000000"/>
        <rFont val="Calibri"/>
        <family val="2"/>
        <scheme val="minor"/>
      </rPr>
      <t>RESOLVE does not count BTM CHP emissions as part of electric sector emissions, whereas CARB’s California Greenhouse Gas Emissions Inventory and Scoping Plan does.  Results compiled from SERVM attempt to follow the same counting convention as RESOLVE, excluding any emissions from BTM CHP (generally the non-PV self-generation component of the IEPR demand forecast).</t>
    </r>
  </si>
  <si>
    <t>http://www.cpuc.ca.gov/uploadedFiles/CPUCWebsite/Content/UtilitiesIndustries/Energy/EnergyPrograms/ElectPowerProcurementGeneration/DemandModeling/IRP_RSP_2017IEPR_SERVM_results_20180913.pdf</t>
  </si>
  <si>
    <t>2030 final demand</t>
  </si>
  <si>
    <t xml:space="preserve"> including behind the meter, including CAISO and non-CAISO.</t>
  </si>
  <si>
    <t>IRP2018</t>
  </si>
  <si>
    <t xml:space="preserve"> including behind the meter, only CAISO </t>
  </si>
  <si>
    <t>Fraction in CAISO</t>
  </si>
  <si>
    <t>Shows RPS-bound retail sales at 191,236</t>
  </si>
  <si>
    <t xml:space="preserve">IPER 2017 final </t>
  </si>
  <si>
    <t xml:space="preserve">2017 load </t>
  </si>
  <si>
    <t>GWh</t>
  </si>
  <si>
    <t xml:space="preserve">See "IRP Excerpts" for more details.  </t>
  </si>
  <si>
    <t>(4) recent analysis regarding future emission levels from the CPUC - IRP are also considered in setting the BAU policy.</t>
  </si>
  <si>
    <t>Direct interpretation of renewables requirements from bill (SB 100)</t>
  </si>
  <si>
    <t>Imported hyro and nuclear</t>
  </si>
  <si>
    <t>Table 10, Supply and disposition</t>
  </si>
  <si>
    <t>State Electricity Profile, California</t>
  </si>
  <si>
    <t>EPS output</t>
  </si>
  <si>
    <t>Needed MWh</t>
  </si>
  <si>
    <t>Elec Demand Including TnD Losses : BAU</t>
  </si>
  <si>
    <t>Imported renewables and small hydro</t>
  </si>
  <si>
    <t>Additional oblgation beyond imports and small hydro</t>
  </si>
  <si>
    <t>Fraction of electricity consumption considered retail</t>
  </si>
  <si>
    <t>After TnD losses</t>
  </si>
  <si>
    <t xml:space="preserve">Additional fraction needed </t>
  </si>
  <si>
    <t>https://www.cpuc.ca.gov/uploadedFiles/CPUCWebsite/Content/UtilitiesIndustries/Energy/EnergyPrograms/ElectPowerProcurementGeneration/irp/2018/2019%20IRP%20Preliminary%20Results%2020191004.pdf</t>
  </si>
  <si>
    <t>Calculations</t>
  </si>
  <si>
    <t>Before accounting for retail sales fraction (requirement In MWh based on BAU electricity demand)</t>
  </si>
  <si>
    <t>RPS requirement In MWh based on BAU electricity demand (apply retail scalar)</t>
  </si>
  <si>
    <t xml:space="preserve">Retail sales denominator for RPS % calculation </t>
  </si>
  <si>
    <t>System sales</t>
  </si>
  <si>
    <t xml:space="preserve">RPS-bound fraction </t>
  </si>
  <si>
    <t>Approximate curtailment</t>
  </si>
  <si>
    <t>Need MWh factoring in approximate curtailment</t>
  </si>
  <si>
    <t xml:space="preserve">increase slightly because results coming in below </t>
  </si>
  <si>
    <t>round up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</si>
</sst>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_(* #,##0_);_(* \(#,##0\);_(* &quot;-&quot;??_);_(@_)"/>
    <numFmt numFmtId="166" formatCode="0.000%"/>
    <numFmt numFmtId="167" formatCode="0.0%"/>
    <numFmt numFmtId="168" formatCode="0.000000000000000%"/>
  </numFmts>
  <fonts count="34" x14ac:knownFonts="1">
    <font>
      <sz val="11"/>
      <color theme="1"/>
      <name val="Calibri"/>
      <family val="2"/>
      <scheme val="minor"/>
    </font>
    <font>
      <b/>
      <sz val="11"/>
      <color theme="1"/>
      <name val="Calibri"/>
      <family val="2"/>
      <scheme val="minor"/>
    </font>
    <font>
      <sz val="11"/>
      <color theme="1"/>
      <name val="Calibri"/>
      <family val="2"/>
      <scheme val="minor"/>
    </font>
    <font>
      <sz val="11"/>
      <color rgb="FF333333"/>
      <name val="Verdana"/>
      <family val="2"/>
    </font>
    <font>
      <sz val="11"/>
      <color rgb="FF333333"/>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rgb="FF333333"/>
      <name val="Helvetica"/>
      <family val="2"/>
    </font>
    <font>
      <sz val="8"/>
      <color rgb="FF333333"/>
      <name val="Helvetica"/>
      <family val="2"/>
    </font>
    <font>
      <u/>
      <sz val="11"/>
      <color theme="10"/>
      <name val="Calibri"/>
      <family val="2"/>
      <scheme val="minor"/>
    </font>
    <font>
      <sz val="10"/>
      <name val="Tahoma"/>
      <family val="2"/>
    </font>
    <font>
      <b/>
      <sz val="10"/>
      <name val="Arial"/>
      <family val="2"/>
    </font>
    <font>
      <b/>
      <sz val="12"/>
      <color rgb="FF0066CC"/>
      <name val="Arial"/>
      <family val="2"/>
    </font>
    <font>
      <sz val="10"/>
      <color rgb="FF000000"/>
      <name val="Arial"/>
      <family val="2"/>
    </font>
    <font>
      <b/>
      <sz val="10"/>
      <color rgb="FF000000"/>
      <name val="Arial"/>
      <family val="2"/>
    </font>
    <font>
      <sz val="11"/>
      <color theme="1"/>
      <name val="Calibri"/>
      <family val="2"/>
    </font>
    <font>
      <sz val="11"/>
      <color rgb="FF000000"/>
      <name val="Calibri"/>
      <family val="2"/>
      <scheme val="minor"/>
    </font>
    <font>
      <sz val="18"/>
      <color rgb="FF000000"/>
      <name val="Calibri"/>
      <family val="2"/>
      <scheme val="minor"/>
    </font>
    <font>
      <sz val="18"/>
      <color rgb="FF000000"/>
      <name val="Arial"/>
      <family val="2"/>
    </font>
    <font>
      <sz val="11.5"/>
      <color theme="1"/>
      <name val="Calibri"/>
      <family val="2"/>
      <scheme val="minor"/>
    </font>
    <font>
      <sz val="11"/>
      <color rgb="FF0000FF"/>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rgb="FFD8E5F1"/>
        <bgColor rgb="FF000000"/>
      </patternFill>
    </fill>
    <fill>
      <patternFill patternType="solid">
        <fgColor rgb="FFEBF2FA"/>
        <bgColor rgb="FF000000"/>
      </patternFill>
    </fill>
    <fill>
      <patternFill patternType="solid">
        <fgColor rgb="FFBFBFBF"/>
        <bgColor rgb="FF000000"/>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BCBCBC"/>
      </bottom>
      <diagonal/>
    </border>
    <border>
      <left style="thin">
        <color auto="1"/>
      </left>
      <right style="thin">
        <color auto="1"/>
      </right>
      <top style="thin">
        <color auto="1"/>
      </top>
      <bottom style="thin">
        <color auto="1"/>
      </bottom>
      <diagonal/>
    </border>
  </borders>
  <cellStyleXfs count="45">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2" fillId="9"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33" borderId="0" applyNumberFormat="0" applyBorder="0" applyAlignment="0" applyProtection="0"/>
    <xf numFmtId="0" fontId="22" fillId="0" borderId="0" applyNumberFormat="0" applyFill="0" applyBorder="0" applyAlignment="0" applyProtection="0"/>
    <xf numFmtId="43" fontId="2" fillId="0" borderId="0" applyFont="0" applyFill="0" applyBorder="0" applyAlignment="0" applyProtection="0"/>
  </cellStyleXfs>
  <cellXfs count="5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Font="1" applyFill="1"/>
    <xf numFmtId="2" fontId="0" fillId="0" borderId="0" xfId="1" applyNumberFormat="1" applyFont="1"/>
    <xf numFmtId="0" fontId="3" fillId="0" borderId="0" xfId="0" applyFont="1" applyAlignment="1">
      <alignment wrapText="1"/>
    </xf>
    <xf numFmtId="0" fontId="4" fillId="0" borderId="0" xfId="0" applyFont="1" applyAlignment="1">
      <alignment wrapText="1"/>
    </xf>
    <xf numFmtId="0" fontId="0" fillId="0" borderId="0" xfId="0" applyFill="1"/>
    <xf numFmtId="2" fontId="0" fillId="0" borderId="0" xfId="0" applyNumberFormat="1"/>
    <xf numFmtId="0" fontId="0" fillId="0" borderId="0" xfId="0" applyAlignment="1">
      <alignment wrapText="1"/>
    </xf>
    <xf numFmtId="0" fontId="20" fillId="0" borderId="10" xfId="0" applyFont="1" applyBorder="1" applyAlignment="1">
      <alignment horizontal="left" vertical="center" wrapText="1"/>
    </xf>
    <xf numFmtId="49" fontId="0" fillId="0" borderId="0" xfId="0" applyNumberFormat="1" applyAlignment="1">
      <alignment horizontal="left" vertical="top"/>
    </xf>
    <xf numFmtId="0" fontId="0" fillId="2" borderId="0" xfId="0" applyFill="1"/>
    <xf numFmtId="0" fontId="22" fillId="0" borderId="0" xfId="43"/>
    <xf numFmtId="0" fontId="21" fillId="0" borderId="0" xfId="0" applyFont="1" applyAlignment="1">
      <alignment horizontal="left" vertical="center" wrapText="1"/>
    </xf>
    <xf numFmtId="0" fontId="0" fillId="0" borderId="0" xfId="0"/>
    <xf numFmtId="0" fontId="0" fillId="0" borderId="0" xfId="0"/>
    <xf numFmtId="11" fontId="0" fillId="0" borderId="0" xfId="0" applyNumberFormat="1"/>
    <xf numFmtId="11" fontId="0" fillId="0" borderId="0" xfId="0" applyNumberFormat="1" applyFill="1"/>
    <xf numFmtId="0" fontId="24" fillId="0" borderId="11" xfId="0" applyNumberFormat="1" applyFont="1" applyFill="1" applyBorder="1" applyAlignment="1" applyProtection="1">
      <alignment horizontal="left" wrapText="1"/>
    </xf>
    <xf numFmtId="3" fontId="24" fillId="0" borderId="11" xfId="0" applyNumberFormat="1" applyFont="1" applyFill="1" applyBorder="1" applyAlignment="1" applyProtection="1">
      <alignment horizontal="right" wrapText="1"/>
    </xf>
    <xf numFmtId="164" fontId="24" fillId="0" borderId="11" xfId="0" applyNumberFormat="1" applyFont="1" applyFill="1" applyBorder="1" applyAlignment="1" applyProtection="1">
      <alignment horizontal="left" wrapText="1"/>
    </xf>
    <xf numFmtId="164" fontId="24" fillId="0" borderId="11" xfId="0" applyNumberFormat="1" applyFont="1" applyFill="1" applyBorder="1" applyAlignment="1" applyProtection="1">
      <alignment horizontal="right" wrapText="1"/>
    </xf>
    <xf numFmtId="0" fontId="27" fillId="35" borderId="11" xfId="0" applyNumberFormat="1" applyFont="1" applyFill="1" applyBorder="1" applyAlignment="1" applyProtection="1">
      <alignment horizontal="left" vertical="center" wrapText="1"/>
    </xf>
    <xf numFmtId="0" fontId="24" fillId="36" borderId="11" xfId="0" applyNumberFormat="1" applyFont="1" applyFill="1" applyBorder="1" applyAlignment="1" applyProtection="1">
      <alignment horizontal="left" wrapText="1"/>
    </xf>
    <xf numFmtId="3" fontId="24" fillId="36" borderId="11" xfId="0" applyNumberFormat="1" applyFont="1" applyFill="1" applyBorder="1" applyAlignment="1" applyProtection="1">
      <alignment horizontal="right" wrapText="1"/>
    </xf>
    <xf numFmtId="0" fontId="26" fillId="0" borderId="11" xfId="0" applyNumberFormat="1" applyFont="1" applyFill="1" applyBorder="1" applyAlignment="1" applyProtection="1">
      <alignment horizontal="left" wrapText="1"/>
    </xf>
    <xf numFmtId="3" fontId="26" fillId="0" borderId="11" xfId="0" applyNumberFormat="1" applyFont="1" applyFill="1" applyBorder="1" applyAlignment="1" applyProtection="1">
      <alignment horizontal="right" wrapText="1"/>
    </xf>
    <xf numFmtId="0" fontId="24" fillId="37" borderId="11" xfId="0" applyNumberFormat="1" applyFont="1" applyFill="1" applyBorder="1" applyAlignment="1" applyProtection="1">
      <alignment horizontal="left" wrapText="1"/>
    </xf>
    <xf numFmtId="3" fontId="24" fillId="37" borderId="11" xfId="0" applyNumberFormat="1" applyFont="1" applyFill="1" applyBorder="1" applyAlignment="1" applyProtection="1">
      <alignment horizontal="right" wrapText="1"/>
    </xf>
    <xf numFmtId="0" fontId="28" fillId="34" borderId="0" xfId="0" applyNumberFormat="1" applyFont="1" applyFill="1" applyBorder="1" applyAlignment="1" applyProtection="1"/>
    <xf numFmtId="165" fontId="0" fillId="0" borderId="0" xfId="44" applyNumberFormat="1" applyFont="1"/>
    <xf numFmtId="3" fontId="0" fillId="0" borderId="0" xfId="0" applyNumberFormat="1"/>
    <xf numFmtId="0" fontId="0" fillId="0" borderId="0" xfId="0" applyAlignment="1">
      <alignment vertical="center"/>
    </xf>
    <xf numFmtId="0" fontId="29" fillId="0" borderId="0" xfId="0" applyFont="1" applyAlignment="1">
      <alignment vertical="center"/>
    </xf>
    <xf numFmtId="165" fontId="0" fillId="0" borderId="0" xfId="0" applyNumberFormat="1"/>
    <xf numFmtId="9" fontId="0" fillId="0" borderId="0" xfId="0" applyNumberForma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2" fillId="0" borderId="0" xfId="43" applyAlignment="1">
      <alignment vertical="center"/>
    </xf>
    <xf numFmtId="0" fontId="33" fillId="0" borderId="0" xfId="0" applyFont="1" applyAlignment="1">
      <alignment vertical="center"/>
    </xf>
    <xf numFmtId="0" fontId="1" fillId="38" borderId="0" xfId="0" applyFont="1" applyFill="1"/>
    <xf numFmtId="166" fontId="0" fillId="0" borderId="0" xfId="0" applyNumberFormat="1"/>
    <xf numFmtId="9" fontId="0" fillId="0" borderId="0" xfId="1" applyFont="1" applyFill="1"/>
    <xf numFmtId="9" fontId="0" fillId="0" borderId="0" xfId="0" applyNumberFormat="1" applyFill="1"/>
    <xf numFmtId="11" fontId="0" fillId="0" borderId="0" xfId="1" applyNumberFormat="1" applyFont="1" applyFill="1"/>
    <xf numFmtId="0" fontId="0" fillId="38" borderId="0" xfId="0" applyFont="1" applyFill="1"/>
    <xf numFmtId="167" fontId="0" fillId="0" borderId="0" xfId="0" applyNumberFormat="1" applyFill="1"/>
    <xf numFmtId="10" fontId="0" fillId="0" borderId="0" xfId="0" applyNumberFormat="1" applyFill="1"/>
    <xf numFmtId="0" fontId="1" fillId="0" borderId="0" xfId="0" applyFont="1" applyFill="1"/>
    <xf numFmtId="168" fontId="0" fillId="0" borderId="0" xfId="1" applyNumberFormat="1" applyFont="1" applyFill="1"/>
    <xf numFmtId="0" fontId="25" fillId="34" borderId="0" xfId="0" applyNumberFormat="1" applyFont="1" applyFill="1" applyBorder="1" applyAlignment="1" applyProtection="1">
      <alignment horizontal="left" wrapText="1"/>
    </xf>
    <xf numFmtId="0" fontId="26" fillId="34" borderId="0" xfId="0" applyNumberFormat="1" applyFont="1" applyFill="1" applyBorder="1" applyAlignment="1" applyProtection="1">
      <alignment horizontal="left" wrapText="1"/>
    </xf>
    <xf numFmtId="0" fontId="23" fillId="34" borderId="0" xfId="0" applyNumberFormat="1" applyFont="1" applyFill="1" applyBorder="1" applyAlignment="1" applyProtection="1">
      <alignment horizontal="left" wrapText="1"/>
    </xf>
    <xf numFmtId="166" fontId="0" fillId="0" borderId="0" xfId="1" applyNumberFormat="1" applyFon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22225</xdr:colOff>
      <xdr:row>64</xdr:row>
      <xdr:rowOff>2509</xdr:rowOff>
    </xdr:from>
    <xdr:to>
      <xdr:col>1</xdr:col>
      <xdr:colOff>4083050</xdr:colOff>
      <xdr:row>74</xdr:row>
      <xdr:rowOff>136924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825" y="11305509"/>
          <a:ext cx="4060825" cy="1975915"/>
        </a:xfrm>
        <a:prstGeom prst="rect">
          <a:avLst/>
        </a:prstGeom>
      </xdr:spPr>
    </xdr:pic>
    <xdr:clientData/>
  </xdr:twoCellAnchor>
  <xdr:twoCellAnchor editAs="oneCell">
    <xdr:from>
      <xdr:col>1</xdr:col>
      <xdr:colOff>0</xdr:colOff>
      <xdr:row>85</xdr:row>
      <xdr:rowOff>0</xdr:rowOff>
    </xdr:from>
    <xdr:to>
      <xdr:col>1</xdr:col>
      <xdr:colOff>6515435</xdr:colOff>
      <xdr:row>98</xdr:row>
      <xdr:rowOff>165232</xdr:rowOff>
    </xdr:to>
    <xdr:pic>
      <xdr:nvPicPr>
        <xdr:cNvPr id="3" name="Picture 2"/>
        <xdr:cNvPicPr>
          <a:picLocks noChangeAspect="1"/>
        </xdr:cNvPicPr>
      </xdr:nvPicPr>
      <xdr:blipFill>
        <a:blip xmlns:r="http://schemas.openxmlformats.org/officeDocument/2006/relationships" r:embed="rId2"/>
        <a:stretch>
          <a:fillRect/>
        </a:stretch>
      </xdr:blipFill>
      <xdr:spPr>
        <a:xfrm>
          <a:off x="1117600" y="17951450"/>
          <a:ext cx="6515435" cy="255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469901</xdr:colOff>
      <xdr:row>11</xdr:row>
      <xdr:rowOff>139701</xdr:rowOff>
    </xdr:from>
    <xdr:to>
      <xdr:col>11</xdr:col>
      <xdr:colOff>510365</xdr:colOff>
      <xdr:row>38</xdr:row>
      <xdr:rowOff>107951</xdr:rowOff>
    </xdr:to>
    <xdr:pic>
      <xdr:nvPicPr>
        <xdr:cNvPr id="2" name="Picture 1"/>
        <xdr:cNvPicPr>
          <a:picLocks noChangeAspect="1"/>
        </xdr:cNvPicPr>
      </xdr:nvPicPr>
      <xdr:blipFill>
        <a:blip xmlns:r="http://schemas.openxmlformats.org/officeDocument/2006/relationships" r:embed="rId1"/>
        <a:stretch>
          <a:fillRect/>
        </a:stretch>
      </xdr:blipFill>
      <xdr:spPr>
        <a:xfrm>
          <a:off x="469901" y="2165351"/>
          <a:ext cx="6746064" cy="4940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539750</xdr:colOff>
      <xdr:row>38</xdr:row>
      <xdr:rowOff>6350</xdr:rowOff>
    </xdr:to>
    <xdr:pic>
      <xdr:nvPicPr>
        <xdr:cNvPr id="2" name="Picture 1"/>
        <xdr:cNvPicPr/>
      </xdr:nvPicPr>
      <xdr:blipFill>
        <a:blip xmlns:r="http://schemas.openxmlformats.org/officeDocument/2006/relationships" r:embed="rId1"/>
        <a:stretch>
          <a:fillRect/>
        </a:stretch>
      </xdr:blipFill>
      <xdr:spPr>
        <a:xfrm>
          <a:off x="0" y="368300"/>
          <a:ext cx="10198100" cy="6635750"/>
        </a:xfrm>
        <a:prstGeom prst="rect">
          <a:avLst/>
        </a:prstGeom>
      </xdr:spPr>
    </xdr:pic>
    <xdr:clientData/>
  </xdr:twoCellAnchor>
  <xdr:twoCellAnchor editAs="oneCell">
    <xdr:from>
      <xdr:col>0</xdr:col>
      <xdr:colOff>0</xdr:colOff>
      <xdr:row>54</xdr:row>
      <xdr:rowOff>0</xdr:rowOff>
    </xdr:from>
    <xdr:to>
      <xdr:col>8</xdr:col>
      <xdr:colOff>343195</xdr:colOff>
      <xdr:row>77</xdr:row>
      <xdr:rowOff>165326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407650"/>
          <a:ext cx="5734345" cy="4400776"/>
        </a:xfrm>
        <a:prstGeom prst="rect">
          <a:avLst/>
        </a:prstGeom>
      </xdr:spPr>
    </xdr:pic>
    <xdr:clientData/>
  </xdr:twoCellAnchor>
  <xdr:twoCellAnchor editAs="oneCell">
    <xdr:from>
      <xdr:col>0</xdr:col>
      <xdr:colOff>0</xdr:colOff>
      <xdr:row>80</xdr:row>
      <xdr:rowOff>0</xdr:rowOff>
    </xdr:from>
    <xdr:to>
      <xdr:col>14</xdr:col>
      <xdr:colOff>311631</xdr:colOff>
      <xdr:row>119</xdr:row>
      <xdr:rowOff>121025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5195550"/>
          <a:ext cx="9360381" cy="7302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158750</xdr:rowOff>
    </xdr:from>
    <xdr:to>
      <xdr:col>7</xdr:col>
      <xdr:colOff>203428</xdr:colOff>
      <xdr:row>16</xdr:row>
      <xdr:rowOff>57296</xdr:rowOff>
    </xdr:to>
    <xdr:pic>
      <xdr:nvPicPr>
        <xdr:cNvPr id="3" name="Picture 2"/>
        <xdr:cNvPicPr>
          <a:picLocks noChangeAspect="1"/>
        </xdr:cNvPicPr>
      </xdr:nvPicPr>
      <xdr:blipFill>
        <a:blip xmlns:r="http://schemas.openxmlformats.org/officeDocument/2006/relationships" r:embed="rId1"/>
        <a:stretch>
          <a:fillRect/>
        </a:stretch>
      </xdr:blipFill>
      <xdr:spPr>
        <a:xfrm>
          <a:off x="25400" y="158750"/>
          <a:ext cx="4445228" cy="28449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292428</xdr:colOff>
      <xdr:row>17</xdr:row>
      <xdr:rowOff>25543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8300"/>
          <a:ext cx="6388428" cy="27877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577850</xdr:colOff>
      <xdr:row>6</xdr:row>
      <xdr:rowOff>6350</xdr:rowOff>
    </xdr:from>
    <xdr:to>
      <xdr:col>19</xdr:col>
      <xdr:colOff>38100</xdr:colOff>
      <xdr:row>26</xdr:row>
      <xdr:rowOff>17145</xdr:rowOff>
    </xdr:to>
    <xdr:pic>
      <xdr:nvPicPr>
        <xdr:cNvPr id="2" name="Picture 1"/>
        <xdr:cNvPicPr/>
      </xdr:nvPicPr>
      <xdr:blipFill>
        <a:blip xmlns:r="http://schemas.openxmlformats.org/officeDocument/2006/relationships" r:embed="rId1"/>
        <a:stretch>
          <a:fillRect/>
        </a:stretch>
      </xdr:blipFill>
      <xdr:spPr>
        <a:xfrm>
          <a:off x="6064250" y="4794250"/>
          <a:ext cx="5943600" cy="3693795"/>
        </a:xfrm>
        <a:prstGeom prst="rect">
          <a:avLst/>
        </a:prstGeom>
      </xdr:spPr>
    </xdr:pic>
    <xdr:clientData/>
  </xdr:twoCellAnchor>
  <xdr:twoCellAnchor editAs="oneCell">
    <xdr:from>
      <xdr:col>0</xdr:col>
      <xdr:colOff>0</xdr:colOff>
      <xdr:row>6</xdr:row>
      <xdr:rowOff>0</xdr:rowOff>
    </xdr:from>
    <xdr:to>
      <xdr:col>9</xdr:col>
      <xdr:colOff>457200</xdr:colOff>
      <xdr:row>27</xdr:row>
      <xdr:rowOff>63500</xdr:rowOff>
    </xdr:to>
    <xdr:pic>
      <xdr:nvPicPr>
        <xdr:cNvPr id="3" name="Picture 2"/>
        <xdr:cNvPicPr/>
      </xdr:nvPicPr>
      <xdr:blipFill>
        <a:blip xmlns:r="http://schemas.openxmlformats.org/officeDocument/2006/relationships" r:embed="rId2"/>
        <a:stretch>
          <a:fillRect/>
        </a:stretch>
      </xdr:blipFill>
      <xdr:spPr>
        <a:xfrm>
          <a:off x="0" y="4603750"/>
          <a:ext cx="5943600" cy="3930650"/>
        </a:xfrm>
        <a:prstGeom prst="rect">
          <a:avLst/>
        </a:prstGeom>
      </xdr:spPr>
    </xdr:pic>
    <xdr:clientData/>
  </xdr:twoCellAnchor>
  <xdr:twoCellAnchor editAs="oneCell">
    <xdr:from>
      <xdr:col>0</xdr:col>
      <xdr:colOff>0</xdr:colOff>
      <xdr:row>36</xdr:row>
      <xdr:rowOff>0</xdr:rowOff>
    </xdr:from>
    <xdr:to>
      <xdr:col>7</xdr:col>
      <xdr:colOff>436880</xdr:colOff>
      <xdr:row>54</xdr:row>
      <xdr:rowOff>152400</xdr:rowOff>
    </xdr:to>
    <xdr:pic>
      <xdr:nvPicPr>
        <xdr:cNvPr id="4" name="Picture 3"/>
        <xdr:cNvPicPr/>
      </xdr:nvPicPr>
      <xdr:blipFill>
        <a:blip xmlns:r="http://schemas.openxmlformats.org/officeDocument/2006/relationships" r:embed="rId3"/>
        <a:stretch>
          <a:fillRect/>
        </a:stretch>
      </xdr:blipFill>
      <xdr:spPr>
        <a:xfrm>
          <a:off x="0" y="10128250"/>
          <a:ext cx="4704080" cy="3467100"/>
        </a:xfrm>
        <a:prstGeom prst="rect">
          <a:avLst/>
        </a:prstGeom>
      </xdr:spPr>
    </xdr:pic>
    <xdr:clientData/>
  </xdr:twoCellAnchor>
  <xdr:twoCellAnchor editAs="oneCell">
    <xdr:from>
      <xdr:col>0</xdr:col>
      <xdr:colOff>0</xdr:colOff>
      <xdr:row>56</xdr:row>
      <xdr:rowOff>0</xdr:rowOff>
    </xdr:from>
    <xdr:to>
      <xdr:col>9</xdr:col>
      <xdr:colOff>457200</xdr:colOff>
      <xdr:row>76</xdr:row>
      <xdr:rowOff>38735</xdr:rowOff>
    </xdr:to>
    <xdr:pic>
      <xdr:nvPicPr>
        <xdr:cNvPr id="5" name="Picture 4"/>
        <xdr:cNvPicPr/>
      </xdr:nvPicPr>
      <xdr:blipFill>
        <a:blip xmlns:r="http://schemas.openxmlformats.org/officeDocument/2006/relationships" r:embed="rId4"/>
        <a:stretch>
          <a:fillRect/>
        </a:stretch>
      </xdr:blipFill>
      <xdr:spPr>
        <a:xfrm>
          <a:off x="0" y="13811250"/>
          <a:ext cx="5943600" cy="37217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ergy.ca.gov/renewables/tracking_progress/documents/renewable.pdf" TargetMode="External"/><Relationship Id="rId1" Type="http://schemas.openxmlformats.org/officeDocument/2006/relationships/hyperlink" Target="http://cpuc.ca.gov/rp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energy.ca.gov/renewables/tracking_progress/documents/combined_heat_and_power.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puc.ca.gov/uploadedFiles/CPUCWebsite/Content/UtilitiesIndustries/Energy/EnergyPrograms/ElectPowerProcurementGeneration/irp/2018/2019%20IRP%20Preliminary%20Results%2020191004.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A25" sqref="A25"/>
    </sheetView>
  </sheetViews>
  <sheetFormatPr defaultRowHeight="14.25" x14ac:dyDescent="0.45"/>
  <cols>
    <col min="1" max="1" width="16" customWidth="1"/>
    <col min="2" max="2" width="122.73046875" customWidth="1"/>
  </cols>
  <sheetData>
    <row r="1" spans="1:2" ht="15" x14ac:dyDescent="0.25">
      <c r="A1" s="1" t="s">
        <v>0</v>
      </c>
    </row>
    <row r="3" spans="1:2" ht="15" x14ac:dyDescent="0.25">
      <c r="A3" s="1" t="s">
        <v>3</v>
      </c>
      <c r="B3" s="3" t="s">
        <v>14</v>
      </c>
    </row>
    <row r="4" spans="1:2" ht="15" x14ac:dyDescent="0.25">
      <c r="B4" t="s">
        <v>13</v>
      </c>
    </row>
    <row r="5" spans="1:2" ht="15" x14ac:dyDescent="0.25">
      <c r="B5" s="2">
        <v>2018</v>
      </c>
    </row>
    <row r="6" spans="1:2" ht="15" x14ac:dyDescent="0.25">
      <c r="B6" s="4" t="s">
        <v>12</v>
      </c>
    </row>
    <row r="8" spans="1:2" s="17" customFormat="1" ht="14.55" x14ac:dyDescent="0.35">
      <c r="B8" s="3" t="s">
        <v>64</v>
      </c>
    </row>
    <row r="9" spans="1:2" s="17" customFormat="1" ht="14.55" x14ac:dyDescent="0.35">
      <c r="B9" t="s">
        <v>65</v>
      </c>
    </row>
    <row r="10" spans="1:2" s="17" customFormat="1" ht="14.55" x14ac:dyDescent="0.35">
      <c r="B10" s="17" t="s">
        <v>76</v>
      </c>
    </row>
    <row r="11" spans="1:2" s="17" customFormat="1" ht="14.55" x14ac:dyDescent="0.35">
      <c r="B11" s="17" t="s">
        <v>66</v>
      </c>
    </row>
    <row r="12" spans="1:2" s="17" customFormat="1" ht="14.55" x14ac:dyDescent="0.35"/>
    <row r="13" spans="1:2" ht="14.55" x14ac:dyDescent="0.35">
      <c r="B13" s="3" t="s">
        <v>5</v>
      </c>
    </row>
    <row r="14" spans="1:2" ht="14.55" x14ac:dyDescent="0.35">
      <c r="B14" t="s">
        <v>6</v>
      </c>
    </row>
    <row r="15" spans="1:2" ht="14.55" x14ac:dyDescent="0.35">
      <c r="B15" s="2">
        <v>2018</v>
      </c>
    </row>
    <row r="16" spans="1:2" ht="14.55" x14ac:dyDescent="0.35">
      <c r="B16" t="s">
        <v>5</v>
      </c>
    </row>
    <row r="17" spans="1:2" ht="14.55" x14ac:dyDescent="0.35">
      <c r="B17" t="s">
        <v>7</v>
      </c>
    </row>
    <row r="18" spans="1:2" ht="14.55" x14ac:dyDescent="0.35">
      <c r="B18" s="4"/>
    </row>
    <row r="19" spans="1:2" s="17" customFormat="1" ht="14.55" x14ac:dyDescent="0.35">
      <c r="B19" s="3" t="s">
        <v>86</v>
      </c>
    </row>
    <row r="20" spans="1:2" s="17" customFormat="1" ht="14.55" x14ac:dyDescent="0.35">
      <c r="B20" s="4" t="s">
        <v>186</v>
      </c>
    </row>
    <row r="21" spans="1:2" s="17" customFormat="1" ht="14.55" x14ac:dyDescent="0.35">
      <c r="B21" t="s">
        <v>185</v>
      </c>
    </row>
    <row r="22" spans="1:2" s="17" customFormat="1" ht="14.55" x14ac:dyDescent="0.35">
      <c r="B22" s="4" t="s">
        <v>87</v>
      </c>
    </row>
    <row r="23" spans="1:2" x14ac:dyDescent="0.45">
      <c r="B23" s="14"/>
    </row>
    <row r="24" spans="1:2" s="17" customFormat="1" x14ac:dyDescent="0.45">
      <c r="A24" s="1" t="s">
        <v>4</v>
      </c>
      <c r="B24" s="17" t="s">
        <v>67</v>
      </c>
    </row>
    <row r="25" spans="1:2" s="17" customFormat="1" x14ac:dyDescent="0.45"/>
    <row r="26" spans="1:2" s="17" customFormat="1" x14ac:dyDescent="0.45">
      <c r="B26" t="s">
        <v>69</v>
      </c>
    </row>
    <row r="27" spans="1:2" s="17" customFormat="1" x14ac:dyDescent="0.45">
      <c r="B27"/>
    </row>
    <row r="28" spans="1:2" s="17" customFormat="1" x14ac:dyDescent="0.45">
      <c r="B28" t="s">
        <v>22</v>
      </c>
    </row>
    <row r="29" spans="1:2" s="17" customFormat="1" x14ac:dyDescent="0.45">
      <c r="B29" t="s">
        <v>15</v>
      </c>
    </row>
    <row r="31" spans="1:2" x14ac:dyDescent="0.45">
      <c r="B31" t="s">
        <v>19</v>
      </c>
    </row>
    <row r="32" spans="1:2" x14ac:dyDescent="0.45">
      <c r="B32" t="s">
        <v>20</v>
      </c>
    </row>
    <row r="33" spans="2:7" x14ac:dyDescent="0.45">
      <c r="B33" t="s">
        <v>70</v>
      </c>
    </row>
    <row r="36" spans="2:7" x14ac:dyDescent="0.45">
      <c r="B36" t="s">
        <v>23</v>
      </c>
    </row>
    <row r="37" spans="2:7" x14ac:dyDescent="0.45">
      <c r="B37" s="17" t="s">
        <v>68</v>
      </c>
    </row>
    <row r="38" spans="2:7" x14ac:dyDescent="0.45">
      <c r="G38" s="17"/>
    </row>
    <row r="39" spans="2:7" x14ac:dyDescent="0.45">
      <c r="B39" t="s">
        <v>8</v>
      </c>
      <c r="G39" s="17"/>
    </row>
    <row r="40" spans="2:7" x14ac:dyDescent="0.45">
      <c r="B40" t="s">
        <v>9</v>
      </c>
    </row>
    <row r="41" spans="2:7" x14ac:dyDescent="0.45">
      <c r="B41" t="s">
        <v>10</v>
      </c>
    </row>
    <row r="43" spans="2:7" s="17" customFormat="1" x14ac:dyDescent="0.45">
      <c r="B43" s="12" t="s">
        <v>71</v>
      </c>
    </row>
    <row r="44" spans="2:7" s="17" customFormat="1" x14ac:dyDescent="0.45">
      <c r="B44" s="17" t="s">
        <v>72</v>
      </c>
    </row>
    <row r="45" spans="2:7" s="17" customFormat="1" x14ac:dyDescent="0.45">
      <c r="B45" s="17" t="s">
        <v>73</v>
      </c>
    </row>
    <row r="46" spans="2:7" s="17" customFormat="1" x14ac:dyDescent="0.45">
      <c r="B46" s="17" t="s">
        <v>74</v>
      </c>
    </row>
    <row r="47" spans="2:7" s="17" customFormat="1" x14ac:dyDescent="0.45">
      <c r="B47" s="17" t="s">
        <v>75</v>
      </c>
    </row>
    <row r="48" spans="2:7" s="17" customFormat="1" x14ac:dyDescent="0.45"/>
    <row r="49" spans="2:2" x14ac:dyDescent="0.45">
      <c r="B49" t="s">
        <v>182</v>
      </c>
    </row>
    <row r="50" spans="2:2" x14ac:dyDescent="0.45">
      <c r="B50" t="s">
        <v>181</v>
      </c>
    </row>
    <row r="52" spans="2:2" s="17" customFormat="1" x14ac:dyDescent="0.45">
      <c r="B52" s="17" t="s">
        <v>79</v>
      </c>
    </row>
    <row r="53" spans="2:2" s="17" customFormat="1" x14ac:dyDescent="0.45">
      <c r="B53" s="17" t="s">
        <v>80</v>
      </c>
    </row>
    <row r="54" spans="2:2" x14ac:dyDescent="0.45">
      <c r="B54" t="s">
        <v>81</v>
      </c>
    </row>
    <row r="55" spans="2:2" s="17" customFormat="1" x14ac:dyDescent="0.45">
      <c r="B55" s="17" t="s">
        <v>82</v>
      </c>
    </row>
    <row r="56" spans="2:2" s="17" customFormat="1" x14ac:dyDescent="0.45">
      <c r="B56" s="17" t="s">
        <v>83</v>
      </c>
    </row>
    <row r="57" spans="2:2" s="17" customFormat="1" x14ac:dyDescent="0.45"/>
    <row r="58" spans="2:2" x14ac:dyDescent="0.45">
      <c r="B58" s="1" t="s">
        <v>24</v>
      </c>
    </row>
    <row r="59" spans="2:2" ht="71.25" x14ac:dyDescent="0.45">
      <c r="B59" s="7" t="s">
        <v>11</v>
      </c>
    </row>
    <row r="60" spans="2:2" x14ac:dyDescent="0.45">
      <c r="B60" s="6"/>
    </row>
    <row r="61" spans="2:2" ht="142.5" x14ac:dyDescent="0.45">
      <c r="B61" s="7" t="s">
        <v>17</v>
      </c>
    </row>
    <row r="63" spans="2:2" x14ac:dyDescent="0.45">
      <c r="B63" t="s">
        <v>21</v>
      </c>
    </row>
    <row r="72" spans="2:2" s="16" customFormat="1" x14ac:dyDescent="0.45">
      <c r="B72"/>
    </row>
    <row r="76" spans="2:2" x14ac:dyDescent="0.45">
      <c r="B76" s="16"/>
    </row>
    <row r="77" spans="2:2" x14ac:dyDescent="0.45">
      <c r="B77" s="14" t="s">
        <v>31</v>
      </c>
    </row>
    <row r="78" spans="2:2" ht="15.4" thickBot="1" x14ac:dyDescent="0.5">
      <c r="B78" s="11" t="s">
        <v>29</v>
      </c>
    </row>
    <row r="80" spans="2:2" ht="20.25" x14ac:dyDescent="0.45">
      <c r="B80" s="15" t="s">
        <v>30</v>
      </c>
    </row>
    <row r="82" spans="2:2" x14ac:dyDescent="0.45">
      <c r="B82" s="17"/>
    </row>
    <row r="83" spans="2:2" x14ac:dyDescent="0.45">
      <c r="B83" s="17" t="s">
        <v>77</v>
      </c>
    </row>
    <row r="84" spans="2:2" x14ac:dyDescent="0.45">
      <c r="B84" s="14" t="s">
        <v>78</v>
      </c>
    </row>
    <row r="85" spans="2:2" x14ac:dyDescent="0.45">
      <c r="B85" s="17"/>
    </row>
    <row r="86" spans="2:2" x14ac:dyDescent="0.45">
      <c r="B86" s="17"/>
    </row>
    <row r="87" spans="2:2" x14ac:dyDescent="0.45">
      <c r="B87" s="17"/>
    </row>
    <row r="88" spans="2:2" x14ac:dyDescent="0.45">
      <c r="B88" s="17"/>
    </row>
    <row r="89" spans="2:2" x14ac:dyDescent="0.45">
      <c r="B89" s="17"/>
    </row>
    <row r="90" spans="2:2" x14ac:dyDescent="0.45">
      <c r="B90" s="17"/>
    </row>
    <row r="91" spans="2:2" x14ac:dyDescent="0.45">
      <c r="B91" s="17"/>
    </row>
    <row r="92" spans="2:2" x14ac:dyDescent="0.45">
      <c r="B92" s="17"/>
    </row>
    <row r="93" spans="2:2" x14ac:dyDescent="0.45">
      <c r="B93" s="17"/>
    </row>
    <row r="94" spans="2:2" x14ac:dyDescent="0.45">
      <c r="B94" s="17"/>
    </row>
    <row r="95" spans="2:2" x14ac:dyDescent="0.45">
      <c r="B95" s="17"/>
    </row>
    <row r="96" spans="2:2" x14ac:dyDescent="0.45">
      <c r="B96" s="17"/>
    </row>
    <row r="97" spans="2:2" x14ac:dyDescent="0.45">
      <c r="B97" s="17"/>
    </row>
    <row r="98" spans="2:2" x14ac:dyDescent="0.45">
      <c r="B98" s="17"/>
    </row>
    <row r="99" spans="2:2" x14ac:dyDescent="0.45">
      <c r="B99" s="17"/>
    </row>
    <row r="100" spans="2:2" x14ac:dyDescent="0.45">
      <c r="B100" s="17"/>
    </row>
    <row r="101" spans="2:2" x14ac:dyDescent="0.45">
      <c r="B101" s="17"/>
    </row>
  </sheetData>
  <hyperlinks>
    <hyperlink ref="B77" r:id="rId1"/>
    <hyperlink ref="B84" r:id="rId2"/>
  </hyperlinks>
  <pageMargins left="0.7" right="0.7" top="0.75" bottom="0.75" header="0.3" footer="0.3"/>
  <pageSetup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2"/>
  <sheetViews>
    <sheetView workbookViewId="0">
      <selection activeCell="A35" sqref="A35"/>
    </sheetView>
  </sheetViews>
  <sheetFormatPr defaultRowHeight="14.25" x14ac:dyDescent="0.45"/>
  <cols>
    <col min="1" max="1" width="69.796875" customWidth="1"/>
    <col min="2" max="2" width="13.59765625" bestFit="1" customWidth="1"/>
    <col min="3" max="3" width="20.06640625" bestFit="1" customWidth="1"/>
    <col min="4" max="4" width="17.46484375" customWidth="1"/>
    <col min="5" max="6" width="19" bestFit="1" customWidth="1"/>
    <col min="7" max="9" width="7.796875" bestFit="1" customWidth="1"/>
    <col min="10" max="12" width="19" bestFit="1" customWidth="1"/>
    <col min="13" max="13" width="18" bestFit="1" customWidth="1"/>
    <col min="14" max="14" width="18.59765625" bestFit="1" customWidth="1"/>
  </cols>
  <sheetData>
    <row r="3" spans="1:3" s="17" customFormat="1" ht="14.55" x14ac:dyDescent="0.35">
      <c r="A3"/>
      <c r="B3">
        <v>2017</v>
      </c>
    </row>
    <row r="4" spans="1:3" s="17" customFormat="1" ht="14.55" x14ac:dyDescent="0.35">
      <c r="A4" s="33" t="str">
        <f>'EIA-CHP Table 10'!$A$23</f>
        <v>Total electric industry retail sales</v>
      </c>
      <c r="B4" s="33">
        <f>'EIA-CHP Table 10'!$B$23</f>
        <v>257267937</v>
      </c>
    </row>
    <row r="5" spans="1:3" s="17" customFormat="1" ht="14.55" x14ac:dyDescent="0.35">
      <c r="A5" s="17" t="str">
        <f>'EIA-CHP Table 10'!A17</f>
        <v>Total supply</v>
      </c>
      <c r="B5" s="17">
        <f>'EIA-CHP Table 10'!B17</f>
        <v>286228469</v>
      </c>
    </row>
    <row r="6" spans="1:3" s="17" customFormat="1" ht="14.55" x14ac:dyDescent="0.35">
      <c r="A6" s="17" t="str">
        <f>'EIA-CHP Table 10'!A25</f>
        <v>Total international exports</v>
      </c>
      <c r="B6" s="17">
        <f>'EIA-CHP Table 10'!B25</f>
        <v>459224</v>
      </c>
    </row>
    <row r="7" spans="1:3" s="17" customFormat="1" ht="14.55" x14ac:dyDescent="0.35"/>
    <row r="8" spans="1:3" s="17" customFormat="1" ht="14.55" x14ac:dyDescent="0.35"/>
    <row r="9" spans="1:3" s="17" customFormat="1" ht="14.55" x14ac:dyDescent="0.35"/>
    <row r="10" spans="1:3" s="17" customFormat="1" ht="14.55" x14ac:dyDescent="0.35">
      <c r="A10" s="17" t="str">
        <f>'EIA-CHP Table 10'!A23</f>
        <v>Total electric industry retail sales</v>
      </c>
      <c r="B10" s="17">
        <f>'EIA-CHP Table 10'!B23</f>
        <v>257267937</v>
      </c>
    </row>
    <row r="11" spans="1:3" s="17" customFormat="1" ht="14.55" x14ac:dyDescent="0.35">
      <c r="A11" s="17" t="s">
        <v>164</v>
      </c>
      <c r="B11" s="32">
        <f>'EIA-CHP Table 10'!$B$13</f>
        <v>16382372</v>
      </c>
      <c r="C11" s="17" t="s">
        <v>149</v>
      </c>
    </row>
    <row r="12" spans="1:3" s="17" customFormat="1" ht="14.55" x14ac:dyDescent="0.35">
      <c r="A12" s="17" t="str">
        <f>'EIA-CHP Table 10'!A27</f>
        <v>Unaccounted</v>
      </c>
      <c r="B12" s="32">
        <f>'EIA-CHP Table 10'!B27</f>
        <v>1711477</v>
      </c>
    </row>
    <row r="13" spans="1:3" s="17" customFormat="1" ht="14.55" x14ac:dyDescent="0.35">
      <c r="A13" s="17" t="s">
        <v>165</v>
      </c>
      <c r="B13" s="36">
        <f>B11+B12</f>
        <v>18093849</v>
      </c>
    </row>
    <row r="14" spans="1:3" s="17" customFormat="1" ht="14.55" x14ac:dyDescent="0.35"/>
    <row r="15" spans="1:3" s="17" customFormat="1" ht="14.55" x14ac:dyDescent="0.35">
      <c r="A15" s="17" t="s">
        <v>148</v>
      </c>
      <c r="B15" s="17">
        <f>B10/SUM(B10:B12)</f>
        <v>0.9342906317436509</v>
      </c>
    </row>
    <row r="16" spans="1:3" s="17" customFormat="1" ht="14.55" x14ac:dyDescent="0.35"/>
    <row r="17" spans="1:15" s="17" customFormat="1" ht="14.55" x14ac:dyDescent="0.35">
      <c r="A17" s="17" t="str">
        <f>'CHP notes from the IRP'!K4</f>
        <v>% decline</v>
      </c>
      <c r="B17" s="17">
        <f>'CHP notes from the IRP'!L4</f>
        <v>0.83543286649820914</v>
      </c>
    </row>
    <row r="18" spans="1:15" s="17" customFormat="1" ht="14.55" x14ac:dyDescent="0.35">
      <c r="A18" s="17" t="s">
        <v>166</v>
      </c>
      <c r="B18" s="17">
        <f>1-B17</f>
        <v>0.16456713350179086</v>
      </c>
    </row>
    <row r="19" spans="1:15" s="17" customFormat="1" ht="14.55" x14ac:dyDescent="0.35"/>
    <row r="20" spans="1:15" s="17" customFormat="1" ht="14.55" x14ac:dyDescent="0.35">
      <c r="B20" s="17">
        <v>2017</v>
      </c>
      <c r="C20" s="17">
        <f>B20+1</f>
        <v>2018</v>
      </c>
      <c r="D20" s="17">
        <f t="shared" ref="D20:N20" si="0">C20+1</f>
        <v>2019</v>
      </c>
      <c r="E20" s="17">
        <f t="shared" si="0"/>
        <v>2020</v>
      </c>
      <c r="F20" s="17">
        <f t="shared" si="0"/>
        <v>2021</v>
      </c>
      <c r="G20" s="17">
        <f t="shared" si="0"/>
        <v>2022</v>
      </c>
      <c r="H20" s="17">
        <f t="shared" si="0"/>
        <v>2023</v>
      </c>
      <c r="I20" s="17">
        <f t="shared" si="0"/>
        <v>2024</v>
      </c>
      <c r="J20" s="17">
        <f t="shared" si="0"/>
        <v>2025</v>
      </c>
      <c r="K20" s="17">
        <f t="shared" si="0"/>
        <v>2026</v>
      </c>
      <c r="L20" s="17">
        <f t="shared" si="0"/>
        <v>2027</v>
      </c>
      <c r="M20" s="17">
        <f t="shared" si="0"/>
        <v>2028</v>
      </c>
      <c r="N20" s="17">
        <f t="shared" si="0"/>
        <v>2029</v>
      </c>
      <c r="O20" s="17">
        <f>N20+1</f>
        <v>2030</v>
      </c>
    </row>
    <row r="21" spans="1:15" s="17" customFormat="1" ht="14.55" x14ac:dyDescent="0.35">
      <c r="B21" s="37">
        <v>1</v>
      </c>
      <c r="C21" s="44">
        <f>B21-($B$21-$O$21)/13</f>
        <v>0.93573593334629157</v>
      </c>
      <c r="D21" s="44">
        <f t="shared" ref="D21:N21" si="1">C21-($B$21-$O$21)/13</f>
        <v>0.87147186669258314</v>
      </c>
      <c r="E21" s="44">
        <f t="shared" si="1"/>
        <v>0.80720780003887471</v>
      </c>
      <c r="F21" s="44">
        <f t="shared" si="1"/>
        <v>0.74294373338516628</v>
      </c>
      <c r="G21" s="44">
        <f t="shared" si="1"/>
        <v>0.67867966673145785</v>
      </c>
      <c r="H21" s="44">
        <f t="shared" si="1"/>
        <v>0.61441560007774942</v>
      </c>
      <c r="I21" s="44">
        <f t="shared" si="1"/>
        <v>0.55015153342404099</v>
      </c>
      <c r="J21" s="44">
        <f t="shared" si="1"/>
        <v>0.48588746677033257</v>
      </c>
      <c r="K21" s="44">
        <f t="shared" si="1"/>
        <v>0.42162340011662414</v>
      </c>
      <c r="L21" s="44">
        <f t="shared" si="1"/>
        <v>0.35735933346291571</v>
      </c>
      <c r="M21" s="44">
        <f t="shared" si="1"/>
        <v>0.29309526680920728</v>
      </c>
      <c r="N21" s="44">
        <f t="shared" si="1"/>
        <v>0.22883120015549888</v>
      </c>
      <c r="O21" s="37">
        <f>$B$18</f>
        <v>0.16456713350179086</v>
      </c>
    </row>
    <row r="22" spans="1:15" s="17" customFormat="1" ht="14.55" x14ac:dyDescent="0.35"/>
    <row r="23" spans="1:15" s="17" customFormat="1" x14ac:dyDescent="0.45"/>
    <row r="24" spans="1:15" s="17" customFormat="1" x14ac:dyDescent="0.45"/>
    <row r="25" spans="1:15" s="17" customFormat="1" x14ac:dyDescent="0.45"/>
    <row r="26" spans="1:15" s="17" customFormat="1" x14ac:dyDescent="0.45">
      <c r="A26" s="17" t="s">
        <v>154</v>
      </c>
    </row>
    <row r="27" spans="1:15" s="17" customFormat="1" x14ac:dyDescent="0.45">
      <c r="A27"/>
      <c r="B27"/>
      <c r="C27"/>
      <c r="D27"/>
      <c r="E27"/>
    </row>
    <row r="28" spans="1:15" s="17" customFormat="1" x14ac:dyDescent="0.45">
      <c r="A28" s="17" t="str">
        <f>'EIA-CHP Table 10'!A9</f>
        <v>..Combined heat and power, electric</v>
      </c>
      <c r="B28" s="17">
        <f>'EIA-CHP Table 10'!B9</f>
        <v>15865433</v>
      </c>
      <c r="C28"/>
      <c r="D28" s="8" t="s">
        <v>153</v>
      </c>
      <c r="E28"/>
    </row>
    <row r="29" spans="1:15" s="17" customFormat="1" x14ac:dyDescent="0.45">
      <c r="A29"/>
      <c r="B29" t="str">
        <f>'EIA-CHP Table 10'!B5</f>
        <v/>
      </c>
      <c r="C29"/>
      <c r="D29" s="8"/>
      <c r="E29"/>
    </row>
    <row r="30" spans="1:15" x14ac:dyDescent="0.45">
      <c r="B30" t="str">
        <f>'EIA-CHP Table 10'!B6</f>
        <v/>
      </c>
      <c r="D30" s="8" t="s">
        <v>150</v>
      </c>
    </row>
    <row r="31" spans="1:15" x14ac:dyDescent="0.45">
      <c r="D31" s="35" t="s">
        <v>151</v>
      </c>
    </row>
    <row r="32" spans="1:15" x14ac:dyDescent="0.45">
      <c r="D32" s="35" t="s">
        <v>152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workbookViewId="0">
      <selection activeCell="A32" sqref="A32:A34"/>
    </sheetView>
  </sheetViews>
  <sheetFormatPr defaultRowHeight="14.25" x14ac:dyDescent="0.45"/>
  <cols>
    <col min="11" max="11" width="13.265625" customWidth="1"/>
    <col min="12" max="12" width="9.73046875" bestFit="1" customWidth="1"/>
  </cols>
  <sheetData>
    <row r="1" spans="1:12" ht="14.55" x14ac:dyDescent="0.35">
      <c r="A1" t="s">
        <v>158</v>
      </c>
    </row>
    <row r="2" spans="1:12" s="17" customFormat="1" ht="14.55" x14ac:dyDescent="0.35">
      <c r="A2" s="17" t="s">
        <v>159</v>
      </c>
      <c r="K2" s="17" t="s">
        <v>161</v>
      </c>
      <c r="L2" s="17">
        <v>2696</v>
      </c>
    </row>
    <row r="3" spans="1:12" ht="14.55" x14ac:dyDescent="0.35">
      <c r="A3" t="s">
        <v>160</v>
      </c>
      <c r="K3" t="s">
        <v>162</v>
      </c>
      <c r="L3" s="33">
        <f>'EIA-CHP Table 10'!$B$13/1000</f>
        <v>16382.371999999999</v>
      </c>
    </row>
    <row r="4" spans="1:12" ht="14.55" x14ac:dyDescent="0.35">
      <c r="K4" t="s">
        <v>163</v>
      </c>
      <c r="L4">
        <f>(L3-L2)/L3</f>
        <v>0.83543286649820914</v>
      </c>
    </row>
    <row r="31" spans="1:1" x14ac:dyDescent="0.45">
      <c r="A31" s="34"/>
    </row>
    <row r="32" spans="1:1" x14ac:dyDescent="0.45">
      <c r="A32" s="34" t="s">
        <v>155</v>
      </c>
    </row>
    <row r="33" spans="1:1" x14ac:dyDescent="0.45">
      <c r="A33" s="34" t="s">
        <v>156</v>
      </c>
    </row>
    <row r="34" spans="1:1" x14ac:dyDescent="0.45">
      <c r="A34" s="14" t="s">
        <v>157</v>
      </c>
    </row>
  </sheetData>
  <hyperlinks>
    <hyperlink ref="A3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
  <sheetViews>
    <sheetView tabSelected="1" workbookViewId="0">
      <selection activeCell="O4" sqref="O4"/>
    </sheetView>
  </sheetViews>
  <sheetFormatPr defaultRowHeight="14.25" x14ac:dyDescent="0.45"/>
  <cols>
    <col min="1" max="1" width="14" customWidth="1"/>
  </cols>
  <sheetData>
    <row r="1" spans="1:35" ht="14.55" x14ac:dyDescent="0.25">
      <c r="A1" t="s">
        <v>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ht="15" x14ac:dyDescent="0.25">
      <c r="A2" t="s">
        <v>2</v>
      </c>
      <c r="B2" s="5">
        <f>'SB100 RPS and sales adjustment'!B34</f>
        <v>0.15392687614757614</v>
      </c>
      <c r="C2" s="5">
        <f>'SB100 RPS and sales adjustment'!C34</f>
        <v>0.17273646469629689</v>
      </c>
      <c r="D2" s="5">
        <f>'SB100 RPS and sales adjustment'!D34</f>
        <v>0.19637058380347452</v>
      </c>
      <c r="E2" s="5">
        <f>'SB100 RPS and sales adjustment'!E34</f>
        <v>0.22008218010014863</v>
      </c>
      <c r="F2" s="5">
        <f>'SB100 RPS and sales adjustment'!F34</f>
        <v>0.24377641305234626</v>
      </c>
      <c r="G2" s="5">
        <f>'SB100 RPS and sales adjustment'!G34</f>
        <v>0.26741392307084044</v>
      </c>
      <c r="H2" s="5">
        <f>'SB100 RPS and sales adjustment'!H34</f>
        <v>0.29103699972893665</v>
      </c>
      <c r="I2" s="5">
        <f>'SB100 RPS and sales adjustment'!I34</f>
        <v>0.31461494340900287</v>
      </c>
      <c r="J2" s="5">
        <f>'SB100 RPS and sales adjustment'!J34</f>
        <v>0.34308032027524743</v>
      </c>
      <c r="K2" s="5">
        <f>'SB100 RPS and sales adjustment'!K34</f>
        <v>0.37136417005667594</v>
      </c>
      <c r="L2" s="5">
        <f>'SB100 RPS and sales adjustment'!L34</f>
        <v>0.39018940093370985</v>
      </c>
      <c r="M2" s="5">
        <f>'SB100 RPS and sales adjustment'!M34</f>
        <v>0.41518380336910399</v>
      </c>
      <c r="N2" s="5">
        <f>'SB100 RPS and sales adjustment'!N34</f>
        <v>0.44028661207461534</v>
      </c>
      <c r="O2" s="5">
        <f>'SB100 RPS and sales adjustment'!$O$36</f>
        <v>0.46750000000000003</v>
      </c>
      <c r="P2" s="5">
        <v>0</v>
      </c>
      <c r="Q2" s="5">
        <v>0</v>
      </c>
      <c r="R2" s="5">
        <v>0</v>
      </c>
      <c r="S2" s="5">
        <v>0</v>
      </c>
      <c r="T2" s="5">
        <v>0</v>
      </c>
      <c r="U2" s="5">
        <v>0</v>
      </c>
      <c r="V2" s="5">
        <v>0</v>
      </c>
      <c r="W2" s="5">
        <v>0</v>
      </c>
      <c r="X2" s="5">
        <v>0</v>
      </c>
      <c r="Y2" s="5">
        <v>0</v>
      </c>
      <c r="Z2" s="5">
        <v>0</v>
      </c>
      <c r="AA2" s="5">
        <v>0</v>
      </c>
      <c r="AB2" s="5">
        <v>0</v>
      </c>
      <c r="AC2" s="5">
        <v>0</v>
      </c>
      <c r="AD2" s="5">
        <v>0</v>
      </c>
      <c r="AE2" s="5">
        <v>0</v>
      </c>
      <c r="AF2" s="5">
        <f t="shared" ref="Q2:AI2" si="0">AE2</f>
        <v>0</v>
      </c>
      <c r="AG2" s="5">
        <f t="shared" si="0"/>
        <v>0</v>
      </c>
      <c r="AH2" s="5">
        <f t="shared" si="0"/>
        <v>0</v>
      </c>
      <c r="AI2" s="5">
        <f t="shared" si="0"/>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3"/>
  <sheetViews>
    <sheetView topLeftCell="B16" workbookViewId="0">
      <selection activeCell="O36" sqref="O36"/>
    </sheetView>
  </sheetViews>
  <sheetFormatPr defaultColWidth="8.73046875" defaultRowHeight="14.25" x14ac:dyDescent="0.45"/>
  <cols>
    <col min="1" max="1" width="74.73046875" style="8" customWidth="1"/>
    <col min="2" max="2" width="20" style="8" bestFit="1" customWidth="1"/>
    <col min="3" max="4" width="8.73046875" style="8"/>
    <col min="5" max="5" width="12.265625" style="8" bestFit="1" customWidth="1"/>
    <col min="6" max="14" width="8.73046875" style="8"/>
    <col min="15" max="15" width="20" style="8" bestFit="1" customWidth="1"/>
    <col min="16" max="16384" width="8.73046875" style="8"/>
  </cols>
  <sheetData>
    <row r="1" spans="1:35" ht="14.55" x14ac:dyDescent="0.35">
      <c r="A1" s="43" t="s">
        <v>183</v>
      </c>
    </row>
    <row r="2" spans="1:35" ht="14.55" x14ac:dyDescent="0.35">
      <c r="B2" s="8">
        <v>2017</v>
      </c>
      <c r="C2" s="8">
        <f>B2+1</f>
        <v>2018</v>
      </c>
      <c r="D2" s="8">
        <f t="shared" ref="D2:AI2" si="0">C2+1</f>
        <v>2019</v>
      </c>
      <c r="E2" s="8">
        <f t="shared" si="0"/>
        <v>2020</v>
      </c>
      <c r="F2" s="8">
        <f t="shared" si="0"/>
        <v>2021</v>
      </c>
      <c r="G2" s="8">
        <f t="shared" si="0"/>
        <v>2022</v>
      </c>
      <c r="H2" s="8">
        <f t="shared" si="0"/>
        <v>2023</v>
      </c>
      <c r="I2" s="8">
        <f t="shared" si="0"/>
        <v>2024</v>
      </c>
      <c r="J2" s="8">
        <f t="shared" si="0"/>
        <v>2025</v>
      </c>
      <c r="K2" s="8">
        <f t="shared" si="0"/>
        <v>2026</v>
      </c>
      <c r="L2" s="8">
        <f t="shared" si="0"/>
        <v>2027</v>
      </c>
      <c r="M2" s="8">
        <f t="shared" si="0"/>
        <v>2028</v>
      </c>
      <c r="N2" s="8">
        <f t="shared" si="0"/>
        <v>2029</v>
      </c>
      <c r="O2" s="8">
        <f t="shared" si="0"/>
        <v>2030</v>
      </c>
      <c r="P2" s="8">
        <f t="shared" si="0"/>
        <v>2031</v>
      </c>
      <c r="Q2" s="8">
        <f t="shared" si="0"/>
        <v>2032</v>
      </c>
      <c r="R2" s="8">
        <f t="shared" si="0"/>
        <v>2033</v>
      </c>
      <c r="S2" s="8">
        <f t="shared" si="0"/>
        <v>2034</v>
      </c>
      <c r="T2" s="8">
        <f t="shared" si="0"/>
        <v>2035</v>
      </c>
      <c r="U2" s="8">
        <f>T2+1</f>
        <v>2036</v>
      </c>
      <c r="V2" s="8">
        <f t="shared" si="0"/>
        <v>2037</v>
      </c>
      <c r="W2" s="8">
        <f t="shared" si="0"/>
        <v>2038</v>
      </c>
      <c r="X2" s="8">
        <f t="shared" si="0"/>
        <v>2039</v>
      </c>
      <c r="Y2" s="8">
        <f t="shared" si="0"/>
        <v>2040</v>
      </c>
      <c r="Z2" s="8">
        <f t="shared" si="0"/>
        <v>2041</v>
      </c>
      <c r="AA2" s="8">
        <f t="shared" si="0"/>
        <v>2042</v>
      </c>
      <c r="AB2" s="8">
        <f t="shared" si="0"/>
        <v>2043</v>
      </c>
      <c r="AC2" s="8">
        <f t="shared" si="0"/>
        <v>2044</v>
      </c>
      <c r="AD2" s="8">
        <f>AC2+1</f>
        <v>2045</v>
      </c>
      <c r="AE2" s="8">
        <f t="shared" si="0"/>
        <v>2046</v>
      </c>
      <c r="AF2" s="8">
        <f t="shared" si="0"/>
        <v>2047</v>
      </c>
      <c r="AG2" s="8">
        <f t="shared" si="0"/>
        <v>2048</v>
      </c>
      <c r="AH2" s="8">
        <f>AG2+1</f>
        <v>2049</v>
      </c>
      <c r="AI2" s="8">
        <f t="shared" si="0"/>
        <v>2050</v>
      </c>
    </row>
    <row r="3" spans="1:35" ht="14.55" x14ac:dyDescent="0.35">
      <c r="I3" s="8">
        <v>0.44</v>
      </c>
      <c r="K3" s="8">
        <v>0.5</v>
      </c>
      <c r="L3" s="8">
        <v>0.52</v>
      </c>
      <c r="O3" s="8">
        <v>0.6</v>
      </c>
      <c r="AD3" s="8" t="s">
        <v>61</v>
      </c>
    </row>
    <row r="4" spans="1:35" ht="14.55" x14ac:dyDescent="0.35">
      <c r="A4" s="8" t="s">
        <v>16</v>
      </c>
      <c r="B4" s="8">
        <v>0.27</v>
      </c>
      <c r="C4" s="8">
        <v>0.28999999999999998</v>
      </c>
    </row>
    <row r="5" spans="1:35" ht="14.55" x14ac:dyDescent="0.35">
      <c r="D5" s="8">
        <f>C4+($I$3-$C$4)/6</f>
        <v>0.315</v>
      </c>
      <c r="E5" s="8">
        <f>D5+($I$3-$C$4)/6</f>
        <v>0.34</v>
      </c>
      <c r="F5" s="8">
        <f t="shared" ref="F5:I5" si="1">E5+($I$3-$C$4)/6</f>
        <v>0.36500000000000005</v>
      </c>
      <c r="G5" s="8">
        <f t="shared" si="1"/>
        <v>0.39000000000000007</v>
      </c>
      <c r="H5" s="8">
        <f t="shared" si="1"/>
        <v>0.41500000000000009</v>
      </c>
      <c r="I5" s="8">
        <f t="shared" si="1"/>
        <v>0.44000000000000011</v>
      </c>
      <c r="J5" s="8">
        <f>0.47</f>
        <v>0.47</v>
      </c>
      <c r="M5" s="8">
        <f>L3+0.08/3</f>
        <v>0.54666666666666663</v>
      </c>
      <c r="N5" s="8">
        <f>M5+0.08/3</f>
        <v>0.57333333333333325</v>
      </c>
      <c r="O5" s="8">
        <f>N5+0.08/3</f>
        <v>0.59999999999999987</v>
      </c>
    </row>
    <row r="6" spans="1:35" ht="17.2" customHeight="1" x14ac:dyDescent="0.35">
      <c r="A6" s="8" t="s">
        <v>18</v>
      </c>
      <c r="B6" s="8">
        <f>B4</f>
        <v>0.27</v>
      </c>
      <c r="C6" s="8">
        <f>C4</f>
        <v>0.28999999999999998</v>
      </c>
      <c r="D6" s="8">
        <f>D5</f>
        <v>0.315</v>
      </c>
      <c r="E6" s="8">
        <f t="shared" ref="E6:O6" si="2">E5</f>
        <v>0.34</v>
      </c>
      <c r="F6" s="8">
        <f t="shared" si="2"/>
        <v>0.36500000000000005</v>
      </c>
      <c r="G6" s="8">
        <f t="shared" si="2"/>
        <v>0.39000000000000007</v>
      </c>
      <c r="H6" s="8">
        <f t="shared" si="2"/>
        <v>0.41500000000000009</v>
      </c>
      <c r="I6" s="8">
        <f t="shared" si="2"/>
        <v>0.44000000000000011</v>
      </c>
      <c r="J6" s="8">
        <f t="shared" si="2"/>
        <v>0.47</v>
      </c>
      <c r="K6" s="8">
        <f>K3</f>
        <v>0.5</v>
      </c>
      <c r="L6" s="8">
        <f>L3</f>
        <v>0.52</v>
      </c>
      <c r="M6" s="8">
        <f t="shared" si="2"/>
        <v>0.54666666666666663</v>
      </c>
      <c r="N6" s="8">
        <f t="shared" si="2"/>
        <v>0.57333333333333325</v>
      </c>
      <c r="O6" s="8">
        <f t="shared" si="2"/>
        <v>0.59999999999999987</v>
      </c>
      <c r="P6" s="8">
        <f>O6</f>
        <v>0.59999999999999987</v>
      </c>
      <c r="Q6" s="8">
        <f t="shared" ref="Q6:AI6" si="3">P6</f>
        <v>0.59999999999999987</v>
      </c>
      <c r="R6" s="8">
        <f t="shared" si="3"/>
        <v>0.59999999999999987</v>
      </c>
      <c r="S6" s="8">
        <f t="shared" si="3"/>
        <v>0.59999999999999987</v>
      </c>
      <c r="T6" s="8">
        <f t="shared" si="3"/>
        <v>0.59999999999999987</v>
      </c>
      <c r="U6" s="8">
        <f t="shared" si="3"/>
        <v>0.59999999999999987</v>
      </c>
      <c r="V6" s="8">
        <f t="shared" si="3"/>
        <v>0.59999999999999987</v>
      </c>
      <c r="W6" s="8">
        <f t="shared" si="3"/>
        <v>0.59999999999999987</v>
      </c>
      <c r="X6" s="8">
        <f t="shared" si="3"/>
        <v>0.59999999999999987</v>
      </c>
      <c r="Y6" s="8">
        <f t="shared" si="3"/>
        <v>0.59999999999999987</v>
      </c>
      <c r="Z6" s="8">
        <f t="shared" si="3"/>
        <v>0.59999999999999987</v>
      </c>
      <c r="AA6" s="8">
        <f t="shared" si="3"/>
        <v>0.59999999999999987</v>
      </c>
      <c r="AB6" s="8">
        <f t="shared" si="3"/>
        <v>0.59999999999999987</v>
      </c>
      <c r="AC6" s="8">
        <f t="shared" si="3"/>
        <v>0.59999999999999987</v>
      </c>
      <c r="AD6" s="8">
        <f t="shared" si="3"/>
        <v>0.59999999999999987</v>
      </c>
      <c r="AE6" s="8">
        <f t="shared" si="3"/>
        <v>0.59999999999999987</v>
      </c>
      <c r="AF6" s="8">
        <f t="shared" si="3"/>
        <v>0.59999999999999987</v>
      </c>
      <c r="AG6" s="8">
        <f t="shared" si="3"/>
        <v>0.59999999999999987</v>
      </c>
      <c r="AH6" s="8">
        <f t="shared" si="3"/>
        <v>0.59999999999999987</v>
      </c>
      <c r="AI6" s="8">
        <f t="shared" si="3"/>
        <v>0.59999999999999987</v>
      </c>
    </row>
    <row r="7" spans="1:35" ht="17.2" customHeight="1" x14ac:dyDescent="0.35"/>
    <row r="8" spans="1:35" ht="17.2" customHeight="1" x14ac:dyDescent="0.35">
      <c r="A8" s="43" t="s">
        <v>196</v>
      </c>
    </row>
    <row r="9" spans="1:35" ht="17.2" customHeight="1" x14ac:dyDescent="0.35">
      <c r="A9" s="8" t="s">
        <v>197</v>
      </c>
      <c r="B9" s="19">
        <f>B6*B19</f>
        <v>76529755.800000012</v>
      </c>
      <c r="C9" s="19">
        <f t="shared" ref="C9:O9" si="4">C6*C19</f>
        <v>82005791.099999994</v>
      </c>
      <c r="D9" s="19">
        <f t="shared" si="4"/>
        <v>88919406.450000003</v>
      </c>
      <c r="E9" s="19">
        <f t="shared" si="4"/>
        <v>95880377.400000006</v>
      </c>
      <c r="F9" s="19">
        <f t="shared" si="4"/>
        <v>102810239.85000001</v>
      </c>
      <c r="G9" s="19">
        <f t="shared" si="4"/>
        <v>109664158.50000001</v>
      </c>
      <c r="H9" s="19">
        <f t="shared" si="4"/>
        <v>116478552.15000002</v>
      </c>
      <c r="I9" s="19">
        <f t="shared" si="4"/>
        <v>123214621.20000003</v>
      </c>
      <c r="J9" s="19">
        <f t="shared" si="4"/>
        <v>131473123.5</v>
      </c>
      <c r="K9" s="19">
        <f t="shared" si="4"/>
        <v>139472100</v>
      </c>
      <c r="L9" s="19">
        <f t="shared" si="4"/>
        <v>144737611.20000002</v>
      </c>
      <c r="M9" s="19">
        <f t="shared" si="4"/>
        <v>151570817.19999999</v>
      </c>
      <c r="N9" s="19">
        <f t="shared" si="4"/>
        <v>158513428.39999998</v>
      </c>
      <c r="O9" s="19">
        <f t="shared" si="4"/>
        <v>165954221.99999997</v>
      </c>
    </row>
    <row r="10" spans="1:35" ht="14.55" x14ac:dyDescent="0.35">
      <c r="A10" s="8" t="s">
        <v>198</v>
      </c>
      <c r="B10" s="19">
        <f t="shared" ref="B10:O10" si="5">B9*B23</f>
        <v>72903978.676410541</v>
      </c>
      <c r="C10" s="19">
        <f t="shared" si="5"/>
        <v>78120573.928403616</v>
      </c>
      <c r="D10" s="19">
        <f t="shared" si="5"/>
        <v>84706640.495380759</v>
      </c>
      <c r="E10" s="19">
        <f t="shared" si="5"/>
        <v>91337819.079461828</v>
      </c>
      <c r="F10" s="19">
        <f t="shared" si="5"/>
        <v>97939363.001875043</v>
      </c>
      <c r="G10" s="19">
        <f t="shared" si="5"/>
        <v>104468561.14037809</v>
      </c>
      <c r="H10" s="19">
        <f t="shared" si="5"/>
        <v>110960106.86869033</v>
      </c>
      <c r="I10" s="19">
        <f t="shared" si="5"/>
        <v>117377038.80909029</v>
      </c>
      <c r="J10" s="19">
        <f t="shared" si="5"/>
        <v>125244275.14461097</v>
      </c>
      <c r="K10" s="19">
        <f t="shared" si="5"/>
        <v>132864281.32512343</v>
      </c>
      <c r="L10" s="19">
        <f t="shared" si="5"/>
        <v>137880326.55135426</v>
      </c>
      <c r="M10" s="19">
        <f t="shared" si="5"/>
        <v>144389793.3503522</v>
      </c>
      <c r="N10" s="19">
        <f t="shared" si="5"/>
        <v>151003482.02075833</v>
      </c>
      <c r="O10" s="19">
        <f t="shared" si="5"/>
        <v>158091750.52860022</v>
      </c>
    </row>
    <row r="13" spans="1:35" s="51" customFormat="1" ht="14.55" x14ac:dyDescent="0.35"/>
    <row r="14" spans="1:35" ht="14.55" x14ac:dyDescent="0.35">
      <c r="A14" s="43" t="s">
        <v>200</v>
      </c>
    </row>
    <row r="15" spans="1:35" ht="14.55" x14ac:dyDescent="0.35">
      <c r="A15" s="8" t="s">
        <v>187</v>
      </c>
    </row>
    <row r="17" spans="1:36" ht="14.55" x14ac:dyDescent="0.35">
      <c r="A17" s="8" t="s">
        <v>45</v>
      </c>
      <c r="B17" s="8">
        <v>2017</v>
      </c>
      <c r="C17" s="8">
        <v>2018</v>
      </c>
      <c r="D17" s="8">
        <v>2019</v>
      </c>
      <c r="E17" s="8">
        <v>2020</v>
      </c>
      <c r="F17" s="8">
        <v>2021</v>
      </c>
      <c r="G17" s="8">
        <v>2022</v>
      </c>
      <c r="H17" s="8">
        <v>2023</v>
      </c>
      <c r="I17" s="8">
        <v>2024</v>
      </c>
      <c r="J17" s="8">
        <v>2025</v>
      </c>
      <c r="K17" s="8">
        <v>2026</v>
      </c>
      <c r="L17" s="8">
        <v>2027</v>
      </c>
      <c r="M17" s="8">
        <v>2028</v>
      </c>
      <c r="N17" s="8">
        <v>2029</v>
      </c>
      <c r="O17" s="8">
        <v>2030</v>
      </c>
      <c r="P17" s="8">
        <v>2031</v>
      </c>
      <c r="Q17" s="8">
        <v>2032</v>
      </c>
      <c r="R17" s="8">
        <v>2033</v>
      </c>
      <c r="S17" s="8">
        <v>2034</v>
      </c>
      <c r="T17" s="8">
        <v>2035</v>
      </c>
      <c r="U17" s="8">
        <v>2036</v>
      </c>
      <c r="V17" s="8">
        <v>2037</v>
      </c>
      <c r="W17" s="8">
        <v>2038</v>
      </c>
      <c r="X17" s="8">
        <v>2039</v>
      </c>
      <c r="Y17" s="8">
        <v>2040</v>
      </c>
      <c r="Z17" s="8">
        <v>2041</v>
      </c>
      <c r="AA17" s="8">
        <v>2042</v>
      </c>
      <c r="AB17" s="8">
        <v>2043</v>
      </c>
      <c r="AC17" s="8">
        <v>2044</v>
      </c>
      <c r="AD17" s="8">
        <v>2045</v>
      </c>
      <c r="AE17" s="8">
        <v>2046</v>
      </c>
      <c r="AF17" s="8">
        <v>2047</v>
      </c>
      <c r="AG17" s="8">
        <v>2048</v>
      </c>
      <c r="AH17" s="8">
        <v>2049</v>
      </c>
      <c r="AI17" s="8">
        <v>2050</v>
      </c>
    </row>
    <row r="18" spans="1:36" ht="14.55" x14ac:dyDescent="0.35">
      <c r="A18" s="8" t="s">
        <v>189</v>
      </c>
      <c r="B18" s="19">
        <v>304778000</v>
      </c>
      <c r="C18" s="19">
        <v>304063000</v>
      </c>
      <c r="D18" s="19">
        <v>303531000</v>
      </c>
      <c r="E18" s="19">
        <v>303227000</v>
      </c>
      <c r="F18" s="19">
        <v>302873000</v>
      </c>
      <c r="G18" s="19">
        <v>302355000</v>
      </c>
      <c r="H18" s="19">
        <v>301797000</v>
      </c>
      <c r="I18" s="19">
        <v>301111000</v>
      </c>
      <c r="J18" s="19">
        <v>300785000</v>
      </c>
      <c r="K18" s="19">
        <v>299940000</v>
      </c>
      <c r="L18" s="19">
        <v>299292000</v>
      </c>
      <c r="M18" s="19">
        <v>298133000</v>
      </c>
      <c r="N18" s="19">
        <v>297287000</v>
      </c>
      <c r="O18" s="19">
        <v>297409000</v>
      </c>
      <c r="P18" s="19">
        <v>297129000</v>
      </c>
      <c r="Q18" s="19">
        <v>297379000</v>
      </c>
      <c r="R18" s="19">
        <v>297426000</v>
      </c>
      <c r="S18" s="19">
        <v>297993000</v>
      </c>
      <c r="T18" s="19">
        <v>298455000</v>
      </c>
      <c r="U18" s="19">
        <v>299552000</v>
      </c>
      <c r="V18" s="19">
        <v>300720000</v>
      </c>
      <c r="W18" s="19">
        <v>302512000</v>
      </c>
      <c r="X18" s="19">
        <v>304416000</v>
      </c>
      <c r="Y18" s="19">
        <v>306937000</v>
      </c>
      <c r="Z18" s="19">
        <v>309582000</v>
      </c>
      <c r="AA18" s="19">
        <v>312544000</v>
      </c>
      <c r="AB18" s="19">
        <v>316110000</v>
      </c>
      <c r="AC18" s="19">
        <v>319655000</v>
      </c>
      <c r="AD18" s="19">
        <v>323651000</v>
      </c>
      <c r="AE18" s="19">
        <v>327380000</v>
      </c>
      <c r="AF18" s="19">
        <v>331403000</v>
      </c>
      <c r="AG18" s="19">
        <v>334988000</v>
      </c>
      <c r="AH18" s="19">
        <v>338755000</v>
      </c>
      <c r="AI18" s="19">
        <v>341987000</v>
      </c>
    </row>
    <row r="19" spans="1:36" ht="14.55" x14ac:dyDescent="0.35">
      <c r="A19" s="8" t="s">
        <v>193</v>
      </c>
      <c r="B19" s="19">
        <f>B18-B18*0.07</f>
        <v>283443540</v>
      </c>
      <c r="C19" s="19">
        <f t="shared" ref="C19:AI19" si="6">C18-C18*0.07</f>
        <v>282778590</v>
      </c>
      <c r="D19" s="19">
        <f t="shared" si="6"/>
        <v>282283830</v>
      </c>
      <c r="E19" s="19">
        <f t="shared" si="6"/>
        <v>282001110</v>
      </c>
      <c r="F19" s="19">
        <f t="shared" si="6"/>
        <v>281671890</v>
      </c>
      <c r="G19" s="19">
        <f t="shared" si="6"/>
        <v>281190150</v>
      </c>
      <c r="H19" s="19">
        <f t="shared" si="6"/>
        <v>280671210</v>
      </c>
      <c r="I19" s="19">
        <f t="shared" si="6"/>
        <v>280033230</v>
      </c>
      <c r="J19" s="19">
        <f t="shared" si="6"/>
        <v>279730050</v>
      </c>
      <c r="K19" s="19">
        <f t="shared" si="6"/>
        <v>278944200</v>
      </c>
      <c r="L19" s="19">
        <f t="shared" si="6"/>
        <v>278341560</v>
      </c>
      <c r="M19" s="19">
        <f t="shared" si="6"/>
        <v>277263690</v>
      </c>
      <c r="N19" s="19">
        <f t="shared" si="6"/>
        <v>276476910</v>
      </c>
      <c r="O19" s="19">
        <f t="shared" si="6"/>
        <v>276590370</v>
      </c>
      <c r="P19" s="19">
        <f t="shared" si="6"/>
        <v>276329970</v>
      </c>
      <c r="Q19" s="19">
        <f t="shared" si="6"/>
        <v>276562470</v>
      </c>
      <c r="R19" s="19">
        <f t="shared" si="6"/>
        <v>276606180</v>
      </c>
      <c r="S19" s="19">
        <f t="shared" si="6"/>
        <v>277133490</v>
      </c>
      <c r="T19" s="19">
        <f t="shared" si="6"/>
        <v>277563150</v>
      </c>
      <c r="U19" s="19">
        <f t="shared" si="6"/>
        <v>278583360</v>
      </c>
      <c r="V19" s="19">
        <f t="shared" si="6"/>
        <v>279669600</v>
      </c>
      <c r="W19" s="19">
        <f t="shared" si="6"/>
        <v>281336160</v>
      </c>
      <c r="X19" s="19">
        <f t="shared" si="6"/>
        <v>283106880</v>
      </c>
      <c r="Y19" s="19">
        <f t="shared" si="6"/>
        <v>285451410</v>
      </c>
      <c r="Z19" s="19">
        <f t="shared" si="6"/>
        <v>287911260</v>
      </c>
      <c r="AA19" s="19">
        <f t="shared" si="6"/>
        <v>290665920</v>
      </c>
      <c r="AB19" s="19">
        <f t="shared" si="6"/>
        <v>293982300</v>
      </c>
      <c r="AC19" s="19">
        <f t="shared" si="6"/>
        <v>297279150</v>
      </c>
      <c r="AD19" s="19">
        <f t="shared" si="6"/>
        <v>300995430</v>
      </c>
      <c r="AE19" s="19">
        <f t="shared" si="6"/>
        <v>304463400</v>
      </c>
      <c r="AF19" s="19">
        <f t="shared" si="6"/>
        <v>308204790</v>
      </c>
      <c r="AG19" s="19">
        <f t="shared" si="6"/>
        <v>311538840</v>
      </c>
      <c r="AH19" s="19">
        <f t="shared" si="6"/>
        <v>315042150</v>
      </c>
      <c r="AI19" s="19">
        <f t="shared" si="6"/>
        <v>318047910</v>
      </c>
    </row>
    <row r="21" spans="1:36" ht="14.55" x14ac:dyDescent="0.35">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spans="1:36" ht="14.55" x14ac:dyDescent="0.35">
      <c r="A22" s="43" t="s">
        <v>201</v>
      </c>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spans="1:36" ht="14.55" x14ac:dyDescent="0.35">
      <c r="A23" s="8" t="s">
        <v>192</v>
      </c>
      <c r="B23" s="45">
        <f>'EIA-CHP Table 10'!$B$36</f>
        <v>0.95262264872417801</v>
      </c>
      <c r="C23" s="45">
        <f>'EIA-CHP Table 10'!$B$36</f>
        <v>0.95262264872417801</v>
      </c>
      <c r="D23" s="45">
        <f>'EIA-CHP Table 10'!$B$36</f>
        <v>0.95262264872417801</v>
      </c>
      <c r="E23" s="45">
        <f>'EIA-CHP Table 10'!$B$36</f>
        <v>0.95262264872417801</v>
      </c>
      <c r="F23" s="45">
        <f>'EIA-CHP Table 10'!$B$36</f>
        <v>0.95262264872417801</v>
      </c>
      <c r="G23" s="45">
        <f>'EIA-CHP Table 10'!$B$36</f>
        <v>0.95262264872417801</v>
      </c>
      <c r="H23" s="45">
        <f>'EIA-CHP Table 10'!$B$36</f>
        <v>0.95262264872417801</v>
      </c>
      <c r="I23" s="45">
        <f>'EIA-CHP Table 10'!$B$36</f>
        <v>0.95262264872417801</v>
      </c>
      <c r="J23" s="45">
        <f>'EIA-CHP Table 10'!$B$36</f>
        <v>0.95262264872417801</v>
      </c>
      <c r="K23" s="45">
        <f>'EIA-CHP Table 10'!$B$36</f>
        <v>0.95262264872417801</v>
      </c>
      <c r="L23" s="45">
        <f>'EIA-CHP Table 10'!$B$36</f>
        <v>0.95262264872417801</v>
      </c>
      <c r="M23" s="45">
        <f>'EIA-CHP Table 10'!$B$36</f>
        <v>0.95262264872417801</v>
      </c>
      <c r="N23" s="45">
        <f>'EIA-CHP Table 10'!$B$36</f>
        <v>0.95262264872417801</v>
      </c>
      <c r="O23" s="45">
        <f>'EIA-CHP Table 10'!$B$36</f>
        <v>0.95262264872417801</v>
      </c>
      <c r="P23" s="45">
        <f>'EIA-CHP Table 10'!$B$36</f>
        <v>0.95262264872417801</v>
      </c>
      <c r="Q23" s="45">
        <f>'EIA-CHP Table 10'!$B$36</f>
        <v>0.95262264872417801</v>
      </c>
      <c r="R23" s="45">
        <f>'EIA-CHP Table 10'!$B$36</f>
        <v>0.95262264872417801</v>
      </c>
      <c r="S23" s="45">
        <f>'EIA-CHP Table 10'!$B$36</f>
        <v>0.95262264872417801</v>
      </c>
      <c r="T23" s="45">
        <f>'EIA-CHP Table 10'!$B$36</f>
        <v>0.95262264872417801</v>
      </c>
      <c r="U23" s="45">
        <f>'EIA-CHP Table 10'!$B$36</f>
        <v>0.95262264872417801</v>
      </c>
      <c r="V23" s="45">
        <f>'EIA-CHP Table 10'!$B$36</f>
        <v>0.95262264872417801</v>
      </c>
      <c r="W23" s="45">
        <f>'EIA-CHP Table 10'!$B$36</f>
        <v>0.95262264872417801</v>
      </c>
      <c r="X23" s="45">
        <f>'EIA-CHP Table 10'!$B$36</f>
        <v>0.95262264872417801</v>
      </c>
      <c r="Y23" s="45">
        <f>'EIA-CHP Table 10'!$B$36</f>
        <v>0.95262264872417801</v>
      </c>
      <c r="Z23" s="45">
        <f>'EIA-CHP Table 10'!$B$36</f>
        <v>0.95262264872417801</v>
      </c>
      <c r="AA23" s="45">
        <f>'EIA-CHP Table 10'!$B$36</f>
        <v>0.95262264872417801</v>
      </c>
      <c r="AB23" s="45">
        <f>'EIA-CHP Table 10'!$B$36</f>
        <v>0.95262264872417801</v>
      </c>
      <c r="AC23" s="45">
        <f>'EIA-CHP Table 10'!$B$36</f>
        <v>0.95262264872417801</v>
      </c>
      <c r="AD23" s="45">
        <f>'EIA-CHP Table 10'!$B$36</f>
        <v>0.95262264872417801</v>
      </c>
      <c r="AE23" s="45">
        <f>'EIA-CHP Table 10'!$B$36</f>
        <v>0.95262264872417801</v>
      </c>
      <c r="AF23" s="45">
        <f>'EIA-CHP Table 10'!$B$36</f>
        <v>0.95262264872417801</v>
      </c>
      <c r="AG23" s="45">
        <f>'EIA-CHP Table 10'!$B$36</f>
        <v>0.95262264872417801</v>
      </c>
      <c r="AH23" s="45">
        <f>'EIA-CHP Table 10'!$B$36</f>
        <v>0.95262264872417801</v>
      </c>
      <c r="AI23" s="45">
        <f>'EIA-CHP Table 10'!$B$36</f>
        <v>0.95262264872417801</v>
      </c>
    </row>
    <row r="24" spans="1:36" ht="14.55" x14ac:dyDescent="0.35">
      <c r="A24" s="8" t="s">
        <v>199</v>
      </c>
      <c r="B24" s="47">
        <f t="shared" ref="B24:AI24" si="7">B23*B19</f>
        <v>270014735.83855748</v>
      </c>
      <c r="C24" s="47">
        <f t="shared" si="7"/>
        <v>269381289.40828836</v>
      </c>
      <c r="D24" s="47">
        <f t="shared" si="7"/>
        <v>268909969.82660556</v>
      </c>
      <c r="E24" s="47">
        <f t="shared" si="7"/>
        <v>268640644.35135829</v>
      </c>
      <c r="F24" s="47">
        <f t="shared" si="7"/>
        <v>268327021.92294532</v>
      </c>
      <c r="G24" s="47">
        <f t="shared" si="7"/>
        <v>267868105.48814893</v>
      </c>
      <c r="H24" s="47">
        <f t="shared" si="7"/>
        <v>267373751.49081999</v>
      </c>
      <c r="I24" s="47">
        <f t="shared" si="7"/>
        <v>266765997.29338694</v>
      </c>
      <c r="J24" s="47">
        <f t="shared" si="7"/>
        <v>266477181.15874675</v>
      </c>
      <c r="K24" s="47">
        <f t="shared" si="7"/>
        <v>265728562.65024686</v>
      </c>
      <c r="L24" s="47">
        <f t="shared" si="7"/>
        <v>265154474.13721973</v>
      </c>
      <c r="M24" s="47">
        <f t="shared" si="7"/>
        <v>264127670.76283938</v>
      </c>
      <c r="N24" s="47">
        <f t="shared" si="7"/>
        <v>263378166.31527618</v>
      </c>
      <c r="O24" s="47">
        <f t="shared" si="7"/>
        <v>263486250.88100043</v>
      </c>
      <c r="P24" s="47">
        <f t="shared" si="7"/>
        <v>263238187.94327265</v>
      </c>
      <c r="Q24" s="47">
        <f t="shared" si="7"/>
        <v>263459672.70910102</v>
      </c>
      <c r="R24" s="47">
        <f t="shared" si="7"/>
        <v>263501311.84507674</v>
      </c>
      <c r="S24" s="47">
        <f t="shared" si="7"/>
        <v>264003639.2939755</v>
      </c>
      <c r="T24" s="47">
        <f t="shared" si="7"/>
        <v>264412943.14122632</v>
      </c>
      <c r="U24" s="47">
        <f t="shared" si="7"/>
        <v>265384818.29368123</v>
      </c>
      <c r="V24" s="47">
        <f t="shared" si="7"/>
        <v>266419595.11963138</v>
      </c>
      <c r="W24" s="47">
        <f t="shared" si="7"/>
        <v>268007197.92108914</v>
      </c>
      <c r="X24" s="47">
        <f t="shared" si="7"/>
        <v>269694025.89763802</v>
      </c>
      <c r="Y24" s="47">
        <f t="shared" si="7"/>
        <v>271927478.27625132</v>
      </c>
      <c r="Z24" s="47">
        <f t="shared" si="7"/>
        <v>274270787.09871548</v>
      </c>
      <c r="AA24" s="47">
        <f t="shared" si="7"/>
        <v>276894938.60425001</v>
      </c>
      <c r="AB24" s="47">
        <f t="shared" si="7"/>
        <v>280054197.30402589</v>
      </c>
      <c r="AC24" s="47">
        <f t="shared" si="7"/>
        <v>283194851.28347224</v>
      </c>
      <c r="AD24" s="47">
        <f t="shared" si="7"/>
        <v>286735063.78047293</v>
      </c>
      <c r="AE24" s="47">
        <f t="shared" si="7"/>
        <v>290038730.54756892</v>
      </c>
      <c r="AF24" s="47">
        <f t="shared" si="7"/>
        <v>293602863.39927906</v>
      </c>
      <c r="AG24" s="47">
        <f t="shared" si="7"/>
        <v>296778954.94125789</v>
      </c>
      <c r="AH24" s="47">
        <f t="shared" si="7"/>
        <v>300116287.3927598</v>
      </c>
      <c r="AI24" s="47">
        <f t="shared" si="7"/>
        <v>302979642.44538897</v>
      </c>
    </row>
    <row r="25" spans="1:36" ht="14.55" x14ac:dyDescent="0.35">
      <c r="B25" s="45"/>
      <c r="C25" s="45"/>
      <c r="D25" s="45"/>
      <c r="E25" s="45"/>
      <c r="F25" s="45"/>
      <c r="G25" s="45"/>
      <c r="H25" s="45"/>
      <c r="I25" s="45"/>
      <c r="J25" s="45"/>
      <c r="K25" s="45"/>
      <c r="L25" s="45"/>
      <c r="M25" s="45"/>
      <c r="N25" s="45"/>
      <c r="O25" s="45"/>
      <c r="P25" s="46"/>
      <c r="Q25" s="46"/>
      <c r="R25" s="46"/>
      <c r="S25" s="46"/>
      <c r="T25" s="46"/>
      <c r="U25" s="46"/>
      <c r="V25" s="46"/>
      <c r="W25" s="46"/>
      <c r="X25" s="46"/>
      <c r="Y25" s="46"/>
      <c r="Z25" s="46"/>
      <c r="AA25" s="46"/>
      <c r="AB25" s="46"/>
      <c r="AC25" s="46"/>
      <c r="AD25" s="46"/>
      <c r="AE25" s="46"/>
      <c r="AF25" s="46"/>
      <c r="AG25" s="46"/>
      <c r="AH25" s="46"/>
      <c r="AI25" s="46"/>
    </row>
    <row r="26" spans="1:36" s="43" customFormat="1" ht="14.55" x14ac:dyDescent="0.35">
      <c r="A26" s="43" t="s">
        <v>191</v>
      </c>
    </row>
    <row r="27" spans="1:36" s="51" customFormat="1" ht="14.55" x14ac:dyDescent="0.35"/>
    <row r="28" spans="1:36" s="51" customFormat="1" ht="14.55" x14ac:dyDescent="0.35">
      <c r="A28" s="8" t="s">
        <v>190</v>
      </c>
      <c r="B28" s="19">
        <f>'Account for imports+small hydro'!B34</f>
        <v>29274400</v>
      </c>
      <c r="C28" s="19">
        <f>'Account for imports+small hydro'!C34</f>
        <v>29274400</v>
      </c>
      <c r="D28" s="19">
        <f>'Account for imports+small hydro'!D34</f>
        <v>29274400</v>
      </c>
      <c r="E28" s="19">
        <f>'Account for imports+small hydro'!E34</f>
        <v>29274400</v>
      </c>
      <c r="F28" s="19">
        <f>'Account for imports+small hydro'!F34</f>
        <v>29274400</v>
      </c>
      <c r="G28" s="19">
        <f>'Account for imports+small hydro'!G34</f>
        <v>29274400</v>
      </c>
      <c r="H28" s="19">
        <f>'Account for imports+small hydro'!H34</f>
        <v>29274400</v>
      </c>
      <c r="I28" s="19">
        <f>'Account for imports+small hydro'!I34</f>
        <v>29274400</v>
      </c>
      <c r="J28" s="19">
        <f>'Account for imports+small hydro'!J34</f>
        <v>29274400</v>
      </c>
      <c r="K28" s="19">
        <f>'Account for imports+small hydro'!K34</f>
        <v>29274400</v>
      </c>
      <c r="L28" s="19">
        <f>'Account for imports+small hydro'!L34</f>
        <v>29274400</v>
      </c>
      <c r="M28" s="19">
        <f>'Account for imports+small hydro'!M34</f>
        <v>29274400</v>
      </c>
      <c r="N28" s="19">
        <f>'Account for imports+small hydro'!N34</f>
        <v>29274400</v>
      </c>
      <c r="O28" s="19">
        <f>'Account for imports+small hydro'!O34</f>
        <v>29274400</v>
      </c>
      <c r="P28" s="19">
        <f>'Account for imports+small hydro'!P34</f>
        <v>29274400</v>
      </c>
      <c r="Q28" s="19">
        <f>'Account for imports+small hydro'!Q34</f>
        <v>29274400</v>
      </c>
      <c r="R28" s="19">
        <f>'Account for imports+small hydro'!R34</f>
        <v>29274400</v>
      </c>
      <c r="S28" s="19">
        <f>'Account for imports+small hydro'!S34</f>
        <v>29274400</v>
      </c>
      <c r="T28" s="19">
        <f>'Account for imports+small hydro'!T34</f>
        <v>29274400</v>
      </c>
      <c r="U28" s="19">
        <f>'Account for imports+small hydro'!U34</f>
        <v>29274400</v>
      </c>
      <c r="V28" s="19">
        <f>'Account for imports+small hydro'!V34</f>
        <v>29274400</v>
      </c>
      <c r="W28" s="19">
        <f>'Account for imports+small hydro'!W34</f>
        <v>29274400</v>
      </c>
      <c r="X28" s="19">
        <f>'Account for imports+small hydro'!X34</f>
        <v>29274400</v>
      </c>
      <c r="Y28" s="19">
        <f>'Account for imports+small hydro'!Y34</f>
        <v>29274400</v>
      </c>
      <c r="Z28" s="19">
        <f>'Account for imports+small hydro'!Z34</f>
        <v>29274400</v>
      </c>
      <c r="AA28" s="19">
        <f>'Account for imports+small hydro'!AA34</f>
        <v>29274400</v>
      </c>
      <c r="AB28" s="19">
        <f>'Account for imports+small hydro'!AB34</f>
        <v>29274400</v>
      </c>
      <c r="AC28" s="19">
        <f>'Account for imports+small hydro'!AC34</f>
        <v>29274400</v>
      </c>
      <c r="AD28" s="19">
        <f>'Account for imports+small hydro'!AD34</f>
        <v>29274400</v>
      </c>
      <c r="AE28" s="19">
        <f>'Account for imports+small hydro'!AE34</f>
        <v>29274400</v>
      </c>
      <c r="AF28" s="19">
        <f>'Account for imports+small hydro'!AF34</f>
        <v>29274400</v>
      </c>
      <c r="AG28" s="19">
        <f>'Account for imports+small hydro'!AG34</f>
        <v>29274400</v>
      </c>
      <c r="AH28" s="19">
        <f>'Account for imports+small hydro'!AH34</f>
        <v>29274400</v>
      </c>
      <c r="AI28" s="19">
        <f>'Account for imports+small hydro'!AI34</f>
        <v>29274400</v>
      </c>
    </row>
    <row r="29" spans="1:36" s="51" customFormat="1" ht="14.55" x14ac:dyDescent="0.35"/>
    <row r="30" spans="1:36" ht="14.55" x14ac:dyDescent="0.35">
      <c r="A30" s="8" t="s">
        <v>188</v>
      </c>
      <c r="B30" s="19">
        <f t="shared" ref="B30:O30" si="8">B10-B28</f>
        <v>43629578.676410541</v>
      </c>
      <c r="C30" s="19">
        <f t="shared" si="8"/>
        <v>48846173.928403616</v>
      </c>
      <c r="D30" s="19">
        <f t="shared" si="8"/>
        <v>55432240.495380759</v>
      </c>
      <c r="E30" s="19">
        <f t="shared" si="8"/>
        <v>62063419.079461828</v>
      </c>
      <c r="F30" s="19">
        <f t="shared" si="8"/>
        <v>68664963.001875043</v>
      </c>
      <c r="G30" s="19">
        <f t="shared" si="8"/>
        <v>75194161.140378088</v>
      </c>
      <c r="H30" s="19">
        <f t="shared" si="8"/>
        <v>81685706.868690327</v>
      </c>
      <c r="I30" s="19">
        <f t="shared" si="8"/>
        <v>88102638.809090286</v>
      </c>
      <c r="J30" s="19">
        <f t="shared" si="8"/>
        <v>95969875.144610971</v>
      </c>
      <c r="K30" s="19">
        <f t="shared" si="8"/>
        <v>103589881.32512343</v>
      </c>
      <c r="L30" s="19">
        <f t="shared" si="8"/>
        <v>108605926.55135426</v>
      </c>
      <c r="M30" s="19">
        <f t="shared" si="8"/>
        <v>115115393.3503522</v>
      </c>
      <c r="N30" s="19">
        <f t="shared" si="8"/>
        <v>121729082.02075833</v>
      </c>
      <c r="O30" s="19">
        <f t="shared" si="8"/>
        <v>128817350.52860022</v>
      </c>
      <c r="P30" s="19"/>
      <c r="Q30" s="19"/>
      <c r="R30" s="19"/>
      <c r="S30" s="19"/>
      <c r="T30" s="19"/>
      <c r="U30" s="19"/>
      <c r="V30" s="19"/>
      <c r="W30" s="19"/>
      <c r="X30" s="19"/>
      <c r="Y30" s="19"/>
      <c r="Z30" s="19"/>
      <c r="AA30" s="19"/>
      <c r="AB30" s="19"/>
      <c r="AC30" s="19"/>
      <c r="AD30" s="19"/>
      <c r="AE30" s="19"/>
      <c r="AF30" s="19"/>
      <c r="AG30" s="19"/>
      <c r="AH30" s="19"/>
      <c r="AI30" s="19"/>
      <c r="AJ30" s="19"/>
    </row>
    <row r="31" spans="1:36" ht="14.55" x14ac:dyDescent="0.35">
      <c r="A31" s="8" t="s">
        <v>202</v>
      </c>
      <c r="B31" s="19"/>
      <c r="C31" s="19"/>
      <c r="D31" s="19"/>
      <c r="E31" s="45">
        <v>5.7196877175199803E-3</v>
      </c>
      <c r="F31" s="45">
        <f>($O$31-$E$31)/10+E31</f>
        <v>1.0242676826945832E-2</v>
      </c>
      <c r="G31" s="45">
        <f t="shared" ref="G31:N31" si="9">($O$31-$E$31)/10+F31</f>
        <v>1.4765665936371684E-2</v>
      </c>
      <c r="H31" s="45">
        <f t="shared" si="9"/>
        <v>1.9288655045797534E-2</v>
      </c>
      <c r="I31" s="45">
        <f t="shared" si="9"/>
        <v>2.3811644155223386E-2</v>
      </c>
      <c r="J31" s="45">
        <f t="shared" si="9"/>
        <v>2.8334633264649238E-2</v>
      </c>
      <c r="K31" s="45">
        <f t="shared" si="9"/>
        <v>3.2857622374075093E-2</v>
      </c>
      <c r="L31" s="45">
        <f t="shared" si="9"/>
        <v>3.7380611483500942E-2</v>
      </c>
      <c r="M31" s="45">
        <f t="shared" si="9"/>
        <v>4.190360059292679E-2</v>
      </c>
      <c r="N31" s="45">
        <f t="shared" si="9"/>
        <v>4.6426589702352639E-2</v>
      </c>
      <c r="O31" s="45">
        <v>5.0949578811778501E-2</v>
      </c>
      <c r="P31" s="19"/>
      <c r="Q31" s="19"/>
      <c r="R31" s="19"/>
      <c r="S31" s="19"/>
      <c r="T31" s="19"/>
      <c r="U31" s="19"/>
      <c r="V31" s="19"/>
      <c r="W31" s="19"/>
      <c r="X31" s="19"/>
      <c r="Y31" s="19"/>
      <c r="Z31" s="19"/>
      <c r="AA31" s="19"/>
      <c r="AB31" s="19"/>
      <c r="AC31" s="19"/>
      <c r="AD31" s="19"/>
      <c r="AE31" s="19"/>
      <c r="AF31" s="19"/>
      <c r="AG31" s="19"/>
      <c r="AH31" s="19"/>
      <c r="AI31" s="19"/>
      <c r="AJ31" s="19"/>
    </row>
    <row r="32" spans="1:36" ht="14.55" x14ac:dyDescent="0.35">
      <c r="A32" s="8" t="s">
        <v>203</v>
      </c>
      <c r="B32" s="19">
        <f>B30</f>
        <v>43629578.676410541</v>
      </c>
      <c r="C32" s="19">
        <f t="shared" ref="C32:D32" si="10">C30</f>
        <v>48846173.928403616</v>
      </c>
      <c r="D32" s="19">
        <f t="shared" si="10"/>
        <v>55432240.495380759</v>
      </c>
      <c r="E32" s="47">
        <f>E30*(1+E31)</f>
        <v>62418402.455277927</v>
      </c>
      <c r="F32" s="47">
        <f t="shared" ref="F32:O32" si="11">F30*(1+F31)</f>
        <v>69368276.027237445</v>
      </c>
      <c r="G32" s="47">
        <f t="shared" si="11"/>
        <v>76304453.004142612</v>
      </c>
      <c r="H32" s="47">
        <f t="shared" si="11"/>
        <v>83261314.290652633</v>
      </c>
      <c r="I32" s="47">
        <f t="shared" si="11"/>
        <v>90200507.493548527</v>
      </c>
      <c r="J32" s="47">
        <f t="shared" si="11"/>
        <v>98689146.361287698</v>
      </c>
      <c r="K32" s="47">
        <f t="shared" si="11"/>
        <v>106993598.52747959</v>
      </c>
      <c r="L32" s="47">
        <f t="shared" si="11"/>
        <v>112665682.49657607</v>
      </c>
      <c r="M32" s="47">
        <f t="shared" si="11"/>
        <v>119939142.81540301</v>
      </c>
      <c r="N32" s="47">
        <f t="shared" si="11"/>
        <v>127380548.1665801</v>
      </c>
      <c r="O32" s="47">
        <f t="shared" si="11"/>
        <v>135380540.28168163</v>
      </c>
      <c r="P32" s="19"/>
      <c r="Q32" s="19"/>
      <c r="R32" s="19"/>
      <c r="S32" s="19"/>
      <c r="T32" s="19"/>
      <c r="U32" s="19"/>
      <c r="V32" s="19"/>
      <c r="W32" s="19"/>
      <c r="X32" s="19"/>
      <c r="Y32" s="19"/>
      <c r="Z32" s="19"/>
      <c r="AA32" s="19"/>
      <c r="AB32" s="19"/>
      <c r="AC32" s="19"/>
      <c r="AD32" s="19"/>
      <c r="AE32" s="19"/>
      <c r="AF32" s="19"/>
      <c r="AG32" s="19"/>
      <c r="AH32" s="19"/>
      <c r="AI32" s="19"/>
      <c r="AJ32" s="19"/>
    </row>
    <row r="33" spans="1:36" ht="14.55" x14ac:dyDescent="0.35">
      <c r="C33" s="19"/>
      <c r="D33" s="19"/>
      <c r="E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row>
    <row r="34" spans="1:36" ht="14.55" x14ac:dyDescent="0.35">
      <c r="A34" s="8" t="s">
        <v>194</v>
      </c>
      <c r="B34" s="45">
        <f t="shared" ref="B34:O34" si="12">B30/B19</f>
        <v>0.15392687614757614</v>
      </c>
      <c r="C34" s="45">
        <f t="shared" si="12"/>
        <v>0.17273646469629689</v>
      </c>
      <c r="D34" s="45">
        <f t="shared" si="12"/>
        <v>0.19637058380347452</v>
      </c>
      <c r="E34" s="45">
        <f t="shared" si="12"/>
        <v>0.22008218010014863</v>
      </c>
      <c r="F34" s="45">
        <f t="shared" si="12"/>
        <v>0.24377641305234626</v>
      </c>
      <c r="G34" s="45">
        <f t="shared" si="12"/>
        <v>0.26741392307084044</v>
      </c>
      <c r="H34" s="45">
        <f t="shared" si="12"/>
        <v>0.29103699972893665</v>
      </c>
      <c r="I34" s="45">
        <f t="shared" si="12"/>
        <v>0.31461494340900287</v>
      </c>
      <c r="J34" s="45">
        <f t="shared" si="12"/>
        <v>0.34308032027524743</v>
      </c>
      <c r="K34" s="45">
        <f t="shared" si="12"/>
        <v>0.37136417005667594</v>
      </c>
      <c r="L34" s="45">
        <f t="shared" si="12"/>
        <v>0.39018940093370985</v>
      </c>
      <c r="M34" s="45">
        <f t="shared" si="12"/>
        <v>0.41518380336910399</v>
      </c>
      <c r="N34" s="45">
        <f t="shared" si="12"/>
        <v>0.44028661207461534</v>
      </c>
      <c r="O34" s="56">
        <f t="shared" si="12"/>
        <v>0.46573331721057465</v>
      </c>
      <c r="P34" s="45"/>
      <c r="Q34" s="45"/>
      <c r="R34" s="45"/>
      <c r="S34" s="45"/>
      <c r="T34" s="45"/>
      <c r="U34" s="45"/>
      <c r="V34" s="45"/>
      <c r="W34" s="45"/>
      <c r="X34" s="45"/>
      <c r="Y34" s="45"/>
      <c r="Z34" s="45"/>
      <c r="AA34" s="45"/>
      <c r="AB34" s="45"/>
      <c r="AC34" s="45"/>
      <c r="AD34" s="45"/>
      <c r="AE34" s="45"/>
      <c r="AF34" s="45"/>
      <c r="AG34" s="45"/>
      <c r="AH34" s="45"/>
      <c r="AI34" s="45"/>
    </row>
    <row r="35" spans="1:36" ht="14.55" x14ac:dyDescent="0.35">
      <c r="B35" s="52"/>
      <c r="C35" s="52"/>
      <c r="D35" s="52"/>
      <c r="E35" s="52"/>
      <c r="F35" s="52"/>
      <c r="G35" s="52"/>
      <c r="H35" s="52"/>
      <c r="I35" s="52"/>
      <c r="J35" s="52"/>
      <c r="K35" s="52"/>
      <c r="L35" s="52"/>
      <c r="M35" s="52" t="s">
        <v>204</v>
      </c>
      <c r="N35" s="52"/>
      <c r="O35" s="52"/>
      <c r="P35" s="45"/>
      <c r="Q35" s="45"/>
      <c r="R35" s="45"/>
      <c r="S35" s="45"/>
      <c r="T35" s="45"/>
      <c r="U35" s="45"/>
      <c r="V35" s="45"/>
      <c r="W35" s="45"/>
      <c r="X35" s="45"/>
      <c r="Y35" s="45"/>
      <c r="Z35" s="45"/>
      <c r="AA35" s="45"/>
      <c r="AB35" s="45"/>
      <c r="AC35" s="45"/>
      <c r="AD35" s="45"/>
      <c r="AE35" s="45"/>
      <c r="AF35" s="45"/>
      <c r="AG35" s="45"/>
      <c r="AH35" s="45"/>
      <c r="AI35" s="45"/>
    </row>
    <row r="36" spans="1:36" ht="14.55" x14ac:dyDescent="0.35">
      <c r="B36" s="49"/>
      <c r="C36" s="49"/>
      <c r="D36" s="49"/>
      <c r="E36" s="49"/>
      <c r="F36" s="49"/>
      <c r="G36" s="49"/>
      <c r="H36" s="49"/>
      <c r="I36" s="49"/>
      <c r="J36" s="49"/>
      <c r="K36" s="49"/>
      <c r="L36" s="49"/>
      <c r="M36" s="49" t="s">
        <v>205</v>
      </c>
      <c r="N36" s="49"/>
      <c r="O36" s="50">
        <v>0.46750000000000003</v>
      </c>
    </row>
    <row r="37" spans="1:36" ht="14.55" x14ac:dyDescent="0.35">
      <c r="B37" s="49"/>
      <c r="C37" s="49"/>
      <c r="D37" s="49"/>
      <c r="E37" s="49"/>
      <c r="F37" s="49"/>
      <c r="G37" s="49"/>
      <c r="H37" s="49"/>
      <c r="I37" s="49"/>
      <c r="J37" s="49"/>
      <c r="K37" s="49"/>
      <c r="L37" s="49"/>
      <c r="M37" s="49"/>
      <c r="N37" s="49"/>
      <c r="O37" s="49"/>
    </row>
    <row r="38" spans="1:36" ht="14.55" x14ac:dyDescent="0.35">
      <c r="B38" s="49"/>
      <c r="C38" s="49"/>
      <c r="D38" s="49"/>
      <c r="E38" s="49"/>
      <c r="F38" s="49"/>
      <c r="G38" s="49"/>
      <c r="H38" s="49"/>
      <c r="I38" s="49"/>
      <c r="J38" s="49"/>
      <c r="K38" s="49"/>
      <c r="L38" s="49"/>
      <c r="M38" s="49"/>
      <c r="N38" s="49"/>
      <c r="O38" s="49"/>
    </row>
    <row r="39" spans="1:36" ht="14.55" x14ac:dyDescent="0.35">
      <c r="B39" s="49"/>
      <c r="C39" s="49"/>
      <c r="D39" s="49"/>
      <c r="E39" s="49"/>
      <c r="F39" s="49"/>
      <c r="G39" s="49"/>
      <c r="H39" s="49"/>
      <c r="I39" s="49"/>
      <c r="J39" s="49"/>
      <c r="K39" s="49"/>
      <c r="L39" s="49"/>
      <c r="M39" s="49"/>
      <c r="N39" s="49"/>
      <c r="O39" s="49"/>
    </row>
    <row r="40" spans="1:36" s="43" customFormat="1" ht="14.55" x14ac:dyDescent="0.35">
      <c r="A40" s="43" t="s">
        <v>62</v>
      </c>
      <c r="B40" s="48">
        <v>2017</v>
      </c>
      <c r="C40" s="48">
        <v>2018</v>
      </c>
      <c r="D40" s="48">
        <v>2019</v>
      </c>
      <c r="E40" s="48">
        <v>2020</v>
      </c>
      <c r="F40" s="48">
        <v>2021</v>
      </c>
      <c r="G40" s="48">
        <v>2022</v>
      </c>
      <c r="H40" s="48">
        <v>2023</v>
      </c>
      <c r="I40" s="48">
        <v>2024</v>
      </c>
      <c r="J40" s="48">
        <v>2025</v>
      </c>
      <c r="K40" s="48">
        <v>2026</v>
      </c>
      <c r="L40" s="48">
        <v>2027</v>
      </c>
      <c r="M40" s="48">
        <v>2028</v>
      </c>
      <c r="N40" s="48">
        <v>2029</v>
      </c>
      <c r="O40" s="48">
        <v>2030</v>
      </c>
      <c r="P40" s="48">
        <v>2031</v>
      </c>
      <c r="Q40" s="48">
        <v>2032</v>
      </c>
      <c r="R40" s="48">
        <v>2033</v>
      </c>
      <c r="S40" s="48">
        <v>2034</v>
      </c>
      <c r="T40" s="48">
        <v>2035</v>
      </c>
      <c r="U40" s="48">
        <v>2036</v>
      </c>
      <c r="V40" s="48">
        <v>2037</v>
      </c>
      <c r="W40" s="48">
        <v>2038</v>
      </c>
      <c r="X40" s="48">
        <v>2039</v>
      </c>
      <c r="Y40" s="48">
        <v>2040</v>
      </c>
      <c r="Z40" s="48">
        <v>2041</v>
      </c>
      <c r="AA40" s="48">
        <v>2042</v>
      </c>
      <c r="AB40" s="48">
        <v>2043</v>
      </c>
      <c r="AC40" s="48">
        <v>2044</v>
      </c>
      <c r="AD40" s="48">
        <v>2045</v>
      </c>
      <c r="AE40" s="48">
        <v>2046</v>
      </c>
      <c r="AF40" s="48">
        <v>2047</v>
      </c>
      <c r="AG40" s="48">
        <v>2048</v>
      </c>
      <c r="AH40" s="48">
        <v>2049</v>
      </c>
      <c r="AI40" s="48">
        <v>2050</v>
      </c>
    </row>
    <row r="41" spans="1:36" x14ac:dyDescent="0.45">
      <c r="A41" s="8" t="s">
        <v>60</v>
      </c>
      <c r="O41" s="8">
        <v>0.6</v>
      </c>
      <c r="P41" s="8">
        <f>O41+($AD$41-$O$41)/15</f>
        <v>0.62666666666666659</v>
      </c>
      <c r="Q41" s="8">
        <f t="shared" ref="Q41:AC41" si="13">P41+($AD$41-$O$41)/15</f>
        <v>0.65333333333333321</v>
      </c>
      <c r="R41" s="8">
        <f t="shared" si="13"/>
        <v>0.67999999999999983</v>
      </c>
      <c r="S41" s="8">
        <f t="shared" si="13"/>
        <v>0.70666666666666644</v>
      </c>
      <c r="T41" s="8">
        <f t="shared" si="13"/>
        <v>0.73333333333333306</v>
      </c>
      <c r="U41" s="8">
        <f t="shared" si="13"/>
        <v>0.75999999999999968</v>
      </c>
      <c r="V41" s="8">
        <f t="shared" si="13"/>
        <v>0.78666666666666629</v>
      </c>
      <c r="W41" s="8">
        <f t="shared" si="13"/>
        <v>0.81333333333333291</v>
      </c>
      <c r="X41" s="8">
        <f t="shared" si="13"/>
        <v>0.83999999999999952</v>
      </c>
      <c r="Y41" s="8">
        <f t="shared" si="13"/>
        <v>0.86666666666666614</v>
      </c>
      <c r="Z41" s="8">
        <f t="shared" si="13"/>
        <v>0.89333333333333276</v>
      </c>
      <c r="AA41" s="8">
        <f t="shared" si="13"/>
        <v>0.91999999999999937</v>
      </c>
      <c r="AB41" s="8">
        <f t="shared" si="13"/>
        <v>0.94666666666666599</v>
      </c>
      <c r="AC41" s="8">
        <f t="shared" si="13"/>
        <v>0.97333333333333261</v>
      </c>
      <c r="AD41" s="8">
        <v>1</v>
      </c>
      <c r="AE41" s="8">
        <v>1</v>
      </c>
      <c r="AF41" s="8">
        <v>1</v>
      </c>
      <c r="AG41" s="8">
        <v>1</v>
      </c>
      <c r="AH41" s="8">
        <v>1</v>
      </c>
      <c r="AI41" s="8">
        <v>1</v>
      </c>
    </row>
    <row r="42" spans="1:36" x14ac:dyDescent="0.45">
      <c r="A42" s="8" t="s">
        <v>63</v>
      </c>
      <c r="P42" s="8">
        <f>P41-O41</f>
        <v>2.6666666666666616E-2</v>
      </c>
      <c r="Q42" s="8">
        <f t="shared" ref="Q42:AD42" si="14">Q41-P41</f>
        <v>2.6666666666666616E-2</v>
      </c>
      <c r="R42" s="8">
        <f t="shared" si="14"/>
        <v>2.6666666666666616E-2</v>
      </c>
      <c r="S42" s="8">
        <f t="shared" si="14"/>
        <v>2.6666666666666616E-2</v>
      </c>
      <c r="T42" s="8">
        <f t="shared" si="14"/>
        <v>2.6666666666666616E-2</v>
      </c>
      <c r="U42" s="8">
        <f t="shared" si="14"/>
        <v>2.6666666666666616E-2</v>
      </c>
      <c r="V42" s="8">
        <f t="shared" si="14"/>
        <v>2.6666666666666616E-2</v>
      </c>
      <c r="W42" s="8">
        <f t="shared" si="14"/>
        <v>2.6666666666666616E-2</v>
      </c>
      <c r="X42" s="8">
        <f t="shared" si="14"/>
        <v>2.6666666666666616E-2</v>
      </c>
      <c r="Y42" s="8">
        <f t="shared" si="14"/>
        <v>2.6666666666666616E-2</v>
      </c>
      <c r="Z42" s="8">
        <f t="shared" si="14"/>
        <v>2.6666666666666616E-2</v>
      </c>
      <c r="AA42" s="8">
        <f t="shared" si="14"/>
        <v>2.6666666666666616E-2</v>
      </c>
      <c r="AB42" s="8">
        <f t="shared" si="14"/>
        <v>2.6666666666666616E-2</v>
      </c>
      <c r="AC42" s="8">
        <f t="shared" si="14"/>
        <v>2.6666666666666616E-2</v>
      </c>
      <c r="AD42" s="8">
        <f t="shared" si="14"/>
        <v>2.6666666666667393E-2</v>
      </c>
    </row>
    <row r="43" spans="1:36" x14ac:dyDescent="0.45">
      <c r="O43" s="50">
        <f>O34</f>
        <v>0.46573331721057465</v>
      </c>
      <c r="P43" s="50">
        <f>O43+P42</f>
        <v>0.49239998387724127</v>
      </c>
      <c r="Q43" s="50">
        <f t="shared" ref="Q43:AD43" si="15">P43+Q42</f>
        <v>0.51906665054390788</v>
      </c>
      <c r="R43" s="50">
        <f t="shared" si="15"/>
        <v>0.5457333172105745</v>
      </c>
      <c r="S43" s="50">
        <f t="shared" si="15"/>
        <v>0.57239998387724111</v>
      </c>
      <c r="T43" s="50">
        <f t="shared" si="15"/>
        <v>0.59906665054390773</v>
      </c>
      <c r="U43" s="50">
        <f t="shared" si="15"/>
        <v>0.62573331721057435</v>
      </c>
      <c r="V43" s="50">
        <f t="shared" si="15"/>
        <v>0.65239998387724096</v>
      </c>
      <c r="W43" s="50">
        <f t="shared" si="15"/>
        <v>0.67906665054390758</v>
      </c>
      <c r="X43" s="50">
        <f t="shared" si="15"/>
        <v>0.7057333172105742</v>
      </c>
      <c r="Y43" s="50">
        <f t="shared" si="15"/>
        <v>0.73239998387724081</v>
      </c>
      <c r="Z43" s="50">
        <f t="shared" si="15"/>
        <v>0.75906665054390743</v>
      </c>
      <c r="AA43" s="50">
        <f t="shared" si="15"/>
        <v>0.78573331721057404</v>
      </c>
      <c r="AB43" s="50">
        <f t="shared" si="15"/>
        <v>0.81239998387724066</v>
      </c>
      <c r="AC43" s="50">
        <f t="shared" si="15"/>
        <v>0.83906665054390728</v>
      </c>
      <c r="AD43" s="50">
        <f t="shared" si="15"/>
        <v>0.86573331721057467</v>
      </c>
      <c r="AE43" s="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
  <sheetViews>
    <sheetView topLeftCell="A10" workbookViewId="0">
      <selection activeCell="B27" sqref="B27:AI27"/>
    </sheetView>
  </sheetViews>
  <sheetFormatPr defaultRowHeight="14.25" x14ac:dyDescent="0.45"/>
  <cols>
    <col min="1" max="1" width="27" customWidth="1"/>
  </cols>
  <sheetData>
    <row r="1" spans="1:36" ht="14.55" x14ac:dyDescent="0.35">
      <c r="A1" s="1" t="s">
        <v>56</v>
      </c>
      <c r="B1" s="17"/>
      <c r="C1" s="18"/>
      <c r="D1" s="18"/>
      <c r="E1" s="18"/>
      <c r="F1" s="18"/>
      <c r="G1" s="18"/>
      <c r="H1" s="18"/>
      <c r="I1" s="18"/>
      <c r="J1" s="18"/>
      <c r="K1" s="17"/>
      <c r="L1" s="17"/>
      <c r="M1" s="17"/>
      <c r="N1" s="17"/>
      <c r="O1" s="17"/>
      <c r="P1" s="17"/>
      <c r="Q1" s="17"/>
      <c r="R1" s="17"/>
      <c r="S1" s="17"/>
      <c r="T1" s="17"/>
      <c r="U1" s="17"/>
      <c r="V1" s="17"/>
      <c r="W1" s="17"/>
      <c r="X1" s="17"/>
      <c r="Y1" s="17"/>
      <c r="Z1" s="17"/>
      <c r="AA1" s="17"/>
      <c r="AB1" s="17"/>
      <c r="AC1" s="17"/>
      <c r="AD1" s="17"/>
      <c r="AE1" s="17"/>
      <c r="AF1" s="17"/>
      <c r="AG1" s="17"/>
      <c r="AH1" s="17"/>
      <c r="AI1" s="17"/>
      <c r="AJ1" s="17"/>
    </row>
    <row r="2" spans="1:36" ht="14.55" x14ac:dyDescent="0.35">
      <c r="A2" s="17"/>
      <c r="B2" s="17"/>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5" spans="1:36" s="13" customFormat="1" ht="14.55" x14ac:dyDescent="0.35">
      <c r="A5" s="13" t="s">
        <v>49</v>
      </c>
    </row>
    <row r="7" spans="1:36" ht="14.55" x14ac:dyDescent="0.35">
      <c r="A7" t="s">
        <v>45</v>
      </c>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ht="14.55" x14ac:dyDescent="0.35">
      <c r="A8" t="s">
        <v>46</v>
      </c>
      <c r="B8" t="s">
        <v>25</v>
      </c>
    </row>
    <row r="9" spans="1:36" ht="14.55" x14ac:dyDescent="0.35">
      <c r="A9" t="s">
        <v>28</v>
      </c>
      <c r="B9">
        <v>281338880</v>
      </c>
      <c r="C9">
        <v>282180128</v>
      </c>
      <c r="D9">
        <v>282996928</v>
      </c>
      <c r="E9">
        <v>284124320</v>
      </c>
      <c r="F9">
        <v>285209504</v>
      </c>
      <c r="G9">
        <v>286177536</v>
      </c>
      <c r="H9">
        <v>287181216</v>
      </c>
      <c r="I9">
        <v>288046880</v>
      </c>
      <c r="J9">
        <v>289266944</v>
      </c>
      <c r="K9">
        <v>290331552</v>
      </c>
      <c r="L9">
        <v>291381920</v>
      </c>
      <c r="M9">
        <v>292020384</v>
      </c>
      <c r="N9">
        <v>292911712</v>
      </c>
      <c r="O9">
        <v>293820832</v>
      </c>
      <c r="P9">
        <v>294341440</v>
      </c>
      <c r="Q9">
        <v>295146816</v>
      </c>
      <c r="R9">
        <v>295569088</v>
      </c>
      <c r="S9">
        <v>296143008</v>
      </c>
      <c r="T9">
        <v>296462784</v>
      </c>
      <c r="U9">
        <v>297348864</v>
      </c>
      <c r="V9">
        <v>298129760</v>
      </c>
      <c r="W9">
        <v>299416608</v>
      </c>
      <c r="X9">
        <v>300622752</v>
      </c>
      <c r="Y9">
        <v>302387904</v>
      </c>
      <c r="Z9">
        <v>304174272</v>
      </c>
      <c r="AA9">
        <v>306165120</v>
      </c>
      <c r="AB9">
        <v>308568768</v>
      </c>
      <c r="AC9">
        <v>310806752</v>
      </c>
      <c r="AD9">
        <v>313484800</v>
      </c>
      <c r="AE9">
        <v>315862784</v>
      </c>
      <c r="AF9">
        <v>318488128</v>
      </c>
      <c r="AG9">
        <v>320859232</v>
      </c>
      <c r="AH9">
        <v>323420928</v>
      </c>
      <c r="AI9">
        <v>325611392</v>
      </c>
    </row>
    <row r="11" spans="1:36" s="13" customFormat="1" ht="14.55" x14ac:dyDescent="0.35">
      <c r="A11" s="13" t="s">
        <v>50</v>
      </c>
    </row>
    <row r="12" spans="1:36" ht="14.55" x14ac:dyDescent="0.35">
      <c r="B12">
        <v>2017</v>
      </c>
      <c r="C12">
        <v>2018</v>
      </c>
      <c r="D12">
        <v>2019</v>
      </c>
      <c r="E12">
        <v>2020</v>
      </c>
      <c r="F12">
        <v>2021</v>
      </c>
      <c r="G12">
        <v>2022</v>
      </c>
      <c r="H12">
        <v>2023</v>
      </c>
      <c r="I12">
        <v>2024</v>
      </c>
      <c r="J12">
        <v>2025</v>
      </c>
      <c r="K12">
        <v>2026</v>
      </c>
      <c r="L12">
        <v>2027</v>
      </c>
      <c r="M12">
        <v>2028</v>
      </c>
      <c r="N12">
        <v>2029</v>
      </c>
      <c r="O12">
        <v>2030</v>
      </c>
      <c r="P12">
        <v>2031</v>
      </c>
      <c r="Q12">
        <v>2032</v>
      </c>
      <c r="R12">
        <v>2033</v>
      </c>
      <c r="S12">
        <v>2034</v>
      </c>
      <c r="T12">
        <v>2035</v>
      </c>
      <c r="U12">
        <v>2036</v>
      </c>
      <c r="V12">
        <v>2037</v>
      </c>
      <c r="W12">
        <v>2038</v>
      </c>
      <c r="X12">
        <v>2039</v>
      </c>
      <c r="Y12">
        <v>2040</v>
      </c>
      <c r="Z12">
        <v>2041</v>
      </c>
      <c r="AA12">
        <v>2042</v>
      </c>
      <c r="AB12">
        <v>2043</v>
      </c>
      <c r="AC12">
        <v>2044</v>
      </c>
      <c r="AD12">
        <v>2045</v>
      </c>
      <c r="AE12">
        <v>2046</v>
      </c>
      <c r="AF12">
        <v>2047</v>
      </c>
      <c r="AG12">
        <v>2048</v>
      </c>
      <c r="AH12">
        <v>2049</v>
      </c>
      <c r="AI12">
        <v>2050</v>
      </c>
    </row>
    <row r="13" spans="1:36" ht="14.55" x14ac:dyDescent="0.35">
      <c r="A13" t="s">
        <v>32</v>
      </c>
      <c r="B13" s="18">
        <v>11773000</v>
      </c>
      <c r="C13" s="18">
        <v>8822975.5357136205</v>
      </c>
      <c r="D13" s="18">
        <v>7259224.28571303</v>
      </c>
      <c r="E13" s="18">
        <v>6049353.571427525</v>
      </c>
      <c r="F13" s="18">
        <v>4839482.85714202</v>
      </c>
      <c r="G13" s="18">
        <v>3629612.142856515</v>
      </c>
      <c r="H13" s="18">
        <v>2419741.42857101</v>
      </c>
      <c r="I13" s="18">
        <v>1209870.714285505</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row>
    <row r="14" spans="1:36" ht="14.55" x14ac:dyDescent="0.35">
      <c r="A14" t="s">
        <v>33</v>
      </c>
      <c r="B14" s="18">
        <v>8751000</v>
      </c>
      <c r="C14" s="18">
        <v>8751000</v>
      </c>
      <c r="D14" s="18">
        <v>8751000</v>
      </c>
      <c r="E14" s="18">
        <v>8751000</v>
      </c>
      <c r="F14" s="18">
        <v>8751000</v>
      </c>
      <c r="G14" s="18">
        <v>8751000</v>
      </c>
      <c r="H14" s="18">
        <v>8751000</v>
      </c>
      <c r="I14" s="18">
        <v>8751000</v>
      </c>
      <c r="J14" s="18">
        <v>8751000</v>
      </c>
      <c r="K14" s="18">
        <v>8751000</v>
      </c>
      <c r="L14" s="18">
        <v>8751000</v>
      </c>
      <c r="M14" s="18">
        <v>8751000</v>
      </c>
      <c r="N14" s="18">
        <v>8751000</v>
      </c>
      <c r="O14" s="18">
        <v>8751000</v>
      </c>
      <c r="P14" s="18">
        <v>8167600</v>
      </c>
      <c r="Q14" s="18">
        <v>7584200</v>
      </c>
      <c r="R14" s="18">
        <v>7000800</v>
      </c>
      <c r="S14" s="18">
        <v>6417400</v>
      </c>
      <c r="T14" s="18">
        <v>5834000</v>
      </c>
      <c r="U14" s="18">
        <v>5250600</v>
      </c>
      <c r="V14" s="18">
        <v>4667200</v>
      </c>
      <c r="W14" s="18">
        <v>4083800</v>
      </c>
      <c r="X14" s="18">
        <v>3500400</v>
      </c>
      <c r="Y14" s="18">
        <v>2917000</v>
      </c>
      <c r="Z14" s="18">
        <v>2333600</v>
      </c>
      <c r="AA14" s="18">
        <v>1750200</v>
      </c>
      <c r="AB14" s="18">
        <v>1166800</v>
      </c>
      <c r="AC14" s="18">
        <v>583400</v>
      </c>
      <c r="AD14" s="18">
        <v>0</v>
      </c>
      <c r="AE14" s="18">
        <v>0</v>
      </c>
      <c r="AF14" s="18">
        <v>0</v>
      </c>
      <c r="AG14" s="18">
        <v>0</v>
      </c>
      <c r="AH14" s="18">
        <v>0</v>
      </c>
      <c r="AI14" s="18">
        <v>0</v>
      </c>
    </row>
    <row r="15" spans="1:36" ht="14.55" x14ac:dyDescent="0.35">
      <c r="A15" t="s">
        <v>34</v>
      </c>
      <c r="B15" s="18">
        <v>8165000</v>
      </c>
      <c r="C15" s="18">
        <v>8165000</v>
      </c>
      <c r="D15" s="18">
        <v>8165000</v>
      </c>
      <c r="E15" s="18">
        <v>8165000</v>
      </c>
      <c r="F15" s="18">
        <v>8165000</v>
      </c>
      <c r="G15" s="18">
        <v>8165000</v>
      </c>
      <c r="H15" s="18">
        <v>8165000</v>
      </c>
      <c r="I15" s="18">
        <v>8165000</v>
      </c>
      <c r="J15" s="18">
        <v>8165000</v>
      </c>
      <c r="K15" s="18">
        <v>8165000</v>
      </c>
      <c r="L15" s="18">
        <v>8165000</v>
      </c>
      <c r="M15" s="18">
        <v>8165000</v>
      </c>
      <c r="N15" s="18">
        <v>8165000</v>
      </c>
      <c r="O15" s="18">
        <v>8165000</v>
      </c>
      <c r="P15" s="18">
        <v>8165000</v>
      </c>
      <c r="Q15" s="18">
        <v>8165000</v>
      </c>
      <c r="R15" s="18">
        <v>8165000</v>
      </c>
      <c r="S15" s="18">
        <v>8165000</v>
      </c>
      <c r="T15" s="18">
        <v>8165000</v>
      </c>
      <c r="U15" s="18">
        <v>8165000</v>
      </c>
      <c r="V15" s="18">
        <v>8165000</v>
      </c>
      <c r="W15" s="18">
        <v>8165000</v>
      </c>
      <c r="X15" s="18">
        <v>8165000</v>
      </c>
      <c r="Y15" s="18">
        <v>8165000</v>
      </c>
      <c r="Z15" s="18">
        <v>8165000</v>
      </c>
      <c r="AA15" s="18">
        <v>8165000</v>
      </c>
      <c r="AB15" s="18">
        <v>8165000</v>
      </c>
      <c r="AC15" s="18">
        <v>8165000</v>
      </c>
      <c r="AD15" s="18">
        <v>8165000</v>
      </c>
      <c r="AE15" s="18">
        <v>8165000</v>
      </c>
      <c r="AF15" s="18">
        <v>8165000</v>
      </c>
      <c r="AG15" s="18">
        <v>8165000</v>
      </c>
      <c r="AH15" s="18">
        <v>8165000</v>
      </c>
      <c r="AI15" s="18">
        <v>8165000</v>
      </c>
    </row>
    <row r="16" spans="1:36" ht="14.55" x14ac:dyDescent="0.35">
      <c r="A16" t="s">
        <v>35</v>
      </c>
      <c r="B16" s="18">
        <v>5798200.0000000009</v>
      </c>
      <c r="C16" s="18">
        <v>5798200.0000000009</v>
      </c>
      <c r="D16" s="18">
        <v>5798200.0000000009</v>
      </c>
      <c r="E16" s="18">
        <v>5798200.0000000009</v>
      </c>
      <c r="F16" s="18">
        <v>5798200.0000000009</v>
      </c>
      <c r="G16" s="18">
        <v>5798200.0000000009</v>
      </c>
      <c r="H16" s="18">
        <v>5798200.0000000009</v>
      </c>
      <c r="I16" s="18">
        <v>5798200.0000000009</v>
      </c>
      <c r="J16" s="18">
        <v>5798200.0000000009</v>
      </c>
      <c r="K16" s="18">
        <v>5798200.0000000009</v>
      </c>
      <c r="L16" s="18">
        <v>5798200.0000000009</v>
      </c>
      <c r="M16" s="18">
        <v>5798200.0000000009</v>
      </c>
      <c r="N16" s="18">
        <v>5798200.0000000009</v>
      </c>
      <c r="O16" s="18">
        <v>5798200.0000000009</v>
      </c>
      <c r="P16" s="18">
        <v>5798200.0000000009</v>
      </c>
      <c r="Q16" s="18">
        <v>5798200.0000000009</v>
      </c>
      <c r="R16" s="18">
        <v>5798200.0000000009</v>
      </c>
      <c r="S16" s="18">
        <v>5798200.0000000009</v>
      </c>
      <c r="T16" s="18">
        <v>5798200.0000000009</v>
      </c>
      <c r="U16" s="18">
        <v>5798200.0000000009</v>
      </c>
      <c r="V16" s="18">
        <v>5798200.0000000009</v>
      </c>
      <c r="W16" s="18">
        <v>5798200.0000000009</v>
      </c>
      <c r="X16" s="18">
        <v>5798200.0000000009</v>
      </c>
      <c r="Y16" s="18">
        <v>5798200.0000000009</v>
      </c>
      <c r="Z16" s="18">
        <v>5798200.0000000009</v>
      </c>
      <c r="AA16" s="18">
        <v>5798200.0000000009</v>
      </c>
      <c r="AB16" s="18">
        <v>5798200.0000000009</v>
      </c>
      <c r="AC16" s="18">
        <v>5798200.0000000009</v>
      </c>
      <c r="AD16" s="18">
        <v>5798200.0000000009</v>
      </c>
      <c r="AE16" s="18">
        <v>5798200.0000000009</v>
      </c>
      <c r="AF16" s="18">
        <v>5798200.0000000009</v>
      </c>
      <c r="AG16" s="18">
        <v>5798200.0000000009</v>
      </c>
      <c r="AH16" s="18">
        <v>5798200.0000000009</v>
      </c>
      <c r="AI16" s="18">
        <v>5798200.0000000009</v>
      </c>
    </row>
    <row r="17" spans="1:35" ht="14.55" x14ac:dyDescent="0.35">
      <c r="A17" t="s">
        <v>36</v>
      </c>
      <c r="B17" s="19">
        <v>18633000</v>
      </c>
      <c r="C17" s="19">
        <v>18633000</v>
      </c>
      <c r="D17" s="19">
        <v>18633000</v>
      </c>
      <c r="E17" s="19">
        <v>18633000</v>
      </c>
      <c r="F17" s="19">
        <v>18633000</v>
      </c>
      <c r="G17" s="19">
        <v>18633000</v>
      </c>
      <c r="H17" s="19">
        <v>18633000</v>
      </c>
      <c r="I17" s="19">
        <v>18633000</v>
      </c>
      <c r="J17" s="19">
        <v>18633000</v>
      </c>
      <c r="K17" s="19">
        <v>18633000</v>
      </c>
      <c r="L17" s="19">
        <v>18633000</v>
      </c>
      <c r="M17" s="19">
        <v>18633000</v>
      </c>
      <c r="N17" s="19">
        <v>18633000</v>
      </c>
      <c r="O17" s="19">
        <v>18633000</v>
      </c>
      <c r="P17" s="19">
        <v>18633000</v>
      </c>
      <c r="Q17" s="19">
        <v>18633000</v>
      </c>
      <c r="R17" s="19">
        <v>18633000</v>
      </c>
      <c r="S17" s="19">
        <v>18633000</v>
      </c>
      <c r="T17" s="19">
        <v>18633000</v>
      </c>
      <c r="U17" s="19">
        <v>18633000</v>
      </c>
      <c r="V17" s="19">
        <v>18633000</v>
      </c>
      <c r="W17" s="19">
        <v>18633000</v>
      </c>
      <c r="X17" s="19">
        <v>18633000</v>
      </c>
      <c r="Y17" s="19">
        <v>18633000</v>
      </c>
      <c r="Z17" s="19">
        <v>18633000</v>
      </c>
      <c r="AA17" s="19">
        <v>18633000</v>
      </c>
      <c r="AB17" s="19">
        <v>18633000</v>
      </c>
      <c r="AC17" s="19">
        <v>18633000</v>
      </c>
      <c r="AD17" s="19">
        <v>18633000</v>
      </c>
      <c r="AE17" s="19">
        <v>18633000</v>
      </c>
      <c r="AF17" s="19">
        <v>18633000</v>
      </c>
      <c r="AG17" s="19">
        <v>18633000</v>
      </c>
      <c r="AH17" s="19">
        <v>18633000</v>
      </c>
      <c r="AI17" s="19">
        <v>18633000</v>
      </c>
    </row>
    <row r="18" spans="1:35" ht="14.55" x14ac:dyDescent="0.35">
      <c r="A18" t="s">
        <v>37</v>
      </c>
      <c r="B18" s="18">
        <v>5268000</v>
      </c>
      <c r="C18" s="18">
        <v>5268000</v>
      </c>
      <c r="D18" s="18">
        <v>5268000</v>
      </c>
      <c r="E18" s="18">
        <v>5268000</v>
      </c>
      <c r="F18" s="18">
        <v>5268000</v>
      </c>
      <c r="G18" s="18">
        <v>5268000</v>
      </c>
      <c r="H18" s="18">
        <v>5268000</v>
      </c>
      <c r="I18" s="18">
        <v>5268000</v>
      </c>
      <c r="J18" s="18">
        <v>5268000</v>
      </c>
      <c r="K18" s="18">
        <v>5268000</v>
      </c>
      <c r="L18" s="18">
        <v>5268000</v>
      </c>
      <c r="M18" s="18">
        <v>5268000</v>
      </c>
      <c r="N18" s="18">
        <v>5268000</v>
      </c>
      <c r="O18" s="18">
        <v>5268000</v>
      </c>
      <c r="P18" s="18">
        <v>5268000</v>
      </c>
      <c r="Q18" s="18">
        <v>5268000</v>
      </c>
      <c r="R18" s="18">
        <v>5268000</v>
      </c>
      <c r="S18" s="18">
        <v>5268000</v>
      </c>
      <c r="T18" s="18">
        <v>5268000</v>
      </c>
      <c r="U18" s="18">
        <v>5268000</v>
      </c>
      <c r="V18" s="18">
        <v>5268000</v>
      </c>
      <c r="W18" s="18">
        <v>5268000</v>
      </c>
      <c r="X18" s="18">
        <v>5268000</v>
      </c>
      <c r="Y18" s="18">
        <v>5268000</v>
      </c>
      <c r="Z18" s="18">
        <v>5268000</v>
      </c>
      <c r="AA18" s="18">
        <v>5268000</v>
      </c>
      <c r="AB18" s="18">
        <v>5268000</v>
      </c>
      <c r="AC18" s="18">
        <v>5268000</v>
      </c>
      <c r="AD18" s="18">
        <v>5268000</v>
      </c>
      <c r="AE18" s="18">
        <v>5268000</v>
      </c>
      <c r="AF18" s="18">
        <v>5268000</v>
      </c>
      <c r="AG18" s="18">
        <v>5268000</v>
      </c>
      <c r="AH18" s="18">
        <v>5268000</v>
      </c>
      <c r="AI18" s="18">
        <v>5268000</v>
      </c>
    </row>
    <row r="19" spans="1:35" ht="14.55" x14ac:dyDescent="0.35">
      <c r="A19" t="s">
        <v>38</v>
      </c>
      <c r="B19" s="18">
        <v>0</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row>
    <row r="20" spans="1:35" ht="14.55" x14ac:dyDescent="0.35">
      <c r="A20" t="s">
        <v>39</v>
      </c>
      <c r="B20" s="18">
        <v>900000</v>
      </c>
      <c r="C20" s="18">
        <v>900000</v>
      </c>
      <c r="D20" s="18">
        <v>900000</v>
      </c>
      <c r="E20" s="18">
        <v>900000</v>
      </c>
      <c r="F20" s="18">
        <v>900000</v>
      </c>
      <c r="G20" s="18">
        <v>900000</v>
      </c>
      <c r="H20" s="18">
        <v>900000</v>
      </c>
      <c r="I20" s="18">
        <v>900000</v>
      </c>
      <c r="J20" s="18">
        <v>900000</v>
      </c>
      <c r="K20" s="18">
        <v>900000</v>
      </c>
      <c r="L20" s="18">
        <v>900000</v>
      </c>
      <c r="M20" s="18">
        <v>900000</v>
      </c>
      <c r="N20" s="18">
        <v>900000</v>
      </c>
      <c r="O20" s="18">
        <v>900000</v>
      </c>
      <c r="P20" s="18">
        <v>900000</v>
      </c>
      <c r="Q20" s="18">
        <v>900000</v>
      </c>
      <c r="R20" s="18">
        <v>900000</v>
      </c>
      <c r="S20" s="18">
        <v>900000</v>
      </c>
      <c r="T20" s="18">
        <v>900000</v>
      </c>
      <c r="U20" s="18">
        <v>900000</v>
      </c>
      <c r="V20" s="18">
        <v>900000</v>
      </c>
      <c r="W20" s="18">
        <v>900000</v>
      </c>
      <c r="X20" s="18">
        <v>900000</v>
      </c>
      <c r="Y20" s="18">
        <v>900000</v>
      </c>
      <c r="Z20" s="18">
        <v>900000</v>
      </c>
      <c r="AA20" s="18">
        <v>900000</v>
      </c>
      <c r="AB20" s="18">
        <v>900000</v>
      </c>
      <c r="AC20" s="18">
        <v>900000</v>
      </c>
      <c r="AD20" s="18">
        <v>900000</v>
      </c>
      <c r="AE20" s="18">
        <v>900000</v>
      </c>
      <c r="AF20" s="18">
        <v>900000</v>
      </c>
      <c r="AG20" s="18">
        <v>900000</v>
      </c>
      <c r="AH20" s="18">
        <v>900000</v>
      </c>
      <c r="AI20" s="18">
        <v>900000</v>
      </c>
    </row>
    <row r="21" spans="1:35" ht="14.55" x14ac:dyDescent="0.35">
      <c r="A21" t="s">
        <v>40</v>
      </c>
      <c r="B21" s="18">
        <v>1053400</v>
      </c>
      <c r="C21" s="18">
        <v>1053400</v>
      </c>
      <c r="D21" s="18">
        <v>1053400</v>
      </c>
      <c r="E21" s="18">
        <v>1053400</v>
      </c>
      <c r="F21" s="18">
        <v>1053400</v>
      </c>
      <c r="G21" s="18">
        <v>1053400</v>
      </c>
      <c r="H21" s="18">
        <v>1053400</v>
      </c>
      <c r="I21" s="18">
        <v>1053400</v>
      </c>
      <c r="J21" s="18">
        <v>1053400</v>
      </c>
      <c r="K21" s="18">
        <v>1053400</v>
      </c>
      <c r="L21" s="18">
        <v>1053400</v>
      </c>
      <c r="M21" s="18">
        <v>1053400</v>
      </c>
      <c r="N21" s="18">
        <v>1053400</v>
      </c>
      <c r="O21" s="18">
        <v>1053400</v>
      </c>
      <c r="P21" s="18">
        <v>1053400</v>
      </c>
      <c r="Q21" s="18">
        <v>1053400</v>
      </c>
      <c r="R21" s="18">
        <v>1053400</v>
      </c>
      <c r="S21" s="18">
        <v>1053400</v>
      </c>
      <c r="T21" s="18">
        <v>1053400</v>
      </c>
      <c r="U21" s="18">
        <v>1053400</v>
      </c>
      <c r="V21" s="18">
        <v>1053400</v>
      </c>
      <c r="W21" s="18">
        <v>1053400</v>
      </c>
      <c r="X21" s="18">
        <v>1053400</v>
      </c>
      <c r="Y21" s="18">
        <v>1053400</v>
      </c>
      <c r="Z21" s="18">
        <v>1053400</v>
      </c>
      <c r="AA21" s="18">
        <v>1053400</v>
      </c>
      <c r="AB21" s="18">
        <v>1053400</v>
      </c>
      <c r="AC21" s="18">
        <v>1053400</v>
      </c>
      <c r="AD21" s="18">
        <v>1053400</v>
      </c>
      <c r="AE21" s="18">
        <v>1053400</v>
      </c>
      <c r="AF21" s="18">
        <v>1053400</v>
      </c>
      <c r="AG21" s="18">
        <v>1053400</v>
      </c>
      <c r="AH21" s="18">
        <v>1053400</v>
      </c>
      <c r="AI21" s="18">
        <v>1053400</v>
      </c>
    </row>
    <row r="22" spans="1:35" ht="14.55" x14ac:dyDescent="0.35">
      <c r="A22" t="s">
        <v>41</v>
      </c>
      <c r="B22" s="17">
        <v>0</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row>
    <row r="23" spans="1:35" ht="14.55" x14ac:dyDescent="0.35">
      <c r="A23" t="s">
        <v>42</v>
      </c>
      <c r="B23" s="17">
        <v>0</v>
      </c>
      <c r="C23" s="17">
        <v>0</v>
      </c>
      <c r="D23" s="17">
        <v>0</v>
      </c>
      <c r="E23" s="17">
        <v>0</v>
      </c>
      <c r="F23" s="17">
        <v>0</v>
      </c>
      <c r="G23" s="17">
        <v>0</v>
      </c>
      <c r="H23" s="17">
        <v>0</v>
      </c>
      <c r="I23" s="17">
        <v>0</v>
      </c>
      <c r="J23" s="17">
        <v>0</v>
      </c>
      <c r="K23" s="17">
        <v>0</v>
      </c>
      <c r="L23" s="17">
        <v>0</v>
      </c>
      <c r="M23" s="17">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c r="AI23" s="17">
        <v>0</v>
      </c>
    </row>
    <row r="24" spans="1:35" ht="14.55" x14ac:dyDescent="0.35">
      <c r="A24" t="s">
        <v>43</v>
      </c>
      <c r="B24" s="17">
        <v>27017000</v>
      </c>
      <c r="C24" s="17">
        <v>30095000</v>
      </c>
      <c r="D24" s="17">
        <v>29982884.753624257</v>
      </c>
      <c r="E24" s="17">
        <v>29373769.252363361</v>
      </c>
      <c r="F24" s="17">
        <v>28490869.326560959</v>
      </c>
      <c r="G24" s="17">
        <v>27871888.805118073</v>
      </c>
      <c r="H24" s="17">
        <v>25947135.854299035</v>
      </c>
      <c r="I24" s="17">
        <v>23965720.720241051</v>
      </c>
      <c r="J24" s="17">
        <v>28281324.489427838</v>
      </c>
      <c r="K24" s="17">
        <v>27113369.414599035</v>
      </c>
      <c r="L24" s="17">
        <v>24980228.737242576</v>
      </c>
      <c r="M24" s="17">
        <v>21467028.622809947</v>
      </c>
      <c r="N24" s="17">
        <v>20649147.642823927</v>
      </c>
      <c r="O24" s="17">
        <v>19926292.12569157</v>
      </c>
      <c r="P24" s="17">
        <v>12313894.113745516</v>
      </c>
      <c r="Q24" s="17">
        <v>11434330.248477982</v>
      </c>
      <c r="R24" s="17">
        <v>10554766.383210445</v>
      </c>
      <c r="S24" s="17">
        <v>9675202.5179429073</v>
      </c>
      <c r="T24" s="17">
        <v>8795638.6526753698</v>
      </c>
      <c r="U24" s="17">
        <v>7916074.7874078332</v>
      </c>
      <c r="V24" s="17">
        <v>7036510.9221402965</v>
      </c>
      <c r="W24" s="17">
        <v>6156947.0568727581</v>
      </c>
      <c r="X24" s="17">
        <v>5277383.1916052215</v>
      </c>
      <c r="Y24" s="17">
        <v>4397819.3263376849</v>
      </c>
      <c r="Z24" s="17">
        <v>3518255.4610701483</v>
      </c>
      <c r="AA24" s="17">
        <v>2638691.5958026112</v>
      </c>
      <c r="AB24" s="17">
        <v>1759127.7305350746</v>
      </c>
      <c r="AC24" s="17">
        <v>879563.86526753777</v>
      </c>
      <c r="AD24" s="17">
        <v>0</v>
      </c>
      <c r="AE24" s="17">
        <v>0</v>
      </c>
      <c r="AF24" s="17">
        <v>0</v>
      </c>
      <c r="AG24" s="17">
        <v>0</v>
      </c>
      <c r="AH24" s="17">
        <v>0</v>
      </c>
      <c r="AI24" s="17">
        <v>0</v>
      </c>
    </row>
    <row r="25" spans="1:35" ht="14.55" x14ac:dyDescent="0.35">
      <c r="A25" t="s">
        <v>44</v>
      </c>
      <c r="B25" s="17">
        <v>0</v>
      </c>
      <c r="C25" s="17">
        <v>0</v>
      </c>
      <c r="D25" s="17">
        <v>0</v>
      </c>
      <c r="E25" s="17">
        <v>0</v>
      </c>
      <c r="F25" s="17">
        <v>0</v>
      </c>
      <c r="G25" s="17">
        <v>0</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row>
    <row r="27" spans="1:35" ht="14.55" x14ac:dyDescent="0.35">
      <c r="A27" t="s">
        <v>48</v>
      </c>
      <c r="B27">
        <f>B17+B18+B20+B21</f>
        <v>25854400</v>
      </c>
      <c r="C27" s="17">
        <f t="shared" ref="C27:AI27" si="0">C17+C18+C20+C21</f>
        <v>25854400</v>
      </c>
      <c r="D27" s="17">
        <f t="shared" si="0"/>
        <v>25854400</v>
      </c>
      <c r="E27" s="17">
        <f t="shared" si="0"/>
        <v>25854400</v>
      </c>
      <c r="F27" s="17">
        <f t="shared" si="0"/>
        <v>25854400</v>
      </c>
      <c r="G27" s="17">
        <f t="shared" si="0"/>
        <v>25854400</v>
      </c>
      <c r="H27" s="17">
        <f t="shared" si="0"/>
        <v>25854400</v>
      </c>
      <c r="I27" s="17">
        <f t="shared" si="0"/>
        <v>25854400</v>
      </c>
      <c r="J27" s="17">
        <f t="shared" si="0"/>
        <v>25854400</v>
      </c>
      <c r="K27" s="17">
        <f t="shared" si="0"/>
        <v>25854400</v>
      </c>
      <c r="L27" s="17">
        <f t="shared" si="0"/>
        <v>25854400</v>
      </c>
      <c r="M27" s="17">
        <f t="shared" si="0"/>
        <v>25854400</v>
      </c>
      <c r="N27" s="17">
        <f t="shared" si="0"/>
        <v>25854400</v>
      </c>
      <c r="O27" s="17">
        <f t="shared" si="0"/>
        <v>25854400</v>
      </c>
      <c r="P27" s="17">
        <f t="shared" si="0"/>
        <v>25854400</v>
      </c>
      <c r="Q27" s="17">
        <f t="shared" si="0"/>
        <v>25854400</v>
      </c>
      <c r="R27" s="17">
        <f t="shared" si="0"/>
        <v>25854400</v>
      </c>
      <c r="S27" s="17">
        <f t="shared" si="0"/>
        <v>25854400</v>
      </c>
      <c r="T27" s="17">
        <f t="shared" si="0"/>
        <v>25854400</v>
      </c>
      <c r="U27" s="17">
        <f t="shared" si="0"/>
        <v>25854400</v>
      </c>
      <c r="V27" s="17">
        <f t="shared" si="0"/>
        <v>25854400</v>
      </c>
      <c r="W27" s="17">
        <f t="shared" si="0"/>
        <v>25854400</v>
      </c>
      <c r="X27" s="17">
        <f t="shared" si="0"/>
        <v>25854400</v>
      </c>
      <c r="Y27" s="17">
        <f t="shared" si="0"/>
        <v>25854400</v>
      </c>
      <c r="Z27" s="17">
        <f t="shared" si="0"/>
        <v>25854400</v>
      </c>
      <c r="AA27" s="17">
        <f t="shared" si="0"/>
        <v>25854400</v>
      </c>
      <c r="AB27" s="17">
        <f t="shared" si="0"/>
        <v>25854400</v>
      </c>
      <c r="AC27" s="17">
        <f t="shared" si="0"/>
        <v>25854400</v>
      </c>
      <c r="AD27" s="17">
        <f t="shared" si="0"/>
        <v>25854400</v>
      </c>
      <c r="AE27" s="17">
        <f t="shared" si="0"/>
        <v>25854400</v>
      </c>
      <c r="AF27" s="17">
        <f t="shared" si="0"/>
        <v>25854400</v>
      </c>
      <c r="AG27" s="17">
        <f t="shared" si="0"/>
        <v>25854400</v>
      </c>
      <c r="AH27" s="17">
        <f t="shared" si="0"/>
        <v>25854400</v>
      </c>
      <c r="AI27" s="17">
        <f t="shared" si="0"/>
        <v>25854400</v>
      </c>
    </row>
    <row r="29" spans="1:35" s="13" customFormat="1" ht="14.55" x14ac:dyDescent="0.35">
      <c r="A29" s="13" t="s">
        <v>51</v>
      </c>
    </row>
    <row r="30" spans="1:35" ht="14.55" x14ac:dyDescent="0.35">
      <c r="A30" t="s">
        <v>47</v>
      </c>
    </row>
    <row r="31" spans="1:35" ht="14.55" x14ac:dyDescent="0.35">
      <c r="B31">
        <v>3420000</v>
      </c>
      <c r="C31" s="17">
        <v>3420000</v>
      </c>
      <c r="D31" s="17">
        <v>3420000</v>
      </c>
      <c r="E31" s="17">
        <v>3420000</v>
      </c>
      <c r="F31" s="17">
        <v>3420000</v>
      </c>
      <c r="G31" s="17">
        <v>3420000</v>
      </c>
      <c r="H31" s="17">
        <v>3420000</v>
      </c>
      <c r="I31" s="17">
        <v>3420000</v>
      </c>
      <c r="J31" s="17">
        <v>3420000</v>
      </c>
      <c r="K31" s="17">
        <v>3420000</v>
      </c>
      <c r="L31" s="17">
        <v>3420000</v>
      </c>
      <c r="M31" s="17">
        <v>3420000</v>
      </c>
      <c r="N31" s="17">
        <v>3420000</v>
      </c>
      <c r="O31" s="17">
        <v>3420000</v>
      </c>
      <c r="P31" s="17">
        <v>3420000</v>
      </c>
      <c r="Q31" s="17">
        <v>3420000</v>
      </c>
      <c r="R31" s="17">
        <v>3420000</v>
      </c>
      <c r="S31" s="17">
        <v>3420000</v>
      </c>
      <c r="T31" s="17">
        <v>3420000</v>
      </c>
      <c r="U31" s="17">
        <v>3420000</v>
      </c>
      <c r="V31" s="17">
        <v>3420000</v>
      </c>
      <c r="W31" s="17">
        <v>3420000</v>
      </c>
      <c r="X31" s="17">
        <v>3420000</v>
      </c>
      <c r="Y31" s="17">
        <v>3420000</v>
      </c>
      <c r="Z31" s="17">
        <v>3420000</v>
      </c>
      <c r="AA31" s="17">
        <v>3420000</v>
      </c>
      <c r="AB31" s="17">
        <v>3420000</v>
      </c>
      <c r="AC31" s="17">
        <v>3420000</v>
      </c>
      <c r="AD31" s="17">
        <v>3420000</v>
      </c>
      <c r="AE31" s="17">
        <v>3420000</v>
      </c>
      <c r="AF31" s="17">
        <v>3420000</v>
      </c>
      <c r="AG31" s="17">
        <v>3420000</v>
      </c>
      <c r="AH31" s="17">
        <v>3420000</v>
      </c>
      <c r="AI31" s="17">
        <v>3420000</v>
      </c>
    </row>
    <row r="33" spans="1:35" s="13" customFormat="1" x14ac:dyDescent="0.45">
      <c r="A33" s="13" t="s">
        <v>53</v>
      </c>
    </row>
    <row r="34" spans="1:35" x14ac:dyDescent="0.45">
      <c r="A34" t="s">
        <v>52</v>
      </c>
      <c r="B34">
        <f>B27+B31</f>
        <v>29274400</v>
      </c>
      <c r="C34" s="17">
        <f t="shared" ref="C34:AI34" si="1">C27+C31</f>
        <v>29274400</v>
      </c>
      <c r="D34" s="17">
        <f t="shared" si="1"/>
        <v>29274400</v>
      </c>
      <c r="E34" s="17">
        <f t="shared" si="1"/>
        <v>29274400</v>
      </c>
      <c r="F34" s="17">
        <f t="shared" si="1"/>
        <v>29274400</v>
      </c>
      <c r="G34" s="17">
        <f t="shared" si="1"/>
        <v>29274400</v>
      </c>
      <c r="H34" s="17">
        <f t="shared" si="1"/>
        <v>29274400</v>
      </c>
      <c r="I34" s="17">
        <f t="shared" si="1"/>
        <v>29274400</v>
      </c>
      <c r="J34" s="17">
        <f t="shared" si="1"/>
        <v>29274400</v>
      </c>
      <c r="K34" s="17">
        <f t="shared" si="1"/>
        <v>29274400</v>
      </c>
      <c r="L34" s="17">
        <f t="shared" si="1"/>
        <v>29274400</v>
      </c>
      <c r="M34" s="17">
        <f t="shared" si="1"/>
        <v>29274400</v>
      </c>
      <c r="N34" s="17">
        <f t="shared" si="1"/>
        <v>29274400</v>
      </c>
      <c r="O34" s="17">
        <f t="shared" si="1"/>
        <v>29274400</v>
      </c>
      <c r="P34" s="17">
        <f t="shared" si="1"/>
        <v>29274400</v>
      </c>
      <c r="Q34" s="17">
        <f t="shared" si="1"/>
        <v>29274400</v>
      </c>
      <c r="R34" s="17">
        <f t="shared" si="1"/>
        <v>29274400</v>
      </c>
      <c r="S34" s="17">
        <f t="shared" si="1"/>
        <v>29274400</v>
      </c>
      <c r="T34" s="17">
        <f t="shared" si="1"/>
        <v>29274400</v>
      </c>
      <c r="U34" s="17">
        <f t="shared" si="1"/>
        <v>29274400</v>
      </c>
      <c r="V34" s="17">
        <f t="shared" si="1"/>
        <v>29274400</v>
      </c>
      <c r="W34" s="17">
        <f t="shared" si="1"/>
        <v>29274400</v>
      </c>
      <c r="X34" s="17">
        <f t="shared" si="1"/>
        <v>29274400</v>
      </c>
      <c r="Y34" s="17">
        <f t="shared" si="1"/>
        <v>29274400</v>
      </c>
      <c r="Z34" s="17">
        <f t="shared" si="1"/>
        <v>29274400</v>
      </c>
      <c r="AA34" s="17">
        <f t="shared" si="1"/>
        <v>29274400</v>
      </c>
      <c r="AB34" s="17">
        <f t="shared" si="1"/>
        <v>29274400</v>
      </c>
      <c r="AC34" s="17">
        <f t="shared" si="1"/>
        <v>29274400</v>
      </c>
      <c r="AD34" s="17">
        <f t="shared" si="1"/>
        <v>29274400</v>
      </c>
      <c r="AE34" s="17">
        <f t="shared" si="1"/>
        <v>29274400</v>
      </c>
      <c r="AF34" s="17">
        <f t="shared" si="1"/>
        <v>29274400</v>
      </c>
      <c r="AG34" s="17">
        <f t="shared" si="1"/>
        <v>29274400</v>
      </c>
      <c r="AH34" s="17">
        <f t="shared" si="1"/>
        <v>29274400</v>
      </c>
      <c r="AI34" s="17">
        <f t="shared" si="1"/>
        <v>29274400</v>
      </c>
    </row>
    <row r="37" spans="1:35" ht="42.75" x14ac:dyDescent="0.45">
      <c r="A37" s="10" t="s">
        <v>54</v>
      </c>
      <c r="B37">
        <f>B34/B9</f>
        <v>0.10405387268194144</v>
      </c>
      <c r="C37" s="17">
        <f t="shared" ref="C37:AI37" si="2">C34/C9</f>
        <v>0.10374366262956689</v>
      </c>
      <c r="D37" s="17">
        <f t="shared" si="2"/>
        <v>0.10344423244057264</v>
      </c>
      <c r="E37" s="17">
        <f t="shared" si="2"/>
        <v>0.10303377056916493</v>
      </c>
      <c r="F37" s="17">
        <f t="shared" si="2"/>
        <v>0.10264174085867769</v>
      </c>
      <c r="G37" s="17">
        <f t="shared" si="2"/>
        <v>0.10229454208453315</v>
      </c>
      <c r="H37" s="17">
        <f t="shared" si="2"/>
        <v>0.1019370291962271</v>
      </c>
      <c r="I37" s="17">
        <f t="shared" si="2"/>
        <v>0.10163067900613956</v>
      </c>
      <c r="J37" s="17">
        <f t="shared" si="2"/>
        <v>0.10120202327715676</v>
      </c>
      <c r="K37" s="17">
        <f t="shared" si="2"/>
        <v>0.10083092863430841</v>
      </c>
      <c r="L37" s="17">
        <f t="shared" si="2"/>
        <v>0.10046745522165548</v>
      </c>
      <c r="M37" s="17">
        <f t="shared" si="2"/>
        <v>0.10024779640040471</v>
      </c>
      <c r="N37" s="17">
        <f t="shared" si="2"/>
        <v>9.9942743156681974E-2</v>
      </c>
      <c r="O37" s="17">
        <f t="shared" si="2"/>
        <v>9.9633507266087926E-2</v>
      </c>
      <c r="P37" s="17">
        <f t="shared" si="2"/>
        <v>9.945728335092742E-2</v>
      </c>
      <c r="Q37" s="17">
        <f t="shared" si="2"/>
        <v>9.9185891268432316E-2</v>
      </c>
      <c r="R37" s="17">
        <f t="shared" si="2"/>
        <v>9.904418692119793E-2</v>
      </c>
      <c r="S37" s="17">
        <f t="shared" si="2"/>
        <v>9.8852241009181621E-2</v>
      </c>
      <c r="T37" s="17">
        <f t="shared" si="2"/>
        <v>9.8745615233782599E-2</v>
      </c>
      <c r="U37" s="17">
        <f t="shared" si="2"/>
        <v>9.8451359814174369E-2</v>
      </c>
      <c r="V37" s="17">
        <f t="shared" si="2"/>
        <v>9.819348460884951E-2</v>
      </c>
      <c r="W37" s="17">
        <f t="shared" si="2"/>
        <v>9.7771463632371394E-2</v>
      </c>
      <c r="X37" s="17">
        <f t="shared" si="2"/>
        <v>9.7379189716152961E-2</v>
      </c>
      <c r="Y37" s="17">
        <f t="shared" si="2"/>
        <v>9.6810750736907786E-2</v>
      </c>
      <c r="Z37" s="17">
        <f t="shared" si="2"/>
        <v>9.6242196315669992E-2</v>
      </c>
      <c r="AA37" s="17">
        <f t="shared" si="2"/>
        <v>9.5616378508433617E-2</v>
      </c>
      <c r="AB37" s="17">
        <f t="shared" si="2"/>
        <v>9.4871558744402798E-2</v>
      </c>
      <c r="AC37" s="17">
        <f t="shared" si="2"/>
        <v>9.4188429986231448E-2</v>
      </c>
      <c r="AD37" s="17">
        <f t="shared" si="2"/>
        <v>9.3383794046792701E-2</v>
      </c>
      <c r="AE37" s="17">
        <f t="shared" si="2"/>
        <v>9.268075089213422E-2</v>
      </c>
      <c r="AF37" s="17">
        <f t="shared" si="2"/>
        <v>9.1916769971406909E-2</v>
      </c>
      <c r="AG37" s="17">
        <f t="shared" si="2"/>
        <v>9.1237518140042176E-2</v>
      </c>
      <c r="AH37" s="17">
        <f t="shared" si="2"/>
        <v>9.0514859941283707E-2</v>
      </c>
      <c r="AI37" s="17">
        <f t="shared" si="2"/>
        <v>8.9905945305500862E-2</v>
      </c>
    </row>
    <row r="40" spans="1:35" s="1" customFormat="1" x14ac:dyDescent="0.45">
      <c r="A40" s="1" t="s">
        <v>57</v>
      </c>
    </row>
    <row r="42" spans="1:35" x14ac:dyDescent="0.45">
      <c r="A42" t="s">
        <v>184</v>
      </c>
      <c r="B42">
        <f>B15+B16</f>
        <v>13963200</v>
      </c>
      <c r="C42" s="17">
        <f t="shared" ref="C42:AI42" si="3">C15+C16</f>
        <v>13963200</v>
      </c>
      <c r="D42" s="17">
        <f t="shared" si="3"/>
        <v>13963200</v>
      </c>
      <c r="E42" s="17">
        <f t="shared" si="3"/>
        <v>13963200</v>
      </c>
      <c r="F42" s="17">
        <f t="shared" si="3"/>
        <v>13963200</v>
      </c>
      <c r="G42" s="17">
        <f t="shared" si="3"/>
        <v>13963200</v>
      </c>
      <c r="H42" s="17">
        <f t="shared" si="3"/>
        <v>13963200</v>
      </c>
      <c r="I42" s="17">
        <f t="shared" si="3"/>
        <v>13963200</v>
      </c>
      <c r="J42" s="17">
        <f t="shared" si="3"/>
        <v>13963200</v>
      </c>
      <c r="K42" s="17">
        <f t="shared" si="3"/>
        <v>13963200</v>
      </c>
      <c r="L42" s="17">
        <f t="shared" si="3"/>
        <v>13963200</v>
      </c>
      <c r="M42" s="17">
        <f t="shared" si="3"/>
        <v>13963200</v>
      </c>
      <c r="N42" s="17">
        <f t="shared" si="3"/>
        <v>13963200</v>
      </c>
      <c r="O42" s="17">
        <f t="shared" si="3"/>
        <v>13963200</v>
      </c>
      <c r="P42" s="17">
        <f t="shared" si="3"/>
        <v>13963200</v>
      </c>
      <c r="Q42" s="17">
        <f t="shared" si="3"/>
        <v>13963200</v>
      </c>
      <c r="R42" s="17">
        <f t="shared" si="3"/>
        <v>13963200</v>
      </c>
      <c r="S42" s="17">
        <f t="shared" si="3"/>
        <v>13963200</v>
      </c>
      <c r="T42" s="17">
        <f t="shared" si="3"/>
        <v>13963200</v>
      </c>
      <c r="U42" s="17">
        <f t="shared" si="3"/>
        <v>13963200</v>
      </c>
      <c r="V42" s="17">
        <f t="shared" si="3"/>
        <v>13963200</v>
      </c>
      <c r="W42" s="17">
        <f t="shared" si="3"/>
        <v>13963200</v>
      </c>
      <c r="X42" s="17">
        <f t="shared" si="3"/>
        <v>13963200</v>
      </c>
      <c r="Y42" s="17">
        <f t="shared" si="3"/>
        <v>13963200</v>
      </c>
      <c r="Z42" s="17">
        <f t="shared" si="3"/>
        <v>13963200</v>
      </c>
      <c r="AA42" s="17">
        <f t="shared" si="3"/>
        <v>13963200</v>
      </c>
      <c r="AB42" s="17">
        <f t="shared" si="3"/>
        <v>13963200</v>
      </c>
      <c r="AC42" s="17">
        <f t="shared" si="3"/>
        <v>13963200</v>
      </c>
      <c r="AD42" s="17">
        <f t="shared" si="3"/>
        <v>13963200</v>
      </c>
      <c r="AE42" s="17">
        <f t="shared" si="3"/>
        <v>13963200</v>
      </c>
      <c r="AF42" s="17">
        <f t="shared" si="3"/>
        <v>13963200</v>
      </c>
      <c r="AG42" s="17">
        <f t="shared" si="3"/>
        <v>13963200</v>
      </c>
      <c r="AH42" s="17">
        <f t="shared" si="3"/>
        <v>13963200</v>
      </c>
      <c r="AI42" s="17">
        <f t="shared" si="3"/>
        <v>13963200</v>
      </c>
    </row>
    <row r="44" spans="1:35" x14ac:dyDescent="0.45">
      <c r="A44" t="s">
        <v>55</v>
      </c>
    </row>
    <row r="45" spans="1:35" x14ac:dyDescent="0.45">
      <c r="A45" s="17" t="s">
        <v>26</v>
      </c>
      <c r="B45" s="18">
        <v>18930800</v>
      </c>
      <c r="C45" s="18">
        <v>18930800</v>
      </c>
      <c r="D45" s="18">
        <v>18930800</v>
      </c>
      <c r="E45" s="18">
        <v>18930800</v>
      </c>
      <c r="F45" s="18">
        <v>18930800</v>
      </c>
      <c r="G45" s="18">
        <v>18930800</v>
      </c>
      <c r="H45" s="18">
        <v>18930800</v>
      </c>
      <c r="I45" s="18">
        <v>9469360</v>
      </c>
      <c r="J45" s="17">
        <v>7910.91</v>
      </c>
      <c r="K45" s="17">
        <v>7910.91</v>
      </c>
      <c r="L45" s="17">
        <v>7910.91</v>
      </c>
      <c r="M45" s="17">
        <v>7910.91</v>
      </c>
      <c r="N45" s="17">
        <v>7910.91</v>
      </c>
      <c r="O45" s="17">
        <v>7910.91</v>
      </c>
      <c r="P45" s="17">
        <v>7910.91</v>
      </c>
      <c r="Q45" s="17">
        <v>7910.91</v>
      </c>
      <c r="R45" s="17">
        <v>7910.91</v>
      </c>
      <c r="S45" s="17">
        <v>7910.91</v>
      </c>
      <c r="T45" s="17">
        <v>7910.91</v>
      </c>
      <c r="U45" s="17">
        <v>7910.91</v>
      </c>
      <c r="V45" s="17">
        <v>7910.91</v>
      </c>
      <c r="W45" s="17">
        <v>7910.91</v>
      </c>
      <c r="X45" s="17">
        <v>7910.91</v>
      </c>
      <c r="Y45" s="17">
        <v>7910.91</v>
      </c>
      <c r="Z45" s="17">
        <v>7910.91</v>
      </c>
      <c r="AA45" s="17">
        <v>7910.91</v>
      </c>
      <c r="AB45" s="17">
        <v>7910.91</v>
      </c>
      <c r="AC45" s="17">
        <v>7910.91</v>
      </c>
      <c r="AD45" s="17">
        <v>7910.91</v>
      </c>
      <c r="AE45" s="17">
        <v>7910.91</v>
      </c>
      <c r="AF45" s="17">
        <v>7910.91</v>
      </c>
      <c r="AG45" s="17">
        <v>7910.91</v>
      </c>
      <c r="AH45" s="17">
        <v>7910.91</v>
      </c>
      <c r="AI45" s="17">
        <v>7910.91</v>
      </c>
    </row>
    <row r="46" spans="1:35" x14ac:dyDescent="0.45">
      <c r="A46" s="17" t="s">
        <v>27</v>
      </c>
      <c r="B46" s="18">
        <v>30768000</v>
      </c>
      <c r="C46" s="18">
        <v>30768000</v>
      </c>
      <c r="D46" s="18">
        <v>30768000</v>
      </c>
      <c r="E46" s="18">
        <v>30768000</v>
      </c>
      <c r="F46" s="18">
        <v>30768000</v>
      </c>
      <c r="G46" s="18">
        <v>30768000</v>
      </c>
      <c r="H46" s="18">
        <v>30768000</v>
      </c>
      <c r="I46" s="18">
        <v>30739500</v>
      </c>
      <c r="J46" s="18">
        <v>30739500</v>
      </c>
      <c r="K46" s="18">
        <v>30739500</v>
      </c>
      <c r="L46" s="18">
        <v>30739500</v>
      </c>
      <c r="M46" s="18">
        <v>30739500</v>
      </c>
      <c r="N46" s="18">
        <v>30739500</v>
      </c>
      <c r="O46" s="18">
        <v>30739500</v>
      </c>
      <c r="P46" s="18">
        <v>30737300</v>
      </c>
      <c r="Q46" s="18">
        <v>30735100</v>
      </c>
      <c r="R46" s="18">
        <v>30735100</v>
      </c>
      <c r="S46" s="18">
        <v>30735100</v>
      </c>
      <c r="T46" s="18">
        <v>30732900</v>
      </c>
      <c r="U46" s="18">
        <v>30719700</v>
      </c>
      <c r="V46" s="18">
        <v>30719700</v>
      </c>
      <c r="W46" s="18">
        <v>30719700</v>
      </c>
      <c r="X46" s="18">
        <v>30719700</v>
      </c>
      <c r="Y46" s="18">
        <v>30719700</v>
      </c>
      <c r="Z46" s="18">
        <v>30719700</v>
      </c>
      <c r="AA46" s="18">
        <v>30719700</v>
      </c>
      <c r="AB46" s="18">
        <v>30719700</v>
      </c>
      <c r="AC46" s="18">
        <v>30719700</v>
      </c>
      <c r="AD46" s="18">
        <v>30719700</v>
      </c>
      <c r="AE46" s="18">
        <v>30719700</v>
      </c>
      <c r="AF46" s="18">
        <v>30719700</v>
      </c>
      <c r="AG46" s="18">
        <v>30719700</v>
      </c>
      <c r="AH46" s="18">
        <v>30719700</v>
      </c>
      <c r="AI46" s="18">
        <v>30719700</v>
      </c>
    </row>
    <row r="48" spans="1:35" x14ac:dyDescent="0.45">
      <c r="A48" t="s">
        <v>58</v>
      </c>
      <c r="B48" s="18">
        <f>B42+B45+B46</f>
        <v>63662000</v>
      </c>
      <c r="C48" s="18">
        <f t="shared" ref="C48:AI48" si="4">C42+C45+C46</f>
        <v>63662000</v>
      </c>
      <c r="D48" s="18">
        <f t="shared" si="4"/>
        <v>63662000</v>
      </c>
      <c r="E48" s="18">
        <f t="shared" si="4"/>
        <v>63662000</v>
      </c>
      <c r="F48" s="18">
        <f t="shared" si="4"/>
        <v>63662000</v>
      </c>
      <c r="G48" s="18">
        <f t="shared" si="4"/>
        <v>63662000</v>
      </c>
      <c r="H48" s="18">
        <f t="shared" si="4"/>
        <v>63662000</v>
      </c>
      <c r="I48" s="18">
        <f t="shared" si="4"/>
        <v>54172060</v>
      </c>
      <c r="J48" s="18">
        <f t="shared" si="4"/>
        <v>44710610.909999996</v>
      </c>
      <c r="K48" s="18">
        <f t="shared" si="4"/>
        <v>44710610.909999996</v>
      </c>
      <c r="L48" s="18">
        <f t="shared" si="4"/>
        <v>44710610.909999996</v>
      </c>
      <c r="M48" s="18">
        <f t="shared" si="4"/>
        <v>44710610.909999996</v>
      </c>
      <c r="N48" s="18">
        <f t="shared" si="4"/>
        <v>44710610.909999996</v>
      </c>
      <c r="O48" s="18">
        <f t="shared" si="4"/>
        <v>44710610.909999996</v>
      </c>
      <c r="P48" s="18">
        <f t="shared" si="4"/>
        <v>44708410.909999996</v>
      </c>
      <c r="Q48" s="18">
        <f t="shared" si="4"/>
        <v>44706210.909999996</v>
      </c>
      <c r="R48" s="18">
        <f t="shared" si="4"/>
        <v>44706210.909999996</v>
      </c>
      <c r="S48" s="18">
        <f t="shared" si="4"/>
        <v>44706210.909999996</v>
      </c>
      <c r="T48" s="18">
        <f t="shared" si="4"/>
        <v>44704010.909999996</v>
      </c>
      <c r="U48" s="18">
        <f t="shared" si="4"/>
        <v>44690810.909999996</v>
      </c>
      <c r="V48" s="18">
        <f t="shared" si="4"/>
        <v>44690810.909999996</v>
      </c>
      <c r="W48" s="18">
        <f t="shared" si="4"/>
        <v>44690810.909999996</v>
      </c>
      <c r="X48" s="18">
        <f t="shared" si="4"/>
        <v>44690810.909999996</v>
      </c>
      <c r="Y48" s="18">
        <f t="shared" si="4"/>
        <v>44690810.909999996</v>
      </c>
      <c r="Z48" s="18">
        <f t="shared" si="4"/>
        <v>44690810.909999996</v>
      </c>
      <c r="AA48" s="18">
        <f t="shared" si="4"/>
        <v>44690810.909999996</v>
      </c>
      <c r="AB48" s="18">
        <f t="shared" si="4"/>
        <v>44690810.909999996</v>
      </c>
      <c r="AC48" s="18">
        <f t="shared" si="4"/>
        <v>44690810.909999996</v>
      </c>
      <c r="AD48" s="18">
        <f t="shared" si="4"/>
        <v>44690810.909999996</v>
      </c>
      <c r="AE48" s="18">
        <f t="shared" si="4"/>
        <v>44690810.909999996</v>
      </c>
      <c r="AF48" s="18">
        <f t="shared" si="4"/>
        <v>44690810.909999996</v>
      </c>
      <c r="AG48" s="18">
        <f t="shared" si="4"/>
        <v>44690810.909999996</v>
      </c>
      <c r="AH48" s="18">
        <f t="shared" si="4"/>
        <v>44690810.909999996</v>
      </c>
      <c r="AI48" s="18">
        <f t="shared" si="4"/>
        <v>44690810.909999996</v>
      </c>
    </row>
    <row r="49" spans="1:35" x14ac:dyDescent="0.45">
      <c r="A49" t="s">
        <v>59</v>
      </c>
      <c r="B49" s="9">
        <f>B48/B9</f>
        <v>0.22628226855811753</v>
      </c>
      <c r="C49" s="9">
        <f t="shared" ref="C49:AI49" si="5">C48/C9</f>
        <v>0.22560766575313199</v>
      </c>
      <c r="D49" s="9">
        <f t="shared" si="5"/>
        <v>0.22495650553492935</v>
      </c>
      <c r="E49" s="9">
        <f t="shared" si="5"/>
        <v>0.22406388865268556</v>
      </c>
      <c r="F49" s="9">
        <f t="shared" si="5"/>
        <v>0.22321135553743679</v>
      </c>
      <c r="G49" s="9">
        <f t="shared" si="5"/>
        <v>0.22245631467034505</v>
      </c>
      <c r="H49" s="9">
        <f t="shared" si="5"/>
        <v>0.2216788440647873</v>
      </c>
      <c r="I49" s="9">
        <f t="shared" si="5"/>
        <v>0.18806681745693618</v>
      </c>
      <c r="J49" s="9">
        <f t="shared" si="5"/>
        <v>0.15456522716263077</v>
      </c>
      <c r="K49" s="9">
        <f t="shared" si="5"/>
        <v>0.15399845659902647</v>
      </c>
      <c r="L49" s="9">
        <f t="shared" si="5"/>
        <v>0.15344332589338416</v>
      </c>
      <c r="M49" s="9">
        <f t="shared" si="5"/>
        <v>0.15310784232788352</v>
      </c>
      <c r="N49" s="9">
        <f t="shared" si="5"/>
        <v>0.15264193638662013</v>
      </c>
      <c r="O49" s="9">
        <f t="shared" si="5"/>
        <v>0.15216964231453811</v>
      </c>
      <c r="P49" s="9">
        <f t="shared" si="5"/>
        <v>0.15189302230090332</v>
      </c>
      <c r="Q49" s="9">
        <f t="shared" si="5"/>
        <v>0.15147109332190795</v>
      </c>
      <c r="R49" s="9">
        <f t="shared" si="5"/>
        <v>0.15125469044313591</v>
      </c>
      <c r="S49" s="9">
        <f t="shared" si="5"/>
        <v>0.15096156148316017</v>
      </c>
      <c r="T49" s="9">
        <f t="shared" si="5"/>
        <v>0.15079130778856883</v>
      </c>
      <c r="U49" s="9">
        <f t="shared" si="5"/>
        <v>0.15029756733827643</v>
      </c>
      <c r="V49" s="9">
        <f t="shared" si="5"/>
        <v>0.14990389054081685</v>
      </c>
      <c r="W49" s="9">
        <f t="shared" si="5"/>
        <v>0.14925962593898598</v>
      </c>
      <c r="X49" s="9">
        <f t="shared" si="5"/>
        <v>0.14866077371948214</v>
      </c>
      <c r="Y49" s="9">
        <f t="shared" si="5"/>
        <v>0.14779298483447273</v>
      </c>
      <c r="Z49" s="9">
        <f t="shared" si="5"/>
        <v>0.14692501971369884</v>
      </c>
      <c r="AA49" s="9">
        <f t="shared" si="5"/>
        <v>0.14596963530659532</v>
      </c>
      <c r="AB49" s="9">
        <f t="shared" si="5"/>
        <v>0.14483258043147126</v>
      </c>
      <c r="AC49" s="9">
        <f t="shared" si="5"/>
        <v>0.14378970412457448</v>
      </c>
      <c r="AD49" s="9">
        <f t="shared" si="5"/>
        <v>0.1425613328301723</v>
      </c>
      <c r="AE49" s="9">
        <f t="shared" si="5"/>
        <v>0.14148805485739022</v>
      </c>
      <c r="AF49" s="9">
        <f t="shared" si="5"/>
        <v>0.14032174822541579</v>
      </c>
      <c r="AG49" s="9">
        <f t="shared" si="5"/>
        <v>0.13928479050277101</v>
      </c>
      <c r="AH49" s="9">
        <f t="shared" si="5"/>
        <v>0.13818156786069205</v>
      </c>
      <c r="AI49" s="9">
        <f t="shared" si="5"/>
        <v>0.13725198813068554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topLeftCell="A13" workbookViewId="0">
      <selection activeCell="H43" sqref="H43"/>
    </sheetView>
  </sheetViews>
  <sheetFormatPr defaultRowHeight="14.25" x14ac:dyDescent="0.45"/>
  <sheetData>
    <row r="3" spans="1:1" x14ac:dyDescent="0.35">
      <c r="A3" s="14" t="s">
        <v>195</v>
      </c>
    </row>
  </sheetData>
  <hyperlinks>
    <hyperlink ref="A3" r:id="rId1" display="https://www.cpuc.ca.gov/uploadedFiles/CPUCWebsite/Content/UtilitiesIndustries/Energy/EnergyPrograms/ElectPowerProcurementGeneration/irp/2018/2019 IRP Preliminary Results 20191004.pdf"/>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40" workbookViewId="0">
      <selection activeCell="K55" sqref="K55"/>
    </sheetView>
  </sheetViews>
  <sheetFormatPr defaultRowHeight="14.25" x14ac:dyDescent="0.45"/>
  <cols>
    <col min="1" max="1" width="16.06640625" customWidth="1"/>
  </cols>
  <sheetData>
    <row r="1" spans="1:6" ht="14.55" x14ac:dyDescent="0.35">
      <c r="A1" t="s">
        <v>177</v>
      </c>
      <c r="F1" s="33">
        <v>191236</v>
      </c>
    </row>
    <row r="19" spans="19:19" ht="14.55" x14ac:dyDescent="0.35">
      <c r="S19" s="33">
        <v>254584</v>
      </c>
    </row>
    <row r="41" spans="1:3" ht="14.55" x14ac:dyDescent="0.35">
      <c r="B41" t="s">
        <v>172</v>
      </c>
    </row>
    <row r="42" spans="1:3" ht="14.55" x14ac:dyDescent="0.35">
      <c r="A42" t="s">
        <v>167</v>
      </c>
      <c r="B42" s="33">
        <v>339160</v>
      </c>
      <c r="C42" t="s">
        <v>173</v>
      </c>
    </row>
    <row r="43" spans="1:3" ht="14.55" x14ac:dyDescent="0.35">
      <c r="A43" t="s">
        <v>174</v>
      </c>
      <c r="B43" s="33">
        <f>$S$19</f>
        <v>254584</v>
      </c>
      <c r="C43" s="17" t="s">
        <v>175</v>
      </c>
    </row>
    <row r="44" spans="1:3" s="17" customFormat="1" ht="14.55" x14ac:dyDescent="0.35">
      <c r="A44" s="17" t="s">
        <v>176</v>
      </c>
      <c r="B44" s="17">
        <f>B43/B42</f>
        <v>0.7506309706333294</v>
      </c>
    </row>
    <row r="47" spans="1:3" ht="23.55" x14ac:dyDescent="0.35">
      <c r="A47" s="38" t="s">
        <v>168</v>
      </c>
    </row>
    <row r="48" spans="1:3" ht="23.25" x14ac:dyDescent="0.45">
      <c r="A48" s="39" t="s">
        <v>169</v>
      </c>
    </row>
    <row r="49" spans="1:1" ht="23.25" x14ac:dyDescent="0.45">
      <c r="A49" s="39" t="s">
        <v>170</v>
      </c>
    </row>
    <row r="50" spans="1:1" ht="23.55" x14ac:dyDescent="0.35">
      <c r="A50" s="38"/>
    </row>
    <row r="51" spans="1:1" ht="15" x14ac:dyDescent="0.35">
      <c r="A51" s="40">
        <v>52</v>
      </c>
    </row>
    <row r="52" spans="1:1" ht="14.55" x14ac:dyDescent="0.35">
      <c r="A52" s="41" t="s">
        <v>171</v>
      </c>
    </row>
    <row r="53" spans="1:1" ht="14.55" x14ac:dyDescent="0.35">
      <c r="A53" s="42"/>
    </row>
    <row r="54" spans="1:1" ht="14.55" x14ac:dyDescent="0.35">
      <c r="A54" s="42"/>
    </row>
  </sheetData>
  <hyperlinks>
    <hyperlink ref="A5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opLeftCell="A16" workbookViewId="0">
      <selection activeCell="A36" sqref="A36"/>
    </sheetView>
  </sheetViews>
  <sheetFormatPr defaultRowHeight="14.25" x14ac:dyDescent="0.45"/>
  <cols>
    <col min="1" max="1" width="24.265625" customWidth="1"/>
    <col min="2" max="4" width="10.9296875" bestFit="1" customWidth="1"/>
  </cols>
  <sheetData>
    <row r="1" spans="1:29" ht="15.5" customHeight="1" x14ac:dyDescent="0.35">
      <c r="A1" s="53" t="s">
        <v>88</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row>
    <row r="2" spans="1:29" ht="15.5" customHeight="1" x14ac:dyDescent="0.35">
      <c r="A2" s="53" t="s">
        <v>84</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row>
    <row r="3" spans="1:29" ht="14.55" customHeight="1" x14ac:dyDescent="0.35">
      <c r="A3" s="54" t="s">
        <v>89</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ht="26" x14ac:dyDescent="0.35">
      <c r="A4" s="24" t="s">
        <v>90</v>
      </c>
      <c r="B4" s="24" t="s">
        <v>91</v>
      </c>
      <c r="C4" s="24" t="s">
        <v>92</v>
      </c>
      <c r="D4" s="24" t="s">
        <v>93</v>
      </c>
      <c r="E4" s="24" t="s">
        <v>94</v>
      </c>
      <c r="F4" s="24" t="s">
        <v>95</v>
      </c>
      <c r="G4" s="24" t="s">
        <v>96</v>
      </c>
      <c r="H4" s="24" t="s">
        <v>97</v>
      </c>
      <c r="I4" s="24" t="s">
        <v>98</v>
      </c>
      <c r="J4" s="24" t="s">
        <v>99</v>
      </c>
      <c r="K4" s="24" t="s">
        <v>100</v>
      </c>
      <c r="L4" s="24" t="s">
        <v>101</v>
      </c>
      <c r="M4" s="24" t="s">
        <v>102</v>
      </c>
      <c r="N4" s="24" t="s">
        <v>103</v>
      </c>
      <c r="O4" s="24" t="s">
        <v>104</v>
      </c>
      <c r="P4" s="24" t="s">
        <v>105</v>
      </c>
      <c r="Q4" s="24" t="s">
        <v>106</v>
      </c>
      <c r="R4" s="24" t="s">
        <v>107</v>
      </c>
      <c r="S4" s="24" t="s">
        <v>108</v>
      </c>
      <c r="T4" s="24" t="s">
        <v>109</v>
      </c>
      <c r="U4" s="24" t="s">
        <v>110</v>
      </c>
      <c r="V4" s="24" t="s">
        <v>111</v>
      </c>
      <c r="W4" s="24" t="s">
        <v>112</v>
      </c>
      <c r="X4" s="24" t="s">
        <v>113</v>
      </c>
      <c r="Y4" s="24" t="s">
        <v>114</v>
      </c>
      <c r="Z4" s="24" t="s">
        <v>115</v>
      </c>
      <c r="AA4" s="24" t="s">
        <v>116</v>
      </c>
      <c r="AB4" s="24" t="s">
        <v>117</v>
      </c>
      <c r="AC4" s="24" t="s">
        <v>118</v>
      </c>
    </row>
    <row r="5" spans="1:29" ht="14.55" x14ac:dyDescent="0.35">
      <c r="A5" s="25" t="s">
        <v>119</v>
      </c>
      <c r="B5" s="26" t="s">
        <v>85</v>
      </c>
      <c r="C5" s="26" t="s">
        <v>85</v>
      </c>
      <c r="D5" s="26" t="s">
        <v>85</v>
      </c>
      <c r="E5" s="26" t="s">
        <v>85</v>
      </c>
      <c r="F5" s="26" t="s">
        <v>85</v>
      </c>
      <c r="G5" s="26" t="s">
        <v>85</v>
      </c>
      <c r="H5" s="26" t="s">
        <v>85</v>
      </c>
      <c r="I5" s="26" t="s">
        <v>85</v>
      </c>
      <c r="J5" s="26" t="s">
        <v>85</v>
      </c>
      <c r="K5" s="26" t="s">
        <v>85</v>
      </c>
      <c r="L5" s="26" t="s">
        <v>85</v>
      </c>
      <c r="M5" s="26" t="s">
        <v>85</v>
      </c>
      <c r="N5" s="26" t="s">
        <v>85</v>
      </c>
      <c r="O5" s="26" t="s">
        <v>85</v>
      </c>
      <c r="P5" s="26" t="s">
        <v>85</v>
      </c>
      <c r="Q5" s="26" t="s">
        <v>85</v>
      </c>
      <c r="R5" s="26" t="s">
        <v>85</v>
      </c>
      <c r="S5" s="26" t="s">
        <v>85</v>
      </c>
      <c r="T5" s="26" t="s">
        <v>85</v>
      </c>
      <c r="U5" s="26" t="s">
        <v>85</v>
      </c>
      <c r="V5" s="26" t="s">
        <v>85</v>
      </c>
      <c r="W5" s="26" t="s">
        <v>85</v>
      </c>
      <c r="X5" s="26" t="s">
        <v>85</v>
      </c>
      <c r="Y5" s="26" t="s">
        <v>85</v>
      </c>
      <c r="Z5" s="26" t="s">
        <v>85</v>
      </c>
      <c r="AA5" s="26" t="s">
        <v>85</v>
      </c>
      <c r="AB5" s="26" t="s">
        <v>85</v>
      </c>
      <c r="AC5" s="26" t="s">
        <v>85</v>
      </c>
    </row>
    <row r="6" spans="1:29" ht="26.55" x14ac:dyDescent="0.35">
      <c r="A6" s="25" t="s">
        <v>120</v>
      </c>
      <c r="B6" s="26" t="s">
        <v>85</v>
      </c>
      <c r="C6" s="26" t="s">
        <v>85</v>
      </c>
      <c r="D6" s="26" t="s">
        <v>85</v>
      </c>
      <c r="E6" s="26" t="s">
        <v>85</v>
      </c>
      <c r="F6" s="26" t="s">
        <v>85</v>
      </c>
      <c r="G6" s="26" t="s">
        <v>85</v>
      </c>
      <c r="H6" s="26" t="s">
        <v>85</v>
      </c>
      <c r="I6" s="26" t="s">
        <v>85</v>
      </c>
      <c r="J6" s="26" t="s">
        <v>85</v>
      </c>
      <c r="K6" s="26" t="s">
        <v>85</v>
      </c>
      <c r="L6" s="26" t="s">
        <v>85</v>
      </c>
      <c r="M6" s="26" t="s">
        <v>85</v>
      </c>
      <c r="N6" s="26" t="s">
        <v>85</v>
      </c>
      <c r="O6" s="26" t="s">
        <v>85</v>
      </c>
      <c r="P6" s="26" t="s">
        <v>85</v>
      </c>
      <c r="Q6" s="26" t="s">
        <v>85</v>
      </c>
      <c r="R6" s="26" t="s">
        <v>85</v>
      </c>
      <c r="S6" s="26" t="s">
        <v>85</v>
      </c>
      <c r="T6" s="26" t="s">
        <v>85</v>
      </c>
      <c r="U6" s="26" t="s">
        <v>85</v>
      </c>
      <c r="V6" s="26" t="s">
        <v>85</v>
      </c>
      <c r="W6" s="26" t="s">
        <v>85</v>
      </c>
      <c r="X6" s="26" t="s">
        <v>85</v>
      </c>
      <c r="Y6" s="26" t="s">
        <v>85</v>
      </c>
      <c r="Z6" s="26" t="s">
        <v>85</v>
      </c>
      <c r="AA6" s="26" t="s">
        <v>85</v>
      </c>
      <c r="AB6" s="26" t="s">
        <v>85</v>
      </c>
      <c r="AC6" s="26" t="s">
        <v>85</v>
      </c>
    </row>
    <row r="7" spans="1:29" ht="26" x14ac:dyDescent="0.35">
      <c r="A7" s="27" t="s">
        <v>121</v>
      </c>
      <c r="B7" s="28">
        <v>90422390</v>
      </c>
      <c r="C7" s="28">
        <v>81155619</v>
      </c>
      <c r="D7" s="28">
        <v>71150169</v>
      </c>
      <c r="E7" s="28">
        <v>71037135</v>
      </c>
      <c r="F7" s="28">
        <v>78407643</v>
      </c>
      <c r="G7" s="28">
        <v>82486064</v>
      </c>
      <c r="H7" s="28">
        <v>105360204</v>
      </c>
      <c r="I7" s="28">
        <v>96939535</v>
      </c>
      <c r="J7" s="28">
        <v>85123706</v>
      </c>
      <c r="K7" s="28">
        <v>83346844</v>
      </c>
      <c r="L7" s="28">
        <v>87348589</v>
      </c>
      <c r="M7" s="28">
        <v>100338454</v>
      </c>
      <c r="N7" s="28">
        <v>89348213</v>
      </c>
      <c r="O7" s="28">
        <v>75177122</v>
      </c>
      <c r="P7" s="28">
        <v>81728209</v>
      </c>
      <c r="Q7" s="28">
        <v>74588271</v>
      </c>
      <c r="R7" s="28">
        <v>70132656</v>
      </c>
      <c r="S7" s="28">
        <v>85856285</v>
      </c>
      <c r="T7" s="28">
        <v>87874809</v>
      </c>
      <c r="U7" s="28">
        <v>114926213</v>
      </c>
      <c r="V7" s="28">
        <v>112183063</v>
      </c>
      <c r="W7" s="28">
        <v>114706047</v>
      </c>
      <c r="X7" s="28">
        <v>121881402</v>
      </c>
      <c r="Y7" s="28">
        <v>126749186</v>
      </c>
      <c r="Z7" s="28">
        <v>125782063</v>
      </c>
      <c r="AA7" s="28">
        <v>119309725</v>
      </c>
      <c r="AB7" s="28">
        <v>104967938</v>
      </c>
      <c r="AC7" s="28">
        <v>114528000</v>
      </c>
    </row>
    <row r="8" spans="1:29" ht="63.5" x14ac:dyDescent="0.35">
      <c r="A8" s="27" t="s">
        <v>122</v>
      </c>
      <c r="B8" s="28">
        <v>83476197</v>
      </c>
      <c r="C8" s="28">
        <v>82582662</v>
      </c>
      <c r="D8" s="28">
        <v>90907434</v>
      </c>
      <c r="E8" s="28">
        <v>89576573</v>
      </c>
      <c r="F8" s="28">
        <v>86201998</v>
      </c>
      <c r="G8" s="28">
        <v>80574100</v>
      </c>
      <c r="H8" s="28">
        <v>58255052</v>
      </c>
      <c r="I8" s="28">
        <v>69294065</v>
      </c>
      <c r="J8" s="28">
        <v>80766990</v>
      </c>
      <c r="K8" s="28">
        <v>85067386</v>
      </c>
      <c r="L8" s="28">
        <v>82490841</v>
      </c>
      <c r="M8" s="28">
        <v>76508931</v>
      </c>
      <c r="N8" s="28">
        <v>68720587</v>
      </c>
      <c r="O8" s="28">
        <v>75927726</v>
      </c>
      <c r="P8" s="28">
        <v>65429324</v>
      </c>
      <c r="Q8" s="28">
        <v>63545451</v>
      </c>
      <c r="R8" s="28">
        <v>88665145</v>
      </c>
      <c r="S8" s="28">
        <v>78995767</v>
      </c>
      <c r="T8" s="28">
        <v>57911793</v>
      </c>
      <c r="U8" s="28">
        <v>31928915</v>
      </c>
      <c r="V8" s="28">
        <v>18586854</v>
      </c>
      <c r="W8" s="28">
        <v>19079663</v>
      </c>
      <c r="X8" s="28">
        <v>18956807</v>
      </c>
      <c r="Y8" s="28">
        <v>18752093</v>
      </c>
      <c r="Z8" s="28">
        <v>20462154</v>
      </c>
      <c r="AA8" s="28">
        <v>17919147</v>
      </c>
      <c r="AB8" s="28">
        <v>17428214</v>
      </c>
      <c r="AC8" s="28">
        <v>15407379</v>
      </c>
    </row>
    <row r="9" spans="1:29" ht="63.5" x14ac:dyDescent="0.35">
      <c r="A9" s="27" t="s">
        <v>123</v>
      </c>
      <c r="B9" s="28">
        <v>15865433</v>
      </c>
      <c r="C9" s="28">
        <v>16664260</v>
      </c>
      <c r="D9" s="28">
        <v>17246706</v>
      </c>
      <c r="E9" s="28">
        <v>20207580</v>
      </c>
      <c r="F9" s="28">
        <v>16905498</v>
      </c>
      <c r="G9" s="28">
        <v>18163487</v>
      </c>
      <c r="H9" s="28">
        <v>18656710</v>
      </c>
      <c r="I9" s="28">
        <v>19582003</v>
      </c>
      <c r="J9" s="28">
        <v>21008878</v>
      </c>
      <c r="K9" s="28">
        <v>21534860</v>
      </c>
      <c r="L9" s="28">
        <v>22341666</v>
      </c>
      <c r="M9" s="28">
        <v>21399211</v>
      </c>
      <c r="N9" s="28">
        <v>23458694</v>
      </c>
      <c r="O9" s="28">
        <v>24566735</v>
      </c>
      <c r="P9" s="28">
        <v>25458401</v>
      </c>
      <c r="Q9" s="28">
        <v>26975628</v>
      </c>
      <c r="R9" s="28">
        <v>21304838</v>
      </c>
      <c r="S9" s="28">
        <v>23410478</v>
      </c>
      <c r="T9" s="28">
        <v>22963928</v>
      </c>
      <c r="U9" s="28">
        <v>23266896</v>
      </c>
      <c r="V9" s="28">
        <v>21931565</v>
      </c>
      <c r="W9" s="28">
        <v>21512982</v>
      </c>
      <c r="X9" s="28">
        <v>21690967</v>
      </c>
      <c r="Y9" s="28">
        <v>21641993</v>
      </c>
      <c r="Z9" s="28">
        <v>21598133</v>
      </c>
      <c r="AA9" s="28">
        <v>21148684</v>
      </c>
      <c r="AB9" s="28">
        <v>19021491</v>
      </c>
      <c r="AC9" s="28">
        <v>17547076</v>
      </c>
    </row>
    <row r="10" spans="1:29" ht="78.5" x14ac:dyDescent="0.35">
      <c r="A10" s="20" t="s">
        <v>124</v>
      </c>
      <c r="B10" s="21">
        <v>189764020</v>
      </c>
      <c r="C10" s="21">
        <v>180402541</v>
      </c>
      <c r="D10" s="21">
        <v>179304309</v>
      </c>
      <c r="E10" s="21">
        <v>180821288</v>
      </c>
      <c r="F10" s="21">
        <v>181515139</v>
      </c>
      <c r="G10" s="21">
        <v>181223651</v>
      </c>
      <c r="H10" s="21">
        <v>182271967</v>
      </c>
      <c r="I10" s="21">
        <v>185815603</v>
      </c>
      <c r="J10" s="21">
        <v>186899573</v>
      </c>
      <c r="K10" s="21">
        <v>189949090</v>
      </c>
      <c r="L10" s="21">
        <v>192181096</v>
      </c>
      <c r="M10" s="21">
        <v>198246596</v>
      </c>
      <c r="N10" s="21">
        <v>181527493</v>
      </c>
      <c r="O10" s="21">
        <v>175671583</v>
      </c>
      <c r="P10" s="21">
        <v>172615934</v>
      </c>
      <c r="Q10" s="21">
        <v>165109350</v>
      </c>
      <c r="R10" s="21">
        <v>180102640</v>
      </c>
      <c r="S10" s="21">
        <v>188262531</v>
      </c>
      <c r="T10" s="21">
        <v>168750531</v>
      </c>
      <c r="U10" s="21">
        <v>170122024</v>
      </c>
      <c r="V10" s="21">
        <v>152701482</v>
      </c>
      <c r="W10" s="21">
        <v>155298692</v>
      </c>
      <c r="X10" s="21">
        <v>162529176</v>
      </c>
      <c r="Y10" s="21">
        <v>167143271</v>
      </c>
      <c r="Z10" s="21">
        <v>167842349</v>
      </c>
      <c r="AA10" s="21">
        <v>158377557</v>
      </c>
      <c r="AB10" s="21">
        <v>141417643</v>
      </c>
      <c r="AC10" s="21">
        <v>147482454</v>
      </c>
    </row>
    <row r="11" spans="1:29" ht="76.05" x14ac:dyDescent="0.35">
      <c r="A11" s="27" t="s">
        <v>125</v>
      </c>
      <c r="B11" s="28">
        <v>2867261</v>
      </c>
      <c r="C11" s="28">
        <v>2858960</v>
      </c>
      <c r="D11" s="28">
        <v>2888734</v>
      </c>
      <c r="E11" s="28">
        <v>2802160</v>
      </c>
      <c r="F11" s="28">
        <v>2761572</v>
      </c>
      <c r="G11" s="28">
        <v>2894426</v>
      </c>
      <c r="H11" s="28">
        <v>2880277</v>
      </c>
      <c r="I11" s="28">
        <v>2300044</v>
      </c>
      <c r="J11" s="28">
        <v>2243754</v>
      </c>
      <c r="K11" s="28">
        <v>2100480</v>
      </c>
      <c r="L11" s="28">
        <v>2130746</v>
      </c>
      <c r="M11" s="28">
        <v>2118380</v>
      </c>
      <c r="N11" s="28">
        <v>2150876</v>
      </c>
      <c r="O11" s="28">
        <v>1917669</v>
      </c>
      <c r="P11" s="28">
        <v>2070584</v>
      </c>
      <c r="Q11" s="28">
        <v>1958497</v>
      </c>
      <c r="R11" s="28">
        <v>1824899</v>
      </c>
      <c r="S11" s="28">
        <v>2103807</v>
      </c>
      <c r="T11" s="28">
        <v>2024081</v>
      </c>
      <c r="U11" s="28">
        <v>2037539</v>
      </c>
      <c r="V11" s="28">
        <v>2031715</v>
      </c>
      <c r="W11" s="28">
        <v>2118233</v>
      </c>
      <c r="X11" s="28">
        <v>2080608</v>
      </c>
      <c r="Y11" s="28">
        <v>2063102</v>
      </c>
      <c r="Z11" s="28">
        <v>1754267</v>
      </c>
      <c r="AA11" s="28">
        <v>1738325</v>
      </c>
      <c r="AB11" s="28">
        <v>1586533</v>
      </c>
      <c r="AC11" s="28">
        <v>1730302</v>
      </c>
    </row>
    <row r="12" spans="1:29" ht="26" x14ac:dyDescent="0.35">
      <c r="A12" s="27" t="s">
        <v>126</v>
      </c>
      <c r="B12" s="28">
        <v>13515111</v>
      </c>
      <c r="C12" s="28">
        <v>13701715</v>
      </c>
      <c r="D12" s="28">
        <v>14510816</v>
      </c>
      <c r="E12" s="28">
        <v>15184174</v>
      </c>
      <c r="F12" s="28">
        <v>15800404</v>
      </c>
      <c r="G12" s="28">
        <v>15400490</v>
      </c>
      <c r="H12" s="28">
        <v>15652598</v>
      </c>
      <c r="I12" s="28">
        <v>16009948</v>
      </c>
      <c r="J12" s="28">
        <v>15632805</v>
      </c>
      <c r="K12" s="28">
        <v>15934693</v>
      </c>
      <c r="L12" s="28">
        <v>16535739</v>
      </c>
      <c r="M12" s="28">
        <v>16433712</v>
      </c>
      <c r="N12" s="28">
        <v>16614449</v>
      </c>
      <c r="O12" s="28">
        <v>17191102</v>
      </c>
      <c r="P12" s="28">
        <v>18102025</v>
      </c>
      <c r="Q12" s="28">
        <v>17142183</v>
      </c>
      <c r="R12" s="28">
        <v>16668548</v>
      </c>
      <c r="S12" s="28">
        <v>17716145</v>
      </c>
      <c r="T12" s="28">
        <v>17544608</v>
      </c>
      <c r="U12" s="28">
        <v>17441143</v>
      </c>
      <c r="V12" s="28">
        <v>18064398</v>
      </c>
      <c r="W12" s="28">
        <v>17846277</v>
      </c>
      <c r="X12" s="28">
        <v>16853559</v>
      </c>
      <c r="Y12" s="28">
        <v>16985617</v>
      </c>
      <c r="Z12" s="28">
        <v>17394028</v>
      </c>
      <c r="AA12" s="28">
        <v>17039576</v>
      </c>
      <c r="AB12" s="28">
        <v>15943468</v>
      </c>
      <c r="AC12" s="28">
        <v>16572153</v>
      </c>
    </row>
    <row r="13" spans="1:29" ht="26.55" x14ac:dyDescent="0.35">
      <c r="A13" s="20" t="s">
        <v>127</v>
      </c>
      <c r="B13" s="21">
        <v>16382372</v>
      </c>
      <c r="C13" s="21">
        <v>16560674</v>
      </c>
      <c r="D13" s="21">
        <v>17399549</v>
      </c>
      <c r="E13" s="21">
        <v>17986334</v>
      </c>
      <c r="F13" s="21">
        <v>18561976</v>
      </c>
      <c r="G13" s="21">
        <v>18294916</v>
      </c>
      <c r="H13" s="21">
        <v>18532875</v>
      </c>
      <c r="I13" s="21">
        <v>18309992</v>
      </c>
      <c r="J13" s="21">
        <v>17876559</v>
      </c>
      <c r="K13" s="21">
        <v>18035173</v>
      </c>
      <c r="L13" s="21">
        <v>18666485</v>
      </c>
      <c r="M13" s="21">
        <v>18552092</v>
      </c>
      <c r="N13" s="21">
        <v>18765325</v>
      </c>
      <c r="O13" s="21">
        <v>19108772</v>
      </c>
      <c r="P13" s="21">
        <v>20172608</v>
      </c>
      <c r="Q13" s="21">
        <v>19100680</v>
      </c>
      <c r="R13" s="21">
        <v>18493447</v>
      </c>
      <c r="S13" s="21">
        <v>19819952</v>
      </c>
      <c r="T13" s="21">
        <v>19568689</v>
      </c>
      <c r="U13" s="21">
        <v>19478682</v>
      </c>
      <c r="V13" s="21">
        <v>20096113</v>
      </c>
      <c r="W13" s="21">
        <v>19964510</v>
      </c>
      <c r="X13" s="21">
        <v>18934168</v>
      </c>
      <c r="Y13" s="21">
        <v>19048718</v>
      </c>
      <c r="Z13" s="21">
        <v>19148295</v>
      </c>
      <c r="AA13" s="21">
        <v>18777902</v>
      </c>
      <c r="AB13" s="21">
        <v>17530001</v>
      </c>
      <c r="AC13" s="21">
        <v>18302455</v>
      </c>
    </row>
    <row r="14" spans="1:29" ht="14.55" x14ac:dyDescent="0.35">
      <c r="A14" s="20" t="s">
        <v>128</v>
      </c>
      <c r="B14" s="21">
        <v>206146392</v>
      </c>
      <c r="C14" s="21">
        <v>196963215</v>
      </c>
      <c r="D14" s="21">
        <v>196703858</v>
      </c>
      <c r="E14" s="21">
        <v>198807622</v>
      </c>
      <c r="F14" s="21">
        <v>200077115</v>
      </c>
      <c r="G14" s="21">
        <v>199518567</v>
      </c>
      <c r="H14" s="21">
        <v>200804842</v>
      </c>
      <c r="I14" s="21">
        <v>204125596</v>
      </c>
      <c r="J14" s="21">
        <v>204776132</v>
      </c>
      <c r="K14" s="21">
        <v>207984263</v>
      </c>
      <c r="L14" s="21">
        <v>210847581</v>
      </c>
      <c r="M14" s="21">
        <v>216798688</v>
      </c>
      <c r="N14" s="21">
        <v>200292818</v>
      </c>
      <c r="O14" s="21">
        <v>194780355</v>
      </c>
      <c r="P14" s="21">
        <v>192788542</v>
      </c>
      <c r="Q14" s="21">
        <v>184210030</v>
      </c>
      <c r="R14" s="21">
        <v>198596086</v>
      </c>
      <c r="S14" s="21">
        <v>208082483</v>
      </c>
      <c r="T14" s="21">
        <v>188319220</v>
      </c>
      <c r="U14" s="21">
        <v>189600707</v>
      </c>
      <c r="V14" s="21">
        <v>172797595</v>
      </c>
      <c r="W14" s="21">
        <v>175263202</v>
      </c>
      <c r="X14" s="21">
        <v>181463344</v>
      </c>
      <c r="Y14" s="21">
        <v>186191990</v>
      </c>
      <c r="Z14" s="21">
        <v>186990645</v>
      </c>
      <c r="AA14" s="21">
        <v>177155458</v>
      </c>
      <c r="AB14" s="21">
        <v>158947644</v>
      </c>
      <c r="AC14" s="21">
        <v>165784910</v>
      </c>
    </row>
    <row r="15" spans="1:29" ht="14.55" x14ac:dyDescent="0.35">
      <c r="A15" s="20" t="s">
        <v>129</v>
      </c>
      <c r="B15" s="21">
        <v>14702518</v>
      </c>
      <c r="C15" s="21">
        <v>13852509</v>
      </c>
      <c r="D15" s="21">
        <v>13782398</v>
      </c>
      <c r="E15" s="21">
        <v>12369304</v>
      </c>
      <c r="F15" s="21">
        <v>12414327</v>
      </c>
      <c r="G15" s="21">
        <v>8572815</v>
      </c>
      <c r="H15" s="21">
        <v>6269511</v>
      </c>
      <c r="I15" s="21">
        <v>3473583</v>
      </c>
      <c r="J15" s="21">
        <v>3047148</v>
      </c>
      <c r="K15" s="21">
        <v>5369534</v>
      </c>
      <c r="L15" s="21">
        <v>5797464</v>
      </c>
      <c r="M15" s="21">
        <v>2936453</v>
      </c>
      <c r="N15" s="21">
        <v>5630145</v>
      </c>
      <c r="O15" s="21">
        <v>1291005</v>
      </c>
      <c r="P15" s="21">
        <v>4148401</v>
      </c>
      <c r="Q15" s="21">
        <v>2066517</v>
      </c>
      <c r="R15" s="21">
        <v>3419761</v>
      </c>
      <c r="S15" s="21">
        <v>5507197</v>
      </c>
      <c r="T15" s="21">
        <v>1452368</v>
      </c>
      <c r="U15" s="21">
        <v>1351861</v>
      </c>
      <c r="V15" s="21">
        <v>1671365</v>
      </c>
      <c r="W15" s="21">
        <v>1511802</v>
      </c>
      <c r="X15" s="21">
        <v>1967163</v>
      </c>
      <c r="Y15" s="21">
        <v>2157144</v>
      </c>
      <c r="Z15" s="21">
        <v>2012553</v>
      </c>
      <c r="AA15" s="21">
        <v>2098414</v>
      </c>
      <c r="AB15" s="21">
        <v>3157871</v>
      </c>
      <c r="AC15" s="21">
        <v>5142187</v>
      </c>
    </row>
    <row r="16" spans="1:29" ht="14.55" x14ac:dyDescent="0.35">
      <c r="A16" s="20" t="s">
        <v>130</v>
      </c>
      <c r="B16" s="21">
        <v>65379559</v>
      </c>
      <c r="C16" s="21">
        <v>79120785</v>
      </c>
      <c r="D16" s="21">
        <v>79365599</v>
      </c>
      <c r="E16" s="21">
        <v>79719494</v>
      </c>
      <c r="F16" s="21">
        <v>79230733</v>
      </c>
      <c r="G16" s="21">
        <v>80838776</v>
      </c>
      <c r="H16" s="21">
        <v>83293067</v>
      </c>
      <c r="I16" s="21">
        <v>79672430</v>
      </c>
      <c r="J16" s="21">
        <v>81172934</v>
      </c>
      <c r="K16" s="21">
        <v>89599755</v>
      </c>
      <c r="L16" s="21">
        <v>77964366</v>
      </c>
      <c r="M16" s="21">
        <v>73427499</v>
      </c>
      <c r="N16" s="21">
        <v>77562381</v>
      </c>
      <c r="O16" s="21">
        <v>86931066</v>
      </c>
      <c r="P16" s="21">
        <v>73900695</v>
      </c>
      <c r="Q16" s="21">
        <v>76698186</v>
      </c>
      <c r="R16" s="21">
        <v>72558322</v>
      </c>
      <c r="S16" s="21">
        <v>62164770</v>
      </c>
      <c r="T16" s="21">
        <v>75539862</v>
      </c>
      <c r="U16" s="21">
        <v>75113861</v>
      </c>
      <c r="V16" s="21">
        <v>81298045</v>
      </c>
      <c r="W16" s="21">
        <v>68517774</v>
      </c>
      <c r="X16" s="21">
        <v>56119146</v>
      </c>
      <c r="Y16" s="21">
        <v>51419244</v>
      </c>
      <c r="Z16" s="21">
        <v>48214715</v>
      </c>
      <c r="AA16" s="21">
        <v>60974474</v>
      </c>
      <c r="AB16" s="21">
        <v>71767013</v>
      </c>
      <c r="AC16" s="21">
        <v>66087034</v>
      </c>
    </row>
    <row r="17" spans="1:29" ht="14.55" x14ac:dyDescent="0.35">
      <c r="A17" s="29" t="s">
        <v>131</v>
      </c>
      <c r="B17" s="30">
        <v>286228469</v>
      </c>
      <c r="C17" s="30">
        <v>289936509</v>
      </c>
      <c r="D17" s="30">
        <v>289851855</v>
      </c>
      <c r="E17" s="30">
        <v>290896420</v>
      </c>
      <c r="F17" s="30">
        <v>291722175</v>
      </c>
      <c r="G17" s="30">
        <v>288930158</v>
      </c>
      <c r="H17" s="30">
        <v>290367420</v>
      </c>
      <c r="I17" s="30">
        <v>287271609</v>
      </c>
      <c r="J17" s="30">
        <v>288996214</v>
      </c>
      <c r="K17" s="30">
        <v>302953552</v>
      </c>
      <c r="L17" s="30">
        <v>294609411</v>
      </c>
      <c r="M17" s="30">
        <v>293162640</v>
      </c>
      <c r="N17" s="30">
        <v>283485344</v>
      </c>
      <c r="O17" s="30">
        <v>283002426</v>
      </c>
      <c r="P17" s="30">
        <v>270837638</v>
      </c>
      <c r="Q17" s="30">
        <v>262974733</v>
      </c>
      <c r="R17" s="30">
        <v>274574169</v>
      </c>
      <c r="S17" s="30">
        <v>275754450</v>
      </c>
      <c r="T17" s="30">
        <v>265311450</v>
      </c>
      <c r="U17" s="30">
        <v>266066429</v>
      </c>
      <c r="V17" s="30">
        <v>255767005</v>
      </c>
      <c r="W17" s="30">
        <v>245292778</v>
      </c>
      <c r="X17" s="30">
        <v>239549653</v>
      </c>
      <c r="Y17" s="30">
        <v>239768378</v>
      </c>
      <c r="Z17" s="30">
        <v>237217913</v>
      </c>
      <c r="AA17" s="30">
        <v>240228346</v>
      </c>
      <c r="AB17" s="30">
        <v>233872528</v>
      </c>
      <c r="AC17" s="30">
        <v>237014131</v>
      </c>
    </row>
    <row r="18" spans="1:29" ht="14.55" x14ac:dyDescent="0.35">
      <c r="A18" s="25" t="s">
        <v>132</v>
      </c>
      <c r="B18" s="26" t="s">
        <v>85</v>
      </c>
      <c r="C18" s="26" t="s">
        <v>85</v>
      </c>
      <c r="D18" s="26" t="s">
        <v>85</v>
      </c>
      <c r="E18" s="26" t="s">
        <v>85</v>
      </c>
      <c r="F18" s="26" t="s">
        <v>85</v>
      </c>
      <c r="G18" s="26" t="s">
        <v>85</v>
      </c>
      <c r="H18" s="26" t="s">
        <v>85</v>
      </c>
      <c r="I18" s="26" t="s">
        <v>85</v>
      </c>
      <c r="J18" s="26" t="s">
        <v>85</v>
      </c>
      <c r="K18" s="26" t="s">
        <v>85</v>
      </c>
      <c r="L18" s="26" t="s">
        <v>85</v>
      </c>
      <c r="M18" s="26" t="s">
        <v>85</v>
      </c>
      <c r="N18" s="26" t="s">
        <v>85</v>
      </c>
      <c r="O18" s="26" t="s">
        <v>85</v>
      </c>
      <c r="P18" s="26" t="s">
        <v>85</v>
      </c>
      <c r="Q18" s="26" t="s">
        <v>85</v>
      </c>
      <c r="R18" s="26" t="s">
        <v>85</v>
      </c>
      <c r="S18" s="26" t="s">
        <v>85</v>
      </c>
      <c r="T18" s="26" t="s">
        <v>85</v>
      </c>
      <c r="U18" s="26" t="s">
        <v>85</v>
      </c>
      <c r="V18" s="26" t="s">
        <v>85</v>
      </c>
      <c r="W18" s="26" t="s">
        <v>85</v>
      </c>
      <c r="X18" s="26" t="s">
        <v>85</v>
      </c>
      <c r="Y18" s="26" t="s">
        <v>85</v>
      </c>
      <c r="Z18" s="26" t="s">
        <v>85</v>
      </c>
      <c r="AA18" s="26" t="s">
        <v>85</v>
      </c>
      <c r="AB18" s="26" t="s">
        <v>85</v>
      </c>
      <c r="AC18" s="26" t="s">
        <v>85</v>
      </c>
    </row>
    <row r="19" spans="1:29" ht="14.55" x14ac:dyDescent="0.35">
      <c r="A19" s="25" t="s">
        <v>133</v>
      </c>
      <c r="B19" s="26" t="s">
        <v>85</v>
      </c>
      <c r="C19" s="26" t="s">
        <v>85</v>
      </c>
      <c r="D19" s="26" t="s">
        <v>85</v>
      </c>
      <c r="E19" s="26" t="s">
        <v>85</v>
      </c>
      <c r="F19" s="26" t="s">
        <v>85</v>
      </c>
      <c r="G19" s="26" t="s">
        <v>85</v>
      </c>
      <c r="H19" s="26" t="s">
        <v>85</v>
      </c>
      <c r="I19" s="26" t="s">
        <v>85</v>
      </c>
      <c r="J19" s="26" t="s">
        <v>85</v>
      </c>
      <c r="K19" s="26" t="s">
        <v>85</v>
      </c>
      <c r="L19" s="26" t="s">
        <v>85</v>
      </c>
      <c r="M19" s="26" t="s">
        <v>85</v>
      </c>
      <c r="N19" s="26" t="s">
        <v>85</v>
      </c>
      <c r="O19" s="26" t="s">
        <v>85</v>
      </c>
      <c r="P19" s="26" t="s">
        <v>85</v>
      </c>
      <c r="Q19" s="26" t="s">
        <v>85</v>
      </c>
      <c r="R19" s="26" t="s">
        <v>85</v>
      </c>
      <c r="S19" s="26" t="s">
        <v>85</v>
      </c>
      <c r="T19" s="26" t="s">
        <v>85</v>
      </c>
      <c r="U19" s="26" t="s">
        <v>85</v>
      </c>
      <c r="V19" s="26" t="s">
        <v>85</v>
      </c>
      <c r="W19" s="26" t="s">
        <v>85</v>
      </c>
      <c r="X19" s="26" t="s">
        <v>85</v>
      </c>
      <c r="Y19" s="26" t="s">
        <v>85</v>
      </c>
      <c r="Z19" s="26" t="s">
        <v>85</v>
      </c>
      <c r="AA19" s="26" t="s">
        <v>85</v>
      </c>
      <c r="AB19" s="26" t="s">
        <v>85</v>
      </c>
      <c r="AC19" s="26" t="s">
        <v>85</v>
      </c>
    </row>
    <row r="20" spans="1:29" ht="14.55" x14ac:dyDescent="0.35">
      <c r="A20" s="27" t="s">
        <v>134</v>
      </c>
      <c r="B20" s="28">
        <v>219016574</v>
      </c>
      <c r="C20" s="28">
        <v>225905190</v>
      </c>
      <c r="D20" s="28">
        <v>230583822</v>
      </c>
      <c r="E20" s="28">
        <v>232926669</v>
      </c>
      <c r="F20" s="28">
        <v>231450940</v>
      </c>
      <c r="G20" s="28">
        <v>234402668</v>
      </c>
      <c r="H20" s="28">
        <v>238976375</v>
      </c>
      <c r="I20" s="28">
        <v>239499450</v>
      </c>
      <c r="J20" s="28">
        <v>240471321</v>
      </c>
      <c r="K20" s="28">
        <v>248104619</v>
      </c>
      <c r="L20" s="28">
        <v>243033693</v>
      </c>
      <c r="M20" s="28">
        <v>239307133</v>
      </c>
      <c r="N20" s="28">
        <v>228581569</v>
      </c>
      <c r="O20" s="28">
        <v>225895922</v>
      </c>
      <c r="P20" s="28">
        <v>217640863</v>
      </c>
      <c r="Q20" s="28">
        <v>212571987</v>
      </c>
      <c r="R20" s="28">
        <v>237660910</v>
      </c>
      <c r="S20" s="28">
        <v>221322575</v>
      </c>
      <c r="T20" s="28">
        <v>211981140</v>
      </c>
      <c r="U20" s="28">
        <v>226395687</v>
      </c>
      <c r="V20" s="28">
        <v>227876239</v>
      </c>
      <c r="W20" s="28">
        <v>218112485</v>
      </c>
      <c r="X20" s="28">
        <v>212604724</v>
      </c>
      <c r="Y20" s="28">
        <v>213684302</v>
      </c>
      <c r="Z20" s="28">
        <v>210499926</v>
      </c>
      <c r="AA20" s="28">
        <v>213447241</v>
      </c>
      <c r="AB20" s="28">
        <v>208650489</v>
      </c>
      <c r="AC20" s="28">
        <v>211092922</v>
      </c>
    </row>
    <row r="21" spans="1:29" ht="14.55" x14ac:dyDescent="0.35">
      <c r="A21" s="27" t="s">
        <v>135</v>
      </c>
      <c r="B21" s="28">
        <v>36314488</v>
      </c>
      <c r="C21" s="28">
        <v>29284561</v>
      </c>
      <c r="D21" s="28">
        <v>28822648</v>
      </c>
      <c r="E21" s="28">
        <v>26993982</v>
      </c>
      <c r="F21" s="28">
        <v>25552182</v>
      </c>
      <c r="G21" s="28">
        <v>24193157</v>
      </c>
      <c r="H21" s="28">
        <v>22120408</v>
      </c>
      <c r="I21" s="28">
        <v>17576741</v>
      </c>
      <c r="J21" s="28">
        <v>17036043</v>
      </c>
      <c r="K21" s="28">
        <v>18661682</v>
      </c>
      <c r="L21" s="28">
        <v>19618460</v>
      </c>
      <c r="M21" s="28">
        <v>21223282</v>
      </c>
      <c r="N21" s="28">
        <v>23406325</v>
      </c>
      <c r="O21" s="28">
        <v>24625312</v>
      </c>
      <c r="P21" s="28">
        <v>23896284</v>
      </c>
      <c r="Q21" s="28">
        <v>22641345</v>
      </c>
      <c r="R21" s="28">
        <v>10097868</v>
      </c>
      <c r="S21" s="28">
        <v>22734627</v>
      </c>
      <c r="T21" s="28">
        <v>22849739</v>
      </c>
      <c r="U21" s="28">
        <v>10038283</v>
      </c>
      <c r="V21" s="28">
        <v>3887</v>
      </c>
      <c r="W21" s="28">
        <v>0</v>
      </c>
      <c r="X21" s="28">
        <v>0</v>
      </c>
      <c r="Y21" s="28">
        <v>0</v>
      </c>
      <c r="Z21" s="28">
        <v>0</v>
      </c>
      <c r="AA21" s="28">
        <v>0</v>
      </c>
      <c r="AB21" s="28">
        <v>0</v>
      </c>
      <c r="AC21" s="28">
        <v>0</v>
      </c>
    </row>
    <row r="22" spans="1:29" ht="14.55" x14ac:dyDescent="0.35">
      <c r="A22" s="27" t="s">
        <v>136</v>
      </c>
      <c r="B22" s="28">
        <v>1936875</v>
      </c>
      <c r="C22" s="28">
        <v>1656884</v>
      </c>
      <c r="D22" s="28">
        <v>1763967</v>
      </c>
      <c r="E22" s="28">
        <v>2664135</v>
      </c>
      <c r="F22" s="28">
        <v>4521789</v>
      </c>
      <c r="G22" s="28">
        <v>942213</v>
      </c>
      <c r="H22" s="28">
        <v>844917</v>
      </c>
      <c r="I22" s="28">
        <v>1454701</v>
      </c>
      <c r="J22" s="28">
        <v>2076259</v>
      </c>
      <c r="K22" s="28">
        <v>1388918</v>
      </c>
      <c r="L22" s="28">
        <v>1582758</v>
      </c>
      <c r="M22" s="28">
        <v>2428113</v>
      </c>
      <c r="N22" s="28">
        <v>2261613</v>
      </c>
      <c r="O22" s="28">
        <v>1504739</v>
      </c>
      <c r="P22" s="28">
        <v>1684169</v>
      </c>
      <c r="Q22" s="28">
        <v>855473</v>
      </c>
      <c r="R22" s="28">
        <v>0</v>
      </c>
      <c r="S22" s="28">
        <v>0</v>
      </c>
      <c r="T22" s="28">
        <v>0</v>
      </c>
      <c r="U22" s="28">
        <v>0</v>
      </c>
      <c r="V22" s="28">
        <v>0</v>
      </c>
      <c r="W22" s="28">
        <v>0</v>
      </c>
      <c r="X22" s="28">
        <v>0</v>
      </c>
      <c r="Y22" s="28">
        <v>0</v>
      </c>
      <c r="Z22" s="28">
        <v>0</v>
      </c>
      <c r="AA22" s="28">
        <v>0</v>
      </c>
      <c r="AB22" s="28">
        <v>0</v>
      </c>
      <c r="AC22" s="28">
        <v>0</v>
      </c>
    </row>
    <row r="23" spans="1:29" ht="26.55" x14ac:dyDescent="0.35">
      <c r="A23" s="20" t="s">
        <v>137</v>
      </c>
      <c r="B23" s="21">
        <v>257267937</v>
      </c>
      <c r="C23" s="21">
        <v>256846635</v>
      </c>
      <c r="D23" s="21">
        <v>261170437</v>
      </c>
      <c r="E23" s="21">
        <v>262584786</v>
      </c>
      <c r="F23" s="21">
        <v>261524911</v>
      </c>
      <c r="G23" s="21">
        <v>259538038</v>
      </c>
      <c r="H23" s="21">
        <v>261941700</v>
      </c>
      <c r="I23" s="21">
        <v>258530892</v>
      </c>
      <c r="J23" s="21">
        <v>259583623</v>
      </c>
      <c r="K23" s="21">
        <v>268155219</v>
      </c>
      <c r="L23" s="21">
        <v>264234911</v>
      </c>
      <c r="M23" s="21">
        <v>262958528</v>
      </c>
      <c r="N23" s="21">
        <v>254249507</v>
      </c>
      <c r="O23" s="21">
        <v>252025973</v>
      </c>
      <c r="P23" s="21">
        <v>243221316</v>
      </c>
      <c r="Q23" s="21">
        <v>236068805</v>
      </c>
      <c r="R23" s="21">
        <v>247758778</v>
      </c>
      <c r="S23" s="21">
        <v>244057202</v>
      </c>
      <c r="T23" s="21">
        <v>234830879</v>
      </c>
      <c r="U23" s="21">
        <v>236433970</v>
      </c>
      <c r="V23" s="21">
        <v>227880126</v>
      </c>
      <c r="W23" s="21">
        <v>218112485</v>
      </c>
      <c r="X23" s="21">
        <v>212604724</v>
      </c>
      <c r="Y23" s="21">
        <v>213684302</v>
      </c>
      <c r="Z23" s="21">
        <v>210499926</v>
      </c>
      <c r="AA23" s="21">
        <v>213447241</v>
      </c>
      <c r="AB23" s="21">
        <v>208650489</v>
      </c>
      <c r="AC23" s="21">
        <v>211092922</v>
      </c>
    </row>
    <row r="24" spans="1:29" ht="14.55" x14ac:dyDescent="0.35">
      <c r="A24" s="20" t="s">
        <v>138</v>
      </c>
      <c r="B24" s="21">
        <v>12794860</v>
      </c>
      <c r="C24" s="21">
        <v>12289369</v>
      </c>
      <c r="D24" s="21">
        <v>11510704</v>
      </c>
      <c r="E24" s="21">
        <v>11180448</v>
      </c>
      <c r="F24" s="21">
        <v>12077629</v>
      </c>
      <c r="G24" s="21">
        <v>10750313</v>
      </c>
      <c r="H24" s="21">
        <v>10195768</v>
      </c>
      <c r="I24" s="21">
        <v>10073764</v>
      </c>
      <c r="J24" s="21">
        <v>10035114</v>
      </c>
      <c r="K24" s="21">
        <v>13462354</v>
      </c>
      <c r="L24" s="21">
        <v>9146403</v>
      </c>
      <c r="M24" s="21">
        <v>14030060</v>
      </c>
      <c r="N24" s="21">
        <v>11672828</v>
      </c>
      <c r="O24" s="21">
        <v>15199327</v>
      </c>
      <c r="P24" s="21">
        <v>15183496</v>
      </c>
      <c r="Q24" s="21">
        <v>14993111</v>
      </c>
      <c r="R24" s="21">
        <v>14674123</v>
      </c>
      <c r="S24" s="21">
        <v>14598510</v>
      </c>
      <c r="T24" s="21">
        <v>16951018</v>
      </c>
      <c r="U24" s="21">
        <v>13870511</v>
      </c>
      <c r="V24" s="21">
        <v>12576708</v>
      </c>
      <c r="W24" s="21">
        <v>12033448</v>
      </c>
      <c r="X24" s="21">
        <v>10615263</v>
      </c>
      <c r="Y24" s="21">
        <v>10369644</v>
      </c>
      <c r="Z24" s="21">
        <v>10771434</v>
      </c>
      <c r="AA24" s="21">
        <v>10049616</v>
      </c>
      <c r="AB24" s="21">
        <v>10339906</v>
      </c>
      <c r="AC24" s="21">
        <v>9653985</v>
      </c>
    </row>
    <row r="25" spans="1:29" ht="14.55" x14ac:dyDescent="0.35">
      <c r="A25" s="20" t="s">
        <v>139</v>
      </c>
      <c r="B25" s="21">
        <v>459224</v>
      </c>
      <c r="C25" s="21">
        <v>4697080</v>
      </c>
      <c r="D25" s="21">
        <v>149197</v>
      </c>
      <c r="E25" s="21">
        <v>60333</v>
      </c>
      <c r="F25" s="21">
        <v>60525</v>
      </c>
      <c r="G25" s="21">
        <v>270533</v>
      </c>
      <c r="H25" s="21">
        <v>384207</v>
      </c>
      <c r="I25" s="21">
        <v>401156</v>
      </c>
      <c r="J25" s="21">
        <v>518488</v>
      </c>
      <c r="K25" s="21">
        <v>674638</v>
      </c>
      <c r="L25" s="21">
        <v>292736</v>
      </c>
      <c r="M25" s="21">
        <v>564692</v>
      </c>
      <c r="N25" s="21">
        <v>103051</v>
      </c>
      <c r="O25" s="21">
        <v>48074</v>
      </c>
      <c r="P25" s="21">
        <v>22510</v>
      </c>
      <c r="Q25" s="21">
        <v>196923</v>
      </c>
      <c r="R25" s="21">
        <v>365041</v>
      </c>
      <c r="S25" s="21">
        <v>2126103</v>
      </c>
      <c r="T25" s="21">
        <v>1263940</v>
      </c>
      <c r="U25" s="21">
        <v>1968578</v>
      </c>
      <c r="V25" s="21">
        <v>351817</v>
      </c>
      <c r="W25" s="21">
        <v>283356</v>
      </c>
      <c r="X25" s="21">
        <v>228484</v>
      </c>
      <c r="Y25" s="21">
        <v>101410</v>
      </c>
      <c r="Z25" s="21">
        <v>45872</v>
      </c>
      <c r="AA25" s="21">
        <v>25311</v>
      </c>
      <c r="AB25" s="21">
        <v>167628</v>
      </c>
      <c r="AC25" s="21">
        <v>523792</v>
      </c>
    </row>
    <row r="26" spans="1:29" ht="14.55" x14ac:dyDescent="0.35">
      <c r="A26" s="20" t="s">
        <v>140</v>
      </c>
      <c r="B26" s="21">
        <v>13994972</v>
      </c>
      <c r="C26" s="21">
        <v>13405104</v>
      </c>
      <c r="D26" s="21">
        <v>13025469</v>
      </c>
      <c r="E26" s="21">
        <v>13887284</v>
      </c>
      <c r="F26" s="21">
        <v>14243546</v>
      </c>
      <c r="G26" s="21">
        <v>14288222</v>
      </c>
      <c r="H26" s="21">
        <v>16408719</v>
      </c>
      <c r="I26" s="21">
        <v>15972943</v>
      </c>
      <c r="J26" s="21">
        <v>16524105</v>
      </c>
      <c r="K26" s="21">
        <v>17086206</v>
      </c>
      <c r="L26" s="21">
        <v>16724081</v>
      </c>
      <c r="M26" s="21">
        <v>17049934</v>
      </c>
      <c r="N26" s="21">
        <v>16992953</v>
      </c>
      <c r="O26" s="21">
        <v>18467454</v>
      </c>
      <c r="P26" s="21">
        <v>17859286</v>
      </c>
      <c r="Q26" s="21">
        <v>17707433</v>
      </c>
      <c r="R26" s="21">
        <v>19375594</v>
      </c>
      <c r="S26" s="21">
        <v>18983567</v>
      </c>
      <c r="T26" s="21">
        <v>18422982</v>
      </c>
      <c r="U26" s="21">
        <v>16812276</v>
      </c>
      <c r="V26" s="21">
        <v>17181465</v>
      </c>
      <c r="W26" s="21">
        <v>16930260</v>
      </c>
      <c r="X26" s="21">
        <v>16227105</v>
      </c>
      <c r="Y26" s="21">
        <v>16232813</v>
      </c>
      <c r="Z26" s="21">
        <v>16847078</v>
      </c>
      <c r="AA26" s="21">
        <v>16873811</v>
      </c>
      <c r="AB26" s="21">
        <v>16021185</v>
      </c>
      <c r="AC26" s="21">
        <v>16026342</v>
      </c>
    </row>
    <row r="27" spans="1:29" ht="14.55" x14ac:dyDescent="0.35">
      <c r="A27" s="20" t="s">
        <v>141</v>
      </c>
      <c r="B27" s="21">
        <v>1711477</v>
      </c>
      <c r="C27" s="21">
        <v>2698322</v>
      </c>
      <c r="D27" s="21">
        <v>3996048</v>
      </c>
      <c r="E27" s="21">
        <v>3183568</v>
      </c>
      <c r="F27" s="21">
        <v>3815563</v>
      </c>
      <c r="G27" s="21">
        <v>4083051</v>
      </c>
      <c r="H27" s="21">
        <v>1437027</v>
      </c>
      <c r="I27" s="21">
        <v>2292854</v>
      </c>
      <c r="J27" s="21">
        <v>2334885</v>
      </c>
      <c r="K27" s="21">
        <v>3575135</v>
      </c>
      <c r="L27" s="21">
        <v>4211279</v>
      </c>
      <c r="M27" s="21" t="s">
        <v>142</v>
      </c>
      <c r="N27" s="21" t="s">
        <v>142</v>
      </c>
      <c r="O27" s="21" t="s">
        <v>142</v>
      </c>
      <c r="P27" s="21" t="s">
        <v>142</v>
      </c>
      <c r="Q27" s="21" t="s">
        <v>142</v>
      </c>
      <c r="R27" s="21" t="s">
        <v>142</v>
      </c>
      <c r="S27" s="21" t="s">
        <v>142</v>
      </c>
      <c r="T27" s="21" t="s">
        <v>142</v>
      </c>
      <c r="U27" s="21" t="s">
        <v>142</v>
      </c>
      <c r="V27" s="21" t="s">
        <v>142</v>
      </c>
      <c r="W27" s="21" t="s">
        <v>142</v>
      </c>
      <c r="X27" s="21" t="s">
        <v>142</v>
      </c>
      <c r="Y27" s="21" t="s">
        <v>142</v>
      </c>
      <c r="Z27" s="21" t="s">
        <v>142</v>
      </c>
      <c r="AA27" s="21" t="s">
        <v>142</v>
      </c>
      <c r="AB27" s="21" t="s">
        <v>142</v>
      </c>
      <c r="AC27" s="21" t="s">
        <v>142</v>
      </c>
    </row>
    <row r="28" spans="1:29" ht="14.55" x14ac:dyDescent="0.35">
      <c r="A28" s="20" t="s">
        <v>143</v>
      </c>
      <c r="B28" s="21">
        <v>0</v>
      </c>
      <c r="C28" s="21">
        <v>0</v>
      </c>
      <c r="D28" s="21">
        <v>0</v>
      </c>
      <c r="E28" s="21">
        <v>0</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0</v>
      </c>
    </row>
    <row r="29" spans="1:29" ht="14.55" x14ac:dyDescent="0.35">
      <c r="A29" s="29" t="s">
        <v>144</v>
      </c>
      <c r="B29" s="30">
        <v>286228469</v>
      </c>
      <c r="C29" s="30">
        <v>289936509</v>
      </c>
      <c r="D29" s="30">
        <v>289851855</v>
      </c>
      <c r="E29" s="30">
        <v>290896420</v>
      </c>
      <c r="F29" s="30">
        <v>291722175</v>
      </c>
      <c r="G29" s="30">
        <v>288930158</v>
      </c>
      <c r="H29" s="30">
        <v>290367420</v>
      </c>
      <c r="I29" s="30">
        <v>287271609</v>
      </c>
      <c r="J29" s="30">
        <v>288996214</v>
      </c>
      <c r="K29" s="30">
        <v>302953552</v>
      </c>
      <c r="L29" s="30">
        <v>294609411</v>
      </c>
      <c r="M29" s="30">
        <v>293162640</v>
      </c>
      <c r="N29" s="30">
        <v>283485344</v>
      </c>
      <c r="O29" s="30">
        <v>283002426</v>
      </c>
      <c r="P29" s="30">
        <v>270837638</v>
      </c>
      <c r="Q29" s="30">
        <v>262974733</v>
      </c>
      <c r="R29" s="30">
        <v>274574169</v>
      </c>
      <c r="S29" s="30">
        <v>275754450</v>
      </c>
      <c r="T29" s="30">
        <v>265311450</v>
      </c>
      <c r="U29" s="30">
        <v>266066429</v>
      </c>
      <c r="V29" s="30">
        <v>255767005</v>
      </c>
      <c r="W29" s="30">
        <v>245292778</v>
      </c>
      <c r="X29" s="30">
        <v>239549653</v>
      </c>
      <c r="Y29" s="30">
        <v>239768378</v>
      </c>
      <c r="Z29" s="30">
        <v>237217913</v>
      </c>
      <c r="AA29" s="30">
        <v>240228346</v>
      </c>
      <c r="AB29" s="30">
        <v>233872528</v>
      </c>
      <c r="AC29" s="30">
        <v>237014131</v>
      </c>
    </row>
    <row r="30" spans="1:29" ht="14.55" x14ac:dyDescent="0.35">
      <c r="A30" s="20" t="s">
        <v>145</v>
      </c>
      <c r="B30" s="21">
        <v>-65379559</v>
      </c>
      <c r="C30" s="21">
        <v>-79120785</v>
      </c>
      <c r="D30" s="21">
        <v>-79365599</v>
      </c>
      <c r="E30" s="21">
        <v>-79719494</v>
      </c>
      <c r="F30" s="21">
        <v>-79230733</v>
      </c>
      <c r="G30" s="21">
        <v>-80838776</v>
      </c>
      <c r="H30" s="21">
        <v>-83293067</v>
      </c>
      <c r="I30" s="21">
        <v>-79672430</v>
      </c>
      <c r="J30" s="21">
        <v>-81172934</v>
      </c>
      <c r="K30" s="21">
        <v>-89599755</v>
      </c>
      <c r="L30" s="21">
        <v>-77964366</v>
      </c>
      <c r="M30" s="21">
        <v>-73427499</v>
      </c>
      <c r="N30" s="21">
        <v>-77562381</v>
      </c>
      <c r="O30" s="21">
        <v>-86931066</v>
      </c>
      <c r="P30" s="21">
        <v>-73900695</v>
      </c>
      <c r="Q30" s="21">
        <v>-76698186</v>
      </c>
      <c r="R30" s="21">
        <v>-72558322</v>
      </c>
      <c r="S30" s="21">
        <v>-62164770</v>
      </c>
      <c r="T30" s="21">
        <v>-75539862</v>
      </c>
      <c r="U30" s="21">
        <v>-75113861</v>
      </c>
      <c r="V30" s="21">
        <v>-81298045</v>
      </c>
      <c r="W30" s="21">
        <v>-68517774</v>
      </c>
      <c r="X30" s="21">
        <v>-56119146</v>
      </c>
      <c r="Y30" s="21">
        <v>-51419244</v>
      </c>
      <c r="Z30" s="21">
        <v>-48214715</v>
      </c>
      <c r="AA30" s="21">
        <v>-60974474</v>
      </c>
      <c r="AB30" s="21">
        <v>-71767013</v>
      </c>
      <c r="AC30" s="21">
        <v>-66087034</v>
      </c>
    </row>
    <row r="31" spans="1:29" ht="14.55" x14ac:dyDescent="0.35">
      <c r="A31" s="22" t="s">
        <v>146</v>
      </c>
      <c r="B31" s="23">
        <v>0.77</v>
      </c>
      <c r="C31" s="23">
        <v>0.73</v>
      </c>
      <c r="D31" s="23">
        <v>0.73</v>
      </c>
      <c r="E31" s="23">
        <v>0.73</v>
      </c>
      <c r="F31" s="23">
        <v>0.73</v>
      </c>
      <c r="G31" s="23">
        <v>0.72</v>
      </c>
      <c r="H31" s="23">
        <v>0.71</v>
      </c>
      <c r="I31" s="23">
        <v>0.72</v>
      </c>
      <c r="J31" s="23">
        <v>0.72</v>
      </c>
      <c r="K31" s="23">
        <v>0.7</v>
      </c>
      <c r="L31" s="23">
        <v>0.74</v>
      </c>
      <c r="M31" s="23">
        <v>0.75</v>
      </c>
      <c r="N31" s="23">
        <v>0.73</v>
      </c>
      <c r="O31" s="23">
        <v>0.69</v>
      </c>
      <c r="P31" s="23">
        <v>0.73</v>
      </c>
      <c r="Q31" s="23">
        <v>0.71</v>
      </c>
      <c r="R31" s="23">
        <v>0.74</v>
      </c>
      <c r="S31" s="23">
        <v>0.77</v>
      </c>
      <c r="T31" s="23">
        <v>0.72</v>
      </c>
      <c r="U31" s="23">
        <v>0.72</v>
      </c>
      <c r="V31" s="23">
        <v>0.68</v>
      </c>
      <c r="W31" s="23">
        <v>0.72</v>
      </c>
      <c r="X31" s="23">
        <v>0.77</v>
      </c>
      <c r="Y31" s="23">
        <v>0.79</v>
      </c>
      <c r="Z31" s="23">
        <v>0.8</v>
      </c>
      <c r="AA31" s="23">
        <v>0.75</v>
      </c>
      <c r="AB31" s="23">
        <v>0.69</v>
      </c>
      <c r="AC31" s="23">
        <v>0.72</v>
      </c>
    </row>
    <row r="32" spans="1:29" ht="14.55" customHeight="1" x14ac:dyDescent="0.35">
      <c r="A32" s="55" t="s">
        <v>147</v>
      </c>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row>
    <row r="33" spans="1:29" ht="14.55"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6" spans="1:29" ht="14.55" x14ac:dyDescent="0.35">
      <c r="B36">
        <f>B23/(B23+B24)</f>
        <v>0.95262264872417801</v>
      </c>
      <c r="C36" s="17"/>
      <c r="D36" s="17"/>
      <c r="E36" s="17"/>
      <c r="F36" s="17"/>
      <c r="G36" s="17"/>
    </row>
  </sheetData>
  <mergeCells count="4">
    <mergeCell ref="A1:AC1"/>
    <mergeCell ref="A2:AC2"/>
    <mergeCell ref="A3:AC3"/>
    <mergeCell ref="A32:AC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C18"/>
  <sheetViews>
    <sheetView workbookViewId="0">
      <selection activeCell="J49" sqref="J49"/>
    </sheetView>
  </sheetViews>
  <sheetFormatPr defaultRowHeight="14.25" x14ac:dyDescent="0.45"/>
  <sheetData>
    <row r="18" spans="1:3" x14ac:dyDescent="0.35">
      <c r="A18" t="s">
        <v>179</v>
      </c>
      <c r="B18">
        <v>228191</v>
      </c>
      <c r="C18" t="s">
        <v>180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A20:F21"/>
    </sheetView>
  </sheetViews>
  <sheetFormatPr defaultRowHeight="14.25" x14ac:dyDescent="0.45"/>
  <sheetData>
    <row r="1" spans="1:1" x14ac:dyDescent="0.35">
      <c r="A1" t="s">
        <v>178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BRPSPTY</vt:lpstr>
      <vt:lpstr>SB100 RPS and sales adjustment</vt:lpstr>
      <vt:lpstr>Account for imports+small hydro</vt:lpstr>
      <vt:lpstr>IRP-2019-2020</vt:lpstr>
      <vt:lpstr>IRP excerpts</vt:lpstr>
      <vt:lpstr>EIA-CHP Table 10</vt:lpstr>
      <vt:lpstr>CAISO 2017 load</vt:lpstr>
      <vt:lpstr>IPER 2017</vt:lpstr>
      <vt:lpstr>CHP time series</vt:lpstr>
      <vt:lpstr>CHP notes from the IRP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2016-01-06T02:12:13Z</dcterms:created>
  <dcterms:modified xsi:type="dcterms:W3CDTF">2019-11-05T20:34:08Z</dcterms:modified>
</cp:coreProperties>
</file>