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0" windowWidth="15050" windowHeight="7470" tabRatio="670" activeTab="2"/>
  </bookViews>
  <sheets>
    <sheet name="About" sheetId="1" r:id="rId1"/>
    <sheet name="Solar background" sheetId="17" r:id="rId2"/>
    <sheet name="Solar calculations" sheetId="14" r:id="rId3"/>
    <sheet name="Sector allocation of Rooftop PV" sheetId="13" r:id="rId4"/>
    <sheet name="DOE EIA State Energy Profile" sheetId="15" r:id="rId5"/>
    <sheet name="IRP excerpts" sheetId="18" r:id="rId6"/>
    <sheet name="Natural gas background" sheetId="16" r:id="rId7"/>
    <sheet name="Natural gas calculations" sheetId="11"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calcPr calcId="145621"/>
</workbook>
</file>

<file path=xl/calcChain.xml><?xml version="1.0" encoding="utf-8"?>
<calcChain xmlns="http://schemas.openxmlformats.org/spreadsheetml/2006/main">
  <c r="R7" i="6" l="1"/>
  <c r="S7" i="6"/>
  <c r="T7" i="6"/>
  <c r="U7" i="6"/>
  <c r="V7" i="6"/>
  <c r="W7" i="6"/>
  <c r="X7" i="6"/>
  <c r="Y7" i="6"/>
  <c r="Z7" i="6"/>
  <c r="AA7" i="6"/>
  <c r="AB7" i="6"/>
  <c r="AC7" i="6"/>
  <c r="AD7" i="6"/>
  <c r="AE7" i="6"/>
  <c r="AF7" i="6"/>
  <c r="AG7" i="6"/>
  <c r="AH7" i="6"/>
  <c r="AI7" i="6"/>
  <c r="AJ7" i="6"/>
  <c r="AK7" i="6"/>
  <c r="C7" i="6"/>
  <c r="D7" i="6"/>
  <c r="E7" i="6"/>
  <c r="F7" i="6"/>
  <c r="G7" i="6"/>
  <c r="H7" i="6"/>
  <c r="I7" i="6"/>
  <c r="J7" i="6"/>
  <c r="K7" i="6"/>
  <c r="L7" i="6"/>
  <c r="M7" i="6"/>
  <c r="N7" i="6"/>
  <c r="O7" i="6"/>
  <c r="P7" i="6"/>
  <c r="Q7" i="6"/>
  <c r="B7" i="6"/>
  <c r="B20" i="14"/>
  <c r="B3" i="5" l="1"/>
  <c r="C3" i="5"/>
  <c r="D3" i="5"/>
  <c r="S2" i="11"/>
  <c r="T2" i="11"/>
  <c r="U2" i="11" s="1"/>
  <c r="V2" i="11" s="1"/>
  <c r="W2" i="11" s="1"/>
  <c r="X2" i="11" s="1"/>
  <c r="Y2" i="11" s="1"/>
  <c r="Z2" i="11" s="1"/>
  <c r="AA2" i="11" s="1"/>
  <c r="AB2" i="11" s="1"/>
  <c r="AC2" i="11" s="1"/>
  <c r="AD2" i="11" s="1"/>
  <c r="AE2" i="11" s="1"/>
  <c r="AF2" i="11" s="1"/>
  <c r="AG2" i="11" s="1"/>
  <c r="AH2" i="11" s="1"/>
  <c r="AI2" i="11" s="1"/>
  <c r="AJ2" i="11" s="1"/>
  <c r="AK2" i="11" s="1"/>
  <c r="S3" i="11"/>
  <c r="T3" i="11"/>
  <c r="U3" i="11"/>
  <c r="V3" i="11" s="1"/>
  <c r="R3" i="11"/>
  <c r="R2" i="11"/>
  <c r="F2" i="11"/>
  <c r="G2" i="11"/>
  <c r="H2" i="11"/>
  <c r="I2" i="11"/>
  <c r="J2" i="11"/>
  <c r="K2" i="11"/>
  <c r="L2" i="11"/>
  <c r="M2" i="11"/>
  <c r="N2" i="11"/>
  <c r="O2" i="11"/>
  <c r="P2" i="11"/>
  <c r="Q2" i="11"/>
  <c r="F3" i="11"/>
  <c r="G3" i="11"/>
  <c r="H3" i="11"/>
  <c r="I3" i="11"/>
  <c r="J3" i="11"/>
  <c r="K3" i="11"/>
  <c r="L3" i="11"/>
  <c r="M3" i="11"/>
  <c r="N3" i="11"/>
  <c r="O3" i="11"/>
  <c r="P3" i="11"/>
  <c r="Q3" i="11"/>
  <c r="E2" i="11"/>
  <c r="E3" i="11"/>
  <c r="E45" i="16" s="1"/>
  <c r="F5" i="11"/>
  <c r="G5" i="11" s="1"/>
  <c r="H5" i="11" s="1"/>
  <c r="I5" i="11" s="1"/>
  <c r="J5" i="11" s="1"/>
  <c r="K5" i="11" s="1"/>
  <c r="L5" i="11" s="1"/>
  <c r="M5" i="11" s="1"/>
  <c r="N5" i="11" s="1"/>
  <c r="O5" i="11" s="1"/>
  <c r="P5" i="11" s="1"/>
  <c r="E5" i="11"/>
  <c r="Q5" i="11"/>
  <c r="F19" i="11"/>
  <c r="F17" i="11"/>
  <c r="O15" i="16"/>
  <c r="G18" i="16"/>
  <c r="H18" i="16"/>
  <c r="H23" i="16" s="1"/>
  <c r="B3" i="11" s="1"/>
  <c r="B45" i="16" s="1"/>
  <c r="I18" i="16"/>
  <c r="J18" i="16"/>
  <c r="G39" i="16"/>
  <c r="H39" i="16" s="1"/>
  <c r="B2" i="11"/>
  <c r="C2" i="11"/>
  <c r="D2" i="11"/>
  <c r="A37" i="16"/>
  <c r="B33" i="16"/>
  <c r="C33"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AI33" i="16"/>
  <c r="AJ33" i="16"/>
  <c r="AK33" i="16"/>
  <c r="A38" i="16"/>
  <c r="A39" i="16"/>
  <c r="T45" i="16"/>
  <c r="S45" i="16"/>
  <c r="R45" i="16"/>
  <c r="Q45" i="16"/>
  <c r="P45" i="16"/>
  <c r="O45" i="16"/>
  <c r="N45" i="16"/>
  <c r="M45" i="16"/>
  <c r="L45" i="16"/>
  <c r="K45" i="16"/>
  <c r="J45" i="16"/>
  <c r="I45" i="16"/>
  <c r="H45" i="16"/>
  <c r="G45" i="16"/>
  <c r="F45" i="16"/>
  <c r="C7" i="7"/>
  <c r="D7" i="7"/>
  <c r="B7" i="7"/>
  <c r="V45" i="16" l="1"/>
  <c r="W3" i="11"/>
  <c r="U45" i="16"/>
  <c r="I23" i="16"/>
  <c r="C3" i="11" s="1"/>
  <c r="C45" i="16" s="1"/>
  <c r="J23" i="16"/>
  <c r="D3" i="11" s="1"/>
  <c r="D45" i="16" s="1"/>
  <c r="X3" i="11" l="1"/>
  <c r="W45" i="16"/>
  <c r="X45" i="16" l="1"/>
  <c r="Y3" i="11"/>
  <c r="Z3" i="11" l="1"/>
  <c r="Y45" i="16"/>
  <c r="Z45" i="16" l="1"/>
  <c r="AA3" i="11"/>
  <c r="AB3" i="11" l="1"/>
  <c r="AA45" i="16"/>
  <c r="AB45" i="16" l="1"/>
  <c r="AC3" i="11"/>
  <c r="AD3" i="11" l="1"/>
  <c r="AC45" i="16"/>
  <c r="AD45" i="16" l="1"/>
  <c r="AE3" i="11"/>
  <c r="AF3" i="11" l="1"/>
  <c r="AE45" i="16"/>
  <c r="AF45" i="16" l="1"/>
  <c r="AG3" i="11"/>
  <c r="AH3" i="11" l="1"/>
  <c r="AG45" i="16"/>
  <c r="AH45" i="16" l="1"/>
  <c r="AI3" i="11"/>
  <c r="AJ3" i="11" l="1"/>
  <c r="AI45" i="16"/>
  <c r="AJ45" i="16" l="1"/>
  <c r="AK3" i="11"/>
  <c r="AK45" i="16" s="1"/>
  <c r="E2" i="14" l="1"/>
  <c r="E6" i="14"/>
  <c r="E7" i="7" l="1"/>
  <c r="I100" i="14" l="1"/>
  <c r="I101" i="14"/>
  <c r="I12" i="14" l="1"/>
  <c r="Q16" i="14"/>
  <c r="C62" i="14" l="1"/>
  <c r="M15" i="14" s="1"/>
  <c r="M101" i="14" s="1"/>
  <c r="D62" i="14"/>
  <c r="Q15" i="14" s="1"/>
  <c r="B21" i="14" s="1"/>
  <c r="J1" i="14"/>
  <c r="B61" i="14"/>
  <c r="B62" i="14" s="1"/>
  <c r="B3" i="14" l="1"/>
  <c r="C3" i="14"/>
  <c r="D3" i="14"/>
  <c r="E3" i="14"/>
  <c r="E11" i="14"/>
  <c r="F2" i="14" s="1"/>
  <c r="Q101" i="14"/>
  <c r="M12" i="14"/>
  <c r="Q12" i="14"/>
  <c r="K1" i="14"/>
  <c r="J100" i="14"/>
  <c r="N15" i="14"/>
  <c r="N12" i="14" s="1"/>
  <c r="J15" i="14"/>
  <c r="J12" i="14" s="1"/>
  <c r="C7" i="13"/>
  <c r="D7" i="13" s="1"/>
  <c r="E7" i="13" s="1"/>
  <c r="F7" i="13" s="1"/>
  <c r="G7" i="13" s="1"/>
  <c r="H7" i="13" s="1"/>
  <c r="I7" i="13" s="1"/>
  <c r="J7" i="13" s="1"/>
  <c r="K7" i="13" s="1"/>
  <c r="L7" i="13" s="1"/>
  <c r="M7" i="13" s="1"/>
  <c r="N7" i="13" s="1"/>
  <c r="O7" i="13" s="1"/>
  <c r="P7" i="13" s="1"/>
  <c r="Q7" i="13" s="1"/>
  <c r="R7" i="13" s="1"/>
  <c r="S7" i="13" s="1"/>
  <c r="T7" i="13" s="1"/>
  <c r="U7" i="13" s="1"/>
  <c r="V7" i="13" s="1"/>
  <c r="W7" i="13" s="1"/>
  <c r="X7" i="13" s="1"/>
  <c r="Y7" i="13" s="1"/>
  <c r="Z7" i="13" s="1"/>
  <c r="AA7" i="13" s="1"/>
  <c r="AB7" i="13" s="1"/>
  <c r="AC7" i="13" s="1"/>
  <c r="AD7" i="13" s="1"/>
  <c r="AE7" i="13" s="1"/>
  <c r="AF7" i="13" s="1"/>
  <c r="AG7" i="13" s="1"/>
  <c r="AH7" i="13" s="1"/>
  <c r="AI7" i="13" s="1"/>
  <c r="AJ7" i="13" s="1"/>
  <c r="AK7" i="13" s="1"/>
  <c r="G2" i="14" l="1"/>
  <c r="F3" i="14"/>
  <c r="F7" i="7"/>
  <c r="K15" i="14"/>
  <c r="K12" i="14" s="1"/>
  <c r="J101" i="14"/>
  <c r="O15" i="14"/>
  <c r="O12" i="14" s="1"/>
  <c r="N101" i="14"/>
  <c r="L1" i="14"/>
  <c r="K100" i="14"/>
  <c r="B3"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C1" i="11"/>
  <c r="D1" i="11" s="1"/>
  <c r="E1" i="11" s="1"/>
  <c r="F1" i="11" s="1"/>
  <c r="G1" i="11" s="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B17" i="13"/>
  <c r="H2" i="14" l="1"/>
  <c r="G3" i="14"/>
  <c r="F7" i="5"/>
  <c r="F7" i="4"/>
  <c r="D7" i="4"/>
  <c r="D7" i="5"/>
  <c r="E7" i="5"/>
  <c r="E7" i="4"/>
  <c r="C7" i="5"/>
  <c r="C7" i="4"/>
  <c r="G7" i="7"/>
  <c r="B7" i="5"/>
  <c r="B7" i="4"/>
  <c r="AK3" i="5"/>
  <c r="AK34" i="16"/>
  <c r="AG3" i="5"/>
  <c r="AG34" i="16"/>
  <c r="AC3" i="5"/>
  <c r="AC34" i="16"/>
  <c r="Y3" i="5"/>
  <c r="Y34" i="16"/>
  <c r="U3" i="5"/>
  <c r="U34" i="16"/>
  <c r="Q3" i="5"/>
  <c r="Q34" i="16"/>
  <c r="M3" i="5"/>
  <c r="M34" i="16"/>
  <c r="I3" i="5"/>
  <c r="I34" i="16"/>
  <c r="E3" i="5"/>
  <c r="E34" i="16"/>
  <c r="AJ3" i="5"/>
  <c r="AJ34" i="16"/>
  <c r="AF3" i="5"/>
  <c r="AF34" i="16"/>
  <c r="AB3" i="5"/>
  <c r="AB34" i="16"/>
  <c r="X3" i="5"/>
  <c r="X34" i="16"/>
  <c r="T3" i="5"/>
  <c r="T34" i="16"/>
  <c r="P3" i="5"/>
  <c r="P34" i="16"/>
  <c r="L3" i="5"/>
  <c r="L34" i="16"/>
  <c r="H3" i="5"/>
  <c r="H34" i="16"/>
  <c r="D34" i="16"/>
  <c r="AI3" i="5"/>
  <c r="AI34" i="16"/>
  <c r="AE3" i="5"/>
  <c r="AE34" i="16"/>
  <c r="AA3" i="5"/>
  <c r="AA34" i="16"/>
  <c r="W3" i="5"/>
  <c r="W34" i="16"/>
  <c r="S3" i="5"/>
  <c r="S34" i="16"/>
  <c r="O3" i="5"/>
  <c r="O34" i="16"/>
  <c r="K3" i="5"/>
  <c r="K34" i="16"/>
  <c r="G3" i="5"/>
  <c r="G34" i="16"/>
  <c r="C34" i="16"/>
  <c r="B34" i="16"/>
  <c r="AH3" i="5"/>
  <c r="AH34" i="16"/>
  <c r="AD3" i="5"/>
  <c r="AD34" i="16"/>
  <c r="Z3" i="5"/>
  <c r="Z34" i="16"/>
  <c r="V3" i="5"/>
  <c r="V34" i="16"/>
  <c r="R3" i="5"/>
  <c r="R34" i="16"/>
  <c r="N3" i="5"/>
  <c r="N34" i="16"/>
  <c r="J3" i="5"/>
  <c r="J34" i="16"/>
  <c r="F3" i="5"/>
  <c r="F34" i="16"/>
  <c r="P15" i="14"/>
  <c r="O101" i="14"/>
  <c r="M1" i="14"/>
  <c r="L100" i="14"/>
  <c r="L15" i="14"/>
  <c r="K101" i="14"/>
  <c r="AB3" i="4"/>
  <c r="AC3" i="4"/>
  <c r="AD3" i="4"/>
  <c r="AE3" i="4"/>
  <c r="AF3" i="4"/>
  <c r="AG3" i="4"/>
  <c r="AH3" i="4"/>
  <c r="AI3" i="4"/>
  <c r="AJ3" i="4"/>
  <c r="AK3" i="4"/>
  <c r="AK11" i="5"/>
  <c r="AJ11" i="5"/>
  <c r="AI11" i="5"/>
  <c r="AH11" i="5"/>
  <c r="AG11" i="5"/>
  <c r="AF11" i="5"/>
  <c r="AE11" i="5"/>
  <c r="AD11" i="5"/>
  <c r="AC11" i="5"/>
  <c r="AB11" i="5"/>
  <c r="AK6" i="5"/>
  <c r="AJ6" i="5"/>
  <c r="AI6" i="5"/>
  <c r="AH6" i="5"/>
  <c r="AG6" i="5"/>
  <c r="AF6" i="5"/>
  <c r="AE6" i="5"/>
  <c r="AD6" i="5"/>
  <c r="AC6" i="5"/>
  <c r="AB6" i="5"/>
  <c r="AK6" i="4"/>
  <c r="AJ6" i="4"/>
  <c r="AI6" i="4"/>
  <c r="AH6" i="4"/>
  <c r="AG6" i="4"/>
  <c r="AF6" i="4"/>
  <c r="AE6" i="4"/>
  <c r="AD6" i="4"/>
  <c r="AC6" i="4"/>
  <c r="AB6" i="4"/>
  <c r="I2" i="14" l="1"/>
  <c r="H3" i="14"/>
  <c r="G7" i="4"/>
  <c r="G7" i="5"/>
  <c r="H7" i="7"/>
  <c r="L101" i="14"/>
  <c r="L12" i="14"/>
  <c r="P101" i="14"/>
  <c r="P12" i="14"/>
  <c r="N1" i="14"/>
  <c r="M100" i="14"/>
  <c r="AK14" i="7"/>
  <c r="AJ14" i="7"/>
  <c r="AI14" i="7"/>
  <c r="AH14" i="7"/>
  <c r="AG14" i="7"/>
  <c r="AF14" i="7"/>
  <c r="AE14" i="7"/>
  <c r="AD14" i="7"/>
  <c r="AC14" i="7"/>
  <c r="AB14" i="7"/>
  <c r="AK14" i="10"/>
  <c r="AJ14" i="10"/>
  <c r="AI14" i="10"/>
  <c r="AH14" i="10"/>
  <c r="AG14" i="10"/>
  <c r="AF14" i="10"/>
  <c r="AE14" i="10"/>
  <c r="AD14" i="10"/>
  <c r="AC14" i="10"/>
  <c r="AB14" i="10"/>
  <c r="AK14" i="6"/>
  <c r="AJ14" i="6"/>
  <c r="AI14" i="6"/>
  <c r="AH14" i="6"/>
  <c r="AG14" i="6"/>
  <c r="AF14" i="6"/>
  <c r="AE14" i="6"/>
  <c r="AD14" i="6"/>
  <c r="AC14" i="6"/>
  <c r="AK14" i="5"/>
  <c r="AJ14" i="5"/>
  <c r="AI14" i="5"/>
  <c r="AH14" i="5"/>
  <c r="AG14" i="5"/>
  <c r="AF14" i="5"/>
  <c r="AE14" i="5"/>
  <c r="AD14" i="5"/>
  <c r="AC14" i="5"/>
  <c r="AB14" i="5"/>
  <c r="AL14" i="9"/>
  <c r="AK14" i="9"/>
  <c r="AJ14" i="9"/>
  <c r="AI14" i="9"/>
  <c r="AH14" i="9"/>
  <c r="AG14" i="9"/>
  <c r="AF14" i="9"/>
  <c r="AE14" i="9"/>
  <c r="AD14" i="9"/>
  <c r="AC14" i="9"/>
  <c r="AK14" i="4"/>
  <c r="AJ14" i="4"/>
  <c r="AI14" i="4"/>
  <c r="AH14" i="4"/>
  <c r="AG14" i="4"/>
  <c r="AF14" i="4"/>
  <c r="AE14" i="4"/>
  <c r="AD14" i="4"/>
  <c r="AC14" i="4"/>
  <c r="AB14" i="4"/>
  <c r="J2" i="14" l="1"/>
  <c r="I3" i="14"/>
  <c r="I7" i="7"/>
  <c r="H7" i="4"/>
  <c r="H7" i="5"/>
  <c r="O1" i="14"/>
  <c r="N100" i="14"/>
  <c r="AK13" i="10"/>
  <c r="AJ13" i="10"/>
  <c r="AI13" i="10"/>
  <c r="AH13" i="10"/>
  <c r="AG13" i="10"/>
  <c r="AF13" i="10"/>
  <c r="AE13" i="10"/>
  <c r="AD13" i="10"/>
  <c r="AC13" i="10"/>
  <c r="AB13" i="10"/>
  <c r="AK13" i="6"/>
  <c r="AJ13" i="6"/>
  <c r="AI13" i="6"/>
  <c r="AH13" i="6"/>
  <c r="AG13" i="6"/>
  <c r="AF13" i="6"/>
  <c r="AE13" i="6"/>
  <c r="AD13" i="6"/>
  <c r="AC13" i="6"/>
  <c r="AK13" i="5"/>
  <c r="AJ13" i="5"/>
  <c r="AI13" i="5"/>
  <c r="AH13" i="5"/>
  <c r="AG13" i="5"/>
  <c r="AF13" i="5"/>
  <c r="AE13" i="5"/>
  <c r="AD13" i="5"/>
  <c r="AC13" i="5"/>
  <c r="AB13" i="5"/>
  <c r="AL13" i="9"/>
  <c r="AK13" i="9"/>
  <c r="AJ13" i="9"/>
  <c r="AI13" i="9"/>
  <c r="AH13" i="9"/>
  <c r="AG13" i="9"/>
  <c r="AF13" i="9"/>
  <c r="AE13" i="9"/>
  <c r="AD13" i="9"/>
  <c r="AC13" i="9"/>
  <c r="AK13" i="4"/>
  <c r="AJ13" i="4"/>
  <c r="AI13" i="4"/>
  <c r="AH13" i="4"/>
  <c r="AG13" i="4"/>
  <c r="AF13" i="4"/>
  <c r="AE13" i="4"/>
  <c r="AD13" i="4"/>
  <c r="AC13" i="4"/>
  <c r="AB13" i="4"/>
  <c r="K2" i="14" l="1"/>
  <c r="J3" i="14"/>
  <c r="I7" i="5"/>
  <c r="I7" i="4"/>
  <c r="J7" i="7"/>
  <c r="P1" i="14"/>
  <c r="O100" i="14"/>
  <c r="AK4" i="7"/>
  <c r="AJ4" i="7"/>
  <c r="AI4" i="7"/>
  <c r="AH4" i="7"/>
  <c r="AG4" i="7"/>
  <c r="AF4" i="7"/>
  <c r="AE4" i="7"/>
  <c r="AD4" i="7"/>
  <c r="AC4" i="7"/>
  <c r="AB4" i="7"/>
  <c r="AK2" i="7"/>
  <c r="AJ2" i="7"/>
  <c r="AI2" i="7"/>
  <c r="AH2" i="7"/>
  <c r="AG2" i="7"/>
  <c r="AF2" i="7"/>
  <c r="AE2" i="7"/>
  <c r="AD2" i="7"/>
  <c r="AC2" i="7"/>
  <c r="AB2" i="7"/>
  <c r="AK12" i="10"/>
  <c r="AJ12" i="10"/>
  <c r="AI12" i="10"/>
  <c r="AH12" i="10"/>
  <c r="AG12" i="10"/>
  <c r="AF12" i="10"/>
  <c r="AE12" i="10"/>
  <c r="AD12" i="10"/>
  <c r="AC12" i="10"/>
  <c r="AB12" i="10"/>
  <c r="AK11" i="10"/>
  <c r="AJ11" i="10"/>
  <c r="AI11" i="10"/>
  <c r="AH11" i="10"/>
  <c r="AG11" i="10"/>
  <c r="AF11" i="10"/>
  <c r="AE11" i="10"/>
  <c r="AD11" i="10"/>
  <c r="AC11" i="10"/>
  <c r="AB11" i="10"/>
  <c r="AK12" i="6"/>
  <c r="AJ12" i="6"/>
  <c r="AI12" i="6"/>
  <c r="AH12" i="6"/>
  <c r="AG12" i="6"/>
  <c r="AF12" i="6"/>
  <c r="AE12" i="6"/>
  <c r="AD12" i="6"/>
  <c r="AC12" i="6"/>
  <c r="AK11" i="6"/>
  <c r="AJ11" i="6"/>
  <c r="AI11" i="6"/>
  <c r="AH11" i="6"/>
  <c r="AG11" i="6"/>
  <c r="AF11" i="6"/>
  <c r="AE11" i="6"/>
  <c r="AD11" i="6"/>
  <c r="AC11" i="6"/>
  <c r="AK10" i="6"/>
  <c r="AJ10" i="6"/>
  <c r="AI10" i="6"/>
  <c r="AH10" i="6"/>
  <c r="AG10" i="6"/>
  <c r="AF10" i="6"/>
  <c r="AE10" i="6"/>
  <c r="AD10" i="6"/>
  <c r="AC10" i="6"/>
  <c r="AK9" i="6"/>
  <c r="AJ9" i="6"/>
  <c r="AI9" i="6"/>
  <c r="AH9" i="6"/>
  <c r="AG9" i="6"/>
  <c r="AF9" i="6"/>
  <c r="AE9" i="6"/>
  <c r="AD9" i="6"/>
  <c r="AC9" i="6"/>
  <c r="AK8" i="6"/>
  <c r="AJ8" i="6"/>
  <c r="AI8" i="6"/>
  <c r="AH8" i="6"/>
  <c r="AG8" i="6"/>
  <c r="AF8" i="6"/>
  <c r="AE8" i="6"/>
  <c r="AD8" i="6"/>
  <c r="AC8" i="6"/>
  <c r="AK12" i="5"/>
  <c r="AJ12" i="5"/>
  <c r="AI12" i="5"/>
  <c r="AH12" i="5"/>
  <c r="AG12" i="5"/>
  <c r="AF12" i="5"/>
  <c r="AE12" i="5"/>
  <c r="AD12" i="5"/>
  <c r="AC12" i="5"/>
  <c r="AB12" i="5"/>
  <c r="AK10" i="5"/>
  <c r="AJ10" i="5"/>
  <c r="AI10" i="5"/>
  <c r="AH10" i="5"/>
  <c r="AG10" i="5"/>
  <c r="AF10" i="5"/>
  <c r="AE10" i="5"/>
  <c r="AD10" i="5"/>
  <c r="AC10" i="5"/>
  <c r="AB10" i="5"/>
  <c r="AK9" i="5"/>
  <c r="AJ9" i="5"/>
  <c r="AI9" i="5"/>
  <c r="AH9" i="5"/>
  <c r="AG9" i="5"/>
  <c r="AF9" i="5"/>
  <c r="AE9" i="5"/>
  <c r="AD9" i="5"/>
  <c r="AC9" i="5"/>
  <c r="AB9" i="5"/>
  <c r="AK8" i="5"/>
  <c r="AJ8" i="5"/>
  <c r="AI8" i="5"/>
  <c r="AH8" i="5"/>
  <c r="AG8" i="5"/>
  <c r="AF8" i="5"/>
  <c r="AE8" i="5"/>
  <c r="AD8" i="5"/>
  <c r="AC8" i="5"/>
  <c r="AB8" i="5"/>
  <c r="AK5" i="5"/>
  <c r="AJ5" i="5"/>
  <c r="AI5" i="5"/>
  <c r="AH5" i="5"/>
  <c r="AG5" i="5"/>
  <c r="AF5" i="5"/>
  <c r="AE5" i="5"/>
  <c r="AD5" i="5"/>
  <c r="AC5" i="5"/>
  <c r="AB5" i="5"/>
  <c r="AK4" i="5"/>
  <c r="AJ4" i="5"/>
  <c r="AI4" i="5"/>
  <c r="AH4" i="5"/>
  <c r="AG4" i="5"/>
  <c r="AF4" i="5"/>
  <c r="AE4" i="5"/>
  <c r="AD4" i="5"/>
  <c r="AC4" i="5"/>
  <c r="AB4" i="5"/>
  <c r="AK2" i="5"/>
  <c r="AJ2" i="5"/>
  <c r="AI2" i="5"/>
  <c r="AH2" i="5"/>
  <c r="AG2" i="5"/>
  <c r="AF2" i="5"/>
  <c r="AE2" i="5"/>
  <c r="AD2" i="5"/>
  <c r="AC2" i="5"/>
  <c r="AB2" i="5"/>
  <c r="AL12" i="9"/>
  <c r="AK12" i="9"/>
  <c r="AJ12" i="9"/>
  <c r="AI12" i="9"/>
  <c r="AH12" i="9"/>
  <c r="AG12" i="9"/>
  <c r="AF12" i="9"/>
  <c r="AE12" i="9"/>
  <c r="AD12" i="9"/>
  <c r="AC12" i="9"/>
  <c r="AL11" i="9"/>
  <c r="AK11" i="9"/>
  <c r="AJ11" i="9"/>
  <c r="AI11" i="9"/>
  <c r="AH11" i="9"/>
  <c r="AG11" i="9"/>
  <c r="AF11" i="9"/>
  <c r="AE11" i="9"/>
  <c r="AD11" i="9"/>
  <c r="AC11" i="9"/>
  <c r="AL10" i="9"/>
  <c r="AK10" i="9"/>
  <c r="AJ10" i="9"/>
  <c r="AI10" i="9"/>
  <c r="AH10" i="9"/>
  <c r="AG10" i="9"/>
  <c r="AF10" i="9"/>
  <c r="AE10" i="9"/>
  <c r="AD10" i="9"/>
  <c r="AC10" i="9"/>
  <c r="AL9" i="9"/>
  <c r="AK9" i="9"/>
  <c r="AJ9" i="9"/>
  <c r="AI9" i="9"/>
  <c r="AH9" i="9"/>
  <c r="AG9" i="9"/>
  <c r="AF9" i="9"/>
  <c r="AE9" i="9"/>
  <c r="AD9" i="9"/>
  <c r="AC9" i="9"/>
  <c r="AC2" i="4"/>
  <c r="AD2" i="4"/>
  <c r="AE2" i="4"/>
  <c r="AF2" i="4"/>
  <c r="AG2" i="4"/>
  <c r="AH2" i="4"/>
  <c r="AI2" i="4"/>
  <c r="AJ2" i="4"/>
  <c r="AK2" i="4"/>
  <c r="AC4" i="4"/>
  <c r="AD4" i="4"/>
  <c r="AE4" i="4"/>
  <c r="AF4" i="4"/>
  <c r="AG4" i="4"/>
  <c r="AH4" i="4"/>
  <c r="AI4" i="4"/>
  <c r="AJ4" i="4"/>
  <c r="AK4" i="4"/>
  <c r="AC5" i="4"/>
  <c r="AD5" i="4"/>
  <c r="AE5" i="4"/>
  <c r="AF5" i="4"/>
  <c r="AG5" i="4"/>
  <c r="AH5" i="4"/>
  <c r="AI5" i="4"/>
  <c r="AJ5" i="4"/>
  <c r="AK5" i="4"/>
  <c r="AC8" i="4"/>
  <c r="AD8" i="4"/>
  <c r="AE8" i="4"/>
  <c r="AF8" i="4"/>
  <c r="AG8" i="4"/>
  <c r="AH8" i="4"/>
  <c r="AI8" i="4"/>
  <c r="AJ8" i="4"/>
  <c r="AK8" i="4"/>
  <c r="AC9" i="4"/>
  <c r="AD9" i="4"/>
  <c r="AE9" i="4"/>
  <c r="AF9" i="4"/>
  <c r="AG9" i="4"/>
  <c r="AH9" i="4"/>
  <c r="AI9" i="4"/>
  <c r="AJ9" i="4"/>
  <c r="AK9" i="4"/>
  <c r="AC10" i="4"/>
  <c r="AD10" i="4"/>
  <c r="AE10" i="4"/>
  <c r="AF10" i="4"/>
  <c r="AG10" i="4"/>
  <c r="AH10" i="4"/>
  <c r="AI10" i="4"/>
  <c r="AJ10" i="4"/>
  <c r="AK10" i="4"/>
  <c r="AC11" i="4"/>
  <c r="AD11" i="4"/>
  <c r="AE11" i="4"/>
  <c r="AF11" i="4"/>
  <c r="AG11" i="4"/>
  <c r="AH11" i="4"/>
  <c r="AI11" i="4"/>
  <c r="AJ11" i="4"/>
  <c r="AK11" i="4"/>
  <c r="AC12" i="4"/>
  <c r="AD12" i="4"/>
  <c r="AE12" i="4"/>
  <c r="AF12" i="4"/>
  <c r="AG12" i="4"/>
  <c r="AH12" i="4"/>
  <c r="AI12" i="4"/>
  <c r="AJ12" i="4"/>
  <c r="AK12" i="4"/>
  <c r="AB4" i="4"/>
  <c r="AB5" i="4"/>
  <c r="AB8" i="4"/>
  <c r="AB9" i="4"/>
  <c r="AB10" i="4"/>
  <c r="AB11" i="4"/>
  <c r="AB12" i="4"/>
  <c r="AB2" i="4"/>
  <c r="L2" i="14" l="1"/>
  <c r="K3" i="14"/>
  <c r="K7" i="7"/>
  <c r="J7" i="4"/>
  <c r="J7" i="5"/>
  <c r="Q1" i="14"/>
  <c r="P100" i="14"/>
  <c r="M2" i="14" l="1"/>
  <c r="L3" i="14"/>
  <c r="K7" i="5"/>
  <c r="K7" i="4"/>
  <c r="L7" i="7"/>
  <c r="R1" i="14"/>
  <c r="Q100" i="14"/>
  <c r="N2" i="14" l="1"/>
  <c r="M3" i="14"/>
  <c r="M7" i="7"/>
  <c r="L7" i="4"/>
  <c r="L7" i="5"/>
  <c r="S1" i="14"/>
  <c r="R100" i="14"/>
  <c r="O2" i="14" l="1"/>
  <c r="N3" i="14"/>
  <c r="M7" i="5"/>
  <c r="M7" i="4"/>
  <c r="N7" i="7"/>
  <c r="T1" i="14"/>
  <c r="S100" i="14"/>
  <c r="P2" i="14" l="1"/>
  <c r="O3" i="14"/>
  <c r="O7" i="7"/>
  <c r="N7" i="5"/>
  <c r="N7" i="4"/>
  <c r="U1" i="14"/>
  <c r="T100" i="14"/>
  <c r="Q2" i="14" l="1"/>
  <c r="Q3" i="14" s="1"/>
  <c r="P3" i="14"/>
  <c r="O7" i="5"/>
  <c r="O7" i="4"/>
  <c r="P7" i="7"/>
  <c r="V1" i="14"/>
  <c r="U100" i="14"/>
  <c r="Q7" i="7" l="1"/>
  <c r="R2" i="14"/>
  <c r="R3" i="14" s="1"/>
  <c r="P7" i="4"/>
  <c r="P7" i="5"/>
  <c r="V100" i="14"/>
  <c r="W1" i="14"/>
  <c r="X1" i="14" s="1"/>
  <c r="Y1" i="14" s="1"/>
  <c r="Z1" i="14" s="1"/>
  <c r="AA1" i="14" s="1"/>
  <c r="AB1" i="14" s="1"/>
  <c r="AC1" i="14" s="1"/>
  <c r="AD1" i="14" s="1"/>
  <c r="AE1" i="14" s="1"/>
  <c r="AF1" i="14" s="1"/>
  <c r="AG1" i="14" s="1"/>
  <c r="AH1" i="14" s="1"/>
  <c r="AI1" i="14" s="1"/>
  <c r="AJ1" i="14" s="1"/>
  <c r="AK1" i="14" s="1"/>
  <c r="R7" i="7" l="1"/>
  <c r="S2" i="14"/>
  <c r="S3" i="14" s="1"/>
  <c r="Q7" i="4"/>
  <c r="Q7" i="5"/>
  <c r="R7" i="4" l="1"/>
  <c r="R7" i="5"/>
  <c r="S7" i="7"/>
  <c r="T2" i="14"/>
  <c r="T3" i="14" s="1"/>
  <c r="S7" i="4" l="1"/>
  <c r="S7" i="5"/>
  <c r="T7" i="7"/>
  <c r="U2" i="14"/>
  <c r="U3" i="14" s="1"/>
  <c r="U7" i="7" l="1"/>
  <c r="V2" i="14"/>
  <c r="V3" i="14" s="1"/>
  <c r="T7" i="5"/>
  <c r="T7" i="4"/>
  <c r="U7" i="5" l="1"/>
  <c r="U7" i="4"/>
  <c r="V7" i="7"/>
  <c r="W2" i="14"/>
  <c r="W3" i="14" s="1"/>
  <c r="W7" i="7" l="1"/>
  <c r="X2" i="14"/>
  <c r="X3" i="14" s="1"/>
  <c r="V7" i="4"/>
  <c r="V7" i="5"/>
  <c r="X7" i="7" l="1"/>
  <c r="Y2" i="14"/>
  <c r="Y3" i="14" s="1"/>
  <c r="W7" i="5"/>
  <c r="W7" i="4"/>
  <c r="Y7" i="7" l="1"/>
  <c r="Z2" i="14"/>
  <c r="Z3" i="14" s="1"/>
  <c r="X7" i="5"/>
  <c r="X7" i="4"/>
  <c r="Y7" i="4" l="1"/>
  <c r="Y7" i="5"/>
  <c r="Z7" i="7"/>
  <c r="AA2" i="14"/>
  <c r="AA3" i="14" s="1"/>
  <c r="AA7" i="7" l="1"/>
  <c r="AB2" i="14"/>
  <c r="AB3" i="14" s="1"/>
  <c r="Z7" i="4"/>
  <c r="Z7" i="5"/>
  <c r="AB7" i="7" l="1"/>
  <c r="AC2" i="14"/>
  <c r="AC3" i="14" s="1"/>
  <c r="AA7" i="5"/>
  <c r="AA7" i="4"/>
  <c r="AB7" i="5" l="1"/>
  <c r="AB7" i="4"/>
  <c r="AC7" i="7"/>
  <c r="AD2" i="14"/>
  <c r="AD3" i="14" s="1"/>
  <c r="AD7" i="7" l="1"/>
  <c r="AE2" i="14"/>
  <c r="AE3" i="14" s="1"/>
  <c r="AC7" i="5"/>
  <c r="AC7" i="4"/>
  <c r="AD7" i="4" l="1"/>
  <c r="AD7" i="5"/>
  <c r="AE7" i="7"/>
  <c r="AF2" i="14"/>
  <c r="AF3" i="14" s="1"/>
  <c r="AF7" i="7" l="1"/>
  <c r="AG2" i="14"/>
  <c r="AG3" i="14" s="1"/>
  <c r="AE7" i="5"/>
  <c r="AE7" i="4"/>
  <c r="AF7" i="4" l="1"/>
  <c r="AF7" i="5"/>
  <c r="AG7" i="7"/>
  <c r="AH2" i="14"/>
  <c r="AH3" i="14" s="1"/>
  <c r="AH7" i="7" l="1"/>
  <c r="AI2" i="14"/>
  <c r="AI3" i="14" s="1"/>
  <c r="AG7" i="5"/>
  <c r="AG7" i="4"/>
  <c r="AH7" i="5" l="1"/>
  <c r="AH7" i="4"/>
  <c r="AI7" i="7"/>
  <c r="AJ2" i="14"/>
  <c r="AJ3" i="14" s="1"/>
  <c r="AJ7" i="7" l="1"/>
  <c r="AK2" i="14"/>
  <c r="AK3" i="14" s="1"/>
  <c r="AI7" i="5"/>
  <c r="AI7" i="4"/>
  <c r="AK7" i="7" l="1"/>
  <c r="AJ7" i="5"/>
  <c r="AJ7" i="4"/>
  <c r="AK7" i="5" l="1"/>
  <c r="AK7" i="4"/>
</calcChain>
</file>

<file path=xl/sharedStrings.xml><?xml version="1.0" encoding="utf-8"?>
<sst xmlns="http://schemas.openxmlformats.org/spreadsheetml/2006/main" count="383" uniqueCount="185">
  <si>
    <t>natural gas nonpeaker</t>
  </si>
  <si>
    <t>nuclear</t>
  </si>
  <si>
    <t>hydro</t>
  </si>
  <si>
    <t>solar PV</t>
  </si>
  <si>
    <t>solar thermal</t>
  </si>
  <si>
    <t>biomass</t>
  </si>
  <si>
    <t>geothermal</t>
  </si>
  <si>
    <t>petroleum</t>
  </si>
  <si>
    <t>natural gas peaker</t>
  </si>
  <si>
    <t>BDEQ BAU Electricity Output from Distributed Sources</t>
  </si>
  <si>
    <t>BDEQ BAU Distributed Electricity Source Capacity</t>
  </si>
  <si>
    <t>Sources:</t>
  </si>
  <si>
    <t>Distributed Generation and Capacity</t>
  </si>
  <si>
    <t>lignite</t>
  </si>
  <si>
    <t>hard coal</t>
  </si>
  <si>
    <t>onshore wind</t>
  </si>
  <si>
    <t>offshore wind</t>
  </si>
  <si>
    <t xml:space="preserve">Division across commercial and residential </t>
  </si>
  <si>
    <t>Proportions from http://www.californiadgstats.ca.gov/charts/</t>
  </si>
  <si>
    <t>Caculated for the full interconnected NEMS data set, but decided to go with this more recent data</t>
  </si>
  <si>
    <t>as likely more reflective of future trends.</t>
  </si>
  <si>
    <t>Residential</t>
  </si>
  <si>
    <t>other government</t>
  </si>
  <si>
    <t>military</t>
  </si>
  <si>
    <t xml:space="preserve">Commerical </t>
  </si>
  <si>
    <t>Industrial</t>
  </si>
  <si>
    <t>DG stats for California are Jan. 1, 2015 to July 31, 2017 inclusive.</t>
  </si>
  <si>
    <t>nonprofit</t>
  </si>
  <si>
    <t>Urban vs. rural not important in CA</t>
  </si>
  <si>
    <t>Distributed PV.</t>
  </si>
  <si>
    <t>Natural gas nonpeaker</t>
  </si>
  <si>
    <t>Notes on allocation across sector</t>
  </si>
  <si>
    <t xml:space="preserve">Place data in the urban worksheet. </t>
  </si>
  <si>
    <t>Generation (MWh)</t>
  </si>
  <si>
    <t>Capacity (MW)</t>
  </si>
  <si>
    <t>Commercial building capacity (MW)</t>
  </si>
  <si>
    <t>Commercial generation (MWh)</t>
  </si>
  <si>
    <t>generation MWh</t>
  </si>
  <si>
    <t>overall CHP electricity generation</t>
  </si>
  <si>
    <t>Above data also provide total.</t>
  </si>
  <si>
    <t xml:space="preserve">Use capacity fraction to imput CHP generation for commercial </t>
  </si>
  <si>
    <t>total</t>
  </si>
  <si>
    <t>fraction of capacity commercial</t>
  </si>
  <si>
    <t>Allocation across sectors below, using Data breakdown provided below "notes on allocation across sector"</t>
  </si>
  <si>
    <t xml:space="preserve">As with other variables, we do not track urban vs. rural for California.  Residential data are in the urban worksheets. </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</si>
  <si>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</si>
  <si>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</si>
  <si>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</si>
  <si>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</si>
  <si>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</si>
  <si>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</si>
  <si>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Notes:</t>
  </si>
  <si>
    <t>1.  Rooftop solar.</t>
  </si>
  <si>
    <t>https://www.californiadgstats.ca.gov/charts/</t>
  </si>
  <si>
    <t>California Distributed Generation States</t>
  </si>
  <si>
    <t>This page assigns rooftop PV, capacity and generation, according to current installation patterns.</t>
  </si>
  <si>
    <t>Based on E3 outputs for capacity and generation in the updated reference case</t>
  </si>
  <si>
    <t xml:space="preserve">The commercial and residential shares calculated in cells B15 and B16 are applied to the values in rows 8 and 9. </t>
  </si>
  <si>
    <t>Data through July 31, 2017, accessed March 2018.</t>
  </si>
  <si>
    <t>Two relevant types of distributed electricity in California.</t>
  </si>
  <si>
    <t>These are treated in detail in the worksheets that follow.</t>
  </si>
  <si>
    <t>http://www.cpuc.ca.gov/uploadedFiles/CPUCWebsite/Content/UtilitiesIndustries/Energy/EnergyPrograms/ElectPowerProcurementGeneration/DemandModeling/IRP_RSP_2017IEPR_SERVM_results_20180913.pdf</t>
  </si>
  <si>
    <t xml:space="preserve">Take midpoint of the two models </t>
  </si>
  <si>
    <t>SERVM</t>
  </si>
  <si>
    <t>Resolve</t>
  </si>
  <si>
    <t>Avg</t>
  </si>
  <si>
    <t>http://www.cpuc.ca.gov/uploadedFiles/CPUCWebsite/Content/UtilitiesIndustries/Energy/EnergyPrograms/ElectPowerProcurementGeneration/irp/2018/IRP_workshop_2018-10-31_slides.pdf</t>
  </si>
  <si>
    <t>hours in year</t>
  </si>
  <si>
    <t>implicit capacity factor</t>
  </si>
  <si>
    <t>Level from prior BAU, which reflected the "Updated Reference" for the Scoping Plan scenario</t>
  </si>
  <si>
    <t>California Public Utility Commission</t>
  </si>
  <si>
    <t>2018 (Sept 18)</t>
  </si>
  <si>
    <t>Integrated Resource Plan and Long Term Procurement Planning Process (IRP Process)</t>
  </si>
  <si>
    <t>IRP Production Cost Modeling with the Reference System Plan and the 2017 IPER: SERVM model results</t>
  </si>
  <si>
    <t>2.  Commercial building situated CHP, mostly -- almost entirely, currently -- natural gas-combustion based.</t>
  </si>
  <si>
    <t>From IRP source</t>
  </si>
  <si>
    <t>Installed as of 2018 per CEC and shown below</t>
  </si>
  <si>
    <t>Constant annual increment 2019 to 2030, current to IRP</t>
  </si>
  <si>
    <t>Historical per DG stats source</t>
  </si>
  <si>
    <t>CEC tracking progress (accessed May 1 2019)</t>
  </si>
  <si>
    <t>MW of Capacity</t>
  </si>
  <si>
    <t>Generation MWh</t>
  </si>
  <si>
    <t>Types of rooftop solar and capacity in 2015-2017</t>
  </si>
  <si>
    <t>IRP documentation also states:</t>
  </si>
  <si>
    <t>Capacity</t>
  </si>
  <si>
    <t>Generation</t>
  </si>
  <si>
    <t>Difference in capacity (before accounting for CAISO vs. non-CAISO areas).</t>
  </si>
  <si>
    <t>Evaluation of IRP trend below. Capture as a linear trend from 2018 to 2030 value</t>
  </si>
  <si>
    <t>Table 10. Supply and disposition of electricity, 1990 through 2017</t>
  </si>
  <si>
    <t>California</t>
  </si>
  <si>
    <t>megawatthours</t>
  </si>
  <si>
    <t>Category</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</si>
  <si>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</si>
  <si>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</si>
  <si>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</si>
  <si>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</si>
  <si>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</si>
  <si>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</si>
  <si>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</si>
  <si>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</si>
  <si>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</si>
  <si>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</si>
  <si>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</si>
  <si>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</si>
  <si>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</si>
  <si>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</si>
  <si>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</si>
  <si>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</si>
  <si>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</si>
  <si>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</si>
  <si>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</si>
  <si>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</si>
  <si>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</si>
  <si>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</si>
  <si>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</si>
  <si>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</si>
  <si>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</si>
  <si>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</si>
  <si>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</si>
  <si>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</si>
  <si>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</si>
  <si>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</si>
  <si>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</si>
  <si>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</si>
  <si>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</si>
  <si>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</si>
  <si>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</si>
  <si>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</si>
  <si>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</si>
  <si>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</si>
  <si>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</si>
  <si>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</si>
  <si>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</si>
  <si>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</si>
  <si>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Retail sales</t>
  </si>
  <si>
    <t>..Full service providers</t>
  </si>
  <si>
    <t>..Energy-only providers</t>
  </si>
  <si>
    <t>..Facility direct retail sales</t>
  </si>
  <si>
    <t>Total electric industry retail sales</t>
  </si>
  <si>
    <t>Direct use</t>
  </si>
  <si>
    <t>Total international exports</t>
  </si>
  <si>
    <t>Estimated losses</t>
  </si>
  <si>
    <t>Unaccounted</t>
  </si>
  <si>
    <t>.</t>
  </si>
  <si>
    <t>Net interstate exports</t>
  </si>
  <si>
    <t>Total disposition</t>
  </si>
  <si>
    <t>Net interstate trade</t>
  </si>
  <si>
    <t>Net trade index (ratio)</t>
  </si>
  <si>
    <t>Facility Direct Retail Sales are electricity sales from non utility power producers which reported electricity sales to a retail customer.
Net Interstate Trade = Total Supply - (Total Electric Industry Retail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retail sales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</si>
  <si>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Energy Information Administration, US Department of Energy</t>
  </si>
  <si>
    <t>State Electricity Profile, California</t>
  </si>
  <si>
    <t>Table 10, Supply and disposition</t>
  </si>
  <si>
    <t>https://www.eia.gov/electricity/state/California/state_tables.php</t>
  </si>
  <si>
    <t>industry</t>
  </si>
  <si>
    <t xml:space="preserve">educational </t>
  </si>
  <si>
    <t>Commercial includes:</t>
  </si>
  <si>
    <t xml:space="preserve">Background information in "Solar background" and "Solar calculation" tab provides details on solar. </t>
  </si>
  <si>
    <t xml:space="preserve">Discussion on natural gas in "background" and "calculations" tabs with Natural Gas in titles. </t>
  </si>
  <si>
    <t>E3 Pathways data are below for commercial building CHP.</t>
  </si>
  <si>
    <t>These show significantly more generation than the data used from DOE EIA State Energy Profile.</t>
  </si>
  <si>
    <t xml:space="preserve">As well, more recently IRP indicates expectations for a decline in CHP.  </t>
  </si>
  <si>
    <t>As of the end of 2017, there was about 7,649 MW of CHP installed statewide.</t>
  </si>
  <si>
    <t>“From 2010 to 2017, California’s CHP fleet has decreased 8 percent in nameplate capacity and 25 percent in annual electrical generation. Figure 1 shows the annual percentage changes to CHP capacity and generation relative to 2010.”</t>
  </si>
  <si>
    <t>https://www.energy.ca.gov/renewables/tracking_progress/documents/combined_heat_and_power.pdf</t>
  </si>
  <si>
    <t xml:space="preserve">These indicate declining reliance on CHP for power. </t>
  </si>
  <si>
    <t xml:space="preserve">Notice cogen category in decline. </t>
  </si>
  <si>
    <t xml:space="preserve">impute capacity based on DOE generation and "existing CHP" capacity factor shown at left, </t>
  </si>
  <si>
    <t xml:space="preserve">capacity X hours in year X capacity factor </t>
  </si>
  <si>
    <t>=</t>
  </si>
  <si>
    <t>generation</t>
  </si>
  <si>
    <t>cap factor</t>
  </si>
  <si>
    <t>Capacity estimate</t>
  </si>
  <si>
    <t>3rd panel down shows very substantial decline in estimated remaining CHP in 2030.</t>
  </si>
  <si>
    <t xml:space="preserve">2696 GWh is the amount produced in 2030 in the latest estimate. </t>
  </si>
  <si>
    <t>2017 CHP ("in front of the meter") as compable to</t>
  </si>
  <si>
    <t>Estimated decline</t>
  </si>
  <si>
    <t>Apply this to 2017 values implemented as a linear trend</t>
  </si>
  <si>
    <t>Note that recent trend has been one of decline:</t>
  </si>
  <si>
    <t xml:space="preserve">DOE data are used, augmented by IRP data (see "IRP excerpts") to impute the trend over time. </t>
  </si>
  <si>
    <t>2030 value from IRP ("in front of the meter "CHP in electricity system)</t>
  </si>
  <si>
    <t xml:space="preserve">Decline over time in CHP </t>
  </si>
  <si>
    <t xml:space="preserve">Fraction remaining </t>
  </si>
  <si>
    <t>2030 expectation informed by CPUC IPR.</t>
  </si>
  <si>
    <t>Capacity factor implied by IRP</t>
  </si>
  <si>
    <t>Hours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</si>
</sst>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E+00"/>
    <numFmt numFmtId="166" formatCode="_(* #,##0_);_(* \(#,##0\);_(* &quot;-&quot;??_);_(@_)"/>
    <numFmt numFmtId="167" formatCode="#,##0.0"/>
  </numFmts>
  <fonts count="14"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u/>
      <sz val="11"/>
      <color theme="10"/>
      <name val="Calibri"/>
      <family val="2"/>
      <scheme val="minor"/>
    </font>
    <font>
      <sz val="18"/>
      <color rgb="FF000000"/>
      <name val="Arial"/>
      <family val="2"/>
    </font>
    <font>
      <sz val="11.5"/>
      <color theme="1"/>
      <name val="Calibri"/>
      <family val="2"/>
      <scheme val="minor"/>
    </font>
    <font>
      <b/>
      <sz val="12"/>
      <color rgb="FF0066CC"/>
      <name val="Arial"/>
      <family val="2"/>
    </font>
    <font>
      <sz val="10"/>
      <color rgb="FF000000"/>
      <name val="Arial"/>
      <family val="2"/>
    </font>
    <font>
      <b/>
      <sz val="10"/>
      <color rgb="FF000000"/>
      <name val="Arial"/>
      <family val="2"/>
    </font>
    <font>
      <b/>
      <sz val="10"/>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rgb="FFD8E5F1"/>
        <bgColor rgb="FF000000"/>
      </patternFill>
    </fill>
    <fill>
      <patternFill patternType="solid">
        <fgColor rgb="FFEBF2FA"/>
        <bgColor rgb="FF000000"/>
      </patternFill>
    </fill>
    <fill>
      <patternFill patternType="solid">
        <fgColor rgb="FFBFBFBF"/>
        <bgColor rgb="FF000000"/>
      </patternFill>
    </fill>
  </fills>
  <borders count="6">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43"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horizontal="left"/>
    </xf>
    <xf numFmtId="1" fontId="0" fillId="0" borderId="0" xfId="0" applyNumberFormat="1"/>
    <xf numFmtId="0" fontId="0" fillId="0" borderId="0" xfId="0" applyFont="1"/>
    <xf numFmtId="0" fontId="1" fillId="2" borderId="0" xfId="0" applyFont="1" applyFill="1"/>
    <xf numFmtId="11" fontId="0" fillId="0" borderId="0" xfId="0" applyNumberFormat="1"/>
    <xf numFmtId="10" fontId="0" fillId="0" borderId="0" xfId="0" applyNumberFormat="1"/>
    <xf numFmtId="10" fontId="0" fillId="0" borderId="0" xfId="9" applyNumberFormat="1" applyFont="1"/>
    <xf numFmtId="0" fontId="0" fillId="0" borderId="0" xfId="0" applyAlignment="1">
      <alignment wrapText="1"/>
    </xf>
    <xf numFmtId="2" fontId="0" fillId="0" borderId="0" xfId="0" applyNumberFormat="1"/>
    <xf numFmtId="0" fontId="0" fillId="3" borderId="0" xfId="0" applyFill="1"/>
    <xf numFmtId="11" fontId="0" fillId="0" borderId="0" xfId="8" applyNumberFormat="1" applyFont="1"/>
    <xf numFmtId="0" fontId="0" fillId="0" borderId="0" xfId="0" applyFont="1" applyFill="1"/>
    <xf numFmtId="0" fontId="0" fillId="0" borderId="0" xfId="0" applyFill="1"/>
    <xf numFmtId="164" fontId="0" fillId="0" borderId="0" xfId="8" applyNumberFormat="1" applyFont="1"/>
    <xf numFmtId="164" fontId="0" fillId="0" borderId="0" xfId="0" applyNumberFormat="1"/>
    <xf numFmtId="0" fontId="0" fillId="0" borderId="0" xfId="0" applyAlignment="1"/>
    <xf numFmtId="0" fontId="6" fillId="0" borderId="0" xfId="10"/>
    <xf numFmtId="0" fontId="7" fillId="0" borderId="0" xfId="0" applyFont="1" applyAlignment="1">
      <alignment vertical="center"/>
    </xf>
    <xf numFmtId="0" fontId="8" fillId="0" borderId="0" xfId="0" applyFont="1" applyAlignment="1">
      <alignment vertical="center"/>
    </xf>
    <xf numFmtId="0" fontId="6" fillId="0" borderId="0" xfId="10" applyAlignment="1">
      <alignment vertical="center"/>
    </xf>
    <xf numFmtId="0" fontId="0" fillId="0" borderId="0" xfId="0" applyFont="1" applyAlignment="1">
      <alignment horizontal="left" vertical="top"/>
    </xf>
    <xf numFmtId="166" fontId="0" fillId="0" borderId="0" xfId="8" applyNumberFormat="1" applyFont="1"/>
    <xf numFmtId="0" fontId="11" fillId="5" borderId="5" xfId="0" applyNumberFormat="1" applyFont="1" applyFill="1" applyBorder="1" applyAlignment="1" applyProtection="1">
      <alignment horizontal="left" vertical="center" wrapText="1"/>
    </xf>
    <xf numFmtId="0" fontId="12" fillId="6" borderId="5" xfId="0" applyNumberFormat="1" applyFont="1" applyFill="1" applyBorder="1" applyAlignment="1" applyProtection="1">
      <alignment horizontal="left" wrapText="1"/>
    </xf>
    <xf numFmtId="3" fontId="12" fillId="6" borderId="5" xfId="0" applyNumberFormat="1" applyFont="1" applyFill="1" applyBorder="1" applyAlignment="1" applyProtection="1">
      <alignment horizontal="right" wrapText="1"/>
    </xf>
    <xf numFmtId="0" fontId="10" fillId="0" borderId="5" xfId="0" applyNumberFormat="1" applyFont="1" applyFill="1" applyBorder="1" applyAlignment="1" applyProtection="1">
      <alignment horizontal="left" wrapText="1"/>
    </xf>
    <xf numFmtId="3" fontId="10" fillId="0" borderId="5" xfId="0" applyNumberFormat="1" applyFont="1" applyFill="1" applyBorder="1" applyAlignment="1" applyProtection="1">
      <alignment horizontal="right" wrapText="1"/>
    </xf>
    <xf numFmtId="0" fontId="12" fillId="0" borderId="5" xfId="0" applyNumberFormat="1" applyFont="1" applyFill="1" applyBorder="1" applyAlignment="1" applyProtection="1">
      <alignment horizontal="left" wrapText="1"/>
    </xf>
    <xf numFmtId="3" fontId="12" fillId="0" borderId="5" xfId="0" applyNumberFormat="1" applyFont="1" applyFill="1" applyBorder="1" applyAlignment="1" applyProtection="1">
      <alignment horizontal="right" wrapText="1"/>
    </xf>
    <xf numFmtId="0" fontId="12" fillId="7" borderId="5" xfId="0" applyNumberFormat="1" applyFont="1" applyFill="1" applyBorder="1" applyAlignment="1" applyProtection="1">
      <alignment horizontal="left" wrapText="1"/>
    </xf>
    <xf numFmtId="3" fontId="12" fillId="7" borderId="5" xfId="0" applyNumberFormat="1" applyFont="1" applyFill="1" applyBorder="1" applyAlignment="1" applyProtection="1">
      <alignment horizontal="right" wrapText="1"/>
    </xf>
    <xf numFmtId="167" fontId="12" fillId="0" borderId="5" xfId="0" applyNumberFormat="1" applyFont="1" applyFill="1" applyBorder="1" applyAlignment="1" applyProtection="1">
      <alignment horizontal="left" wrapText="1"/>
    </xf>
    <xf numFmtId="167" fontId="12" fillId="0" borderId="5" xfId="0" applyNumberFormat="1" applyFont="1" applyFill="1" applyBorder="1" applyAlignment="1" applyProtection="1">
      <alignment horizontal="right" wrapText="1"/>
    </xf>
    <xf numFmtId="0" fontId="1" fillId="3" borderId="0" xfId="0" applyFont="1" applyFill="1"/>
    <xf numFmtId="0" fontId="0" fillId="0" borderId="0" xfId="0" applyAlignment="1">
      <alignment vertical="center"/>
    </xf>
    <xf numFmtId="3" fontId="0" fillId="0" borderId="0" xfId="0" applyNumberFormat="1"/>
    <xf numFmtId="9" fontId="0" fillId="0" borderId="0" xfId="0" applyNumberFormat="1"/>
    <xf numFmtId="9" fontId="0" fillId="0" borderId="0" xfId="9" applyFont="1"/>
    <xf numFmtId="0" fontId="9" fillId="4" borderId="0" xfId="0" applyNumberFormat="1" applyFont="1" applyFill="1" applyBorder="1" applyAlignment="1" applyProtection="1">
      <alignment horizontal="left" wrapText="1"/>
    </xf>
    <xf numFmtId="0" fontId="10" fillId="4" borderId="0" xfId="0" applyNumberFormat="1" applyFont="1" applyFill="1" applyBorder="1" applyAlignment="1" applyProtection="1">
      <alignment horizontal="left" wrapText="1"/>
    </xf>
    <xf numFmtId="0" fontId="13" fillId="4" borderId="0" xfId="0" applyNumberFormat="1" applyFont="1" applyFill="1" applyBorder="1" applyAlignment="1" applyProtection="1">
      <alignment horizontal="left" wrapText="1"/>
    </xf>
  </cellXfs>
  <cellStyles count="11">
    <cellStyle name="Body: normal cell" xfId="5"/>
    <cellStyle name="Comma" xfId="8" builtinId="3"/>
    <cellStyle name="Font: Calibri, 9pt regular" xfId="1"/>
    <cellStyle name="Footnotes: top row" xfId="6"/>
    <cellStyle name="Header: bottom row" xfId="2"/>
    <cellStyle name="Hyperlink" xfId="10" builtinId="8"/>
    <cellStyle name="Normal" xfId="0" builtinId="0"/>
    <cellStyle name="Normal 2" xfId="7"/>
    <cellStyle name="Parent row" xfId="4"/>
    <cellStyle name="Percent" xfId="9" builtinId="5"/>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50800</xdr:colOff>
      <xdr:row>8</xdr:row>
      <xdr:rowOff>0</xdr:rowOff>
    </xdr:from>
    <xdr:to>
      <xdr:col>6</xdr:col>
      <xdr:colOff>349564</xdr:colOff>
      <xdr:row>31</xdr:row>
      <xdr:rowOff>31969</xdr:rowOff>
    </xdr:to>
    <xdr:pic>
      <xdr:nvPicPr>
        <xdr:cNvPr id="2" name="Picture 1"/>
        <xdr:cNvPicPr>
          <a:picLocks noChangeAspect="1"/>
        </xdr:cNvPicPr>
      </xdr:nvPicPr>
      <xdr:blipFill>
        <a:blip xmlns:r="http://schemas.openxmlformats.org/officeDocument/2006/relationships" r:embed="rId1"/>
        <a:stretch>
          <a:fillRect/>
        </a:stretch>
      </xdr:blipFill>
      <xdr:spPr>
        <a:xfrm>
          <a:off x="50800" y="2108200"/>
          <a:ext cx="6109014" cy="4267419"/>
        </a:xfrm>
        <a:prstGeom prst="rect">
          <a:avLst/>
        </a:prstGeom>
      </xdr:spPr>
    </xdr:pic>
    <xdr:clientData/>
  </xdr:twoCellAnchor>
  <xdr:twoCellAnchor editAs="oneCell">
    <xdr:from>
      <xdr:col>0</xdr:col>
      <xdr:colOff>0</xdr:colOff>
      <xdr:row>33</xdr:row>
      <xdr:rowOff>12700</xdr:rowOff>
    </xdr:from>
    <xdr:to>
      <xdr:col>7</xdr:col>
      <xdr:colOff>355600</xdr:colOff>
      <xdr:row>59</xdr:row>
      <xdr:rowOff>130750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194550"/>
          <a:ext cx="6775450" cy="4905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82550</xdr:colOff>
      <xdr:row>72</xdr:row>
      <xdr:rowOff>120650</xdr:rowOff>
    </xdr:from>
    <xdr:to>
      <xdr:col>8</xdr:col>
      <xdr:colOff>19050</xdr:colOff>
      <xdr:row>97</xdr:row>
      <xdr:rowOff>66675</xdr:rowOff>
    </xdr:to>
    <xdr:pic>
      <xdr:nvPicPr>
        <xdr:cNvPr id="3" name="Picture 2"/>
        <xdr:cNvPicPr/>
      </xdr:nvPicPr>
      <xdr:blipFill>
        <a:blip xmlns:r="http://schemas.openxmlformats.org/officeDocument/2006/relationships" r:embed="rId1"/>
        <a:stretch>
          <a:fillRect/>
        </a:stretch>
      </xdr:blipFill>
      <xdr:spPr>
        <a:xfrm>
          <a:off x="82550" y="8890000"/>
          <a:ext cx="5943600" cy="4549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146050</xdr:colOff>
      <xdr:row>18</xdr:row>
      <xdr:rowOff>146050</xdr:rowOff>
    </xdr:from>
    <xdr:to>
      <xdr:col>11</xdr:col>
      <xdr:colOff>106362</xdr:colOff>
      <xdr:row>31</xdr:row>
      <xdr:rowOff>159474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0" y="3536950"/>
          <a:ext cx="4837112" cy="24200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26</xdr:row>
      <xdr:rowOff>12700</xdr:rowOff>
    </xdr:from>
    <xdr:to>
      <xdr:col>8</xdr:col>
      <xdr:colOff>292100</xdr:colOff>
      <xdr:row>42</xdr:row>
      <xdr:rowOff>125095</xdr:rowOff>
    </xdr:to>
    <xdr:pic>
      <xdr:nvPicPr>
        <xdr:cNvPr id="2" name="Picture 1"/>
        <xdr:cNvPicPr/>
      </xdr:nvPicPr>
      <xdr:blipFill>
        <a:blip xmlns:r="http://schemas.openxmlformats.org/officeDocument/2006/relationships" r:embed="rId1"/>
        <a:stretch>
          <a:fillRect/>
        </a:stretch>
      </xdr:blipFill>
      <xdr:spPr>
        <a:xfrm>
          <a:off x="209550" y="4800600"/>
          <a:ext cx="4959350" cy="3058795"/>
        </a:xfrm>
        <a:prstGeom prst="rect">
          <a:avLst/>
        </a:prstGeom>
      </xdr:spPr>
    </xdr:pic>
    <xdr:clientData/>
  </xdr:twoCellAnchor>
  <xdr:twoCellAnchor editAs="oneCell">
    <xdr:from>
      <xdr:col>0</xdr:col>
      <xdr:colOff>38100</xdr:colOff>
      <xdr:row>6</xdr:row>
      <xdr:rowOff>38100</xdr:rowOff>
    </xdr:from>
    <xdr:to>
      <xdr:col>8</xdr:col>
      <xdr:colOff>285750</xdr:colOff>
      <xdr:row>25</xdr:row>
      <xdr:rowOff>12700</xdr:rowOff>
    </xdr:to>
    <xdr:pic>
      <xdr:nvPicPr>
        <xdr:cNvPr id="3" name="Picture 2"/>
        <xdr:cNvPicPr/>
      </xdr:nvPicPr>
      <xdr:blipFill>
        <a:blip xmlns:r="http://schemas.openxmlformats.org/officeDocument/2006/relationships" r:embed="rId2"/>
        <a:stretch>
          <a:fillRect/>
        </a:stretch>
      </xdr:blipFill>
      <xdr:spPr>
        <a:xfrm>
          <a:off x="38100" y="1143000"/>
          <a:ext cx="5124450" cy="3473450"/>
        </a:xfrm>
        <a:prstGeom prst="rect">
          <a:avLst/>
        </a:prstGeom>
      </xdr:spPr>
    </xdr:pic>
    <xdr:clientData/>
  </xdr:twoCellAnchor>
  <xdr:twoCellAnchor editAs="oneCell">
    <xdr:from>
      <xdr:col>0</xdr:col>
      <xdr:colOff>50800</xdr:colOff>
      <xdr:row>43</xdr:row>
      <xdr:rowOff>82550</xdr:rowOff>
    </xdr:from>
    <xdr:to>
      <xdr:col>7</xdr:col>
      <xdr:colOff>266700</xdr:colOff>
      <xdr:row>61</xdr:row>
      <xdr:rowOff>88900</xdr:rowOff>
    </xdr:to>
    <xdr:pic>
      <xdr:nvPicPr>
        <xdr:cNvPr id="4" name="Picture 3"/>
        <xdr:cNvPicPr/>
      </xdr:nvPicPr>
      <xdr:blipFill>
        <a:blip xmlns:r="http://schemas.openxmlformats.org/officeDocument/2006/relationships" r:embed="rId3"/>
        <a:stretch>
          <a:fillRect/>
        </a:stretch>
      </xdr:blipFill>
      <xdr:spPr>
        <a:xfrm>
          <a:off x="50800" y="8001000"/>
          <a:ext cx="4483100" cy="3321050"/>
        </a:xfrm>
        <a:prstGeom prst="rect">
          <a:avLst/>
        </a:prstGeom>
      </xdr:spPr>
    </xdr:pic>
    <xdr:clientData/>
  </xdr:twoCellAnchor>
  <xdr:twoCellAnchor editAs="oneCell">
    <xdr:from>
      <xdr:col>0</xdr:col>
      <xdr:colOff>12700</xdr:colOff>
      <xdr:row>62</xdr:row>
      <xdr:rowOff>12701</xdr:rowOff>
    </xdr:from>
    <xdr:to>
      <xdr:col>8</xdr:col>
      <xdr:colOff>114300</xdr:colOff>
      <xdr:row>79</xdr:row>
      <xdr:rowOff>12701</xdr:rowOff>
    </xdr:to>
    <xdr:pic>
      <xdr:nvPicPr>
        <xdr:cNvPr id="5" name="Picture 4"/>
        <xdr:cNvPicPr/>
      </xdr:nvPicPr>
      <xdr:blipFill>
        <a:blip xmlns:r="http://schemas.openxmlformats.org/officeDocument/2006/relationships" r:embed="rId4"/>
        <a:stretch>
          <a:fillRect/>
        </a:stretch>
      </xdr:blipFill>
      <xdr:spPr>
        <a:xfrm>
          <a:off x="12700" y="11430001"/>
          <a:ext cx="4978400" cy="3130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4</xdr:col>
      <xdr:colOff>590688</xdr:colOff>
      <xdr:row>29</xdr:row>
      <xdr:rowOff>146190</xdr:rowOff>
    </xdr:to>
    <xdr:pic>
      <xdr:nvPicPr>
        <xdr:cNvPr id="4" name="Picture 3"/>
        <xdr:cNvPicPr>
          <a:picLocks noChangeAspect="1"/>
        </xdr:cNvPicPr>
      </xdr:nvPicPr>
      <xdr:blipFill>
        <a:blip xmlns:r="http://schemas.openxmlformats.org/officeDocument/2006/relationships" r:embed="rId1"/>
        <a:stretch>
          <a:fillRect/>
        </a:stretch>
      </xdr:blipFill>
      <xdr:spPr>
        <a:xfrm>
          <a:off x="609600" y="6261100"/>
          <a:ext cx="2679838" cy="2724290"/>
        </a:xfrm>
        <a:prstGeom prst="rect">
          <a:avLst/>
        </a:prstGeom>
      </xdr:spPr>
    </xdr:pic>
    <xdr:clientData/>
  </xdr:twoCellAnchor>
  <xdr:twoCellAnchor editAs="oneCell">
    <xdr:from>
      <xdr:col>1</xdr:col>
      <xdr:colOff>0</xdr:colOff>
      <xdr:row>50</xdr:row>
      <xdr:rowOff>0</xdr:rowOff>
    </xdr:from>
    <xdr:to>
      <xdr:col>13</xdr:col>
      <xdr:colOff>414337</xdr:colOff>
      <xdr:row>60</xdr:row>
      <xdr:rowOff>66395</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22098000"/>
          <a:ext cx="9609137" cy="1907895"/>
        </a:xfrm>
        <a:prstGeom prst="rect">
          <a:avLst/>
        </a:prstGeom>
      </xdr:spPr>
    </xdr:pic>
    <xdr:clientData/>
  </xdr:twoCellAnchor>
  <xdr:twoCellAnchor editAs="oneCell">
    <xdr:from>
      <xdr:col>1</xdr:col>
      <xdr:colOff>38100</xdr:colOff>
      <xdr:row>60</xdr:row>
      <xdr:rowOff>165100</xdr:rowOff>
    </xdr:from>
    <xdr:to>
      <xdr:col>12</xdr:col>
      <xdr:colOff>495765</xdr:colOff>
      <xdr:row>89</xdr:row>
      <xdr:rowOff>19317</xdr:rowOff>
    </xdr:to>
    <xdr:pic>
      <xdr:nvPicPr>
        <xdr:cNvPr id="6" name="Picture 5"/>
        <xdr:cNvPicPr>
          <a:picLocks noChangeAspect="1"/>
        </xdr:cNvPicPr>
      </xdr:nvPicPr>
      <xdr:blipFill>
        <a:blip xmlns:r="http://schemas.openxmlformats.org/officeDocument/2006/relationships" r:embed="rId3"/>
        <a:stretch>
          <a:fillRect/>
        </a:stretch>
      </xdr:blipFill>
      <xdr:spPr>
        <a:xfrm>
          <a:off x="647700" y="24104600"/>
          <a:ext cx="9042865" cy="51945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puc.ca.gov/uploadedFiles/CPUCWebsite/Content/UtilitiesIndustries/Energy/EnergyPrograms/ElectPowerProcurementGeneration/irp/2018/IRP_workshop_2018-10-31_slides.pdf" TargetMode="External"/><Relationship Id="rId1"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nergy.ca.gov/renewables/tracking_progress/documents/combined_heat_and_pow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A42" sqref="A42"/>
    </sheetView>
  </sheetViews>
  <sheetFormatPr defaultRowHeight="14.5" x14ac:dyDescent="0.35"/>
  <cols>
    <col min="1" max="1" width="15.453125" customWidth="1"/>
    <col min="2" max="2" width="51" customWidth="1"/>
  </cols>
  <sheetData>
    <row r="1" spans="1:2" ht="15" x14ac:dyDescent="0.25">
      <c r="A1" s="1" t="s">
        <v>9</v>
      </c>
    </row>
    <row r="2" spans="1:2" ht="15" x14ac:dyDescent="0.25">
      <c r="A2" s="1" t="s">
        <v>10</v>
      </c>
    </row>
    <row r="4" spans="1:2" ht="15" x14ac:dyDescent="0.25">
      <c r="A4" s="1" t="s">
        <v>11</v>
      </c>
      <c r="B4" s="5" t="s">
        <v>12</v>
      </c>
    </row>
    <row r="5" spans="1:2" x14ac:dyDescent="0.35">
      <c r="B5" s="17" t="s">
        <v>45</v>
      </c>
    </row>
    <row r="6" spans="1:2" x14ac:dyDescent="0.35">
      <c r="B6" s="17" t="s">
        <v>46</v>
      </c>
    </row>
    <row r="7" spans="1:2" x14ac:dyDescent="0.35">
      <c r="B7" s="17" t="s">
        <v>47</v>
      </c>
    </row>
    <row r="8" spans="1:2" x14ac:dyDescent="0.35">
      <c r="B8" s="17" t="s">
        <v>48</v>
      </c>
    </row>
    <row r="9" spans="1:2" x14ac:dyDescent="0.35">
      <c r="B9" s="17" t="s">
        <v>49</v>
      </c>
    </row>
    <row r="10" spans="1:2" x14ac:dyDescent="0.35">
      <c r="B10" s="2" t="s">
        <v>50</v>
      </c>
    </row>
    <row r="12" spans="1:2" x14ac:dyDescent="0.35">
      <c r="B12" s="4" t="s">
        <v>70</v>
      </c>
    </row>
    <row r="13" spans="1:2" x14ac:dyDescent="0.35">
      <c r="B13" s="22" t="s">
        <v>71</v>
      </c>
    </row>
    <row r="14" spans="1:2" x14ac:dyDescent="0.35">
      <c r="B14" t="s">
        <v>72</v>
      </c>
    </row>
    <row r="15" spans="1:2" x14ac:dyDescent="0.35">
      <c r="B15" t="s">
        <v>73</v>
      </c>
    </row>
    <row r="16" spans="1:2" x14ac:dyDescent="0.35">
      <c r="B16" s="17" t="s">
        <v>61</v>
      </c>
    </row>
    <row r="17" spans="1:9" x14ac:dyDescent="0.35">
      <c r="B17" s="17"/>
    </row>
    <row r="18" spans="1:9" x14ac:dyDescent="0.35">
      <c r="B18" s="13" t="s">
        <v>149</v>
      </c>
    </row>
    <row r="19" spans="1:9" x14ac:dyDescent="0.35">
      <c r="B19" s="13" t="s">
        <v>150</v>
      </c>
    </row>
    <row r="20" spans="1:9" x14ac:dyDescent="0.35">
      <c r="B20" t="s">
        <v>151</v>
      </c>
    </row>
    <row r="21" spans="1:9" x14ac:dyDescent="0.35">
      <c r="B21" s="13" t="s">
        <v>152</v>
      </c>
    </row>
    <row r="22" spans="1:9" x14ac:dyDescent="0.35">
      <c r="B22" s="13"/>
    </row>
    <row r="23" spans="1:9" x14ac:dyDescent="0.35">
      <c r="B23" s="5" t="s">
        <v>82</v>
      </c>
    </row>
    <row r="24" spans="1:9" x14ac:dyDescent="0.35">
      <c r="B24" t="s">
        <v>54</v>
      </c>
    </row>
    <row r="25" spans="1:9" x14ac:dyDescent="0.35">
      <c r="B25" t="s">
        <v>53</v>
      </c>
    </row>
    <row r="26" spans="1:9" x14ac:dyDescent="0.35">
      <c r="B26" t="s">
        <v>58</v>
      </c>
    </row>
    <row r="27" spans="1:9" x14ac:dyDescent="0.35">
      <c r="B27" s="18" t="s">
        <v>61</v>
      </c>
    </row>
    <row r="30" spans="1:9" x14ac:dyDescent="0.35">
      <c r="A30" s="1" t="s">
        <v>51</v>
      </c>
    </row>
    <row r="31" spans="1:9" x14ac:dyDescent="0.35">
      <c r="A31" t="s">
        <v>59</v>
      </c>
    </row>
    <row r="32" spans="1:9" x14ac:dyDescent="0.35">
      <c r="I32" s="35"/>
    </row>
    <row r="33" spans="1:9" x14ac:dyDescent="0.35">
      <c r="A33" t="s">
        <v>52</v>
      </c>
      <c r="I33" s="13"/>
    </row>
    <row r="34" spans="1:9" x14ac:dyDescent="0.35">
      <c r="A34" t="s">
        <v>74</v>
      </c>
    </row>
    <row r="35" spans="1:9" x14ac:dyDescent="0.35">
      <c r="I35" s="13"/>
    </row>
    <row r="36" spans="1:9" x14ac:dyDescent="0.35">
      <c r="A36" t="s">
        <v>60</v>
      </c>
    </row>
    <row r="37" spans="1:9" x14ac:dyDescent="0.35">
      <c r="A37" t="s">
        <v>44</v>
      </c>
    </row>
    <row r="39" spans="1:9" x14ac:dyDescent="0.35">
      <c r="A39" s="4" t="s">
        <v>156</v>
      </c>
    </row>
    <row r="41" spans="1:9" x14ac:dyDescent="0.35">
      <c r="A41" t="s">
        <v>157</v>
      </c>
    </row>
    <row r="49" spans="1:1" x14ac:dyDescent="0.35">
      <c r="A49" s="4"/>
    </row>
    <row r="50" spans="1:1" x14ac:dyDescent="0.35">
      <c r="A50" s="4"/>
    </row>
  </sheetData>
  <hyperlinks>
    <hyperlink ref="B27" r:id="rId1"/>
    <hyperlink ref="B16" r:id="rId2"/>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4"/>
  <sheetViews>
    <sheetView workbookViewId="0">
      <selection activeCell="M43" sqref="M43"/>
    </sheetView>
  </sheetViews>
  <sheetFormatPr defaultRowHeight="14.5" x14ac:dyDescent="0.35"/>
  <cols>
    <col min="1" max="1" width="23.45312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x14ac:dyDescent="0.25">
      <c r="A3" t="s">
        <v>0</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v>0</v>
      </c>
    </row>
    <row r="4" spans="1:38"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x14ac:dyDescent="0.25">
      <c r="A6" t="s">
        <v>15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v>0</v>
      </c>
    </row>
    <row r="7" spans="1:38" x14ac:dyDescent="0.25">
      <c r="A7" t="s">
        <v>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9" spans="1:38"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ref="AC9:AL14" si="0">TREND($S9:$AB9,$S$1:$AB$1,AC$1)</f>
        <v>0</v>
      </c>
      <c r="AD9">
        <f t="shared" si="0"/>
        <v>0</v>
      </c>
      <c r="AE9">
        <f t="shared" si="0"/>
        <v>0</v>
      </c>
      <c r="AF9">
        <f t="shared" si="0"/>
        <v>0</v>
      </c>
      <c r="AG9">
        <f t="shared" si="0"/>
        <v>0</v>
      </c>
      <c r="AH9">
        <f t="shared" si="0"/>
        <v>0</v>
      </c>
      <c r="AI9">
        <f t="shared" si="0"/>
        <v>0</v>
      </c>
      <c r="AJ9">
        <f t="shared" si="0"/>
        <v>0</v>
      </c>
      <c r="AK9">
        <f t="shared" si="0"/>
        <v>0</v>
      </c>
      <c r="AL9">
        <f t="shared" si="0"/>
        <v>0</v>
      </c>
    </row>
    <row r="10" spans="1:38"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0"/>
        <v>0</v>
      </c>
      <c r="AD10">
        <f t="shared" si="0"/>
        <v>0</v>
      </c>
      <c r="AE10">
        <f t="shared" si="0"/>
        <v>0</v>
      </c>
      <c r="AF10">
        <f t="shared" si="0"/>
        <v>0</v>
      </c>
      <c r="AG10">
        <f t="shared" si="0"/>
        <v>0</v>
      </c>
      <c r="AH10">
        <f t="shared" si="0"/>
        <v>0</v>
      </c>
      <c r="AI10">
        <f t="shared" si="0"/>
        <v>0</v>
      </c>
      <c r="AJ10">
        <f t="shared" si="0"/>
        <v>0</v>
      </c>
      <c r="AK10">
        <f t="shared" si="0"/>
        <v>0</v>
      </c>
      <c r="AL10">
        <f t="shared" si="0"/>
        <v>0</v>
      </c>
    </row>
    <row r="11" spans="1:38"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0"/>
        <v>0</v>
      </c>
      <c r="AD11">
        <f t="shared" si="0"/>
        <v>0</v>
      </c>
      <c r="AE11">
        <f t="shared" si="0"/>
        <v>0</v>
      </c>
      <c r="AF11">
        <f t="shared" si="0"/>
        <v>0</v>
      </c>
      <c r="AG11">
        <f t="shared" si="0"/>
        <v>0</v>
      </c>
      <c r="AH11">
        <f t="shared" si="0"/>
        <v>0</v>
      </c>
      <c r="AI11">
        <f t="shared" si="0"/>
        <v>0</v>
      </c>
      <c r="AJ11">
        <f t="shared" si="0"/>
        <v>0</v>
      </c>
      <c r="AK11">
        <f t="shared" si="0"/>
        <v>0</v>
      </c>
      <c r="AL11">
        <f t="shared" si="0"/>
        <v>0</v>
      </c>
    </row>
    <row r="12" spans="1:38"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0"/>
        <v>0</v>
      </c>
      <c r="AD12">
        <f t="shared" si="0"/>
        <v>0</v>
      </c>
      <c r="AE12">
        <f t="shared" si="0"/>
        <v>0</v>
      </c>
      <c r="AF12">
        <f t="shared" si="0"/>
        <v>0</v>
      </c>
      <c r="AG12">
        <f t="shared" si="0"/>
        <v>0</v>
      </c>
      <c r="AH12">
        <f t="shared" si="0"/>
        <v>0</v>
      </c>
      <c r="AI12">
        <f t="shared" si="0"/>
        <v>0</v>
      </c>
      <c r="AJ12">
        <f t="shared" si="0"/>
        <v>0</v>
      </c>
      <c r="AK12">
        <f t="shared" si="0"/>
        <v>0</v>
      </c>
      <c r="AL12">
        <f t="shared" si="0"/>
        <v>0</v>
      </c>
    </row>
    <row r="13" spans="1:38"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si="0"/>
        <v>0</v>
      </c>
      <c r="AD13">
        <f t="shared" si="0"/>
        <v>0</v>
      </c>
      <c r="AE13">
        <f t="shared" si="0"/>
        <v>0</v>
      </c>
      <c r="AF13">
        <f t="shared" si="0"/>
        <v>0</v>
      </c>
      <c r="AG13">
        <f t="shared" si="0"/>
        <v>0</v>
      </c>
      <c r="AH13">
        <f t="shared" si="0"/>
        <v>0</v>
      </c>
      <c r="AI13">
        <f t="shared" si="0"/>
        <v>0</v>
      </c>
      <c r="AJ13">
        <f t="shared" si="0"/>
        <v>0</v>
      </c>
      <c r="AK13">
        <f t="shared" si="0"/>
        <v>0</v>
      </c>
      <c r="AL13">
        <f t="shared" si="0"/>
        <v>0</v>
      </c>
    </row>
    <row r="14" spans="1:38"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si="0"/>
        <v>0</v>
      </c>
      <c r="AD14">
        <f t="shared" si="0"/>
        <v>0</v>
      </c>
      <c r="AE14">
        <f t="shared" si="0"/>
        <v>0</v>
      </c>
      <c r="AF14">
        <f t="shared" si="0"/>
        <v>0</v>
      </c>
      <c r="AG14">
        <f t="shared" si="0"/>
        <v>0</v>
      </c>
      <c r="AH14">
        <f t="shared" si="0"/>
        <v>0</v>
      </c>
      <c r="AI14">
        <f t="shared" si="0"/>
        <v>0</v>
      </c>
      <c r="AJ14">
        <f t="shared" si="0"/>
        <v>0</v>
      </c>
      <c r="AK14">
        <f t="shared" si="0"/>
        <v>0</v>
      </c>
      <c r="AL14">
        <f t="shared" si="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9"/>
  <sheetViews>
    <sheetView workbookViewId="0">
      <selection activeCell="AK7" sqref="B7:AK7"/>
    </sheetView>
  </sheetViews>
  <sheetFormatPr defaultRowHeight="14.5" x14ac:dyDescent="0.35"/>
  <cols>
    <col min="1" max="1" width="23.453125" customWidth="1"/>
    <col min="2" max="2" width="13.7265625" bestFit="1" customWidth="1"/>
    <col min="3" max="3" width="12.453125" bestFit="1" customWidth="1"/>
    <col min="4" max="35" width="11.26953125" bestFit="1" customWidth="1"/>
    <col min="36" max="36" width="12.453125" bestFit="1" customWidth="1"/>
    <col min="37" max="37" width="13.453125" bestFit="1" customWidth="1"/>
  </cols>
  <sheetData>
    <row r="1" spans="1:38" x14ac:dyDescent="0.25">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8"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f>TREND($R2:$AA2,$R$1:$AA$1,AB$1)</f>
        <v>0</v>
      </c>
      <c r="AC2">
        <f t="shared" ref="AC2:AK2" si="0">TREND($R2:$AA2,$R$1:$AA$1,AC$1)</f>
        <v>0</v>
      </c>
      <c r="AD2">
        <f t="shared" si="0"/>
        <v>0</v>
      </c>
      <c r="AE2">
        <f t="shared" si="0"/>
        <v>0</v>
      </c>
      <c r="AF2">
        <f t="shared" si="0"/>
        <v>0</v>
      </c>
      <c r="AG2">
        <f t="shared" si="0"/>
        <v>0</v>
      </c>
      <c r="AH2">
        <f t="shared" si="0"/>
        <v>0</v>
      </c>
      <c r="AI2">
        <f t="shared" si="0"/>
        <v>0</v>
      </c>
      <c r="AJ2">
        <f t="shared" si="0"/>
        <v>0</v>
      </c>
      <c r="AK2">
        <f t="shared" si="0"/>
        <v>0</v>
      </c>
    </row>
    <row r="3" spans="1:38" x14ac:dyDescent="0.25">
      <c r="A3" t="s">
        <v>0</v>
      </c>
      <c r="B3" s="16">
        <f>'Natural gas calculations'!B2</f>
        <v>2867261</v>
      </c>
      <c r="C3" s="16">
        <f>'Natural gas calculations'!C2</f>
        <v>2858960</v>
      </c>
      <c r="D3" s="16">
        <f>'Natural gas calculations'!D2</f>
        <v>2867261</v>
      </c>
      <c r="E3" s="16">
        <f>'Natural gas calculations'!E2</f>
        <v>2684181.7928427071</v>
      </c>
      <c r="F3" s="16">
        <f>'Natural gas calculations'!F2</f>
        <v>2501102.5856854138</v>
      </c>
      <c r="G3" s="16">
        <f>'Natural gas calculations'!G2</f>
        <v>2318023.3785281209</v>
      </c>
      <c r="H3" s="16">
        <f>'Natural gas calculations'!H2</f>
        <v>2134944.1713708281</v>
      </c>
      <c r="I3" s="16">
        <f>'Natural gas calculations'!I2</f>
        <v>1951864.9642135347</v>
      </c>
      <c r="J3" s="16">
        <f>'Natural gas calculations'!J2</f>
        <v>1768785.7570562419</v>
      </c>
      <c r="K3" s="16">
        <f>'Natural gas calculations'!K2</f>
        <v>1585706.5498989488</v>
      </c>
      <c r="L3" s="16">
        <f>'Natural gas calculations'!L2</f>
        <v>1402627.3427416557</v>
      </c>
      <c r="M3" s="16">
        <f>'Natural gas calculations'!M2</f>
        <v>1219548.1355843625</v>
      </c>
      <c r="N3" s="16">
        <f>'Natural gas calculations'!N2</f>
        <v>1036468.9284270696</v>
      </c>
      <c r="O3" s="16">
        <f>'Natural gas calculations'!O2</f>
        <v>853389.72126977658</v>
      </c>
      <c r="P3" s="16">
        <f>'Natural gas calculations'!P2</f>
        <v>670310.51411248359</v>
      </c>
      <c r="Q3" s="16">
        <f>'Natural gas calculations'!Q2</f>
        <v>487231.30695518985</v>
      </c>
      <c r="R3" s="16">
        <f>'Natural gas calculations'!R2</f>
        <v>487231.30695518985</v>
      </c>
      <c r="S3" s="16">
        <f>'Natural gas calculations'!S2</f>
        <v>487231.30695518985</v>
      </c>
      <c r="T3" s="16">
        <f>'Natural gas calculations'!T2</f>
        <v>487231.30695518985</v>
      </c>
      <c r="U3" s="16">
        <f>'Natural gas calculations'!U2</f>
        <v>487231.30695518985</v>
      </c>
      <c r="V3" s="16">
        <f>'Natural gas calculations'!V2</f>
        <v>487231.30695518985</v>
      </c>
      <c r="W3" s="16">
        <f>'Natural gas calculations'!W2</f>
        <v>487231.30695518985</v>
      </c>
      <c r="X3" s="16">
        <f>'Natural gas calculations'!X2</f>
        <v>487231.30695518985</v>
      </c>
      <c r="Y3" s="16">
        <f>'Natural gas calculations'!Y2</f>
        <v>487231.30695518985</v>
      </c>
      <c r="Z3" s="16">
        <f>'Natural gas calculations'!Z2</f>
        <v>487231.30695518985</v>
      </c>
      <c r="AA3" s="16">
        <f>'Natural gas calculations'!AA2</f>
        <v>487231.30695518985</v>
      </c>
      <c r="AB3" s="16">
        <f>'Natural gas calculations'!AB2</f>
        <v>487231.30695518985</v>
      </c>
      <c r="AC3" s="16">
        <f>'Natural gas calculations'!AC2</f>
        <v>487231.30695518985</v>
      </c>
      <c r="AD3" s="16">
        <f>'Natural gas calculations'!AD2</f>
        <v>487231.30695518985</v>
      </c>
      <c r="AE3" s="16">
        <f>'Natural gas calculations'!AE2</f>
        <v>487231.30695518985</v>
      </c>
      <c r="AF3" s="16">
        <f>'Natural gas calculations'!AF2</f>
        <v>487231.30695518985</v>
      </c>
      <c r="AG3" s="16">
        <f>'Natural gas calculations'!AG2</f>
        <v>487231.30695518985</v>
      </c>
      <c r="AH3" s="16">
        <f>'Natural gas calculations'!AH2</f>
        <v>487231.30695518985</v>
      </c>
      <c r="AI3" s="16">
        <f>'Natural gas calculations'!AI2</f>
        <v>487231.30695518985</v>
      </c>
      <c r="AJ3" s="16">
        <f>'Natural gas calculations'!AJ2</f>
        <v>487231.30695518985</v>
      </c>
      <c r="AK3" s="16">
        <f>'Natural gas calculations'!AK2</f>
        <v>487231.30695518985</v>
      </c>
    </row>
    <row r="4" spans="1:38"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f t="shared" ref="AB4:AK6" si="1">TREND($R4:$AA4,$R$1:$AA$1,AB$1)</f>
        <v>0</v>
      </c>
      <c r="AC4">
        <f t="shared" si="1"/>
        <v>0</v>
      </c>
      <c r="AD4">
        <f t="shared" si="1"/>
        <v>0</v>
      </c>
      <c r="AE4">
        <f t="shared" si="1"/>
        <v>0</v>
      </c>
      <c r="AF4">
        <f t="shared" si="1"/>
        <v>0</v>
      </c>
      <c r="AG4">
        <f t="shared" si="1"/>
        <v>0</v>
      </c>
      <c r="AH4">
        <f t="shared" si="1"/>
        <v>0</v>
      </c>
      <c r="AI4">
        <f t="shared" si="1"/>
        <v>0</v>
      </c>
      <c r="AJ4">
        <f t="shared" si="1"/>
        <v>0</v>
      </c>
      <c r="AK4">
        <f t="shared" si="1"/>
        <v>0</v>
      </c>
    </row>
    <row r="5" spans="1:38"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f t="shared" si="1"/>
        <v>0</v>
      </c>
      <c r="AC5">
        <f t="shared" si="1"/>
        <v>0</v>
      </c>
      <c r="AD5">
        <f t="shared" si="1"/>
        <v>0</v>
      </c>
      <c r="AE5">
        <f t="shared" si="1"/>
        <v>0</v>
      </c>
      <c r="AF5">
        <f t="shared" si="1"/>
        <v>0</v>
      </c>
      <c r="AG5">
        <f t="shared" si="1"/>
        <v>0</v>
      </c>
      <c r="AH5">
        <f t="shared" si="1"/>
        <v>0</v>
      </c>
      <c r="AI5">
        <f t="shared" si="1"/>
        <v>0</v>
      </c>
      <c r="AJ5">
        <f t="shared" si="1"/>
        <v>0</v>
      </c>
      <c r="AK5">
        <f t="shared" si="1"/>
        <v>0</v>
      </c>
    </row>
    <row r="6" spans="1:38" x14ac:dyDescent="0.25">
      <c r="A6" t="s">
        <v>15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f t="shared" si="1"/>
        <v>0</v>
      </c>
      <c r="AC6">
        <f t="shared" si="1"/>
        <v>0</v>
      </c>
      <c r="AD6">
        <f t="shared" si="1"/>
        <v>0</v>
      </c>
      <c r="AE6">
        <f t="shared" si="1"/>
        <v>0</v>
      </c>
      <c r="AF6">
        <f t="shared" si="1"/>
        <v>0</v>
      </c>
      <c r="AG6">
        <f t="shared" si="1"/>
        <v>0</v>
      </c>
      <c r="AH6">
        <f t="shared" si="1"/>
        <v>0</v>
      </c>
      <c r="AI6">
        <f t="shared" si="1"/>
        <v>0</v>
      </c>
      <c r="AJ6">
        <f t="shared" si="1"/>
        <v>0</v>
      </c>
      <c r="AK6">
        <f t="shared" si="1"/>
        <v>0</v>
      </c>
    </row>
    <row r="7" spans="1:38" x14ac:dyDescent="0.25">
      <c r="A7" t="s">
        <v>3</v>
      </c>
      <c r="B7" s="15">
        <f>'Solar calculations'!B3*('Sector allocation of Rooftop PV'!$B$16+'Sector allocation of Rooftop PV'!$B$17)</f>
        <v>2110172.3052631584</v>
      </c>
      <c r="C7" s="15">
        <f>'Solar calculations'!C3*('Sector allocation of Rooftop PV'!$B$16+'Sector allocation of Rooftop PV'!$B$17)</f>
        <v>2905770.1894736849</v>
      </c>
      <c r="D7" s="15">
        <f>'Solar calculations'!D3*('Sector allocation of Rooftop PV'!$B$16+'Sector allocation of Rooftop PV'!$B$17)</f>
        <v>3620375.3368421062</v>
      </c>
      <c r="E7" s="15">
        <f>'Solar calculations'!E3*('Sector allocation of Rooftop PV'!$B$16+'Sector allocation of Rooftop PV'!$B$17)</f>
        <v>4921866.3157894742</v>
      </c>
      <c r="F7" s="15">
        <f>'Solar calculations'!F3*('Sector allocation of Rooftop PV'!$B$16+'Sector allocation of Rooftop PV'!$B$17)</f>
        <v>5610616.0894736843</v>
      </c>
      <c r="G7" s="15">
        <f>'Solar calculations'!G3*('Sector allocation of Rooftop PV'!$B$16+'Sector allocation of Rooftop PV'!$B$17)</f>
        <v>6299365.8631578963</v>
      </c>
      <c r="H7" s="15">
        <f>'Solar calculations'!H3*('Sector allocation of Rooftop PV'!$B$16+'Sector allocation of Rooftop PV'!$B$17)</f>
        <v>6988115.6368421074</v>
      </c>
      <c r="I7" s="15">
        <f>'Solar calculations'!I3*('Sector allocation of Rooftop PV'!$B$16+'Sector allocation of Rooftop PV'!$B$17)</f>
        <v>7676865.4105263166</v>
      </c>
      <c r="J7" s="15">
        <f>'Solar calculations'!J3*('Sector allocation of Rooftop PV'!$B$16+'Sector allocation of Rooftop PV'!$B$17)</f>
        <v>8365615.1842105277</v>
      </c>
      <c r="K7" s="15">
        <f>'Solar calculations'!K3*('Sector allocation of Rooftop PV'!$B$16+'Sector allocation of Rooftop PV'!$B$17)</f>
        <v>9054364.9578947388</v>
      </c>
      <c r="L7" s="15">
        <f>'Solar calculations'!L3*('Sector allocation of Rooftop PV'!$B$16+'Sector allocation of Rooftop PV'!$B$17)</f>
        <v>9743114.7315789498</v>
      </c>
      <c r="M7" s="15">
        <f>'Solar calculations'!M3*('Sector allocation of Rooftop PV'!$B$16+'Sector allocation of Rooftop PV'!$B$17)</f>
        <v>10431864.505263161</v>
      </c>
      <c r="N7" s="15">
        <f>'Solar calculations'!N3*('Sector allocation of Rooftop PV'!$B$16+'Sector allocation of Rooftop PV'!$B$17)</f>
        <v>11120614.27894737</v>
      </c>
      <c r="O7" s="15">
        <f>'Solar calculations'!O3*('Sector allocation of Rooftop PV'!$B$16+'Sector allocation of Rooftop PV'!$B$17)</f>
        <v>11809364.052631579</v>
      </c>
      <c r="P7" s="15">
        <f>'Solar calculations'!P3*('Sector allocation of Rooftop PV'!$B$16+'Sector allocation of Rooftop PV'!$B$17)</f>
        <v>12498113.826315792</v>
      </c>
      <c r="Q7" s="15">
        <f>'Solar calculations'!Q3*('Sector allocation of Rooftop PV'!$B$16+'Sector allocation of Rooftop PV'!$B$17)</f>
        <v>13186863.600000001</v>
      </c>
      <c r="R7" s="15">
        <f>'Solar calculations'!R3*('Sector allocation of Rooftop PV'!$B$16+'Sector allocation of Rooftop PV'!$B$17)</f>
        <v>13186863.600000001</v>
      </c>
      <c r="S7" s="15">
        <f>'Solar calculations'!S3*('Sector allocation of Rooftop PV'!$B$16+'Sector allocation of Rooftop PV'!$B$17)</f>
        <v>13186863.600000001</v>
      </c>
      <c r="T7" s="15">
        <f>'Solar calculations'!T3*('Sector allocation of Rooftop PV'!$B$16+'Sector allocation of Rooftop PV'!$B$17)</f>
        <v>13186863.600000001</v>
      </c>
      <c r="U7" s="15">
        <f>'Solar calculations'!U3*('Sector allocation of Rooftop PV'!$B$16+'Sector allocation of Rooftop PV'!$B$17)</f>
        <v>13186863.600000001</v>
      </c>
      <c r="V7" s="15">
        <f>'Solar calculations'!V3*('Sector allocation of Rooftop PV'!$B$16+'Sector allocation of Rooftop PV'!$B$17)</f>
        <v>13186863.600000001</v>
      </c>
      <c r="W7" s="15">
        <f>'Solar calculations'!W3*('Sector allocation of Rooftop PV'!$B$16+'Sector allocation of Rooftop PV'!$B$17)</f>
        <v>13186863.600000001</v>
      </c>
      <c r="X7" s="15">
        <f>'Solar calculations'!X3*('Sector allocation of Rooftop PV'!$B$16+'Sector allocation of Rooftop PV'!$B$17)</f>
        <v>13186863.600000001</v>
      </c>
      <c r="Y7" s="15">
        <f>'Solar calculations'!Y3*('Sector allocation of Rooftop PV'!$B$16+'Sector allocation of Rooftop PV'!$B$17)</f>
        <v>13186863.600000001</v>
      </c>
      <c r="Z7" s="15">
        <f>'Solar calculations'!Z3*('Sector allocation of Rooftop PV'!$B$16+'Sector allocation of Rooftop PV'!$B$17)</f>
        <v>13186863.600000001</v>
      </c>
      <c r="AA7" s="15">
        <f>'Solar calculations'!AA3*('Sector allocation of Rooftop PV'!$B$16+'Sector allocation of Rooftop PV'!$B$17)</f>
        <v>13186863.600000001</v>
      </c>
      <c r="AB7" s="15">
        <f>'Solar calculations'!AB3*('Sector allocation of Rooftop PV'!$B$16+'Sector allocation of Rooftop PV'!$B$17)</f>
        <v>13186863.600000001</v>
      </c>
      <c r="AC7" s="15">
        <f>'Solar calculations'!AC3*('Sector allocation of Rooftop PV'!$B$16+'Sector allocation of Rooftop PV'!$B$17)</f>
        <v>13186863.600000001</v>
      </c>
      <c r="AD7" s="15">
        <f>'Solar calculations'!AD3*('Sector allocation of Rooftop PV'!$B$16+'Sector allocation of Rooftop PV'!$B$17)</f>
        <v>13186863.600000001</v>
      </c>
      <c r="AE7" s="15">
        <f>'Solar calculations'!AE3*('Sector allocation of Rooftop PV'!$B$16+'Sector allocation of Rooftop PV'!$B$17)</f>
        <v>13186863.600000001</v>
      </c>
      <c r="AF7" s="15">
        <f>'Solar calculations'!AF3*('Sector allocation of Rooftop PV'!$B$16+'Sector allocation of Rooftop PV'!$B$17)</f>
        <v>13186863.600000001</v>
      </c>
      <c r="AG7" s="15">
        <f>'Solar calculations'!AG3*('Sector allocation of Rooftop PV'!$B$16+'Sector allocation of Rooftop PV'!$B$17)</f>
        <v>13186863.600000001</v>
      </c>
      <c r="AH7" s="15">
        <f>'Solar calculations'!AH3*('Sector allocation of Rooftop PV'!$B$16+'Sector allocation of Rooftop PV'!$B$17)</f>
        <v>13186863.600000001</v>
      </c>
      <c r="AI7" s="15">
        <f>'Solar calculations'!AI3*('Sector allocation of Rooftop PV'!$B$16+'Sector allocation of Rooftop PV'!$B$17)</f>
        <v>13186863.600000001</v>
      </c>
      <c r="AJ7" s="15">
        <f>'Solar calculations'!AJ3*('Sector allocation of Rooftop PV'!$B$16+'Sector allocation of Rooftop PV'!$B$17)</f>
        <v>13186863.600000001</v>
      </c>
      <c r="AK7" s="15">
        <f>'Solar calculations'!AK3*('Sector allocation of Rooftop PV'!$B$16+'Sector allocation of Rooftop PV'!$B$17)</f>
        <v>13186863.600000001</v>
      </c>
      <c r="AL7" s="15"/>
    </row>
    <row r="8" spans="1:38"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f t="shared" ref="AB8:AK14" si="2">TREND($R8:$AA8,$R$1:$AA$1,AB$1)</f>
        <v>0</v>
      </c>
      <c r="AC8">
        <f t="shared" si="2"/>
        <v>0</v>
      </c>
      <c r="AD8">
        <f t="shared" si="2"/>
        <v>0</v>
      </c>
      <c r="AE8">
        <f t="shared" si="2"/>
        <v>0</v>
      </c>
      <c r="AF8">
        <f t="shared" si="2"/>
        <v>0</v>
      </c>
      <c r="AG8">
        <f t="shared" si="2"/>
        <v>0</v>
      </c>
      <c r="AH8">
        <f t="shared" si="2"/>
        <v>0</v>
      </c>
      <c r="AI8">
        <f t="shared" si="2"/>
        <v>0</v>
      </c>
      <c r="AJ8">
        <f t="shared" si="2"/>
        <v>0</v>
      </c>
      <c r="AK8">
        <f t="shared" si="2"/>
        <v>0</v>
      </c>
    </row>
    <row r="9" spans="1:38"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f t="shared" si="2"/>
        <v>0</v>
      </c>
      <c r="AC9">
        <f t="shared" si="2"/>
        <v>0</v>
      </c>
      <c r="AD9">
        <f t="shared" si="2"/>
        <v>0</v>
      </c>
      <c r="AE9">
        <f t="shared" si="2"/>
        <v>0</v>
      </c>
      <c r="AF9">
        <f t="shared" si="2"/>
        <v>0</v>
      </c>
      <c r="AG9">
        <f t="shared" si="2"/>
        <v>0</v>
      </c>
      <c r="AH9">
        <f t="shared" si="2"/>
        <v>0</v>
      </c>
      <c r="AI9">
        <f t="shared" si="2"/>
        <v>0</v>
      </c>
      <c r="AJ9">
        <f t="shared" si="2"/>
        <v>0</v>
      </c>
      <c r="AK9">
        <f t="shared" si="2"/>
        <v>0</v>
      </c>
    </row>
    <row r="10" spans="1:38"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f t="shared" si="2"/>
        <v>0</v>
      </c>
      <c r="AC10">
        <f t="shared" si="2"/>
        <v>0</v>
      </c>
      <c r="AD10">
        <f t="shared" si="2"/>
        <v>0</v>
      </c>
      <c r="AE10">
        <f t="shared" si="2"/>
        <v>0</v>
      </c>
      <c r="AF10">
        <f t="shared" si="2"/>
        <v>0</v>
      </c>
      <c r="AG10">
        <f t="shared" si="2"/>
        <v>0</v>
      </c>
      <c r="AH10">
        <f t="shared" si="2"/>
        <v>0</v>
      </c>
      <c r="AI10">
        <f t="shared" si="2"/>
        <v>0</v>
      </c>
      <c r="AJ10">
        <f t="shared" si="2"/>
        <v>0</v>
      </c>
      <c r="AK10">
        <f t="shared" si="2"/>
        <v>0</v>
      </c>
    </row>
    <row r="11" spans="1:38"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f t="shared" si="2"/>
        <v>0</v>
      </c>
      <c r="AC11">
        <f t="shared" si="2"/>
        <v>0</v>
      </c>
      <c r="AD11">
        <f t="shared" si="2"/>
        <v>0</v>
      </c>
      <c r="AE11">
        <f t="shared" si="2"/>
        <v>0</v>
      </c>
      <c r="AF11">
        <f t="shared" si="2"/>
        <v>0</v>
      </c>
      <c r="AG11">
        <f t="shared" si="2"/>
        <v>0</v>
      </c>
      <c r="AH11">
        <f t="shared" si="2"/>
        <v>0</v>
      </c>
      <c r="AI11">
        <f t="shared" si="2"/>
        <v>0</v>
      </c>
      <c r="AJ11">
        <f t="shared" si="2"/>
        <v>0</v>
      </c>
      <c r="AK11">
        <f t="shared" si="2"/>
        <v>0</v>
      </c>
    </row>
    <row r="12" spans="1:38"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f t="shared" si="2"/>
        <v>0</v>
      </c>
      <c r="AC12">
        <f t="shared" si="2"/>
        <v>0</v>
      </c>
      <c r="AD12">
        <f t="shared" si="2"/>
        <v>0</v>
      </c>
      <c r="AE12">
        <f t="shared" si="2"/>
        <v>0</v>
      </c>
      <c r="AF12">
        <f t="shared" si="2"/>
        <v>0</v>
      </c>
      <c r="AG12">
        <f t="shared" si="2"/>
        <v>0</v>
      </c>
      <c r="AH12">
        <f t="shared" si="2"/>
        <v>0</v>
      </c>
      <c r="AI12">
        <f t="shared" si="2"/>
        <v>0</v>
      </c>
      <c r="AJ12">
        <f t="shared" si="2"/>
        <v>0</v>
      </c>
      <c r="AK12">
        <f t="shared" si="2"/>
        <v>0</v>
      </c>
    </row>
    <row r="13" spans="1:38"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f t="shared" si="2"/>
        <v>0</v>
      </c>
      <c r="AC13">
        <f t="shared" si="2"/>
        <v>0</v>
      </c>
      <c r="AD13">
        <f t="shared" si="2"/>
        <v>0</v>
      </c>
      <c r="AE13">
        <f t="shared" si="2"/>
        <v>0</v>
      </c>
      <c r="AF13">
        <f t="shared" si="2"/>
        <v>0</v>
      </c>
      <c r="AG13">
        <f t="shared" si="2"/>
        <v>0</v>
      </c>
      <c r="AH13">
        <f t="shared" si="2"/>
        <v>0</v>
      </c>
      <c r="AI13">
        <f t="shared" si="2"/>
        <v>0</v>
      </c>
      <c r="AJ13">
        <f t="shared" si="2"/>
        <v>0</v>
      </c>
      <c r="AK13">
        <f t="shared" si="2"/>
        <v>0</v>
      </c>
    </row>
    <row r="14" spans="1:38"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f t="shared" si="2"/>
        <v>0</v>
      </c>
      <c r="AC14">
        <f t="shared" si="2"/>
        <v>0</v>
      </c>
      <c r="AD14">
        <f t="shared" si="2"/>
        <v>0</v>
      </c>
      <c r="AE14">
        <f t="shared" si="2"/>
        <v>0</v>
      </c>
      <c r="AF14">
        <f t="shared" si="2"/>
        <v>0</v>
      </c>
      <c r="AG14">
        <f t="shared" si="2"/>
        <v>0</v>
      </c>
      <c r="AH14">
        <f t="shared" si="2"/>
        <v>0</v>
      </c>
      <c r="AI14">
        <f t="shared" si="2"/>
        <v>0</v>
      </c>
      <c r="AJ14">
        <f t="shared" si="2"/>
        <v>0</v>
      </c>
      <c r="AK14">
        <f t="shared" si="2"/>
        <v>0</v>
      </c>
    </row>
    <row r="17" spans="1:37" x14ac:dyDescent="0.25">
      <c r="A17" s="9"/>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row r="19" spans="1:37" x14ac:dyDescent="0.25">
      <c r="A1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4"/>
  <sheetViews>
    <sheetView workbookViewId="0">
      <selection activeCell="B7" sqref="B7"/>
    </sheetView>
  </sheetViews>
  <sheetFormatPr defaultRowHeight="14.5" x14ac:dyDescent="0.35"/>
  <cols>
    <col min="1" max="1" width="23.453125" customWidth="1"/>
  </cols>
  <sheetData>
    <row r="1" spans="1:37" x14ac:dyDescent="0.25">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15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3</v>
      </c>
      <c r="B7" s="10">
        <f>'Solar calculations'!B2*'Sector allocation of Rooftop PV'!$B$15</f>
        <v>2255.0645999999997</v>
      </c>
      <c r="C7" s="10">
        <f>'Solar calculations'!C2*'Sector allocation of Rooftop PV'!$B$15</f>
        <v>3105.2911999999997</v>
      </c>
      <c r="D7" s="10">
        <f>'Solar calculations'!D2*'Sector allocation of Rooftop PV'!$B$15</f>
        <v>3868.9637999999995</v>
      </c>
      <c r="E7" s="10">
        <f>'Solar calculations'!E2*'Sector allocation of Rooftop PV'!$B$15</f>
        <v>5259.82</v>
      </c>
      <c r="F7" s="10">
        <f>'Solar calculations'!F2*'Sector allocation of Rooftop PV'!$B$15</f>
        <v>5995.8618999999999</v>
      </c>
      <c r="G7" s="10">
        <f>'Solar calculations'!G2*'Sector allocation of Rooftop PV'!$B$15</f>
        <v>6731.9037999999991</v>
      </c>
      <c r="H7" s="10">
        <f>'Solar calculations'!H2*'Sector allocation of Rooftop PV'!$B$15</f>
        <v>7467.9456999999993</v>
      </c>
      <c r="I7" s="10">
        <f>'Solar calculations'!I2*'Sector allocation of Rooftop PV'!$B$15</f>
        <v>8203.9875999999986</v>
      </c>
      <c r="J7" s="10">
        <f>'Solar calculations'!J2*'Sector allocation of Rooftop PV'!$B$15</f>
        <v>8940.0294999999987</v>
      </c>
      <c r="K7" s="10">
        <f>'Solar calculations'!K2*'Sector allocation of Rooftop PV'!$B$15</f>
        <v>9676.0713999999989</v>
      </c>
      <c r="L7" s="10">
        <f>'Solar calculations'!L2*'Sector allocation of Rooftop PV'!$B$15</f>
        <v>10412.113299999999</v>
      </c>
      <c r="M7" s="10">
        <f>'Solar calculations'!M2*'Sector allocation of Rooftop PV'!$B$15</f>
        <v>11148.155199999999</v>
      </c>
      <c r="N7" s="10">
        <f>'Solar calculations'!N2*'Sector allocation of Rooftop PV'!$B$15</f>
        <v>11884.197099999999</v>
      </c>
      <c r="O7" s="10">
        <f>'Solar calculations'!O2*'Sector allocation of Rooftop PV'!$B$15</f>
        <v>12620.239</v>
      </c>
      <c r="P7" s="10">
        <f>'Solar calculations'!P2*'Sector allocation of Rooftop PV'!$B$15</f>
        <v>13356.2809</v>
      </c>
      <c r="Q7" s="10">
        <f>'Solar calculations'!Q2*'Sector allocation of Rooftop PV'!$B$15</f>
        <v>14092.322799999998</v>
      </c>
      <c r="R7" s="10">
        <f>'Solar calculations'!R2*'Sector allocation of Rooftop PV'!$B$15</f>
        <v>14092.322799999998</v>
      </c>
      <c r="S7" s="10">
        <f>'Solar calculations'!S2*'Sector allocation of Rooftop PV'!$B$15</f>
        <v>14092.322799999998</v>
      </c>
      <c r="T7" s="10">
        <f>'Solar calculations'!T2*'Sector allocation of Rooftop PV'!$B$15</f>
        <v>14092.322799999998</v>
      </c>
      <c r="U7" s="10">
        <f>'Solar calculations'!U2*'Sector allocation of Rooftop PV'!$B$15</f>
        <v>14092.322799999998</v>
      </c>
      <c r="V7" s="10">
        <f>'Solar calculations'!V2*'Sector allocation of Rooftop PV'!$B$15</f>
        <v>14092.322799999998</v>
      </c>
      <c r="W7" s="10">
        <f>'Solar calculations'!W2*'Sector allocation of Rooftop PV'!$B$15</f>
        <v>14092.322799999998</v>
      </c>
      <c r="X7" s="10">
        <f>'Solar calculations'!X2*'Sector allocation of Rooftop PV'!$B$15</f>
        <v>14092.322799999998</v>
      </c>
      <c r="Y7" s="10">
        <f>'Solar calculations'!Y2*'Sector allocation of Rooftop PV'!$B$15</f>
        <v>14092.322799999998</v>
      </c>
      <c r="Z7" s="10">
        <f>'Solar calculations'!Z2*'Sector allocation of Rooftop PV'!$B$15</f>
        <v>14092.322799999998</v>
      </c>
      <c r="AA7" s="10">
        <f>'Solar calculations'!AA2*'Sector allocation of Rooftop PV'!$B$15</f>
        <v>14092.322799999998</v>
      </c>
      <c r="AB7" s="10">
        <f>'Solar calculations'!AB2*'Sector allocation of Rooftop PV'!$B$15</f>
        <v>14092.322799999998</v>
      </c>
      <c r="AC7" s="10">
        <f>'Solar calculations'!AC2*'Sector allocation of Rooftop PV'!$B$15</f>
        <v>14092.322799999998</v>
      </c>
      <c r="AD7" s="10">
        <f>'Solar calculations'!AD2*'Sector allocation of Rooftop PV'!$B$15</f>
        <v>14092.322799999998</v>
      </c>
      <c r="AE7" s="10">
        <f>'Solar calculations'!AE2*'Sector allocation of Rooftop PV'!$B$15</f>
        <v>14092.322799999998</v>
      </c>
      <c r="AF7" s="10">
        <f>'Solar calculations'!AF2*'Sector allocation of Rooftop PV'!$B$15</f>
        <v>14092.322799999998</v>
      </c>
      <c r="AG7" s="10">
        <f>'Solar calculations'!AG2*'Sector allocation of Rooftop PV'!$B$15</f>
        <v>14092.322799999998</v>
      </c>
      <c r="AH7" s="10">
        <f>'Solar calculations'!AH2*'Sector allocation of Rooftop PV'!$B$15</f>
        <v>14092.322799999998</v>
      </c>
      <c r="AI7" s="10">
        <f>'Solar calculations'!AI2*'Sector allocation of Rooftop PV'!$B$15</f>
        <v>14092.322799999998</v>
      </c>
      <c r="AJ7" s="10">
        <f>'Solar calculations'!AJ2*'Sector allocation of Rooftop PV'!$B$15</f>
        <v>14092.322799999998</v>
      </c>
      <c r="AK7" s="10">
        <f>'Solar calculations'!AK2*'Sector allocation of Rooftop PV'!$B$15</f>
        <v>14092.322799999998</v>
      </c>
    </row>
    <row r="8" spans="1:37"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ref="AC8:AK8" si="0">TREND($S8:$AB8,$R$1:$AA$1,AB$1)</f>
        <v>0</v>
      </c>
      <c r="AD8">
        <f t="shared" si="0"/>
        <v>0</v>
      </c>
      <c r="AE8">
        <f t="shared" si="0"/>
        <v>0</v>
      </c>
      <c r="AF8">
        <f t="shared" si="0"/>
        <v>0</v>
      </c>
      <c r="AG8">
        <f t="shared" si="0"/>
        <v>0</v>
      </c>
      <c r="AH8">
        <f t="shared" si="0"/>
        <v>0</v>
      </c>
      <c r="AI8">
        <f t="shared" si="0"/>
        <v>0</v>
      </c>
      <c r="AJ8">
        <f t="shared" si="0"/>
        <v>0</v>
      </c>
      <c r="AK8">
        <f t="shared" si="0"/>
        <v>0</v>
      </c>
    </row>
    <row r="9" spans="1:37"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ref="AC9:AK9" si="1">TREND($S9:$AB9,$R$1:$AA$1,AB$1)</f>
        <v>0</v>
      </c>
      <c r="AD9">
        <f t="shared" si="1"/>
        <v>0</v>
      </c>
      <c r="AE9">
        <f t="shared" si="1"/>
        <v>0</v>
      </c>
      <c r="AF9">
        <f t="shared" si="1"/>
        <v>0</v>
      </c>
      <c r="AG9">
        <f t="shared" si="1"/>
        <v>0</v>
      </c>
      <c r="AH9">
        <f t="shared" si="1"/>
        <v>0</v>
      </c>
      <c r="AI9">
        <f t="shared" si="1"/>
        <v>0</v>
      </c>
      <c r="AJ9">
        <f t="shared" si="1"/>
        <v>0</v>
      </c>
      <c r="AK9">
        <f t="shared" si="1"/>
        <v>0</v>
      </c>
    </row>
    <row r="10" spans="1:37"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ref="AC10:AK10" si="2">TREND($S10:$AB10,$R$1:$AA$1,AB$1)</f>
        <v>0</v>
      </c>
      <c r="AD10">
        <f t="shared" si="2"/>
        <v>0</v>
      </c>
      <c r="AE10">
        <f t="shared" si="2"/>
        <v>0</v>
      </c>
      <c r="AF10">
        <f t="shared" si="2"/>
        <v>0</v>
      </c>
      <c r="AG10">
        <f t="shared" si="2"/>
        <v>0</v>
      </c>
      <c r="AH10">
        <f t="shared" si="2"/>
        <v>0</v>
      </c>
      <c r="AI10">
        <f t="shared" si="2"/>
        <v>0</v>
      </c>
      <c r="AJ10">
        <f t="shared" si="2"/>
        <v>0</v>
      </c>
      <c r="AK10">
        <f t="shared" si="2"/>
        <v>0</v>
      </c>
    </row>
    <row r="11" spans="1:37"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ref="AC11:AK11" si="3">TREND($S11:$AB11,$R$1:$AA$1,AB$1)</f>
        <v>0</v>
      </c>
      <c r="AD11">
        <f t="shared" si="3"/>
        <v>0</v>
      </c>
      <c r="AE11">
        <f t="shared" si="3"/>
        <v>0</v>
      </c>
      <c r="AF11">
        <f t="shared" si="3"/>
        <v>0</v>
      </c>
      <c r="AG11">
        <f t="shared" si="3"/>
        <v>0</v>
      </c>
      <c r="AH11">
        <f t="shared" si="3"/>
        <v>0</v>
      </c>
      <c r="AI11">
        <f t="shared" si="3"/>
        <v>0</v>
      </c>
      <c r="AJ11">
        <f t="shared" si="3"/>
        <v>0</v>
      </c>
      <c r="AK11">
        <f t="shared" si="3"/>
        <v>0</v>
      </c>
    </row>
    <row r="12" spans="1:37"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ref="AC12:AK12" si="4">TREND($S12:$AB12,$R$1:$AA$1,AB$1)</f>
        <v>0</v>
      </c>
      <c r="AD12">
        <f t="shared" si="4"/>
        <v>0</v>
      </c>
      <c r="AE12">
        <f t="shared" si="4"/>
        <v>0</v>
      </c>
      <c r="AF12">
        <f t="shared" si="4"/>
        <v>0</v>
      </c>
      <c r="AG12">
        <f t="shared" si="4"/>
        <v>0</v>
      </c>
      <c r="AH12">
        <f t="shared" si="4"/>
        <v>0</v>
      </c>
      <c r="AI12">
        <f t="shared" si="4"/>
        <v>0</v>
      </c>
      <c r="AJ12">
        <f t="shared" si="4"/>
        <v>0</v>
      </c>
      <c r="AK12">
        <f t="shared" si="4"/>
        <v>0</v>
      </c>
    </row>
    <row r="13" spans="1:37"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f t="shared" ref="AC13:AK13" si="5">TREND($S13:$AB13,$R$1:$AA$1,AB$1)</f>
        <v>0</v>
      </c>
      <c r="AD13">
        <f t="shared" si="5"/>
        <v>0</v>
      </c>
      <c r="AE13">
        <f t="shared" si="5"/>
        <v>0</v>
      </c>
      <c r="AF13">
        <f t="shared" si="5"/>
        <v>0</v>
      </c>
      <c r="AG13">
        <f t="shared" si="5"/>
        <v>0</v>
      </c>
      <c r="AH13">
        <f t="shared" si="5"/>
        <v>0</v>
      </c>
      <c r="AI13">
        <f t="shared" si="5"/>
        <v>0</v>
      </c>
      <c r="AJ13">
        <f t="shared" si="5"/>
        <v>0</v>
      </c>
      <c r="AK13">
        <f t="shared" si="5"/>
        <v>0</v>
      </c>
    </row>
    <row r="14" spans="1:37"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f t="shared" ref="AC14:AK14" si="6">TREND($S14:$AB14,$R$1:$AA$1,AB$1)</f>
        <v>0</v>
      </c>
      <c r="AD14">
        <f t="shared" si="6"/>
        <v>0</v>
      </c>
      <c r="AE14">
        <f t="shared" si="6"/>
        <v>0</v>
      </c>
      <c r="AF14">
        <f t="shared" si="6"/>
        <v>0</v>
      </c>
      <c r="AG14">
        <f t="shared" si="6"/>
        <v>0</v>
      </c>
      <c r="AH14">
        <f t="shared" si="6"/>
        <v>0</v>
      </c>
      <c r="AI14">
        <f t="shared" si="6"/>
        <v>0</v>
      </c>
      <c r="AJ14">
        <f t="shared" si="6"/>
        <v>0</v>
      </c>
      <c r="AK14">
        <f t="shared" si="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4"/>
  <sheetViews>
    <sheetView workbookViewId="0">
      <selection activeCell="B1" sqref="B1:B1048576"/>
    </sheetView>
  </sheetViews>
  <sheetFormatPr defaultRowHeight="14.5" x14ac:dyDescent="0.35"/>
  <cols>
    <col min="1" max="1" width="23.453125" customWidth="1"/>
  </cols>
  <sheetData>
    <row r="1" spans="1:37" x14ac:dyDescent="0.25">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t="s">
        <v>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15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f t="shared" ref="AB11:AK14" si="0">TREND($R11:$AA11,$R$1:$AA$1,AB$1)</f>
        <v>0</v>
      </c>
      <c r="AC11">
        <f t="shared" si="0"/>
        <v>0</v>
      </c>
      <c r="AD11">
        <f t="shared" si="0"/>
        <v>0</v>
      </c>
      <c r="AE11">
        <f t="shared" si="0"/>
        <v>0</v>
      </c>
      <c r="AF11">
        <f t="shared" si="0"/>
        <v>0</v>
      </c>
      <c r="AG11">
        <f t="shared" si="0"/>
        <v>0</v>
      </c>
      <c r="AH11">
        <f t="shared" si="0"/>
        <v>0</v>
      </c>
      <c r="AI11">
        <f t="shared" si="0"/>
        <v>0</v>
      </c>
      <c r="AJ11">
        <f t="shared" si="0"/>
        <v>0</v>
      </c>
      <c r="AK11">
        <f t="shared" si="0"/>
        <v>0</v>
      </c>
    </row>
    <row r="12" spans="1:37"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f t="shared" si="0"/>
        <v>0</v>
      </c>
      <c r="AC12">
        <f t="shared" si="0"/>
        <v>0</v>
      </c>
      <c r="AD12">
        <f t="shared" si="0"/>
        <v>0</v>
      </c>
      <c r="AE12">
        <f t="shared" si="0"/>
        <v>0</v>
      </c>
      <c r="AF12">
        <f t="shared" si="0"/>
        <v>0</v>
      </c>
      <c r="AG12">
        <f t="shared" si="0"/>
        <v>0</v>
      </c>
      <c r="AH12">
        <f t="shared" si="0"/>
        <v>0</v>
      </c>
      <c r="AI12">
        <f t="shared" si="0"/>
        <v>0</v>
      </c>
      <c r="AJ12">
        <f t="shared" si="0"/>
        <v>0</v>
      </c>
      <c r="AK12">
        <f t="shared" si="0"/>
        <v>0</v>
      </c>
    </row>
    <row r="13" spans="1:37"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f t="shared" si="0"/>
        <v>0</v>
      </c>
      <c r="AC13">
        <f t="shared" si="0"/>
        <v>0</v>
      </c>
      <c r="AD13">
        <f t="shared" si="0"/>
        <v>0</v>
      </c>
      <c r="AE13">
        <f t="shared" si="0"/>
        <v>0</v>
      </c>
      <c r="AF13">
        <f t="shared" si="0"/>
        <v>0</v>
      </c>
      <c r="AG13">
        <f t="shared" si="0"/>
        <v>0</v>
      </c>
      <c r="AH13">
        <f t="shared" si="0"/>
        <v>0</v>
      </c>
      <c r="AI13">
        <f t="shared" si="0"/>
        <v>0</v>
      </c>
      <c r="AJ13">
        <f t="shared" si="0"/>
        <v>0</v>
      </c>
      <c r="AK13">
        <f t="shared" si="0"/>
        <v>0</v>
      </c>
    </row>
    <row r="14" spans="1:37"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f t="shared" si="0"/>
        <v>0</v>
      </c>
      <c r="AC14">
        <f t="shared" si="0"/>
        <v>0</v>
      </c>
      <c r="AD14">
        <f t="shared" si="0"/>
        <v>0</v>
      </c>
      <c r="AE14">
        <f t="shared" si="0"/>
        <v>0</v>
      </c>
      <c r="AF14">
        <f t="shared" si="0"/>
        <v>0</v>
      </c>
      <c r="AG14">
        <f t="shared" si="0"/>
        <v>0</v>
      </c>
      <c r="AH14">
        <f t="shared" si="0"/>
        <v>0</v>
      </c>
      <c r="AI14">
        <f t="shared" si="0"/>
        <v>0</v>
      </c>
      <c r="AJ14">
        <f t="shared" si="0"/>
        <v>0</v>
      </c>
      <c r="AK14">
        <f t="shared" si="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4"/>
  <sheetViews>
    <sheetView topLeftCell="L1" workbookViewId="0">
      <selection activeCell="B7" sqref="B7:AK7"/>
    </sheetView>
  </sheetViews>
  <sheetFormatPr defaultRowHeight="14.5" x14ac:dyDescent="0.35"/>
  <cols>
    <col min="1" max="1" width="23.453125" customWidth="1"/>
    <col min="2" max="2" width="9.54296875" bestFit="1" customWidth="1"/>
  </cols>
  <sheetData>
    <row r="1" spans="1:37" x14ac:dyDescent="0.25">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f>TREND($R2:$AA2,$R$1:$AA$1,AB$1)</f>
        <v>0</v>
      </c>
      <c r="AC2">
        <f t="shared" ref="AC2:AK2" si="0">TREND($R2:$AA2,$R$1:$AA$1,AC$1)</f>
        <v>0</v>
      </c>
      <c r="AD2">
        <f t="shared" si="0"/>
        <v>0</v>
      </c>
      <c r="AE2">
        <f t="shared" si="0"/>
        <v>0</v>
      </c>
      <c r="AF2">
        <f t="shared" si="0"/>
        <v>0</v>
      </c>
      <c r="AG2">
        <f t="shared" si="0"/>
        <v>0</v>
      </c>
      <c r="AH2">
        <f t="shared" si="0"/>
        <v>0</v>
      </c>
      <c r="AI2">
        <f t="shared" si="0"/>
        <v>0</v>
      </c>
      <c r="AJ2">
        <f t="shared" si="0"/>
        <v>0</v>
      </c>
      <c r="AK2">
        <f t="shared" si="0"/>
        <v>0</v>
      </c>
    </row>
    <row r="3" spans="1:37" x14ac:dyDescent="0.25">
      <c r="A3" t="s">
        <v>0</v>
      </c>
      <c r="B3">
        <f>'Natural gas calculations'!B3</f>
        <v>564.33258541961902</v>
      </c>
      <c r="C3">
        <f>'Natural gas calculations'!C3</f>
        <v>562.69878759250514</v>
      </c>
      <c r="D3">
        <f>'Natural gas calculations'!D3</f>
        <v>564.33258541961902</v>
      </c>
      <c r="E3">
        <f>'Natural gas calculations'!E3</f>
        <v>528.29904598541714</v>
      </c>
      <c r="F3">
        <f>'Natural gas calculations'!F3</f>
        <v>492.2655065512152</v>
      </c>
      <c r="G3">
        <f>'Natural gas calculations'!G3</f>
        <v>456.23196711701331</v>
      </c>
      <c r="H3">
        <f>'Natural gas calculations'!H3</f>
        <v>420.19842768281137</v>
      </c>
      <c r="I3">
        <f>'Natural gas calculations'!I3</f>
        <v>384.16488824860949</v>
      </c>
      <c r="J3">
        <f>'Natural gas calculations'!J3</f>
        <v>348.13134881440754</v>
      </c>
      <c r="K3">
        <f>'Natural gas calculations'!K3</f>
        <v>312.09780938020566</v>
      </c>
      <c r="L3">
        <f>'Natural gas calculations'!L3</f>
        <v>276.06426994600378</v>
      </c>
      <c r="M3">
        <f>'Natural gas calculations'!M3</f>
        <v>240.03073051180183</v>
      </c>
      <c r="N3">
        <f>'Natural gas calculations'!N3</f>
        <v>203.99719107759992</v>
      </c>
      <c r="O3">
        <f>'Natural gas calculations'!O3</f>
        <v>167.96365164339801</v>
      </c>
      <c r="P3">
        <f>'Natural gas calculations'!P3</f>
        <v>131.93011220919612</v>
      </c>
      <c r="Q3">
        <f>'Natural gas calculations'!Q3</f>
        <v>95.896572774994084</v>
      </c>
      <c r="R3">
        <f>'Natural gas calculations'!R3</f>
        <v>95.896572774994084</v>
      </c>
      <c r="S3">
        <f>'Natural gas calculations'!S3</f>
        <v>95.896572774994084</v>
      </c>
      <c r="T3">
        <f>'Natural gas calculations'!T3</f>
        <v>95.896572774994084</v>
      </c>
      <c r="U3">
        <f>'Natural gas calculations'!U3</f>
        <v>95.896572774994084</v>
      </c>
      <c r="V3">
        <f>'Natural gas calculations'!V3</f>
        <v>95.896572774994084</v>
      </c>
      <c r="W3">
        <f>'Natural gas calculations'!W3</f>
        <v>95.896572774994084</v>
      </c>
      <c r="X3">
        <f>'Natural gas calculations'!X3</f>
        <v>95.896572774994084</v>
      </c>
      <c r="Y3">
        <f>'Natural gas calculations'!Y3</f>
        <v>95.896572774994084</v>
      </c>
      <c r="Z3">
        <f>'Natural gas calculations'!Z3</f>
        <v>95.896572774994084</v>
      </c>
      <c r="AA3">
        <f>'Natural gas calculations'!AA3</f>
        <v>95.896572774994084</v>
      </c>
      <c r="AB3">
        <f>'Natural gas calculations'!AB3</f>
        <v>95.896572774994084</v>
      </c>
      <c r="AC3">
        <f>'Natural gas calculations'!AC3</f>
        <v>95.896572774994084</v>
      </c>
      <c r="AD3">
        <f>'Natural gas calculations'!AD3</f>
        <v>95.896572774994084</v>
      </c>
      <c r="AE3">
        <f>'Natural gas calculations'!AE3</f>
        <v>95.896572774994084</v>
      </c>
      <c r="AF3">
        <f>'Natural gas calculations'!AF3</f>
        <v>95.896572774994084</v>
      </c>
      <c r="AG3">
        <f>'Natural gas calculations'!AG3</f>
        <v>95.896572774994084</v>
      </c>
      <c r="AH3">
        <f>'Natural gas calculations'!AH3</f>
        <v>95.896572774994084</v>
      </c>
      <c r="AI3">
        <f>'Natural gas calculations'!AI3</f>
        <v>95.896572774994084</v>
      </c>
      <c r="AJ3">
        <f>'Natural gas calculations'!AJ3</f>
        <v>95.896572774994084</v>
      </c>
      <c r="AK3">
        <f>'Natural gas calculations'!AK3</f>
        <v>95.896572774994084</v>
      </c>
    </row>
    <row r="4" spans="1:37"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f t="shared" ref="AB4:AK4" si="1">TREND($R4:$AA4,$R$1:$AA$1,AB$1)</f>
        <v>0</v>
      </c>
      <c r="AC4">
        <f t="shared" si="1"/>
        <v>0</v>
      </c>
      <c r="AD4">
        <f t="shared" si="1"/>
        <v>0</v>
      </c>
      <c r="AE4">
        <f t="shared" si="1"/>
        <v>0</v>
      </c>
      <c r="AF4">
        <f t="shared" si="1"/>
        <v>0</v>
      </c>
      <c r="AG4">
        <f t="shared" si="1"/>
        <v>0</v>
      </c>
      <c r="AH4">
        <f t="shared" si="1"/>
        <v>0</v>
      </c>
      <c r="AI4">
        <f t="shared" si="1"/>
        <v>0</v>
      </c>
      <c r="AJ4">
        <f t="shared" si="1"/>
        <v>0</v>
      </c>
      <c r="AK4">
        <f t="shared" si="1"/>
        <v>0</v>
      </c>
    </row>
    <row r="5" spans="1:37"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t="s">
        <v>15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t="s">
        <v>3</v>
      </c>
      <c r="B7" s="10">
        <f>'Solar calculations'!B2*('Sector allocation of Rooftop PV'!$B$16+'Sector allocation of Rooftop PV'!$B$17)</f>
        <v>1131.9354000000001</v>
      </c>
      <c r="C7" s="10">
        <f>'Solar calculations'!C2*('Sector allocation of Rooftop PV'!$B$16+'Sector allocation of Rooftop PV'!$B$17)</f>
        <v>1558.7088000000003</v>
      </c>
      <c r="D7" s="10">
        <f>'Solar calculations'!D2*('Sector allocation of Rooftop PV'!$B$16+'Sector allocation of Rooftop PV'!$B$17)</f>
        <v>1942.0362000000002</v>
      </c>
      <c r="E7" s="10">
        <f>'Solar calculations'!E2*('Sector allocation of Rooftop PV'!$B$16+'Sector allocation of Rooftop PV'!$B$17)</f>
        <v>2640.1800000000003</v>
      </c>
      <c r="F7" s="10">
        <f>'Solar calculations'!F2*('Sector allocation of Rooftop PV'!$B$16+'Sector allocation of Rooftop PV'!$B$17)</f>
        <v>3009.6381000000006</v>
      </c>
      <c r="G7" s="10">
        <f>'Solar calculations'!G2*('Sector allocation of Rooftop PV'!$B$16+'Sector allocation of Rooftop PV'!$B$17)</f>
        <v>3379.0962000000004</v>
      </c>
      <c r="H7" s="10">
        <f>'Solar calculations'!H2*('Sector allocation of Rooftop PV'!$B$16+'Sector allocation of Rooftop PV'!$B$17)</f>
        <v>3748.5543000000007</v>
      </c>
      <c r="I7" s="10">
        <f>'Solar calculations'!I2*('Sector allocation of Rooftop PV'!$B$16+'Sector allocation of Rooftop PV'!$B$17)</f>
        <v>4118.0124000000005</v>
      </c>
      <c r="J7" s="10">
        <f>'Solar calculations'!J2*('Sector allocation of Rooftop PV'!$B$16+'Sector allocation of Rooftop PV'!$B$17)</f>
        <v>4487.4705000000004</v>
      </c>
      <c r="K7" s="10">
        <f>'Solar calculations'!K2*('Sector allocation of Rooftop PV'!$B$16+'Sector allocation of Rooftop PV'!$B$17)</f>
        <v>4856.9286000000011</v>
      </c>
      <c r="L7" s="10">
        <f>'Solar calculations'!L2*('Sector allocation of Rooftop PV'!$B$16+'Sector allocation of Rooftop PV'!$B$17)</f>
        <v>5226.3867000000009</v>
      </c>
      <c r="M7" s="10">
        <f>'Solar calculations'!M2*('Sector allocation of Rooftop PV'!$B$16+'Sector allocation of Rooftop PV'!$B$17)</f>
        <v>5595.8448000000008</v>
      </c>
      <c r="N7" s="10">
        <f>'Solar calculations'!N2*('Sector allocation of Rooftop PV'!$B$16+'Sector allocation of Rooftop PV'!$B$17)</f>
        <v>5965.3029000000006</v>
      </c>
      <c r="O7" s="10">
        <f>'Solar calculations'!O2*('Sector allocation of Rooftop PV'!$B$16+'Sector allocation of Rooftop PV'!$B$17)</f>
        <v>6334.7610000000013</v>
      </c>
      <c r="P7" s="10">
        <f>'Solar calculations'!P2*('Sector allocation of Rooftop PV'!$B$16+'Sector allocation of Rooftop PV'!$B$17)</f>
        <v>6704.2191000000012</v>
      </c>
      <c r="Q7" s="10">
        <f>'Solar calculations'!Q2*('Sector allocation of Rooftop PV'!$B$16+'Sector allocation of Rooftop PV'!$B$17)</f>
        <v>7073.677200000001</v>
      </c>
      <c r="R7" s="10">
        <f>'Solar calculations'!R2*('Sector allocation of Rooftop PV'!$B$16+'Sector allocation of Rooftop PV'!$B$17)</f>
        <v>7073.677200000001</v>
      </c>
      <c r="S7" s="10">
        <f>'Solar calculations'!S2*('Sector allocation of Rooftop PV'!$B$16+'Sector allocation of Rooftop PV'!$B$17)</f>
        <v>7073.677200000001</v>
      </c>
      <c r="T7" s="10">
        <f>'Solar calculations'!T2*('Sector allocation of Rooftop PV'!$B$16+'Sector allocation of Rooftop PV'!$B$17)</f>
        <v>7073.677200000001</v>
      </c>
      <c r="U7" s="10">
        <f>'Solar calculations'!U2*('Sector allocation of Rooftop PV'!$B$16+'Sector allocation of Rooftop PV'!$B$17)</f>
        <v>7073.677200000001</v>
      </c>
      <c r="V7" s="10">
        <f>'Solar calculations'!V2*('Sector allocation of Rooftop PV'!$B$16+'Sector allocation of Rooftop PV'!$B$17)</f>
        <v>7073.677200000001</v>
      </c>
      <c r="W7" s="10">
        <f>'Solar calculations'!W2*('Sector allocation of Rooftop PV'!$B$16+'Sector allocation of Rooftop PV'!$B$17)</f>
        <v>7073.677200000001</v>
      </c>
      <c r="X7" s="10">
        <f>'Solar calculations'!X2*('Sector allocation of Rooftop PV'!$B$16+'Sector allocation of Rooftop PV'!$B$17)</f>
        <v>7073.677200000001</v>
      </c>
      <c r="Y7" s="10">
        <f>'Solar calculations'!Y2*('Sector allocation of Rooftop PV'!$B$16+'Sector allocation of Rooftop PV'!$B$17)</f>
        <v>7073.677200000001</v>
      </c>
      <c r="Z7" s="10">
        <f>'Solar calculations'!Z2*('Sector allocation of Rooftop PV'!$B$16+'Sector allocation of Rooftop PV'!$B$17)</f>
        <v>7073.677200000001</v>
      </c>
      <c r="AA7" s="10">
        <f>'Solar calculations'!AA2*('Sector allocation of Rooftop PV'!$B$16+'Sector allocation of Rooftop PV'!$B$17)</f>
        <v>7073.677200000001</v>
      </c>
      <c r="AB7" s="10">
        <f>'Solar calculations'!AB2*('Sector allocation of Rooftop PV'!$B$16+'Sector allocation of Rooftop PV'!$B$17)</f>
        <v>7073.677200000001</v>
      </c>
      <c r="AC7" s="10">
        <f>'Solar calculations'!AC2*('Sector allocation of Rooftop PV'!$B$16+'Sector allocation of Rooftop PV'!$B$17)</f>
        <v>7073.677200000001</v>
      </c>
      <c r="AD7" s="10">
        <f>'Solar calculations'!AD2*('Sector allocation of Rooftop PV'!$B$16+'Sector allocation of Rooftop PV'!$B$17)</f>
        <v>7073.677200000001</v>
      </c>
      <c r="AE7" s="10">
        <f>'Solar calculations'!AE2*('Sector allocation of Rooftop PV'!$B$16+'Sector allocation of Rooftop PV'!$B$17)</f>
        <v>7073.677200000001</v>
      </c>
      <c r="AF7" s="10">
        <f>'Solar calculations'!AF2*('Sector allocation of Rooftop PV'!$B$16+'Sector allocation of Rooftop PV'!$B$17)</f>
        <v>7073.677200000001</v>
      </c>
      <c r="AG7" s="10">
        <f>'Solar calculations'!AG2*('Sector allocation of Rooftop PV'!$B$16+'Sector allocation of Rooftop PV'!$B$17)</f>
        <v>7073.677200000001</v>
      </c>
      <c r="AH7" s="10">
        <f>'Solar calculations'!AH2*('Sector allocation of Rooftop PV'!$B$16+'Sector allocation of Rooftop PV'!$B$17)</f>
        <v>7073.677200000001</v>
      </c>
      <c r="AI7" s="10">
        <f>'Solar calculations'!AI2*('Sector allocation of Rooftop PV'!$B$16+'Sector allocation of Rooftop PV'!$B$17)</f>
        <v>7073.677200000001</v>
      </c>
      <c r="AJ7" s="10">
        <f>'Solar calculations'!AJ2*('Sector allocation of Rooftop PV'!$B$16+'Sector allocation of Rooftop PV'!$B$17)</f>
        <v>7073.677200000001</v>
      </c>
      <c r="AK7" s="10">
        <f>'Solar calculations'!AK2*('Sector allocation of Rooftop PV'!$B$16+'Sector allocation of Rooftop PV'!$B$17)</f>
        <v>7073.677200000001</v>
      </c>
    </row>
    <row r="8" spans="1:37"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f t="shared" ref="AB14:AK14" si="2">TREND($R14:$AA14,$R$1:$AA$1,AB$1)</f>
        <v>0</v>
      </c>
      <c r="AC14">
        <f t="shared" si="2"/>
        <v>0</v>
      </c>
      <c r="AD14">
        <f t="shared" si="2"/>
        <v>0</v>
      </c>
      <c r="AE14">
        <f t="shared" si="2"/>
        <v>0</v>
      </c>
      <c r="AF14">
        <f t="shared" si="2"/>
        <v>0</v>
      </c>
      <c r="AG14">
        <f t="shared" si="2"/>
        <v>0</v>
      </c>
      <c r="AH14">
        <f t="shared" si="2"/>
        <v>0</v>
      </c>
      <c r="AI14">
        <f t="shared" si="2"/>
        <v>0</v>
      </c>
      <c r="AJ14">
        <f t="shared" si="2"/>
        <v>0</v>
      </c>
      <c r="AK14">
        <f t="shared" si="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5" x14ac:dyDescent="0.35"/>
  <cols>
    <col min="1" max="1" width="39.54296875" bestFit="1" customWidth="1"/>
  </cols>
  <sheetData>
    <row r="1" spans="1:2" x14ac:dyDescent="0.35">
      <c r="A1" t="s">
        <v>76</v>
      </c>
      <c r="B1">
        <v>7900</v>
      </c>
    </row>
    <row r="3" spans="1:2" x14ac:dyDescent="0.35">
      <c r="A3" t="s">
        <v>182</v>
      </c>
    </row>
    <row r="4" spans="1:2" x14ac:dyDescent="0.35">
      <c r="A4" t="s">
        <v>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8"/>
  <sheetViews>
    <sheetView tabSelected="1" workbookViewId="0">
      <selection activeCell="N42" sqref="N42"/>
    </sheetView>
  </sheetViews>
  <sheetFormatPr defaultRowHeight="14.5" x14ac:dyDescent="0.35"/>
  <cols>
    <col min="1" max="1" width="24.90625" customWidth="1"/>
    <col min="10" max="10" width="11.81640625" bestFit="1" customWidth="1"/>
  </cols>
  <sheetData>
    <row r="1" spans="1:37" x14ac:dyDescent="0.35">
      <c r="B1">
        <v>2015</v>
      </c>
      <c r="C1">
        <v>2016</v>
      </c>
      <c r="D1">
        <v>2017</v>
      </c>
      <c r="E1">
        <v>2018</v>
      </c>
      <c r="F1">
        <v>2019</v>
      </c>
      <c r="G1">
        <v>2020</v>
      </c>
      <c r="H1">
        <v>2021</v>
      </c>
      <c r="I1">
        <v>2022</v>
      </c>
      <c r="J1">
        <f>I1+1</f>
        <v>2023</v>
      </c>
      <c r="K1">
        <f t="shared" ref="K1:V1" si="0">J1+1</f>
        <v>2024</v>
      </c>
      <c r="L1">
        <f t="shared" si="0"/>
        <v>2025</v>
      </c>
      <c r="M1">
        <f t="shared" si="0"/>
        <v>2026</v>
      </c>
      <c r="N1">
        <f t="shared" si="0"/>
        <v>2027</v>
      </c>
      <c r="O1">
        <f t="shared" si="0"/>
        <v>2028</v>
      </c>
      <c r="P1">
        <f t="shared" si="0"/>
        <v>2029</v>
      </c>
      <c r="Q1">
        <f t="shared" si="0"/>
        <v>2030</v>
      </c>
      <c r="R1">
        <f t="shared" si="0"/>
        <v>2031</v>
      </c>
      <c r="S1">
        <f t="shared" si="0"/>
        <v>2032</v>
      </c>
      <c r="T1">
        <f t="shared" si="0"/>
        <v>2033</v>
      </c>
      <c r="U1">
        <f t="shared" si="0"/>
        <v>2034</v>
      </c>
      <c r="V1">
        <f t="shared" si="0"/>
        <v>2035</v>
      </c>
      <c r="W1">
        <f t="shared" ref="W1" si="1">V1+1</f>
        <v>2036</v>
      </c>
      <c r="X1">
        <f t="shared" ref="X1" si="2">W1+1</f>
        <v>2037</v>
      </c>
      <c r="Y1">
        <f t="shared" ref="Y1" si="3">X1+1</f>
        <v>2038</v>
      </c>
      <c r="Z1">
        <f t="shared" ref="Z1" si="4">Y1+1</f>
        <v>2039</v>
      </c>
      <c r="AA1">
        <f t="shared" ref="AA1" si="5">Z1+1</f>
        <v>2040</v>
      </c>
      <c r="AB1">
        <f t="shared" ref="AB1" si="6">AA1+1</f>
        <v>2041</v>
      </c>
      <c r="AC1">
        <f t="shared" ref="AC1" si="7">AB1+1</f>
        <v>2042</v>
      </c>
      <c r="AD1">
        <f t="shared" ref="AD1" si="8">AC1+1</f>
        <v>2043</v>
      </c>
      <c r="AE1">
        <f t="shared" ref="AE1" si="9">AD1+1</f>
        <v>2044</v>
      </c>
      <c r="AF1">
        <f t="shared" ref="AF1" si="10">AE1+1</f>
        <v>2045</v>
      </c>
      <c r="AG1">
        <f t="shared" ref="AG1" si="11">AF1+1</f>
        <v>2046</v>
      </c>
      <c r="AH1">
        <f t="shared" ref="AH1" si="12">AG1+1</f>
        <v>2047</v>
      </c>
      <c r="AI1">
        <f t="shared" ref="AI1" si="13">AH1+1</f>
        <v>2048</v>
      </c>
      <c r="AJ1">
        <f t="shared" ref="AJ1:AK1" si="14">AI1+1</f>
        <v>2049</v>
      </c>
      <c r="AK1">
        <f t="shared" si="14"/>
        <v>2050</v>
      </c>
    </row>
    <row r="2" spans="1:37" x14ac:dyDescent="0.35">
      <c r="A2" t="s">
        <v>80</v>
      </c>
      <c r="B2">
        <v>3387</v>
      </c>
      <c r="C2">
        <v>4664</v>
      </c>
      <c r="D2">
        <v>5811</v>
      </c>
      <c r="E2">
        <f>'Solar background'!$B$1</f>
        <v>7900</v>
      </c>
      <c r="F2">
        <f>E2+$E$11</f>
        <v>9005.5</v>
      </c>
      <c r="G2">
        <f t="shared" ref="G2:Q2" si="15">F2+$E$11</f>
        <v>10111</v>
      </c>
      <c r="H2">
        <f t="shared" si="15"/>
        <v>11216.5</v>
      </c>
      <c r="I2">
        <f t="shared" si="15"/>
        <v>12322</v>
      </c>
      <c r="J2">
        <f t="shared" si="15"/>
        <v>13427.5</v>
      </c>
      <c r="K2">
        <f t="shared" si="15"/>
        <v>14533</v>
      </c>
      <c r="L2">
        <f t="shared" si="15"/>
        <v>15638.5</v>
      </c>
      <c r="M2">
        <f t="shared" si="15"/>
        <v>16744</v>
      </c>
      <c r="N2">
        <f t="shared" si="15"/>
        <v>17849.5</v>
      </c>
      <c r="O2">
        <f t="shared" si="15"/>
        <v>18955</v>
      </c>
      <c r="P2">
        <f t="shared" si="15"/>
        <v>20060.5</v>
      </c>
      <c r="Q2">
        <f t="shared" si="15"/>
        <v>21166</v>
      </c>
      <c r="R2">
        <f>Q2</f>
        <v>21166</v>
      </c>
      <c r="S2">
        <f t="shared" ref="S2:V2" si="16">R2</f>
        <v>21166</v>
      </c>
      <c r="T2">
        <f t="shared" si="16"/>
        <v>21166</v>
      </c>
      <c r="U2">
        <f t="shared" si="16"/>
        <v>21166</v>
      </c>
      <c r="V2">
        <f t="shared" si="16"/>
        <v>21166</v>
      </c>
      <c r="W2">
        <f t="shared" ref="W2:AG2" si="17">V2</f>
        <v>21166</v>
      </c>
      <c r="X2">
        <f t="shared" si="17"/>
        <v>21166</v>
      </c>
      <c r="Y2">
        <f t="shared" si="17"/>
        <v>21166</v>
      </c>
      <c r="Z2">
        <f t="shared" si="17"/>
        <v>21166</v>
      </c>
      <c r="AA2">
        <f t="shared" si="17"/>
        <v>21166</v>
      </c>
      <c r="AB2">
        <f t="shared" si="17"/>
        <v>21166</v>
      </c>
      <c r="AC2">
        <f t="shared" si="17"/>
        <v>21166</v>
      </c>
      <c r="AD2">
        <f t="shared" si="17"/>
        <v>21166</v>
      </c>
      <c r="AE2">
        <f t="shared" si="17"/>
        <v>21166</v>
      </c>
      <c r="AF2">
        <f t="shared" si="17"/>
        <v>21166</v>
      </c>
      <c r="AG2">
        <f t="shared" si="17"/>
        <v>21166</v>
      </c>
      <c r="AH2">
        <f t="shared" ref="AH2:AK2" si="18">AG2</f>
        <v>21166</v>
      </c>
      <c r="AI2">
        <f t="shared" si="18"/>
        <v>21166</v>
      </c>
      <c r="AJ2">
        <f t="shared" si="18"/>
        <v>21166</v>
      </c>
      <c r="AK2">
        <f t="shared" si="18"/>
        <v>21166</v>
      </c>
    </row>
    <row r="3" spans="1:37" x14ac:dyDescent="0.35">
      <c r="A3" t="s">
        <v>81</v>
      </c>
      <c r="B3">
        <f>B2*$B$20*$B$21</f>
        <v>6314100.2551261457</v>
      </c>
      <c r="C3">
        <f t="shared" ref="C3:R3" si="19">C2*$B$20*$B$21</f>
        <v>8694704.3371444773</v>
      </c>
      <c r="D3">
        <f t="shared" si="19"/>
        <v>10832960.313710669</v>
      </c>
      <c r="E3">
        <f t="shared" si="19"/>
        <v>14727307.946706982</v>
      </c>
      <c r="F3">
        <f t="shared" si="19"/>
        <v>16788198.951148067</v>
      </c>
      <c r="G3">
        <f t="shared" si="19"/>
        <v>18849089.955589153</v>
      </c>
      <c r="H3">
        <f t="shared" si="19"/>
        <v>20909980.960030239</v>
      </c>
      <c r="I3">
        <f t="shared" si="19"/>
        <v>22970871.964471322</v>
      </c>
      <c r="J3">
        <f t="shared" si="19"/>
        <v>25031762.968912408</v>
      </c>
      <c r="K3">
        <f t="shared" si="19"/>
        <v>27092653.97335349</v>
      </c>
      <c r="L3">
        <f t="shared" si="19"/>
        <v>29153544.977794576</v>
      </c>
      <c r="M3">
        <f t="shared" si="19"/>
        <v>31214435.982235663</v>
      </c>
      <c r="N3">
        <f t="shared" si="19"/>
        <v>33275326.986676745</v>
      </c>
      <c r="O3">
        <f t="shared" si="19"/>
        <v>35336217.991117828</v>
      </c>
      <c r="P3">
        <f t="shared" si="19"/>
        <v>37397108.995558918</v>
      </c>
      <c r="Q3">
        <f t="shared" si="19"/>
        <v>39458000</v>
      </c>
      <c r="R3">
        <f t="shared" si="19"/>
        <v>39458000</v>
      </c>
      <c r="S3">
        <f t="shared" ref="S3" si="20">S2*$B$20*$B$21</f>
        <v>39458000</v>
      </c>
      <c r="T3">
        <f t="shared" ref="T3" si="21">T2*$B$20*$B$21</f>
        <v>39458000</v>
      </c>
      <c r="U3">
        <f t="shared" ref="U3" si="22">U2*$B$20*$B$21</f>
        <v>39458000</v>
      </c>
      <c r="V3">
        <f t="shared" ref="V3" si="23">V2*$B$20*$B$21</f>
        <v>39458000</v>
      </c>
      <c r="W3">
        <f t="shared" ref="W3" si="24">W2*$B$20*$B$21</f>
        <v>39458000</v>
      </c>
      <c r="X3">
        <f t="shared" ref="X3" si="25">X2*$B$20*$B$21</f>
        <v>39458000</v>
      </c>
      <c r="Y3">
        <f t="shared" ref="Y3" si="26">Y2*$B$20*$B$21</f>
        <v>39458000</v>
      </c>
      <c r="Z3">
        <f t="shared" ref="Z3" si="27">Z2*$B$20*$B$21</f>
        <v>39458000</v>
      </c>
      <c r="AA3">
        <f t="shared" ref="AA3" si="28">AA2*$B$20*$B$21</f>
        <v>39458000</v>
      </c>
      <c r="AB3">
        <f t="shared" ref="AB3" si="29">AB2*$B$20*$B$21</f>
        <v>39458000</v>
      </c>
      <c r="AC3">
        <f t="shared" ref="AC3" si="30">AC2*$B$20*$B$21</f>
        <v>39458000</v>
      </c>
      <c r="AD3">
        <f t="shared" ref="AD3" si="31">AD2*$B$20*$B$21</f>
        <v>39458000</v>
      </c>
      <c r="AE3">
        <f t="shared" ref="AE3" si="32">AE2*$B$20*$B$21</f>
        <v>39458000</v>
      </c>
      <c r="AF3">
        <f t="shared" ref="AF3" si="33">AF2*$B$20*$B$21</f>
        <v>39458000</v>
      </c>
      <c r="AG3">
        <f t="shared" ref="AG3:AH3" si="34">AG2*$B$20*$B$21</f>
        <v>39458000</v>
      </c>
      <c r="AH3">
        <f t="shared" si="34"/>
        <v>39458000</v>
      </c>
      <c r="AI3">
        <f t="shared" ref="AI3" si="35">AI2*$B$20*$B$21</f>
        <v>39458000</v>
      </c>
      <c r="AJ3">
        <f t="shared" ref="AJ3" si="36">AJ2*$B$20*$B$21</f>
        <v>39458000</v>
      </c>
      <c r="AK3">
        <f t="shared" ref="AK3" si="37">AK2*$B$20*$B$21</f>
        <v>39458000</v>
      </c>
    </row>
    <row r="5" spans="1:37" x14ac:dyDescent="0.35">
      <c r="A5" t="s">
        <v>78</v>
      </c>
      <c r="B5">
        <v>3387</v>
      </c>
      <c r="C5">
        <v>4664</v>
      </c>
      <c r="D5">
        <v>5811</v>
      </c>
    </row>
    <row r="6" spans="1:37" x14ac:dyDescent="0.35">
      <c r="A6" t="s">
        <v>79</v>
      </c>
      <c r="E6">
        <f>'Solar background'!$B$1</f>
        <v>7900</v>
      </c>
    </row>
    <row r="9" spans="1:37" x14ac:dyDescent="0.35">
      <c r="A9" t="s">
        <v>87</v>
      </c>
    </row>
    <row r="11" spans="1:37" x14ac:dyDescent="0.35">
      <c r="A11" t="s">
        <v>77</v>
      </c>
      <c r="E11">
        <f>(Q15-E6)/12</f>
        <v>1105.5</v>
      </c>
    </row>
    <row r="12" spans="1:37" x14ac:dyDescent="0.35">
      <c r="A12" t="s">
        <v>86</v>
      </c>
      <c r="I12" s="3">
        <f>I15-I22</f>
        <v>12529.5</v>
      </c>
      <c r="J12" s="3">
        <f t="shared" ref="J12:Q12" si="38">J15-J22</f>
        <v>13044.75</v>
      </c>
      <c r="K12" s="3">
        <f t="shared" si="38"/>
        <v>13560</v>
      </c>
      <c r="L12" s="3">
        <f t="shared" si="38"/>
        <v>14075.25</v>
      </c>
      <c r="M12" s="3">
        <f t="shared" si="38"/>
        <v>14590.5</v>
      </c>
      <c r="N12" s="3">
        <f t="shared" si="38"/>
        <v>16234.375</v>
      </c>
      <c r="O12" s="3">
        <f t="shared" si="38"/>
        <v>17878.25</v>
      </c>
      <c r="P12" s="3">
        <f t="shared" si="38"/>
        <v>19522.125</v>
      </c>
      <c r="Q12" s="3">
        <f t="shared" si="38"/>
        <v>21166</v>
      </c>
    </row>
    <row r="14" spans="1:37" x14ac:dyDescent="0.35">
      <c r="A14" t="s">
        <v>75</v>
      </c>
    </row>
    <row r="15" spans="1:37" x14ac:dyDescent="0.35">
      <c r="A15" t="s">
        <v>84</v>
      </c>
      <c r="I15" s="3">
        <v>12529.5</v>
      </c>
      <c r="J15">
        <f>I15+($M$15-$I$15)/4</f>
        <v>13044.75</v>
      </c>
      <c r="K15">
        <f>J15+($M$15-$I$15)/4</f>
        <v>13560</v>
      </c>
      <c r="L15">
        <f>K15+($M$15-$I$15)/4</f>
        <v>14075.25</v>
      </c>
      <c r="M15">
        <f>C62</f>
        <v>14590.5</v>
      </c>
      <c r="N15">
        <f>M15+($Q$15-$M$15)/4</f>
        <v>16234.375</v>
      </c>
      <c r="O15">
        <f>N15+($Q$15-$M$15)/4</f>
        <v>17878.25</v>
      </c>
      <c r="P15">
        <f>O15+($Q$15-$M$15)/4</f>
        <v>19522.125</v>
      </c>
      <c r="Q15">
        <f>D62</f>
        <v>21166</v>
      </c>
    </row>
    <row r="16" spans="1:37" x14ac:dyDescent="0.35">
      <c r="A16" t="s">
        <v>85</v>
      </c>
      <c r="I16" s="3"/>
      <c r="Q16">
        <f>(42621+36295)/2*1000</f>
        <v>39458000</v>
      </c>
    </row>
    <row r="17" spans="1:9" x14ac:dyDescent="0.35">
      <c r="A17" t="s">
        <v>183</v>
      </c>
      <c r="I17" s="3"/>
    </row>
    <row r="18" spans="1:9" x14ac:dyDescent="0.35">
      <c r="I18" s="3"/>
    </row>
    <row r="19" spans="1:9" x14ac:dyDescent="0.35">
      <c r="I19" s="3"/>
    </row>
    <row r="20" spans="1:9" x14ac:dyDescent="0.35">
      <c r="A20" t="s">
        <v>184</v>
      </c>
      <c r="B20">
        <f>24*365</f>
        <v>8760</v>
      </c>
    </row>
    <row r="21" spans="1:9" x14ac:dyDescent="0.35">
      <c r="B21">
        <f>Q16/(B20*Q15)</f>
        <v>0.21281006801206553</v>
      </c>
    </row>
    <row r="23" spans="1:9" x14ac:dyDescent="0.35">
      <c r="A23" s="18" t="s">
        <v>61</v>
      </c>
    </row>
    <row r="57" spans="1:4" x14ac:dyDescent="0.35">
      <c r="A57" t="s">
        <v>62</v>
      </c>
    </row>
    <row r="58" spans="1:4" ht="22.5" x14ac:dyDescent="0.35">
      <c r="A58" s="19"/>
    </row>
    <row r="59" spans="1:4" x14ac:dyDescent="0.35">
      <c r="A59" s="21"/>
      <c r="B59">
        <v>2022</v>
      </c>
      <c r="C59">
        <v>2026</v>
      </c>
      <c r="D59">
        <v>2030</v>
      </c>
    </row>
    <row r="60" spans="1:4" ht="15" x14ac:dyDescent="0.35">
      <c r="A60" s="20" t="s">
        <v>63</v>
      </c>
      <c r="B60">
        <v>12301</v>
      </c>
      <c r="C60">
        <v>16727</v>
      </c>
      <c r="D60">
        <v>20759</v>
      </c>
    </row>
    <row r="61" spans="1:4" ht="15" x14ac:dyDescent="0.35">
      <c r="A61" s="20" t="s">
        <v>64</v>
      </c>
      <c r="B61">
        <f>12758</f>
        <v>12758</v>
      </c>
      <c r="C61">
        <v>12454</v>
      </c>
      <c r="D61">
        <v>21573</v>
      </c>
    </row>
    <row r="62" spans="1:4" x14ac:dyDescent="0.35">
      <c r="A62" t="s">
        <v>65</v>
      </c>
      <c r="B62">
        <f>AVERAGE(B60:B61)</f>
        <v>12529.5</v>
      </c>
      <c r="C62">
        <f t="shared" ref="C62:D62" si="39">AVERAGE(C60:C61)</f>
        <v>14590.5</v>
      </c>
      <c r="D62">
        <f t="shared" si="39"/>
        <v>21166</v>
      </c>
    </row>
    <row r="71" spans="1:17" x14ac:dyDescent="0.35">
      <c r="A71" s="21" t="s">
        <v>66</v>
      </c>
    </row>
    <row r="76" spans="1:17" x14ac:dyDescent="0.35">
      <c r="Q76" s="6"/>
    </row>
    <row r="100" spans="1:22" x14ac:dyDescent="0.35">
      <c r="I100">
        <f>I1</f>
        <v>2022</v>
      </c>
      <c r="J100">
        <f>J1</f>
        <v>2023</v>
      </c>
      <c r="K100">
        <f>K1</f>
        <v>2024</v>
      </c>
      <c r="L100">
        <f>L1</f>
        <v>2025</v>
      </c>
      <c r="M100">
        <f>M1</f>
        <v>2026</v>
      </c>
      <c r="N100">
        <f>N1</f>
        <v>2027</v>
      </c>
      <c r="O100">
        <f>O1</f>
        <v>2028</v>
      </c>
      <c r="P100">
        <f>P1</f>
        <v>2029</v>
      </c>
      <c r="Q100">
        <f>Q1</f>
        <v>2030</v>
      </c>
      <c r="R100">
        <f>R1</f>
        <v>2031</v>
      </c>
      <c r="S100">
        <f>S1</f>
        <v>2032</v>
      </c>
      <c r="T100">
        <f>T1</f>
        <v>2033</v>
      </c>
      <c r="U100">
        <f>U1</f>
        <v>2034</v>
      </c>
      <c r="V100">
        <f>V1</f>
        <v>2035</v>
      </c>
    </row>
    <row r="101" spans="1:22" x14ac:dyDescent="0.35">
      <c r="A101" t="s">
        <v>69</v>
      </c>
      <c r="I101">
        <f t="shared" ref="I101:Q101" si="40">I15</f>
        <v>12529.5</v>
      </c>
      <c r="J101">
        <f t="shared" si="40"/>
        <v>13044.75</v>
      </c>
      <c r="K101">
        <f t="shared" si="40"/>
        <v>13560</v>
      </c>
      <c r="L101">
        <f t="shared" si="40"/>
        <v>14075.25</v>
      </c>
      <c r="M101">
        <f t="shared" si="40"/>
        <v>14590.5</v>
      </c>
      <c r="N101">
        <f t="shared" si="40"/>
        <v>16234.375</v>
      </c>
      <c r="O101">
        <f t="shared" si="40"/>
        <v>17878.25</v>
      </c>
      <c r="P101">
        <f t="shared" si="40"/>
        <v>19522.125</v>
      </c>
      <c r="Q101">
        <f t="shared" si="40"/>
        <v>21166</v>
      </c>
    </row>
    <row r="107" spans="1:22" x14ac:dyDescent="0.35">
      <c r="A107" t="s">
        <v>67</v>
      </c>
      <c r="B107" s="3"/>
    </row>
    <row r="108" spans="1:22" x14ac:dyDescent="0.35">
      <c r="A108" t="s">
        <v>68</v>
      </c>
      <c r="B108" s="3"/>
    </row>
  </sheetData>
  <hyperlinks>
    <hyperlink ref="A23" r:id="rId1"/>
    <hyperlink ref="A71" r:id="rId2"/>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workbookViewId="0">
      <selection activeCell="B15" sqref="B15"/>
    </sheetView>
  </sheetViews>
  <sheetFormatPr defaultRowHeight="14.5" x14ac:dyDescent="0.35"/>
  <cols>
    <col min="1" max="1" width="28.1796875" customWidth="1"/>
    <col min="2" max="2" width="51" customWidth="1"/>
  </cols>
  <sheetData>
    <row r="1" spans="1:37" x14ac:dyDescent="0.35">
      <c r="A1" s="4" t="s">
        <v>55</v>
      </c>
    </row>
    <row r="2" spans="1:37" x14ac:dyDescent="0.35">
      <c r="A2" s="4" t="s">
        <v>57</v>
      </c>
    </row>
    <row r="3" spans="1:37" x14ac:dyDescent="0.35">
      <c r="A3" s="1"/>
    </row>
    <row r="4" spans="1:37" x14ac:dyDescent="0.35">
      <c r="B4" s="5" t="s">
        <v>12</v>
      </c>
    </row>
    <row r="5" spans="1:37" ht="15" x14ac:dyDescent="0.25">
      <c r="B5" t="s">
        <v>56</v>
      </c>
    </row>
    <row r="6" spans="1:37" ht="15" x14ac:dyDescent="0.25">
      <c r="B6" s="2"/>
    </row>
    <row r="7" spans="1:37" ht="15" x14ac:dyDescent="0.25">
      <c r="B7">
        <v>2015</v>
      </c>
      <c r="C7">
        <f t="shared" ref="C7:AK7" si="0">B7+1</f>
        <v>2016</v>
      </c>
      <c r="D7">
        <f t="shared" si="0"/>
        <v>2017</v>
      </c>
      <c r="E7">
        <f t="shared" si="0"/>
        <v>2018</v>
      </c>
      <c r="F7">
        <f t="shared" si="0"/>
        <v>2019</v>
      </c>
      <c r="G7">
        <f t="shared" si="0"/>
        <v>2020</v>
      </c>
      <c r="H7">
        <f t="shared" si="0"/>
        <v>2021</v>
      </c>
      <c r="I7">
        <f t="shared" si="0"/>
        <v>2022</v>
      </c>
      <c r="J7">
        <f t="shared" si="0"/>
        <v>2023</v>
      </c>
      <c r="K7">
        <f t="shared" si="0"/>
        <v>2024</v>
      </c>
      <c r="L7">
        <f t="shared" si="0"/>
        <v>2025</v>
      </c>
      <c r="M7">
        <f t="shared" si="0"/>
        <v>2026</v>
      </c>
      <c r="N7">
        <f t="shared" si="0"/>
        <v>2027</v>
      </c>
      <c r="O7">
        <f t="shared" si="0"/>
        <v>2028</v>
      </c>
      <c r="P7">
        <f t="shared" si="0"/>
        <v>2029</v>
      </c>
      <c r="Q7">
        <f t="shared" si="0"/>
        <v>2030</v>
      </c>
      <c r="R7">
        <f t="shared" si="0"/>
        <v>2031</v>
      </c>
      <c r="S7">
        <f t="shared" si="0"/>
        <v>2032</v>
      </c>
      <c r="T7">
        <f t="shared" si="0"/>
        <v>2033</v>
      </c>
      <c r="U7">
        <f t="shared" si="0"/>
        <v>2034</v>
      </c>
      <c r="V7">
        <f t="shared" si="0"/>
        <v>2035</v>
      </c>
      <c r="W7">
        <f t="shared" si="0"/>
        <v>2036</v>
      </c>
      <c r="X7">
        <f t="shared" si="0"/>
        <v>2037</v>
      </c>
      <c r="Y7">
        <f t="shared" si="0"/>
        <v>2038</v>
      </c>
      <c r="Z7">
        <f t="shared" si="0"/>
        <v>2039</v>
      </c>
      <c r="AA7">
        <f t="shared" si="0"/>
        <v>2040</v>
      </c>
      <c r="AB7">
        <f t="shared" si="0"/>
        <v>2041</v>
      </c>
      <c r="AC7">
        <f t="shared" si="0"/>
        <v>2042</v>
      </c>
      <c r="AD7">
        <f t="shared" si="0"/>
        <v>2043</v>
      </c>
      <c r="AE7">
        <f t="shared" si="0"/>
        <v>2044</v>
      </c>
      <c r="AF7">
        <f t="shared" si="0"/>
        <v>2045</v>
      </c>
      <c r="AG7">
        <f t="shared" si="0"/>
        <v>2046</v>
      </c>
      <c r="AH7">
        <f t="shared" si="0"/>
        <v>2047</v>
      </c>
      <c r="AI7">
        <f t="shared" si="0"/>
        <v>2048</v>
      </c>
      <c r="AJ7">
        <f t="shared" si="0"/>
        <v>2049</v>
      </c>
      <c r="AK7">
        <f t="shared" si="0"/>
        <v>2050</v>
      </c>
    </row>
    <row r="8" spans="1:37" ht="15" x14ac:dyDescent="0.25">
      <c r="A8" t="s">
        <v>33</v>
      </c>
      <c r="B8" s="6">
        <v>5914756.48034399</v>
      </c>
      <c r="C8" s="6">
        <v>7222110.27192163</v>
      </c>
      <c r="D8" s="6">
        <v>8078340.3570744097</v>
      </c>
      <c r="E8" s="6">
        <v>8929928.7154344693</v>
      </c>
      <c r="F8" s="6">
        <v>9797108.4159482103</v>
      </c>
      <c r="G8" s="6">
        <v>10699092.227597101</v>
      </c>
      <c r="H8" s="6">
        <v>11799178.6186346</v>
      </c>
      <c r="I8" s="6">
        <v>13075671.3587733</v>
      </c>
      <c r="J8" s="6">
        <v>14519559.949002899</v>
      </c>
      <c r="K8" s="6">
        <v>16099143.3076616</v>
      </c>
      <c r="L8" s="6">
        <v>17926984.637540199</v>
      </c>
      <c r="M8" s="6">
        <v>19801785.146154702</v>
      </c>
      <c r="N8" s="6">
        <v>21870545.761023499</v>
      </c>
      <c r="O8" s="6">
        <v>24154357.1952723</v>
      </c>
      <c r="P8" s="6">
        <v>26672635.286906</v>
      </c>
      <c r="Q8" s="6">
        <v>29439905.334506501</v>
      </c>
      <c r="R8" s="6">
        <v>30311019.354979798</v>
      </c>
      <c r="S8" s="6">
        <v>31182369.052443001</v>
      </c>
      <c r="T8" s="6">
        <v>32056224.940388702</v>
      </c>
      <c r="U8" s="6">
        <v>32931938.5448002</v>
      </c>
      <c r="V8" s="6">
        <v>33821348.187555797</v>
      </c>
      <c r="W8" s="6">
        <v>34701095.474796697</v>
      </c>
      <c r="X8" s="6">
        <v>35589307.502160899</v>
      </c>
      <c r="Y8" s="6">
        <v>36459729.582427397</v>
      </c>
      <c r="Z8" s="6">
        <v>37343814.524903901</v>
      </c>
      <c r="AA8" s="6">
        <v>38212685.650000297</v>
      </c>
      <c r="AB8" s="6">
        <v>39086588.110593602</v>
      </c>
      <c r="AC8" s="6">
        <v>39957443.751423001</v>
      </c>
      <c r="AD8" s="6">
        <v>40828136.221256196</v>
      </c>
      <c r="AE8" s="6">
        <v>41698967.081907302</v>
      </c>
      <c r="AF8" s="6">
        <v>42569610.700651303</v>
      </c>
      <c r="AG8" s="6">
        <v>43440610.773964897</v>
      </c>
      <c r="AH8" s="6">
        <v>44313174.446842097</v>
      </c>
      <c r="AI8" s="6">
        <v>45183856.306614399</v>
      </c>
      <c r="AJ8" s="6">
        <v>46054490.485835597</v>
      </c>
      <c r="AK8" s="6">
        <v>46925272.916016497</v>
      </c>
    </row>
    <row r="9" spans="1:37" ht="15" x14ac:dyDescent="0.25">
      <c r="A9" t="s">
        <v>34</v>
      </c>
      <c r="B9">
        <v>3649</v>
      </c>
      <c r="C9">
        <v>4459</v>
      </c>
      <c r="D9">
        <v>4992</v>
      </c>
      <c r="E9">
        <v>5515</v>
      </c>
      <c r="F9">
        <v>6052</v>
      </c>
      <c r="G9">
        <v>6614</v>
      </c>
      <c r="H9">
        <v>7297</v>
      </c>
      <c r="I9">
        <v>8091</v>
      </c>
      <c r="J9">
        <v>8991</v>
      </c>
      <c r="K9">
        <v>9977</v>
      </c>
      <c r="L9">
        <v>11060</v>
      </c>
      <c r="M9">
        <v>12218</v>
      </c>
      <c r="N9">
        <v>13497</v>
      </c>
      <c r="O9">
        <v>14911</v>
      </c>
      <c r="P9">
        <v>16472</v>
      </c>
      <c r="Q9">
        <v>18197</v>
      </c>
      <c r="R9">
        <v>18737</v>
      </c>
      <c r="S9">
        <v>19278</v>
      </c>
      <c r="T9">
        <v>19818</v>
      </c>
      <c r="U9">
        <v>20358</v>
      </c>
      <c r="V9">
        <v>20898</v>
      </c>
      <c r="W9">
        <v>21438</v>
      </c>
      <c r="X9">
        <v>21978</v>
      </c>
      <c r="Y9">
        <v>22518</v>
      </c>
      <c r="Z9">
        <v>23059</v>
      </c>
      <c r="AA9">
        <v>23599</v>
      </c>
      <c r="AB9">
        <v>24139</v>
      </c>
      <c r="AC9">
        <v>24679</v>
      </c>
      <c r="AD9">
        <v>25219</v>
      </c>
      <c r="AE9">
        <v>25759</v>
      </c>
      <c r="AF9">
        <v>26299</v>
      </c>
      <c r="AG9">
        <v>26839</v>
      </c>
      <c r="AH9">
        <v>27380</v>
      </c>
      <c r="AI9">
        <v>27920</v>
      </c>
      <c r="AJ9">
        <v>28460</v>
      </c>
      <c r="AK9">
        <v>29000</v>
      </c>
    </row>
    <row r="10" spans="1:37" ht="15" x14ac:dyDescent="0.25">
      <c r="B10" s="2"/>
    </row>
    <row r="11" spans="1:37" ht="15" x14ac:dyDescent="0.25">
      <c r="B11" s="5" t="s">
        <v>17</v>
      </c>
    </row>
    <row r="12" spans="1:37" ht="15" x14ac:dyDescent="0.25">
      <c r="B12" t="s">
        <v>18</v>
      </c>
    </row>
    <row r="14" spans="1:37" ht="15" x14ac:dyDescent="0.25">
      <c r="B14" t="s">
        <v>43</v>
      </c>
    </row>
    <row r="15" spans="1:37" ht="15" x14ac:dyDescent="0.25">
      <c r="A15" t="s">
        <v>21</v>
      </c>
      <c r="B15" s="7">
        <v>0.66579999999999995</v>
      </c>
    </row>
    <row r="16" spans="1:37" ht="15" x14ac:dyDescent="0.25">
      <c r="A16" t="s">
        <v>24</v>
      </c>
      <c r="B16" s="8">
        <v>0.21410000000000001</v>
      </c>
    </row>
    <row r="17" spans="1:2" ht="15" x14ac:dyDescent="0.25">
      <c r="A17" t="s">
        <v>25</v>
      </c>
      <c r="B17" s="8">
        <f>1-B15-B16</f>
        <v>0.12010000000000004</v>
      </c>
    </row>
    <row r="20" spans="1:2" ht="15" x14ac:dyDescent="0.25">
      <c r="B20" s="5" t="s">
        <v>28</v>
      </c>
    </row>
    <row r="21" spans="1:2" ht="15" x14ac:dyDescent="0.25">
      <c r="B21" t="s">
        <v>32</v>
      </c>
    </row>
    <row r="23" spans="1:2" x14ac:dyDescent="0.35">
      <c r="A23" s="1" t="s">
        <v>31</v>
      </c>
    </row>
    <row r="24" spans="1:2" x14ac:dyDescent="0.35">
      <c r="A24" s="13" t="s">
        <v>29</v>
      </c>
      <c r="B24" s="14"/>
    </row>
    <row r="25" spans="1:2" x14ac:dyDescent="0.35">
      <c r="A25" t="s">
        <v>26</v>
      </c>
    </row>
    <row r="26" spans="1:2" x14ac:dyDescent="0.35">
      <c r="A26" t="s">
        <v>19</v>
      </c>
    </row>
    <row r="27" spans="1:2" x14ac:dyDescent="0.35">
      <c r="A27" t="s">
        <v>20</v>
      </c>
    </row>
    <row r="30" spans="1:2" x14ac:dyDescent="0.35">
      <c r="A30" s="4" t="s">
        <v>155</v>
      </c>
    </row>
    <row r="31" spans="1:2" x14ac:dyDescent="0.35">
      <c r="A31" s="4" t="s">
        <v>154</v>
      </c>
    </row>
    <row r="32" spans="1:2" x14ac:dyDescent="0.35">
      <c r="A32" s="4" t="s">
        <v>22</v>
      </c>
    </row>
    <row r="33" spans="1:1" x14ac:dyDescent="0.35">
      <c r="A33" s="4" t="s">
        <v>23</v>
      </c>
    </row>
    <row r="34" spans="1:1" x14ac:dyDescent="0.35">
      <c r="A34" s="4" t="s">
        <v>27</v>
      </c>
    </row>
    <row r="35" spans="1:1" x14ac:dyDescent="0.35">
      <c r="A35" s="4" t="s">
        <v>153</v>
      </c>
    </row>
    <row r="37" spans="1:1" x14ac:dyDescent="0.35">
      <c r="A37" s="4"/>
    </row>
    <row r="38" spans="1:1" x14ac:dyDescent="0.35">
      <c r="A38" s="4"/>
    </row>
    <row r="54" spans="2:2" x14ac:dyDescent="0.35">
      <c r="B54" t="s">
        <v>18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B9" sqref="B9"/>
    </sheetView>
  </sheetViews>
  <sheetFormatPr defaultRowHeight="14.5" x14ac:dyDescent="0.35"/>
  <cols>
    <col min="1" max="1" width="25.90625" customWidth="1"/>
    <col min="2" max="2" width="51.26953125" customWidth="1"/>
  </cols>
  <sheetData>
    <row r="1" spans="1:29" ht="15.5" x14ac:dyDescent="0.35">
      <c r="A1" s="40" t="s">
        <v>88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row>
    <row r="2" spans="1:29" ht="15.5" x14ac:dyDescent="0.35">
      <c r="A2" s="40" t="s">
        <v>89</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row>
    <row r="3" spans="1:29" x14ac:dyDescent="0.35">
      <c r="A3" s="41" t="s">
        <v>90</v>
      </c>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row>
    <row r="4" spans="1:29" ht="26" x14ac:dyDescent="0.35">
      <c r="A4" s="24" t="s">
        <v>91</v>
      </c>
      <c r="B4" s="24" t="s">
        <v>92</v>
      </c>
      <c r="C4" s="24" t="s">
        <v>93</v>
      </c>
      <c r="D4" s="24" t="s">
        <v>94</v>
      </c>
      <c r="E4" s="24" t="s">
        <v>95</v>
      </c>
      <c r="F4" s="24" t="s">
        <v>96</v>
      </c>
      <c r="G4" s="24" t="s">
        <v>97</v>
      </c>
      <c r="H4" s="24" t="s">
        <v>98</v>
      </c>
      <c r="I4" s="24" t="s">
        <v>99</v>
      </c>
      <c r="J4" s="24" t="s">
        <v>100</v>
      </c>
      <c r="K4" s="24" t="s">
        <v>101</v>
      </c>
      <c r="L4" s="24" t="s">
        <v>102</v>
      </c>
      <c r="M4" s="24" t="s">
        <v>103</v>
      </c>
      <c r="N4" s="24" t="s">
        <v>104</v>
      </c>
      <c r="O4" s="24" t="s">
        <v>105</v>
      </c>
      <c r="P4" s="24" t="s">
        <v>106</v>
      </c>
      <c r="Q4" s="24" t="s">
        <v>107</v>
      </c>
      <c r="R4" s="24" t="s">
        <v>108</v>
      </c>
      <c r="S4" s="24" t="s">
        <v>109</v>
      </c>
      <c r="T4" s="24" t="s">
        <v>110</v>
      </c>
      <c r="U4" s="24" t="s">
        <v>111</v>
      </c>
      <c r="V4" s="24" t="s">
        <v>112</v>
      </c>
      <c r="W4" s="24" t="s">
        <v>113</v>
      </c>
      <c r="X4" s="24" t="s">
        <v>114</v>
      </c>
      <c r="Y4" s="24" t="s">
        <v>115</v>
      </c>
      <c r="Z4" s="24" t="s">
        <v>116</v>
      </c>
      <c r="AA4" s="24" t="s">
        <v>117</v>
      </c>
      <c r="AB4" s="24" t="s">
        <v>118</v>
      </c>
      <c r="AC4" s="24" t="s">
        <v>119</v>
      </c>
    </row>
    <row r="5" spans="1:29" x14ac:dyDescent="0.35">
      <c r="A5" s="25" t="s">
        <v>120</v>
      </c>
      <c r="B5" s="26" t="s">
        <v>121</v>
      </c>
      <c r="C5" s="26" t="s">
        <v>121</v>
      </c>
      <c r="D5" s="26" t="s">
        <v>121</v>
      </c>
      <c r="E5" s="26" t="s">
        <v>121</v>
      </c>
      <c r="F5" s="26" t="s">
        <v>121</v>
      </c>
      <c r="G5" s="26" t="s">
        <v>121</v>
      </c>
      <c r="H5" s="26" t="s">
        <v>121</v>
      </c>
      <c r="I5" s="26" t="s">
        <v>121</v>
      </c>
      <c r="J5" s="26" t="s">
        <v>121</v>
      </c>
      <c r="K5" s="26" t="s">
        <v>121</v>
      </c>
      <c r="L5" s="26" t="s">
        <v>121</v>
      </c>
      <c r="M5" s="26" t="s">
        <v>121</v>
      </c>
      <c r="N5" s="26" t="s">
        <v>121</v>
      </c>
      <c r="O5" s="26" t="s">
        <v>121</v>
      </c>
      <c r="P5" s="26" t="s">
        <v>121</v>
      </c>
      <c r="Q5" s="26" t="s">
        <v>121</v>
      </c>
      <c r="R5" s="26" t="s">
        <v>121</v>
      </c>
      <c r="S5" s="26" t="s">
        <v>121</v>
      </c>
      <c r="T5" s="26" t="s">
        <v>121</v>
      </c>
      <c r="U5" s="26" t="s">
        <v>121</v>
      </c>
      <c r="V5" s="26" t="s">
        <v>121</v>
      </c>
      <c r="W5" s="26" t="s">
        <v>121</v>
      </c>
      <c r="X5" s="26" t="s">
        <v>121</v>
      </c>
      <c r="Y5" s="26" t="s">
        <v>121</v>
      </c>
      <c r="Z5" s="26" t="s">
        <v>121</v>
      </c>
      <c r="AA5" s="26" t="s">
        <v>121</v>
      </c>
      <c r="AB5" s="26" t="s">
        <v>121</v>
      </c>
      <c r="AC5" s="26" t="s">
        <v>121</v>
      </c>
    </row>
    <row r="6" spans="1:29" ht="26.5" x14ac:dyDescent="0.35">
      <c r="A6" s="25" t="s">
        <v>85</v>
      </c>
      <c r="B6" s="26" t="s">
        <v>121</v>
      </c>
      <c r="C6" s="26" t="s">
        <v>121</v>
      </c>
      <c r="D6" s="26" t="s">
        <v>121</v>
      </c>
      <c r="E6" s="26" t="s">
        <v>121</v>
      </c>
      <c r="F6" s="26" t="s">
        <v>121</v>
      </c>
      <c r="G6" s="26" t="s">
        <v>121</v>
      </c>
      <c r="H6" s="26" t="s">
        <v>121</v>
      </c>
      <c r="I6" s="26" t="s">
        <v>121</v>
      </c>
      <c r="J6" s="26" t="s">
        <v>121</v>
      </c>
      <c r="K6" s="26" t="s">
        <v>121</v>
      </c>
      <c r="L6" s="26" t="s">
        <v>121</v>
      </c>
      <c r="M6" s="26" t="s">
        <v>121</v>
      </c>
      <c r="N6" s="26" t="s">
        <v>121</v>
      </c>
      <c r="O6" s="26" t="s">
        <v>121</v>
      </c>
      <c r="P6" s="26" t="s">
        <v>121</v>
      </c>
      <c r="Q6" s="26" t="s">
        <v>121</v>
      </c>
      <c r="R6" s="26" t="s">
        <v>121</v>
      </c>
      <c r="S6" s="26" t="s">
        <v>121</v>
      </c>
      <c r="T6" s="26" t="s">
        <v>121</v>
      </c>
      <c r="U6" s="26" t="s">
        <v>121</v>
      </c>
      <c r="V6" s="26" t="s">
        <v>121</v>
      </c>
      <c r="W6" s="26" t="s">
        <v>121</v>
      </c>
      <c r="X6" s="26" t="s">
        <v>121</v>
      </c>
      <c r="Y6" s="26" t="s">
        <v>121</v>
      </c>
      <c r="Z6" s="26" t="s">
        <v>121</v>
      </c>
      <c r="AA6" s="26" t="s">
        <v>121</v>
      </c>
      <c r="AB6" s="26" t="s">
        <v>121</v>
      </c>
      <c r="AC6" s="26" t="s">
        <v>121</v>
      </c>
    </row>
    <row r="7" spans="1:29" ht="26" x14ac:dyDescent="0.35">
      <c r="A7" s="27" t="s">
        <v>122</v>
      </c>
      <c r="B7" s="28">
        <v>90422390</v>
      </c>
      <c r="C7" s="28">
        <v>81155619</v>
      </c>
      <c r="D7" s="28">
        <v>71150169</v>
      </c>
      <c r="E7" s="28">
        <v>71037135</v>
      </c>
      <c r="F7" s="28">
        <v>78407643</v>
      </c>
      <c r="G7" s="28">
        <v>82486064</v>
      </c>
      <c r="H7" s="28">
        <v>105360204</v>
      </c>
      <c r="I7" s="28">
        <v>96939535</v>
      </c>
      <c r="J7" s="28">
        <v>85123706</v>
      </c>
      <c r="K7" s="28">
        <v>83346844</v>
      </c>
      <c r="L7" s="28">
        <v>87348589</v>
      </c>
      <c r="M7" s="28">
        <v>100338454</v>
      </c>
      <c r="N7" s="28">
        <v>89348213</v>
      </c>
      <c r="O7" s="28">
        <v>75177122</v>
      </c>
      <c r="P7" s="28">
        <v>81728209</v>
      </c>
      <c r="Q7" s="28">
        <v>74588271</v>
      </c>
      <c r="R7" s="28">
        <v>70132656</v>
      </c>
      <c r="S7" s="28">
        <v>85856285</v>
      </c>
      <c r="T7" s="28">
        <v>87874809</v>
      </c>
      <c r="U7" s="28">
        <v>114926213</v>
      </c>
      <c r="V7" s="28">
        <v>112183063</v>
      </c>
      <c r="W7" s="28">
        <v>114706047</v>
      </c>
      <c r="X7" s="28">
        <v>121881402</v>
      </c>
      <c r="Y7" s="28">
        <v>126749186</v>
      </c>
      <c r="Z7" s="28">
        <v>125782063</v>
      </c>
      <c r="AA7" s="28">
        <v>119309725</v>
      </c>
      <c r="AB7" s="28">
        <v>104967938</v>
      </c>
      <c r="AC7" s="28">
        <v>114528000</v>
      </c>
    </row>
    <row r="8" spans="1:29" ht="63.5" x14ac:dyDescent="0.35">
      <c r="A8" s="27" t="s">
        <v>123</v>
      </c>
      <c r="B8" s="28">
        <v>83476197</v>
      </c>
      <c r="C8" s="28">
        <v>82582662</v>
      </c>
      <c r="D8" s="28">
        <v>90907434</v>
      </c>
      <c r="E8" s="28">
        <v>89576573</v>
      </c>
      <c r="F8" s="28">
        <v>86201998</v>
      </c>
      <c r="G8" s="28">
        <v>80574100</v>
      </c>
      <c r="H8" s="28">
        <v>58255052</v>
      </c>
      <c r="I8" s="28">
        <v>69294065</v>
      </c>
      <c r="J8" s="28">
        <v>80766990</v>
      </c>
      <c r="K8" s="28">
        <v>85067386</v>
      </c>
      <c r="L8" s="28">
        <v>82490841</v>
      </c>
      <c r="M8" s="28">
        <v>76508931</v>
      </c>
      <c r="N8" s="28">
        <v>68720587</v>
      </c>
      <c r="O8" s="28">
        <v>75927726</v>
      </c>
      <c r="P8" s="28">
        <v>65429324</v>
      </c>
      <c r="Q8" s="28">
        <v>63545451</v>
      </c>
      <c r="R8" s="28">
        <v>88665145</v>
      </c>
      <c r="S8" s="28">
        <v>78995767</v>
      </c>
      <c r="T8" s="28">
        <v>57911793</v>
      </c>
      <c r="U8" s="28">
        <v>31928915</v>
      </c>
      <c r="V8" s="28">
        <v>18586854</v>
      </c>
      <c r="W8" s="28">
        <v>19079663</v>
      </c>
      <c r="X8" s="28">
        <v>18956807</v>
      </c>
      <c r="Y8" s="28">
        <v>18752093</v>
      </c>
      <c r="Z8" s="28">
        <v>20462154</v>
      </c>
      <c r="AA8" s="28">
        <v>17919147</v>
      </c>
      <c r="AB8" s="28">
        <v>17428214</v>
      </c>
      <c r="AC8" s="28">
        <v>15407379</v>
      </c>
    </row>
    <row r="9" spans="1:29" ht="26" x14ac:dyDescent="0.35">
      <c r="A9" s="27" t="s">
        <v>124</v>
      </c>
      <c r="B9" s="28">
        <v>15865433</v>
      </c>
      <c r="C9" s="28">
        <v>16664260</v>
      </c>
      <c r="D9" s="28">
        <v>17246706</v>
      </c>
      <c r="E9" s="28">
        <v>20207580</v>
      </c>
      <c r="F9" s="28">
        <v>16905498</v>
      </c>
      <c r="G9" s="28">
        <v>18163487</v>
      </c>
      <c r="H9" s="28">
        <v>18656710</v>
      </c>
      <c r="I9" s="28">
        <v>19582003</v>
      </c>
      <c r="J9" s="28">
        <v>21008878</v>
      </c>
      <c r="K9" s="28">
        <v>21534860</v>
      </c>
      <c r="L9" s="28">
        <v>22341666</v>
      </c>
      <c r="M9" s="28">
        <v>21399211</v>
      </c>
      <c r="N9" s="28">
        <v>23458694</v>
      </c>
      <c r="O9" s="28">
        <v>24566735</v>
      </c>
      <c r="P9" s="28">
        <v>25458401</v>
      </c>
      <c r="Q9" s="28">
        <v>26975628</v>
      </c>
      <c r="R9" s="28">
        <v>21304838</v>
      </c>
      <c r="S9" s="28">
        <v>23410478</v>
      </c>
      <c r="T9" s="28">
        <v>22963928</v>
      </c>
      <c r="U9" s="28">
        <v>23266896</v>
      </c>
      <c r="V9" s="28">
        <v>21931565</v>
      </c>
      <c r="W9" s="28">
        <v>21512982</v>
      </c>
      <c r="X9" s="28">
        <v>21690967</v>
      </c>
      <c r="Y9" s="28">
        <v>21641993</v>
      </c>
      <c r="Z9" s="28">
        <v>21598133</v>
      </c>
      <c r="AA9" s="28">
        <v>21148684</v>
      </c>
      <c r="AB9" s="28">
        <v>19021491</v>
      </c>
      <c r="AC9" s="28">
        <v>17547076</v>
      </c>
    </row>
    <row r="10" spans="1:29" ht="78.5" x14ac:dyDescent="0.35">
      <c r="A10" s="29" t="s">
        <v>125</v>
      </c>
      <c r="B10" s="30">
        <v>189764020</v>
      </c>
      <c r="C10" s="30">
        <v>180402541</v>
      </c>
      <c r="D10" s="30">
        <v>179304309</v>
      </c>
      <c r="E10" s="30">
        <v>180821288</v>
      </c>
      <c r="F10" s="30">
        <v>181515139</v>
      </c>
      <c r="G10" s="30">
        <v>181223651</v>
      </c>
      <c r="H10" s="30">
        <v>182271967</v>
      </c>
      <c r="I10" s="30">
        <v>185815603</v>
      </c>
      <c r="J10" s="30">
        <v>186899573</v>
      </c>
      <c r="K10" s="30">
        <v>189949090</v>
      </c>
      <c r="L10" s="30">
        <v>192181096</v>
      </c>
      <c r="M10" s="30">
        <v>198246596</v>
      </c>
      <c r="N10" s="30">
        <v>181527493</v>
      </c>
      <c r="O10" s="30">
        <v>175671583</v>
      </c>
      <c r="P10" s="30">
        <v>172615934</v>
      </c>
      <c r="Q10" s="30">
        <v>165109350</v>
      </c>
      <c r="R10" s="30">
        <v>180102640</v>
      </c>
      <c r="S10" s="30">
        <v>188262531</v>
      </c>
      <c r="T10" s="30">
        <v>168750531</v>
      </c>
      <c r="U10" s="30">
        <v>170122024</v>
      </c>
      <c r="V10" s="30">
        <v>152701482</v>
      </c>
      <c r="W10" s="30">
        <v>155298692</v>
      </c>
      <c r="X10" s="30">
        <v>162529176</v>
      </c>
      <c r="Y10" s="30">
        <v>167143271</v>
      </c>
      <c r="Z10" s="30">
        <v>167842349</v>
      </c>
      <c r="AA10" s="30">
        <v>158377557</v>
      </c>
      <c r="AB10" s="30">
        <v>141417643</v>
      </c>
      <c r="AC10" s="30">
        <v>147482454</v>
      </c>
    </row>
    <row r="11" spans="1:29" ht="76" x14ac:dyDescent="0.35">
      <c r="A11" s="27" t="s">
        <v>126</v>
      </c>
      <c r="B11" s="28">
        <v>2867261</v>
      </c>
      <c r="C11" s="28">
        <v>2858960</v>
      </c>
      <c r="D11" s="28">
        <v>2888734</v>
      </c>
      <c r="E11" s="28">
        <v>2802160</v>
      </c>
      <c r="F11" s="28">
        <v>2761572</v>
      </c>
      <c r="G11" s="28">
        <v>2894426</v>
      </c>
      <c r="H11" s="28">
        <v>2880277</v>
      </c>
      <c r="I11" s="28">
        <v>2300044</v>
      </c>
      <c r="J11" s="28">
        <v>2243754</v>
      </c>
      <c r="K11" s="28">
        <v>2100480</v>
      </c>
      <c r="L11" s="28">
        <v>2130746</v>
      </c>
      <c r="M11" s="28">
        <v>2118380</v>
      </c>
      <c r="N11" s="28">
        <v>2150876</v>
      </c>
      <c r="O11" s="28">
        <v>1917669</v>
      </c>
      <c r="P11" s="28">
        <v>2070584</v>
      </c>
      <c r="Q11" s="28">
        <v>1958497</v>
      </c>
      <c r="R11" s="28">
        <v>1824899</v>
      </c>
      <c r="S11" s="28">
        <v>2103807</v>
      </c>
      <c r="T11" s="28">
        <v>2024081</v>
      </c>
      <c r="U11" s="28">
        <v>2037539</v>
      </c>
      <c r="V11" s="28">
        <v>2031715</v>
      </c>
      <c r="W11" s="28">
        <v>2118233</v>
      </c>
      <c r="X11" s="28">
        <v>2080608</v>
      </c>
      <c r="Y11" s="28">
        <v>2063102</v>
      </c>
      <c r="Z11" s="28">
        <v>1754267</v>
      </c>
      <c r="AA11" s="28">
        <v>1738325</v>
      </c>
      <c r="AB11" s="28">
        <v>1586533</v>
      </c>
      <c r="AC11" s="28">
        <v>1730302</v>
      </c>
    </row>
    <row r="12" spans="1:29" ht="26" x14ac:dyDescent="0.35">
      <c r="A12" s="27" t="s">
        <v>127</v>
      </c>
      <c r="B12" s="28">
        <v>13515111</v>
      </c>
      <c r="C12" s="28">
        <v>13701715</v>
      </c>
      <c r="D12" s="28">
        <v>14510816</v>
      </c>
      <c r="E12" s="28">
        <v>15184174</v>
      </c>
      <c r="F12" s="28">
        <v>15800404</v>
      </c>
      <c r="G12" s="28">
        <v>15400490</v>
      </c>
      <c r="H12" s="28">
        <v>15652598</v>
      </c>
      <c r="I12" s="28">
        <v>16009948</v>
      </c>
      <c r="J12" s="28">
        <v>15632805</v>
      </c>
      <c r="K12" s="28">
        <v>15934693</v>
      </c>
      <c r="L12" s="28">
        <v>16535739</v>
      </c>
      <c r="M12" s="28">
        <v>16433712</v>
      </c>
      <c r="N12" s="28">
        <v>16614449</v>
      </c>
      <c r="O12" s="28">
        <v>17191102</v>
      </c>
      <c r="P12" s="28">
        <v>18102025</v>
      </c>
      <c r="Q12" s="28">
        <v>17142183</v>
      </c>
      <c r="R12" s="28">
        <v>16668548</v>
      </c>
      <c r="S12" s="28">
        <v>17716145</v>
      </c>
      <c r="T12" s="28">
        <v>17544608</v>
      </c>
      <c r="U12" s="28">
        <v>17441143</v>
      </c>
      <c r="V12" s="28">
        <v>18064398</v>
      </c>
      <c r="W12" s="28">
        <v>17846277</v>
      </c>
      <c r="X12" s="28">
        <v>16853559</v>
      </c>
      <c r="Y12" s="28">
        <v>16985617</v>
      </c>
      <c r="Z12" s="28">
        <v>17394028</v>
      </c>
      <c r="AA12" s="28">
        <v>17039576</v>
      </c>
      <c r="AB12" s="28">
        <v>15943468</v>
      </c>
      <c r="AC12" s="28">
        <v>16572153</v>
      </c>
    </row>
    <row r="13" spans="1:29" ht="26.5" x14ac:dyDescent="0.35">
      <c r="A13" s="29" t="s">
        <v>128</v>
      </c>
      <c r="B13" s="30">
        <v>16382372</v>
      </c>
      <c r="C13" s="30">
        <v>16560674</v>
      </c>
      <c r="D13" s="30">
        <v>17399549</v>
      </c>
      <c r="E13" s="30">
        <v>17986334</v>
      </c>
      <c r="F13" s="30">
        <v>18561976</v>
      </c>
      <c r="G13" s="30">
        <v>18294916</v>
      </c>
      <c r="H13" s="30">
        <v>18532875</v>
      </c>
      <c r="I13" s="30">
        <v>18309992</v>
      </c>
      <c r="J13" s="30">
        <v>17876559</v>
      </c>
      <c r="K13" s="30">
        <v>18035173</v>
      </c>
      <c r="L13" s="30">
        <v>18666485</v>
      </c>
      <c r="M13" s="30">
        <v>18552092</v>
      </c>
      <c r="N13" s="30">
        <v>18765325</v>
      </c>
      <c r="O13" s="30">
        <v>19108772</v>
      </c>
      <c r="P13" s="30">
        <v>20172608</v>
      </c>
      <c r="Q13" s="30">
        <v>19100680</v>
      </c>
      <c r="R13" s="30">
        <v>18493447</v>
      </c>
      <c r="S13" s="30">
        <v>19819952</v>
      </c>
      <c r="T13" s="30">
        <v>19568689</v>
      </c>
      <c r="U13" s="30">
        <v>19478682</v>
      </c>
      <c r="V13" s="30">
        <v>20096113</v>
      </c>
      <c r="W13" s="30">
        <v>19964510</v>
      </c>
      <c r="X13" s="30">
        <v>18934168</v>
      </c>
      <c r="Y13" s="30">
        <v>19048718</v>
      </c>
      <c r="Z13" s="30">
        <v>19148295</v>
      </c>
      <c r="AA13" s="30">
        <v>18777902</v>
      </c>
      <c r="AB13" s="30">
        <v>17530001</v>
      </c>
      <c r="AC13" s="30">
        <v>18302455</v>
      </c>
    </row>
    <row r="14" spans="1:29" x14ac:dyDescent="0.35">
      <c r="A14" s="29" t="s">
        <v>129</v>
      </c>
      <c r="B14" s="30">
        <v>206146392</v>
      </c>
      <c r="C14" s="30">
        <v>196963215</v>
      </c>
      <c r="D14" s="30">
        <v>196703858</v>
      </c>
      <c r="E14" s="30">
        <v>198807622</v>
      </c>
      <c r="F14" s="30">
        <v>200077115</v>
      </c>
      <c r="G14" s="30">
        <v>199518567</v>
      </c>
      <c r="H14" s="30">
        <v>200804842</v>
      </c>
      <c r="I14" s="30">
        <v>204125596</v>
      </c>
      <c r="J14" s="30">
        <v>204776132</v>
      </c>
      <c r="K14" s="30">
        <v>207984263</v>
      </c>
      <c r="L14" s="30">
        <v>210847581</v>
      </c>
      <c r="M14" s="30">
        <v>216798688</v>
      </c>
      <c r="N14" s="30">
        <v>200292818</v>
      </c>
      <c r="O14" s="30">
        <v>194780355</v>
      </c>
      <c r="P14" s="30">
        <v>192788542</v>
      </c>
      <c r="Q14" s="30">
        <v>184210030</v>
      </c>
      <c r="R14" s="30">
        <v>198596086</v>
      </c>
      <c r="S14" s="30">
        <v>208082483</v>
      </c>
      <c r="T14" s="30">
        <v>188319220</v>
      </c>
      <c r="U14" s="30">
        <v>189600707</v>
      </c>
      <c r="V14" s="30">
        <v>172797595</v>
      </c>
      <c r="W14" s="30">
        <v>175263202</v>
      </c>
      <c r="X14" s="30">
        <v>181463344</v>
      </c>
      <c r="Y14" s="30">
        <v>186191990</v>
      </c>
      <c r="Z14" s="30">
        <v>186990645</v>
      </c>
      <c r="AA14" s="30">
        <v>177155458</v>
      </c>
      <c r="AB14" s="30">
        <v>158947644</v>
      </c>
      <c r="AC14" s="30">
        <v>165784910</v>
      </c>
    </row>
    <row r="15" spans="1:29" x14ac:dyDescent="0.35">
      <c r="A15" s="29" t="s">
        <v>130</v>
      </c>
      <c r="B15" s="30">
        <v>14702518</v>
      </c>
      <c r="C15" s="30">
        <v>13852509</v>
      </c>
      <c r="D15" s="30">
        <v>13782398</v>
      </c>
      <c r="E15" s="30">
        <v>12369304</v>
      </c>
      <c r="F15" s="30">
        <v>12414327</v>
      </c>
      <c r="G15" s="30">
        <v>8572815</v>
      </c>
      <c r="H15" s="30">
        <v>6269511</v>
      </c>
      <c r="I15" s="30">
        <v>3473583</v>
      </c>
      <c r="J15" s="30">
        <v>3047148</v>
      </c>
      <c r="K15" s="30">
        <v>5369534</v>
      </c>
      <c r="L15" s="30">
        <v>5797464</v>
      </c>
      <c r="M15" s="30">
        <v>2936453</v>
      </c>
      <c r="N15" s="30">
        <v>5630145</v>
      </c>
      <c r="O15" s="30">
        <v>1291005</v>
      </c>
      <c r="P15" s="30">
        <v>4148401</v>
      </c>
      <c r="Q15" s="30">
        <v>2066517</v>
      </c>
      <c r="R15" s="30">
        <v>3419761</v>
      </c>
      <c r="S15" s="30">
        <v>5507197</v>
      </c>
      <c r="T15" s="30">
        <v>1452368</v>
      </c>
      <c r="U15" s="30">
        <v>1351861</v>
      </c>
      <c r="V15" s="30">
        <v>1671365</v>
      </c>
      <c r="W15" s="30">
        <v>1511802</v>
      </c>
      <c r="X15" s="30">
        <v>1967163</v>
      </c>
      <c r="Y15" s="30">
        <v>2157144</v>
      </c>
      <c r="Z15" s="30">
        <v>2012553</v>
      </c>
      <c r="AA15" s="30">
        <v>2098414</v>
      </c>
      <c r="AB15" s="30">
        <v>3157871</v>
      </c>
      <c r="AC15" s="30">
        <v>5142187</v>
      </c>
    </row>
    <row r="16" spans="1:29" x14ac:dyDescent="0.35">
      <c r="A16" s="29" t="s">
        <v>131</v>
      </c>
      <c r="B16" s="30">
        <v>65379559</v>
      </c>
      <c r="C16" s="30">
        <v>79120785</v>
      </c>
      <c r="D16" s="30">
        <v>79365599</v>
      </c>
      <c r="E16" s="30">
        <v>79719494</v>
      </c>
      <c r="F16" s="30">
        <v>79230733</v>
      </c>
      <c r="G16" s="30">
        <v>80838776</v>
      </c>
      <c r="H16" s="30">
        <v>83293067</v>
      </c>
      <c r="I16" s="30">
        <v>79672430</v>
      </c>
      <c r="J16" s="30">
        <v>81172934</v>
      </c>
      <c r="K16" s="30">
        <v>89599755</v>
      </c>
      <c r="L16" s="30">
        <v>77964366</v>
      </c>
      <c r="M16" s="30">
        <v>73427499</v>
      </c>
      <c r="N16" s="30">
        <v>77562381</v>
      </c>
      <c r="O16" s="30">
        <v>86931066</v>
      </c>
      <c r="P16" s="30">
        <v>73900695</v>
      </c>
      <c r="Q16" s="30">
        <v>76698186</v>
      </c>
      <c r="R16" s="30">
        <v>72558322</v>
      </c>
      <c r="S16" s="30">
        <v>62164770</v>
      </c>
      <c r="T16" s="30">
        <v>75539862</v>
      </c>
      <c r="U16" s="30">
        <v>75113861</v>
      </c>
      <c r="V16" s="30">
        <v>81298045</v>
      </c>
      <c r="W16" s="30">
        <v>68517774</v>
      </c>
      <c r="X16" s="30">
        <v>56119146</v>
      </c>
      <c r="Y16" s="30">
        <v>51419244</v>
      </c>
      <c r="Z16" s="30">
        <v>48214715</v>
      </c>
      <c r="AA16" s="30">
        <v>60974474</v>
      </c>
      <c r="AB16" s="30">
        <v>71767013</v>
      </c>
      <c r="AC16" s="30">
        <v>66087034</v>
      </c>
    </row>
    <row r="17" spans="1:29" x14ac:dyDescent="0.35">
      <c r="A17" s="31" t="s">
        <v>132</v>
      </c>
      <c r="B17" s="32">
        <v>286228469</v>
      </c>
      <c r="C17" s="32">
        <v>289936509</v>
      </c>
      <c r="D17" s="32">
        <v>289851855</v>
      </c>
      <c r="E17" s="32">
        <v>290896420</v>
      </c>
      <c r="F17" s="32">
        <v>291722175</v>
      </c>
      <c r="G17" s="32">
        <v>288930158</v>
      </c>
      <c r="H17" s="32">
        <v>290367420</v>
      </c>
      <c r="I17" s="32">
        <v>287271609</v>
      </c>
      <c r="J17" s="32">
        <v>288996214</v>
      </c>
      <c r="K17" s="32">
        <v>302953552</v>
      </c>
      <c r="L17" s="32">
        <v>294609411</v>
      </c>
      <c r="M17" s="32">
        <v>293162640</v>
      </c>
      <c r="N17" s="32">
        <v>283485344</v>
      </c>
      <c r="O17" s="32">
        <v>283002426</v>
      </c>
      <c r="P17" s="32">
        <v>270837638</v>
      </c>
      <c r="Q17" s="32">
        <v>262974733</v>
      </c>
      <c r="R17" s="32">
        <v>274574169</v>
      </c>
      <c r="S17" s="32">
        <v>275754450</v>
      </c>
      <c r="T17" s="32">
        <v>265311450</v>
      </c>
      <c r="U17" s="32">
        <v>266066429</v>
      </c>
      <c r="V17" s="32">
        <v>255767005</v>
      </c>
      <c r="W17" s="32">
        <v>245292778</v>
      </c>
      <c r="X17" s="32">
        <v>239549653</v>
      </c>
      <c r="Y17" s="32">
        <v>239768378</v>
      </c>
      <c r="Z17" s="32">
        <v>237217913</v>
      </c>
      <c r="AA17" s="32">
        <v>240228346</v>
      </c>
      <c r="AB17" s="32">
        <v>233872528</v>
      </c>
      <c r="AC17" s="32">
        <v>237014131</v>
      </c>
    </row>
    <row r="18" spans="1:29" x14ac:dyDescent="0.35">
      <c r="A18" s="25" t="s">
        <v>133</v>
      </c>
      <c r="B18" s="26" t="s">
        <v>121</v>
      </c>
      <c r="C18" s="26" t="s">
        <v>121</v>
      </c>
      <c r="D18" s="26" t="s">
        <v>121</v>
      </c>
      <c r="E18" s="26" t="s">
        <v>121</v>
      </c>
      <c r="F18" s="26" t="s">
        <v>121</v>
      </c>
      <c r="G18" s="26" t="s">
        <v>121</v>
      </c>
      <c r="H18" s="26" t="s">
        <v>121</v>
      </c>
      <c r="I18" s="26" t="s">
        <v>121</v>
      </c>
      <c r="J18" s="26" t="s">
        <v>121</v>
      </c>
      <c r="K18" s="26" t="s">
        <v>121</v>
      </c>
      <c r="L18" s="26" t="s">
        <v>121</v>
      </c>
      <c r="M18" s="26" t="s">
        <v>121</v>
      </c>
      <c r="N18" s="26" t="s">
        <v>121</v>
      </c>
      <c r="O18" s="26" t="s">
        <v>121</v>
      </c>
      <c r="P18" s="26" t="s">
        <v>121</v>
      </c>
      <c r="Q18" s="26" t="s">
        <v>121</v>
      </c>
      <c r="R18" s="26" t="s">
        <v>121</v>
      </c>
      <c r="S18" s="26" t="s">
        <v>121</v>
      </c>
      <c r="T18" s="26" t="s">
        <v>121</v>
      </c>
      <c r="U18" s="26" t="s">
        <v>121</v>
      </c>
      <c r="V18" s="26" t="s">
        <v>121</v>
      </c>
      <c r="W18" s="26" t="s">
        <v>121</v>
      </c>
      <c r="X18" s="26" t="s">
        <v>121</v>
      </c>
      <c r="Y18" s="26" t="s">
        <v>121</v>
      </c>
      <c r="Z18" s="26" t="s">
        <v>121</v>
      </c>
      <c r="AA18" s="26" t="s">
        <v>121</v>
      </c>
      <c r="AB18" s="26" t="s">
        <v>121</v>
      </c>
      <c r="AC18" s="26" t="s">
        <v>121</v>
      </c>
    </row>
    <row r="19" spans="1:29" x14ac:dyDescent="0.35">
      <c r="A19" s="25" t="s">
        <v>134</v>
      </c>
      <c r="B19" s="26" t="s">
        <v>121</v>
      </c>
      <c r="C19" s="26" t="s">
        <v>121</v>
      </c>
      <c r="D19" s="26" t="s">
        <v>121</v>
      </c>
      <c r="E19" s="26" t="s">
        <v>121</v>
      </c>
      <c r="F19" s="26" t="s">
        <v>121</v>
      </c>
      <c r="G19" s="26" t="s">
        <v>121</v>
      </c>
      <c r="H19" s="26" t="s">
        <v>121</v>
      </c>
      <c r="I19" s="26" t="s">
        <v>121</v>
      </c>
      <c r="J19" s="26" t="s">
        <v>121</v>
      </c>
      <c r="K19" s="26" t="s">
        <v>121</v>
      </c>
      <c r="L19" s="26" t="s">
        <v>121</v>
      </c>
      <c r="M19" s="26" t="s">
        <v>121</v>
      </c>
      <c r="N19" s="26" t="s">
        <v>121</v>
      </c>
      <c r="O19" s="26" t="s">
        <v>121</v>
      </c>
      <c r="P19" s="26" t="s">
        <v>121</v>
      </c>
      <c r="Q19" s="26" t="s">
        <v>121</v>
      </c>
      <c r="R19" s="26" t="s">
        <v>121</v>
      </c>
      <c r="S19" s="26" t="s">
        <v>121</v>
      </c>
      <c r="T19" s="26" t="s">
        <v>121</v>
      </c>
      <c r="U19" s="26" t="s">
        <v>121</v>
      </c>
      <c r="V19" s="26" t="s">
        <v>121</v>
      </c>
      <c r="W19" s="26" t="s">
        <v>121</v>
      </c>
      <c r="X19" s="26" t="s">
        <v>121</v>
      </c>
      <c r="Y19" s="26" t="s">
        <v>121</v>
      </c>
      <c r="Z19" s="26" t="s">
        <v>121</v>
      </c>
      <c r="AA19" s="26" t="s">
        <v>121</v>
      </c>
      <c r="AB19" s="26" t="s">
        <v>121</v>
      </c>
      <c r="AC19" s="26" t="s">
        <v>121</v>
      </c>
    </row>
    <row r="20" spans="1:29" x14ac:dyDescent="0.35">
      <c r="A20" s="27" t="s">
        <v>135</v>
      </c>
      <c r="B20" s="28">
        <v>219016574</v>
      </c>
      <c r="C20" s="28">
        <v>225905190</v>
      </c>
      <c r="D20" s="28">
        <v>230583822</v>
      </c>
      <c r="E20" s="28">
        <v>232926669</v>
      </c>
      <c r="F20" s="28">
        <v>231450940</v>
      </c>
      <c r="G20" s="28">
        <v>234402668</v>
      </c>
      <c r="H20" s="28">
        <v>238976375</v>
      </c>
      <c r="I20" s="28">
        <v>239499450</v>
      </c>
      <c r="J20" s="28">
        <v>240471321</v>
      </c>
      <c r="K20" s="28">
        <v>248104619</v>
      </c>
      <c r="L20" s="28">
        <v>243033693</v>
      </c>
      <c r="M20" s="28">
        <v>239307133</v>
      </c>
      <c r="N20" s="28">
        <v>228581569</v>
      </c>
      <c r="O20" s="28">
        <v>225895922</v>
      </c>
      <c r="P20" s="28">
        <v>217640863</v>
      </c>
      <c r="Q20" s="28">
        <v>212571987</v>
      </c>
      <c r="R20" s="28">
        <v>237660910</v>
      </c>
      <c r="S20" s="28">
        <v>221322575</v>
      </c>
      <c r="T20" s="28">
        <v>211981140</v>
      </c>
      <c r="U20" s="28">
        <v>226395687</v>
      </c>
      <c r="V20" s="28">
        <v>227876239</v>
      </c>
      <c r="W20" s="28">
        <v>218112485</v>
      </c>
      <c r="X20" s="28">
        <v>212604724</v>
      </c>
      <c r="Y20" s="28">
        <v>213684302</v>
      </c>
      <c r="Z20" s="28">
        <v>210499926</v>
      </c>
      <c r="AA20" s="28">
        <v>213447241</v>
      </c>
      <c r="AB20" s="28">
        <v>208650489</v>
      </c>
      <c r="AC20" s="28">
        <v>211092922</v>
      </c>
    </row>
    <row r="21" spans="1:29" x14ac:dyDescent="0.35">
      <c r="A21" s="27" t="s">
        <v>136</v>
      </c>
      <c r="B21" s="28">
        <v>36314488</v>
      </c>
      <c r="C21" s="28">
        <v>29284561</v>
      </c>
      <c r="D21" s="28">
        <v>28822648</v>
      </c>
      <c r="E21" s="28">
        <v>26993982</v>
      </c>
      <c r="F21" s="28">
        <v>25552182</v>
      </c>
      <c r="G21" s="28">
        <v>24193157</v>
      </c>
      <c r="H21" s="28">
        <v>22120408</v>
      </c>
      <c r="I21" s="28">
        <v>17576741</v>
      </c>
      <c r="J21" s="28">
        <v>17036043</v>
      </c>
      <c r="K21" s="28">
        <v>18661682</v>
      </c>
      <c r="L21" s="28">
        <v>19618460</v>
      </c>
      <c r="M21" s="28">
        <v>21223282</v>
      </c>
      <c r="N21" s="28">
        <v>23406325</v>
      </c>
      <c r="O21" s="28">
        <v>24625312</v>
      </c>
      <c r="P21" s="28">
        <v>23896284</v>
      </c>
      <c r="Q21" s="28">
        <v>22641345</v>
      </c>
      <c r="R21" s="28">
        <v>10097868</v>
      </c>
      <c r="S21" s="28">
        <v>22734627</v>
      </c>
      <c r="T21" s="28">
        <v>22849739</v>
      </c>
      <c r="U21" s="28">
        <v>10038283</v>
      </c>
      <c r="V21" s="28">
        <v>3887</v>
      </c>
      <c r="W21" s="28">
        <v>0</v>
      </c>
      <c r="X21" s="28">
        <v>0</v>
      </c>
      <c r="Y21" s="28">
        <v>0</v>
      </c>
      <c r="Z21" s="28">
        <v>0</v>
      </c>
      <c r="AA21" s="28">
        <v>0</v>
      </c>
      <c r="AB21" s="28">
        <v>0</v>
      </c>
      <c r="AC21" s="28">
        <v>0</v>
      </c>
    </row>
    <row r="22" spans="1:29" x14ac:dyDescent="0.35">
      <c r="A22" s="27" t="s">
        <v>137</v>
      </c>
      <c r="B22" s="28">
        <v>1936875</v>
      </c>
      <c r="C22" s="28">
        <v>1656884</v>
      </c>
      <c r="D22" s="28">
        <v>1763967</v>
      </c>
      <c r="E22" s="28">
        <v>2664135</v>
      </c>
      <c r="F22" s="28">
        <v>4521789</v>
      </c>
      <c r="G22" s="28">
        <v>942213</v>
      </c>
      <c r="H22" s="28">
        <v>844917</v>
      </c>
      <c r="I22" s="28">
        <v>1454701</v>
      </c>
      <c r="J22" s="28">
        <v>2076259</v>
      </c>
      <c r="K22" s="28">
        <v>1388918</v>
      </c>
      <c r="L22" s="28">
        <v>1582758</v>
      </c>
      <c r="M22" s="28">
        <v>2428113</v>
      </c>
      <c r="N22" s="28">
        <v>2261613</v>
      </c>
      <c r="O22" s="28">
        <v>1504739</v>
      </c>
      <c r="P22" s="28">
        <v>1684169</v>
      </c>
      <c r="Q22" s="28">
        <v>855473</v>
      </c>
      <c r="R22" s="28">
        <v>0</v>
      </c>
      <c r="S22" s="28">
        <v>0</v>
      </c>
      <c r="T22" s="28">
        <v>0</v>
      </c>
      <c r="U22" s="28">
        <v>0</v>
      </c>
      <c r="V22" s="28">
        <v>0</v>
      </c>
      <c r="W22" s="28">
        <v>0</v>
      </c>
      <c r="X22" s="28">
        <v>0</v>
      </c>
      <c r="Y22" s="28">
        <v>0</v>
      </c>
      <c r="Z22" s="28">
        <v>0</v>
      </c>
      <c r="AA22" s="28">
        <v>0</v>
      </c>
      <c r="AB22" s="28">
        <v>0</v>
      </c>
      <c r="AC22" s="28">
        <v>0</v>
      </c>
    </row>
    <row r="23" spans="1:29" ht="26.5" x14ac:dyDescent="0.35">
      <c r="A23" s="29" t="s">
        <v>138</v>
      </c>
      <c r="B23" s="30">
        <v>257267937</v>
      </c>
      <c r="C23" s="30">
        <v>256846635</v>
      </c>
      <c r="D23" s="30">
        <v>261170437</v>
      </c>
      <c r="E23" s="30">
        <v>262584786</v>
      </c>
      <c r="F23" s="30">
        <v>261524911</v>
      </c>
      <c r="G23" s="30">
        <v>259538038</v>
      </c>
      <c r="H23" s="30">
        <v>261941700</v>
      </c>
      <c r="I23" s="30">
        <v>258530892</v>
      </c>
      <c r="J23" s="30">
        <v>259583623</v>
      </c>
      <c r="K23" s="30">
        <v>268155219</v>
      </c>
      <c r="L23" s="30">
        <v>264234911</v>
      </c>
      <c r="M23" s="30">
        <v>262958528</v>
      </c>
      <c r="N23" s="30">
        <v>254249507</v>
      </c>
      <c r="O23" s="30">
        <v>252025973</v>
      </c>
      <c r="P23" s="30">
        <v>243221316</v>
      </c>
      <c r="Q23" s="30">
        <v>236068805</v>
      </c>
      <c r="R23" s="30">
        <v>247758778</v>
      </c>
      <c r="S23" s="30">
        <v>244057202</v>
      </c>
      <c r="T23" s="30">
        <v>234830879</v>
      </c>
      <c r="U23" s="30">
        <v>236433970</v>
      </c>
      <c r="V23" s="30">
        <v>227880126</v>
      </c>
      <c r="W23" s="30">
        <v>218112485</v>
      </c>
      <c r="X23" s="30">
        <v>212604724</v>
      </c>
      <c r="Y23" s="30">
        <v>213684302</v>
      </c>
      <c r="Z23" s="30">
        <v>210499926</v>
      </c>
      <c r="AA23" s="30">
        <v>213447241</v>
      </c>
      <c r="AB23" s="30">
        <v>208650489</v>
      </c>
      <c r="AC23" s="30">
        <v>211092922</v>
      </c>
    </row>
    <row r="24" spans="1:29" x14ac:dyDescent="0.35">
      <c r="A24" s="29" t="s">
        <v>139</v>
      </c>
      <c r="B24" s="30">
        <v>12794860</v>
      </c>
      <c r="C24" s="30">
        <v>12289369</v>
      </c>
      <c r="D24" s="30">
        <v>11510704</v>
      </c>
      <c r="E24" s="30">
        <v>11180448</v>
      </c>
      <c r="F24" s="30">
        <v>12077629</v>
      </c>
      <c r="G24" s="30">
        <v>10750313</v>
      </c>
      <c r="H24" s="30">
        <v>10195768</v>
      </c>
      <c r="I24" s="30">
        <v>10073764</v>
      </c>
      <c r="J24" s="30">
        <v>10035114</v>
      </c>
      <c r="K24" s="30">
        <v>13462354</v>
      </c>
      <c r="L24" s="30">
        <v>9146403</v>
      </c>
      <c r="M24" s="30">
        <v>14030060</v>
      </c>
      <c r="N24" s="30">
        <v>11672828</v>
      </c>
      <c r="O24" s="30">
        <v>15199327</v>
      </c>
      <c r="P24" s="30">
        <v>15183496</v>
      </c>
      <c r="Q24" s="30">
        <v>14993111</v>
      </c>
      <c r="R24" s="30">
        <v>14674123</v>
      </c>
      <c r="S24" s="30">
        <v>14598510</v>
      </c>
      <c r="T24" s="30">
        <v>16951018</v>
      </c>
      <c r="U24" s="30">
        <v>13870511</v>
      </c>
      <c r="V24" s="30">
        <v>12576708</v>
      </c>
      <c r="W24" s="30">
        <v>12033448</v>
      </c>
      <c r="X24" s="30">
        <v>10615263</v>
      </c>
      <c r="Y24" s="30">
        <v>10369644</v>
      </c>
      <c r="Z24" s="30">
        <v>10771434</v>
      </c>
      <c r="AA24" s="30">
        <v>10049616</v>
      </c>
      <c r="AB24" s="30">
        <v>10339906</v>
      </c>
      <c r="AC24" s="30">
        <v>9653985</v>
      </c>
    </row>
    <row r="25" spans="1:29" x14ac:dyDescent="0.35">
      <c r="A25" s="29" t="s">
        <v>140</v>
      </c>
      <c r="B25" s="30">
        <v>459224</v>
      </c>
      <c r="C25" s="30">
        <v>4697080</v>
      </c>
      <c r="D25" s="30">
        <v>149197</v>
      </c>
      <c r="E25" s="30">
        <v>60333</v>
      </c>
      <c r="F25" s="30">
        <v>60525</v>
      </c>
      <c r="G25" s="30">
        <v>270533</v>
      </c>
      <c r="H25" s="30">
        <v>384207</v>
      </c>
      <c r="I25" s="30">
        <v>401156</v>
      </c>
      <c r="J25" s="30">
        <v>518488</v>
      </c>
      <c r="K25" s="30">
        <v>674638</v>
      </c>
      <c r="L25" s="30">
        <v>292736</v>
      </c>
      <c r="M25" s="30">
        <v>564692</v>
      </c>
      <c r="N25" s="30">
        <v>103051</v>
      </c>
      <c r="O25" s="30">
        <v>48074</v>
      </c>
      <c r="P25" s="30">
        <v>22510</v>
      </c>
      <c r="Q25" s="30">
        <v>196923</v>
      </c>
      <c r="R25" s="30">
        <v>365041</v>
      </c>
      <c r="S25" s="30">
        <v>2126103</v>
      </c>
      <c r="T25" s="30">
        <v>1263940</v>
      </c>
      <c r="U25" s="30">
        <v>1968578</v>
      </c>
      <c r="V25" s="30">
        <v>351817</v>
      </c>
      <c r="W25" s="30">
        <v>283356</v>
      </c>
      <c r="X25" s="30">
        <v>228484</v>
      </c>
      <c r="Y25" s="30">
        <v>101410</v>
      </c>
      <c r="Z25" s="30">
        <v>45872</v>
      </c>
      <c r="AA25" s="30">
        <v>25311</v>
      </c>
      <c r="AB25" s="30">
        <v>167628</v>
      </c>
      <c r="AC25" s="30">
        <v>523792</v>
      </c>
    </row>
    <row r="26" spans="1:29" x14ac:dyDescent="0.35">
      <c r="A26" s="29" t="s">
        <v>141</v>
      </c>
      <c r="B26" s="30">
        <v>13994972</v>
      </c>
      <c r="C26" s="30">
        <v>13405104</v>
      </c>
      <c r="D26" s="30">
        <v>13025469</v>
      </c>
      <c r="E26" s="30">
        <v>13887284</v>
      </c>
      <c r="F26" s="30">
        <v>14243546</v>
      </c>
      <c r="G26" s="30">
        <v>14288222</v>
      </c>
      <c r="H26" s="30">
        <v>16408719</v>
      </c>
      <c r="I26" s="30">
        <v>15972943</v>
      </c>
      <c r="J26" s="30">
        <v>16524105</v>
      </c>
      <c r="K26" s="30">
        <v>17086206</v>
      </c>
      <c r="L26" s="30">
        <v>16724081</v>
      </c>
      <c r="M26" s="30">
        <v>17049934</v>
      </c>
      <c r="N26" s="30">
        <v>16992953</v>
      </c>
      <c r="O26" s="30">
        <v>18467454</v>
      </c>
      <c r="P26" s="30">
        <v>17859286</v>
      </c>
      <c r="Q26" s="30">
        <v>17707433</v>
      </c>
      <c r="R26" s="30">
        <v>19375594</v>
      </c>
      <c r="S26" s="30">
        <v>18983567</v>
      </c>
      <c r="T26" s="30">
        <v>18422982</v>
      </c>
      <c r="U26" s="30">
        <v>16812276</v>
      </c>
      <c r="V26" s="30">
        <v>17181465</v>
      </c>
      <c r="W26" s="30">
        <v>16930260</v>
      </c>
      <c r="X26" s="30">
        <v>16227105</v>
      </c>
      <c r="Y26" s="30">
        <v>16232813</v>
      </c>
      <c r="Z26" s="30">
        <v>16847078</v>
      </c>
      <c r="AA26" s="30">
        <v>16873811</v>
      </c>
      <c r="AB26" s="30">
        <v>16021185</v>
      </c>
      <c r="AC26" s="30">
        <v>16026342</v>
      </c>
    </row>
    <row r="27" spans="1:29" x14ac:dyDescent="0.35">
      <c r="A27" s="29" t="s">
        <v>142</v>
      </c>
      <c r="B27" s="30">
        <v>1711477</v>
      </c>
      <c r="C27" s="30">
        <v>2698322</v>
      </c>
      <c r="D27" s="30">
        <v>3996048</v>
      </c>
      <c r="E27" s="30">
        <v>3183568</v>
      </c>
      <c r="F27" s="30">
        <v>3815563</v>
      </c>
      <c r="G27" s="30">
        <v>4083051</v>
      </c>
      <c r="H27" s="30">
        <v>1437027</v>
      </c>
      <c r="I27" s="30">
        <v>2292854</v>
      </c>
      <c r="J27" s="30">
        <v>2334885</v>
      </c>
      <c r="K27" s="30">
        <v>3575135</v>
      </c>
      <c r="L27" s="30">
        <v>4211279</v>
      </c>
      <c r="M27" s="30" t="s">
        <v>143</v>
      </c>
      <c r="N27" s="30" t="s">
        <v>143</v>
      </c>
      <c r="O27" s="30" t="s">
        <v>143</v>
      </c>
      <c r="P27" s="30" t="s">
        <v>143</v>
      </c>
      <c r="Q27" s="30" t="s">
        <v>143</v>
      </c>
      <c r="R27" s="30" t="s">
        <v>143</v>
      </c>
      <c r="S27" s="30" t="s">
        <v>143</v>
      </c>
      <c r="T27" s="30" t="s">
        <v>143</v>
      </c>
      <c r="U27" s="30" t="s">
        <v>143</v>
      </c>
      <c r="V27" s="30" t="s">
        <v>143</v>
      </c>
      <c r="W27" s="30" t="s">
        <v>143</v>
      </c>
      <c r="X27" s="30" t="s">
        <v>143</v>
      </c>
      <c r="Y27" s="30" t="s">
        <v>143</v>
      </c>
      <c r="Z27" s="30" t="s">
        <v>143</v>
      </c>
      <c r="AA27" s="30" t="s">
        <v>143</v>
      </c>
      <c r="AB27" s="30" t="s">
        <v>143</v>
      </c>
      <c r="AC27" s="30" t="s">
        <v>143</v>
      </c>
    </row>
    <row r="28" spans="1:29" x14ac:dyDescent="0.35">
      <c r="A28" s="29" t="s">
        <v>144</v>
      </c>
      <c r="B28" s="30">
        <v>0</v>
      </c>
      <c r="C28" s="30">
        <v>0</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0</v>
      </c>
      <c r="W28" s="30">
        <v>0</v>
      </c>
      <c r="X28" s="30">
        <v>0</v>
      </c>
      <c r="Y28" s="30">
        <v>0</v>
      </c>
      <c r="Z28" s="30">
        <v>0</v>
      </c>
      <c r="AA28" s="30">
        <v>0</v>
      </c>
      <c r="AB28" s="30">
        <v>0</v>
      </c>
      <c r="AC28" s="30">
        <v>0</v>
      </c>
    </row>
    <row r="29" spans="1:29" x14ac:dyDescent="0.35">
      <c r="A29" s="31" t="s">
        <v>145</v>
      </c>
      <c r="B29" s="32">
        <v>286228469</v>
      </c>
      <c r="C29" s="32">
        <v>289936509</v>
      </c>
      <c r="D29" s="32">
        <v>289851855</v>
      </c>
      <c r="E29" s="32">
        <v>290896420</v>
      </c>
      <c r="F29" s="32">
        <v>291722175</v>
      </c>
      <c r="G29" s="32">
        <v>288930158</v>
      </c>
      <c r="H29" s="32">
        <v>290367420</v>
      </c>
      <c r="I29" s="32">
        <v>287271609</v>
      </c>
      <c r="J29" s="32">
        <v>288996214</v>
      </c>
      <c r="K29" s="32">
        <v>302953552</v>
      </c>
      <c r="L29" s="32">
        <v>294609411</v>
      </c>
      <c r="M29" s="32">
        <v>293162640</v>
      </c>
      <c r="N29" s="32">
        <v>283485344</v>
      </c>
      <c r="O29" s="32">
        <v>283002426</v>
      </c>
      <c r="P29" s="32">
        <v>270837638</v>
      </c>
      <c r="Q29" s="32">
        <v>262974733</v>
      </c>
      <c r="R29" s="32">
        <v>274574169</v>
      </c>
      <c r="S29" s="32">
        <v>275754450</v>
      </c>
      <c r="T29" s="32">
        <v>265311450</v>
      </c>
      <c r="U29" s="32">
        <v>266066429</v>
      </c>
      <c r="V29" s="32">
        <v>255767005</v>
      </c>
      <c r="W29" s="32">
        <v>245292778</v>
      </c>
      <c r="X29" s="32">
        <v>239549653</v>
      </c>
      <c r="Y29" s="32">
        <v>239768378</v>
      </c>
      <c r="Z29" s="32">
        <v>237217913</v>
      </c>
      <c r="AA29" s="32">
        <v>240228346</v>
      </c>
      <c r="AB29" s="32">
        <v>233872528</v>
      </c>
      <c r="AC29" s="32">
        <v>237014131</v>
      </c>
    </row>
    <row r="30" spans="1:29" x14ac:dyDescent="0.35">
      <c r="A30" s="29" t="s">
        <v>146</v>
      </c>
      <c r="B30" s="30">
        <v>-65379559</v>
      </c>
      <c r="C30" s="30">
        <v>-79120785</v>
      </c>
      <c r="D30" s="30">
        <v>-79365599</v>
      </c>
      <c r="E30" s="30">
        <v>-79719494</v>
      </c>
      <c r="F30" s="30">
        <v>-79230733</v>
      </c>
      <c r="G30" s="30">
        <v>-80838776</v>
      </c>
      <c r="H30" s="30">
        <v>-83293067</v>
      </c>
      <c r="I30" s="30">
        <v>-79672430</v>
      </c>
      <c r="J30" s="30">
        <v>-81172934</v>
      </c>
      <c r="K30" s="30">
        <v>-89599755</v>
      </c>
      <c r="L30" s="30">
        <v>-77964366</v>
      </c>
      <c r="M30" s="30">
        <v>-73427499</v>
      </c>
      <c r="N30" s="30">
        <v>-77562381</v>
      </c>
      <c r="O30" s="30">
        <v>-86931066</v>
      </c>
      <c r="P30" s="30">
        <v>-73900695</v>
      </c>
      <c r="Q30" s="30">
        <v>-76698186</v>
      </c>
      <c r="R30" s="30">
        <v>-72558322</v>
      </c>
      <c r="S30" s="30">
        <v>-62164770</v>
      </c>
      <c r="T30" s="30">
        <v>-75539862</v>
      </c>
      <c r="U30" s="30">
        <v>-75113861</v>
      </c>
      <c r="V30" s="30">
        <v>-81298045</v>
      </c>
      <c r="W30" s="30">
        <v>-68517774</v>
      </c>
      <c r="X30" s="30">
        <v>-56119146</v>
      </c>
      <c r="Y30" s="30">
        <v>-51419244</v>
      </c>
      <c r="Z30" s="30">
        <v>-48214715</v>
      </c>
      <c r="AA30" s="30">
        <v>-60974474</v>
      </c>
      <c r="AB30" s="30">
        <v>-71767013</v>
      </c>
      <c r="AC30" s="30">
        <v>-66087034</v>
      </c>
    </row>
    <row r="31" spans="1:29" x14ac:dyDescent="0.35">
      <c r="A31" s="33" t="s">
        <v>147</v>
      </c>
      <c r="B31" s="34">
        <v>0.77</v>
      </c>
      <c r="C31" s="34">
        <v>0.73</v>
      </c>
      <c r="D31" s="34">
        <v>0.73</v>
      </c>
      <c r="E31" s="34">
        <v>0.73</v>
      </c>
      <c r="F31" s="34">
        <v>0.73</v>
      </c>
      <c r="G31" s="34">
        <v>0.72</v>
      </c>
      <c r="H31" s="34">
        <v>0.71</v>
      </c>
      <c r="I31" s="34">
        <v>0.72</v>
      </c>
      <c r="J31" s="34">
        <v>0.72</v>
      </c>
      <c r="K31" s="34">
        <v>0.7</v>
      </c>
      <c r="L31" s="34">
        <v>0.74</v>
      </c>
      <c r="M31" s="34">
        <v>0.75</v>
      </c>
      <c r="N31" s="34">
        <v>0.73</v>
      </c>
      <c r="O31" s="34">
        <v>0.69</v>
      </c>
      <c r="P31" s="34">
        <v>0.73</v>
      </c>
      <c r="Q31" s="34">
        <v>0.71</v>
      </c>
      <c r="R31" s="34">
        <v>0.74</v>
      </c>
      <c r="S31" s="34">
        <v>0.77</v>
      </c>
      <c r="T31" s="34">
        <v>0.72</v>
      </c>
      <c r="U31" s="34">
        <v>0.72</v>
      </c>
      <c r="V31" s="34">
        <v>0.68</v>
      </c>
      <c r="W31" s="34">
        <v>0.72</v>
      </c>
      <c r="X31" s="34">
        <v>0.77</v>
      </c>
      <c r="Y31" s="34">
        <v>0.79</v>
      </c>
      <c r="Z31" s="34">
        <v>0.8</v>
      </c>
      <c r="AA31" s="34">
        <v>0.75</v>
      </c>
      <c r="AB31" s="34">
        <v>0.69</v>
      </c>
      <c r="AC31" s="34">
        <v>0.72</v>
      </c>
    </row>
    <row r="32" spans="1:29" x14ac:dyDescent="0.35">
      <c r="A32" s="42" t="s">
        <v>148</v>
      </c>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sheetData>
  <mergeCells count="4">
    <mergeCell ref="A1:AC1"/>
    <mergeCell ref="A2:AC2"/>
    <mergeCell ref="A3:AC3"/>
    <mergeCell ref="A32:AC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
  <sheetViews>
    <sheetView workbookViewId="0">
      <selection activeCell="K34" sqref="K34"/>
    </sheetView>
  </sheetViews>
  <sheetFormatPr defaultRowHeight="14.5" x14ac:dyDescent="0.35"/>
  <sheetData>
    <row r="2" spans="1:11" x14ac:dyDescent="0.35">
      <c r="A2" t="s">
        <v>164</v>
      </c>
    </row>
    <row r="4" spans="1:11" x14ac:dyDescent="0.35">
      <c r="A4" t="s">
        <v>172</v>
      </c>
    </row>
    <row r="5" spans="1:11" x14ac:dyDescent="0.35">
      <c r="A5" t="s">
        <v>173</v>
      </c>
    </row>
    <row r="10" spans="1:11" x14ac:dyDescent="0.35">
      <c r="K10" t="s">
        <v>165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
  <sheetViews>
    <sheetView workbookViewId="0">
      <selection activeCell="A6" sqref="A6"/>
    </sheetView>
  </sheetViews>
  <sheetFormatPr defaultRowHeight="14.5" x14ac:dyDescent="0.35"/>
  <cols>
    <col min="2" max="2" width="12.453125" customWidth="1"/>
    <col min="7" max="7" width="17.7265625" customWidth="1"/>
    <col min="8" max="10" width="13.453125" bestFit="1" customWidth="1"/>
  </cols>
  <sheetData>
    <row r="1" spans="1:16" x14ac:dyDescent="0.35">
      <c r="A1" t="s">
        <v>158</v>
      </c>
    </row>
    <row r="3" spans="1:16" x14ac:dyDescent="0.35">
      <c r="A3" t="s">
        <v>159</v>
      </c>
    </row>
    <row r="4" spans="1:16" x14ac:dyDescent="0.35">
      <c r="A4" t="s">
        <v>160</v>
      </c>
    </row>
    <row r="6" spans="1:16" x14ac:dyDescent="0.35">
      <c r="A6" t="s">
        <v>178</v>
      </c>
    </row>
    <row r="8" spans="1:16" x14ac:dyDescent="0.35">
      <c r="A8" t="s">
        <v>177</v>
      </c>
    </row>
    <row r="9" spans="1:16" x14ac:dyDescent="0.35">
      <c r="A9" s="36" t="s">
        <v>161</v>
      </c>
    </row>
    <row r="10" spans="1:16" x14ac:dyDescent="0.35">
      <c r="A10" s="36" t="s">
        <v>162</v>
      </c>
    </row>
    <row r="11" spans="1:16" x14ac:dyDescent="0.35">
      <c r="A11" s="18" t="s">
        <v>163</v>
      </c>
    </row>
    <row r="15" spans="1:16" x14ac:dyDescent="0.35">
      <c r="O15">
        <f>24*365</f>
        <v>8760</v>
      </c>
      <c r="P15" t="s">
        <v>67</v>
      </c>
    </row>
    <row r="16" spans="1:16" x14ac:dyDescent="0.35">
      <c r="G16" t="s">
        <v>166</v>
      </c>
      <c r="O16">
        <v>0.57999999999999996</v>
      </c>
      <c r="P16" t="s">
        <v>170</v>
      </c>
    </row>
    <row r="17" spans="7:11" x14ac:dyDescent="0.35">
      <c r="J17">
        <v>2017</v>
      </c>
    </row>
    <row r="18" spans="7:11" x14ac:dyDescent="0.35">
      <c r="G18">
        <f>'Natural gas calculations'!A15</f>
        <v>0</v>
      </c>
      <c r="H18">
        <f>'Natural gas calculations'!B2</f>
        <v>2867261</v>
      </c>
      <c r="I18">
        <f>'Natural gas calculations'!C2</f>
        <v>2858960</v>
      </c>
      <c r="J18">
        <f>'Natural gas calculations'!D2</f>
        <v>2867261</v>
      </c>
    </row>
    <row r="21" spans="7:11" x14ac:dyDescent="0.35">
      <c r="G21" t="s">
        <v>167</v>
      </c>
      <c r="J21" t="s">
        <v>168</v>
      </c>
      <c r="K21" t="s">
        <v>169</v>
      </c>
    </row>
    <row r="23" spans="7:11" x14ac:dyDescent="0.35">
      <c r="G23" t="s">
        <v>171</v>
      </c>
      <c r="H23" s="3">
        <f>H18/O15/O16</f>
        <v>564.33258541961902</v>
      </c>
      <c r="I23" s="3">
        <f>I18/(O15*O16)</f>
        <v>562.69878759250514</v>
      </c>
      <c r="J23" s="3">
        <f>J18/(O16*O15)</f>
        <v>564.33258541961902</v>
      </c>
    </row>
    <row r="33" spans="1:37" x14ac:dyDescent="0.35">
      <c r="B33">
        <f>'Natural gas calculations'!B1</f>
        <v>2015</v>
      </c>
      <c r="C33">
        <f>'Natural gas calculations'!C1</f>
        <v>2016</v>
      </c>
      <c r="D33">
        <f>'Natural gas calculations'!D1</f>
        <v>2017</v>
      </c>
      <c r="E33">
        <f>'Natural gas calculations'!E1</f>
        <v>2018</v>
      </c>
      <c r="F33">
        <f>'Natural gas calculations'!F1</f>
        <v>2019</v>
      </c>
      <c r="G33">
        <f>'Natural gas calculations'!G1</f>
        <v>2020</v>
      </c>
      <c r="H33">
        <f>'Natural gas calculations'!H1</f>
        <v>2021</v>
      </c>
      <c r="I33">
        <f>'Natural gas calculations'!I1</f>
        <v>2022</v>
      </c>
      <c r="J33">
        <f>'Natural gas calculations'!J1</f>
        <v>2023</v>
      </c>
      <c r="K33">
        <f>'Natural gas calculations'!K1</f>
        <v>2024</v>
      </c>
      <c r="L33">
        <f>'Natural gas calculations'!L1</f>
        <v>2025</v>
      </c>
      <c r="M33">
        <f>'Natural gas calculations'!M1</f>
        <v>2026</v>
      </c>
      <c r="N33">
        <f>'Natural gas calculations'!N1</f>
        <v>2027</v>
      </c>
      <c r="O33">
        <f>'Natural gas calculations'!O1</f>
        <v>2028</v>
      </c>
      <c r="P33">
        <f>'Natural gas calculations'!P1</f>
        <v>2029</v>
      </c>
      <c r="Q33">
        <f>'Natural gas calculations'!Q1</f>
        <v>2030</v>
      </c>
      <c r="R33">
        <f>'Natural gas calculations'!R1</f>
        <v>2031</v>
      </c>
      <c r="S33">
        <f>'Natural gas calculations'!S1</f>
        <v>2032</v>
      </c>
      <c r="T33">
        <f>'Natural gas calculations'!T1</f>
        <v>2033</v>
      </c>
      <c r="U33">
        <f>'Natural gas calculations'!U1</f>
        <v>2034</v>
      </c>
      <c r="V33">
        <f>'Natural gas calculations'!V1</f>
        <v>2035</v>
      </c>
      <c r="W33">
        <f>'Natural gas calculations'!W1</f>
        <v>2036</v>
      </c>
      <c r="X33">
        <f>'Natural gas calculations'!X1</f>
        <v>2037</v>
      </c>
      <c r="Y33">
        <f>'Natural gas calculations'!Y1</f>
        <v>2038</v>
      </c>
      <c r="Z33">
        <f>'Natural gas calculations'!Z1</f>
        <v>2039</v>
      </c>
      <c r="AA33">
        <f>'Natural gas calculations'!AA1</f>
        <v>2040</v>
      </c>
      <c r="AB33">
        <f>'Natural gas calculations'!AB1</f>
        <v>2041</v>
      </c>
      <c r="AC33">
        <f>'Natural gas calculations'!AC1</f>
        <v>2042</v>
      </c>
      <c r="AD33">
        <f>'Natural gas calculations'!AD1</f>
        <v>2043</v>
      </c>
      <c r="AE33">
        <f>'Natural gas calculations'!AE1</f>
        <v>2044</v>
      </c>
      <c r="AF33">
        <f>'Natural gas calculations'!AF1</f>
        <v>2045</v>
      </c>
      <c r="AG33">
        <f>'Natural gas calculations'!AG1</f>
        <v>2046</v>
      </c>
      <c r="AH33">
        <f>'Natural gas calculations'!AH1</f>
        <v>2047</v>
      </c>
      <c r="AI33">
        <f>'Natural gas calculations'!AI1</f>
        <v>2048</v>
      </c>
      <c r="AJ33">
        <f>'Natural gas calculations'!AJ1</f>
        <v>2049</v>
      </c>
      <c r="AK33">
        <f>'Natural gas calculations'!AK1</f>
        <v>2050</v>
      </c>
    </row>
    <row r="34" spans="1:37" x14ac:dyDescent="0.35">
      <c r="B34" t="e">
        <f>'Natural gas calculations'!#REF!</f>
        <v>#REF!</v>
      </c>
      <c r="C34" t="e">
        <f>'Natural gas calculations'!#REF!</f>
        <v>#REF!</v>
      </c>
      <c r="D34" t="e">
        <f>'Natural gas calculations'!#REF!</f>
        <v>#REF!</v>
      </c>
      <c r="E34">
        <f>'Natural gas calculations'!E2</f>
        <v>2684181.7928427071</v>
      </c>
      <c r="F34">
        <f>'Natural gas calculations'!F2</f>
        <v>2501102.5856854138</v>
      </c>
      <c r="G34">
        <f>'Natural gas calculations'!G2</f>
        <v>2318023.3785281209</v>
      </c>
      <c r="H34">
        <f>'Natural gas calculations'!H2</f>
        <v>2134944.1713708281</v>
      </c>
      <c r="I34">
        <f>'Natural gas calculations'!I2</f>
        <v>1951864.9642135347</v>
      </c>
      <c r="J34">
        <f>'Natural gas calculations'!J2</f>
        <v>1768785.7570562419</v>
      </c>
      <c r="K34">
        <f>'Natural gas calculations'!K2</f>
        <v>1585706.5498989488</v>
      </c>
      <c r="L34">
        <f>'Natural gas calculations'!L2</f>
        <v>1402627.3427416557</v>
      </c>
      <c r="M34">
        <f>'Natural gas calculations'!M2</f>
        <v>1219548.1355843625</v>
      </c>
      <c r="N34">
        <f>'Natural gas calculations'!N2</f>
        <v>1036468.9284270696</v>
      </c>
      <c r="O34">
        <f>'Natural gas calculations'!O2</f>
        <v>853389.72126977658</v>
      </c>
      <c r="P34">
        <f>'Natural gas calculations'!P2</f>
        <v>670310.51411248359</v>
      </c>
      <c r="Q34">
        <f>'Natural gas calculations'!Q2</f>
        <v>487231.30695518985</v>
      </c>
      <c r="R34">
        <f>'Natural gas calculations'!R2</f>
        <v>487231.30695518985</v>
      </c>
      <c r="S34">
        <f>'Natural gas calculations'!S2</f>
        <v>487231.30695518985</v>
      </c>
      <c r="T34">
        <f>'Natural gas calculations'!T2</f>
        <v>487231.30695518985</v>
      </c>
      <c r="U34">
        <f>'Natural gas calculations'!U2</f>
        <v>487231.30695518985</v>
      </c>
      <c r="V34">
        <f>'Natural gas calculations'!V2</f>
        <v>487231.30695518985</v>
      </c>
      <c r="W34">
        <f>'Natural gas calculations'!W2</f>
        <v>487231.30695518985</v>
      </c>
      <c r="X34">
        <f>'Natural gas calculations'!X2</f>
        <v>487231.30695518985</v>
      </c>
      <c r="Y34">
        <f>'Natural gas calculations'!Y2</f>
        <v>487231.30695518985</v>
      </c>
      <c r="Z34">
        <f>'Natural gas calculations'!Z2</f>
        <v>487231.30695518985</v>
      </c>
      <c r="AA34">
        <f>'Natural gas calculations'!AA2</f>
        <v>487231.30695518985</v>
      </c>
      <c r="AB34">
        <f>'Natural gas calculations'!AB2</f>
        <v>487231.30695518985</v>
      </c>
      <c r="AC34">
        <f>'Natural gas calculations'!AC2</f>
        <v>487231.30695518985</v>
      </c>
      <c r="AD34">
        <f>'Natural gas calculations'!AD2</f>
        <v>487231.30695518985</v>
      </c>
      <c r="AE34">
        <f>'Natural gas calculations'!AE2</f>
        <v>487231.30695518985</v>
      </c>
      <c r="AF34">
        <f>'Natural gas calculations'!AF2</f>
        <v>487231.30695518985</v>
      </c>
      <c r="AG34">
        <f>'Natural gas calculations'!AG2</f>
        <v>487231.30695518985</v>
      </c>
      <c r="AH34">
        <f>'Natural gas calculations'!AH2</f>
        <v>487231.30695518985</v>
      </c>
      <c r="AI34">
        <f>'Natural gas calculations'!AI2</f>
        <v>487231.30695518985</v>
      </c>
      <c r="AJ34">
        <f>'Natural gas calculations'!AJ2</f>
        <v>487231.30695518985</v>
      </c>
      <c r="AK34">
        <f>'Natural gas calculations'!AK2</f>
        <v>487231.30695518985</v>
      </c>
    </row>
    <row r="35" spans="1:37" x14ac:dyDescent="0.35">
      <c r="B35">
        <v>774.02864225169503</v>
      </c>
      <c r="C35">
        <v>834.646172008956</v>
      </c>
      <c r="D35">
        <v>896.26736434366705</v>
      </c>
      <c r="E35">
        <v>956.53751207788798</v>
      </c>
      <c r="F35">
        <v>1015.77807869036</v>
      </c>
      <c r="G35">
        <v>1073.8333876854899</v>
      </c>
      <c r="H35">
        <v>1131.89296781552</v>
      </c>
      <c r="I35">
        <v>1190.09123685294</v>
      </c>
      <c r="J35">
        <v>1248.6311743809199</v>
      </c>
      <c r="K35">
        <v>1307.35174239414</v>
      </c>
      <c r="L35">
        <v>1369.5859777871301</v>
      </c>
      <c r="M35">
        <v>1432.5563205808101</v>
      </c>
      <c r="N35">
        <v>1496.1612165054801</v>
      </c>
      <c r="O35">
        <v>1560.2541596042299</v>
      </c>
      <c r="P35">
        <v>1624.7337945316599</v>
      </c>
      <c r="Q35">
        <v>1689.42854037749</v>
      </c>
      <c r="R35">
        <v>1689.42854037749</v>
      </c>
      <c r="S35">
        <v>1689.42854037749</v>
      </c>
      <c r="T35">
        <v>1689.42854037749</v>
      </c>
      <c r="U35">
        <v>1689.42854037749</v>
      </c>
      <c r="V35">
        <v>1689.42854037749</v>
      </c>
      <c r="W35">
        <v>1689.42854037749</v>
      </c>
      <c r="X35">
        <v>1689.42854037749</v>
      </c>
      <c r="Y35">
        <v>1689.42854037749</v>
      </c>
      <c r="Z35">
        <v>1689.42854037749</v>
      </c>
      <c r="AA35">
        <v>1689.42854037749</v>
      </c>
      <c r="AB35">
        <v>1689.42854037749</v>
      </c>
      <c r="AC35">
        <v>1689.42854037749</v>
      </c>
      <c r="AD35">
        <v>1689.42854037749</v>
      </c>
      <c r="AE35">
        <v>1689.42854037749</v>
      </c>
      <c r="AF35">
        <v>1689.42854037749</v>
      </c>
      <c r="AG35">
        <v>1689.42854037749</v>
      </c>
      <c r="AH35">
        <v>1689.42854037749</v>
      </c>
      <c r="AI35">
        <v>1689.42854037749</v>
      </c>
      <c r="AJ35">
        <v>1689.42854037749</v>
      </c>
      <c r="AK35">
        <v>1689.42854037749</v>
      </c>
    </row>
    <row r="37" spans="1:37" x14ac:dyDescent="0.35">
      <c r="A37" t="str">
        <f>'Natural gas calculations'!A1</f>
        <v>Natural gas nonpeaker</v>
      </c>
    </row>
    <row r="38" spans="1:37" x14ac:dyDescent="0.35">
      <c r="A38" t="str">
        <f>'Natural gas calculations'!A2</f>
        <v>Commercial generation (MWh)</v>
      </c>
      <c r="H38" s="38">
        <v>1</v>
      </c>
    </row>
    <row r="39" spans="1:37" x14ac:dyDescent="0.35">
      <c r="A39" t="str">
        <f>'Natural gas calculations'!A3</f>
        <v>Commercial building capacity (MW)</v>
      </c>
      <c r="G39">
        <f>365*24</f>
        <v>8760</v>
      </c>
      <c r="H39" s="23">
        <f>G39*D35</f>
        <v>7851302.1116505237</v>
      </c>
    </row>
    <row r="41" spans="1:37" x14ac:dyDescent="0.35">
      <c r="A41" t="s">
        <v>39</v>
      </c>
    </row>
    <row r="43" spans="1:37" x14ac:dyDescent="0.35">
      <c r="A43" t="s">
        <v>40</v>
      </c>
    </row>
    <row r="44" spans="1:37" x14ac:dyDescent="0.35">
      <c r="A44" t="s">
        <v>41</v>
      </c>
      <c r="B44">
        <v>7648.8913662037303</v>
      </c>
      <c r="C44">
        <v>7709.5088959609902</v>
      </c>
      <c r="D44">
        <v>7771.1300882957003</v>
      </c>
      <c r="E44">
        <v>7831.4002360299201</v>
      </c>
      <c r="F44">
        <v>7890.6408026423896</v>
      </c>
      <c r="G44">
        <v>7948.6961116375196</v>
      </c>
      <c r="H44">
        <v>8006.7556917675502</v>
      </c>
      <c r="I44">
        <v>8064.9539608049699</v>
      </c>
      <c r="J44">
        <v>8123.4938983329503</v>
      </c>
      <c r="K44">
        <v>8182.2144663461704</v>
      </c>
      <c r="L44">
        <v>8244.4487017391602</v>
      </c>
      <c r="M44">
        <v>8307.4190445328495</v>
      </c>
      <c r="N44">
        <v>8371.0239404575204</v>
      </c>
      <c r="O44">
        <v>8435.1168835562603</v>
      </c>
      <c r="P44">
        <v>8499.5965184837005</v>
      </c>
      <c r="Q44">
        <v>8564.2912643295203</v>
      </c>
      <c r="R44">
        <v>8564.2912643295203</v>
      </c>
      <c r="S44">
        <v>8564.2912643295203</v>
      </c>
      <c r="T44">
        <v>8564.2912643295203</v>
      </c>
      <c r="U44">
        <v>8564.2912643295203</v>
      </c>
      <c r="V44">
        <v>8564.2912643295203</v>
      </c>
      <c r="W44">
        <v>8564.2912643295203</v>
      </c>
      <c r="X44">
        <v>8564.2912643295203</v>
      </c>
      <c r="Y44">
        <v>8564.2912643295203</v>
      </c>
      <c r="Z44">
        <v>8564.2912643295203</v>
      </c>
      <c r="AA44">
        <v>8564.2912643295203</v>
      </c>
      <c r="AB44">
        <v>8564.2912643295203</v>
      </c>
      <c r="AC44">
        <v>8564.2912643295203</v>
      </c>
      <c r="AD44">
        <v>8564.2912643295203</v>
      </c>
      <c r="AE44">
        <v>8564.2912643295203</v>
      </c>
      <c r="AF44">
        <v>8564.2912643295203</v>
      </c>
      <c r="AG44">
        <v>8564.2912643295203</v>
      </c>
      <c r="AH44">
        <v>8564.2912643295203</v>
      </c>
      <c r="AI44">
        <v>8564.2912643295203</v>
      </c>
      <c r="AJ44">
        <v>8564.2912643295203</v>
      </c>
      <c r="AK44">
        <v>8564.2912643295203</v>
      </c>
    </row>
    <row r="45" spans="1:37" x14ac:dyDescent="0.35">
      <c r="A45" t="s">
        <v>42</v>
      </c>
      <c r="B45">
        <f>'Natural gas calculations'!B3/B44</f>
        <v>7.3779657521754888E-2</v>
      </c>
      <c r="C45">
        <f>'Natural gas calculations'!C3/C44</f>
        <v>7.2987630624215621E-2</v>
      </c>
      <c r="D45">
        <f>'Natural gas calculations'!D3/D44</f>
        <v>7.2619114466964715E-2</v>
      </c>
      <c r="E45">
        <f>'Natural gas calculations'!E3/E44</f>
        <v>6.7459078844530493E-2</v>
      </c>
      <c r="F45">
        <f>'Natural gas calculations'!F3/F44</f>
        <v>6.2385998661397317E-2</v>
      </c>
      <c r="G45">
        <f>'Natural gas calculations'!G3/G44</f>
        <v>5.7397082579248894E-2</v>
      </c>
      <c r="H45">
        <f>'Natural gas calculations'!H3/H44</f>
        <v>5.2480485712191063E-2</v>
      </c>
      <c r="I45">
        <f>'Natural gas calculations'!I3/I44</f>
        <v>4.7633860046271813E-2</v>
      </c>
      <c r="J45">
        <f>'Natural gas calculations'!J3/J44</f>
        <v>4.285487909159983E-2</v>
      </c>
      <c r="K45">
        <f>'Natural gas calculations'!K3/K44</f>
        <v>3.8143440344160923E-2</v>
      </c>
      <c r="L45">
        <f>'Natural gas calculations'!L3/L44</f>
        <v>3.3484867203766845E-2</v>
      </c>
      <c r="M45">
        <f>'Natural gas calculations'!M3/M44</f>
        <v>2.8893538320998405E-2</v>
      </c>
      <c r="N45">
        <f>'Natural gas calculations'!N3/N44</f>
        <v>2.4369443036911253E-2</v>
      </c>
      <c r="O45">
        <f>'Natural gas calculations'!O3/O44</f>
        <v>1.991242729200739E-2</v>
      </c>
      <c r="P45">
        <f>'Natural gas calculations'!P3/P44</f>
        <v>1.5521926472897093E-2</v>
      </c>
      <c r="Q45">
        <f>'Natural gas calculations'!Q3/Q44</f>
        <v>1.1197257287874553E-2</v>
      </c>
      <c r="R45">
        <f>'Natural gas calculations'!R3/R44</f>
        <v>1.1197257287874553E-2</v>
      </c>
      <c r="S45">
        <f>'Natural gas calculations'!S3/S44</f>
        <v>1.1197257287874553E-2</v>
      </c>
      <c r="T45">
        <f>'Natural gas calculations'!T3/T44</f>
        <v>1.1197257287874553E-2</v>
      </c>
      <c r="U45">
        <f>'Natural gas calculations'!U3/U44</f>
        <v>1.1197257287874553E-2</v>
      </c>
      <c r="V45">
        <f>'Natural gas calculations'!V3/V44</f>
        <v>1.1197257287874553E-2</v>
      </c>
      <c r="W45">
        <f>'Natural gas calculations'!W3/W44</f>
        <v>1.1197257287874553E-2</v>
      </c>
      <c r="X45">
        <f>'Natural gas calculations'!X3/X44</f>
        <v>1.1197257287874553E-2</v>
      </c>
      <c r="Y45">
        <f>'Natural gas calculations'!Y3/Y44</f>
        <v>1.1197257287874553E-2</v>
      </c>
      <c r="Z45">
        <f>'Natural gas calculations'!Z3/Z44</f>
        <v>1.1197257287874553E-2</v>
      </c>
      <c r="AA45">
        <f>'Natural gas calculations'!AA3/AA44</f>
        <v>1.1197257287874553E-2</v>
      </c>
      <c r="AB45">
        <f>'Natural gas calculations'!AB3/AB44</f>
        <v>1.1197257287874553E-2</v>
      </c>
      <c r="AC45">
        <f>'Natural gas calculations'!AC3/AC44</f>
        <v>1.1197257287874553E-2</v>
      </c>
      <c r="AD45">
        <f>'Natural gas calculations'!AD3/AD44</f>
        <v>1.1197257287874553E-2</v>
      </c>
      <c r="AE45">
        <f>'Natural gas calculations'!AE3/AE44</f>
        <v>1.1197257287874553E-2</v>
      </c>
      <c r="AF45">
        <f>'Natural gas calculations'!AF3/AF44</f>
        <v>1.1197257287874553E-2</v>
      </c>
      <c r="AG45">
        <f>'Natural gas calculations'!AG3/AG44</f>
        <v>1.1197257287874553E-2</v>
      </c>
      <c r="AH45">
        <f>'Natural gas calculations'!AH3/AH44</f>
        <v>1.1197257287874553E-2</v>
      </c>
      <c r="AI45">
        <f>'Natural gas calculations'!AI3/AI44</f>
        <v>1.1197257287874553E-2</v>
      </c>
      <c r="AJ45">
        <f>'Natural gas calculations'!AJ3/AJ44</f>
        <v>1.1197257287874553E-2</v>
      </c>
      <c r="AK45">
        <f>'Natural gas calculations'!AK3/AK44</f>
        <v>1.1197257287874553E-2</v>
      </c>
    </row>
    <row r="47" spans="1:37" x14ac:dyDescent="0.35">
      <c r="A47" t="s">
        <v>38</v>
      </c>
    </row>
    <row r="48" spans="1:37" x14ac:dyDescent="0.35">
      <c r="B48">
        <v>2015</v>
      </c>
    </row>
    <row r="49" spans="1:37" x14ac:dyDescent="0.35">
      <c r="A49" t="s">
        <v>37</v>
      </c>
      <c r="B49" s="6">
        <v>40797850.718239203</v>
      </c>
      <c r="C49" s="6">
        <v>41149720.5931881</v>
      </c>
      <c r="D49" s="6">
        <v>41506833.681194402</v>
      </c>
      <c r="E49" s="6">
        <v>41877864.422056302</v>
      </c>
      <c r="F49" s="6">
        <v>42229314.163235098</v>
      </c>
      <c r="G49" s="6">
        <v>42566071.512026899</v>
      </c>
      <c r="H49" s="6">
        <v>42908464.776801497</v>
      </c>
      <c r="I49" s="6">
        <v>43249853.025155701</v>
      </c>
      <c r="J49" s="6">
        <v>43591286.623132102</v>
      </c>
      <c r="K49" s="6">
        <v>43933169.062401503</v>
      </c>
      <c r="L49" s="6">
        <v>44369327.519414604</v>
      </c>
      <c r="M49" s="6">
        <v>44745310.766842403</v>
      </c>
      <c r="N49" s="6">
        <v>45124294.219968602</v>
      </c>
      <c r="O49" s="6">
        <v>45504428.790371902</v>
      </c>
      <c r="P49" s="6">
        <v>45885692.521491401</v>
      </c>
      <c r="Q49" s="6">
        <v>46262591.992432103</v>
      </c>
      <c r="R49" s="6">
        <v>46261532.046544701</v>
      </c>
      <c r="S49" s="6">
        <v>46260166.921758696</v>
      </c>
      <c r="T49" s="6">
        <v>46260370.944839098</v>
      </c>
      <c r="U49" s="6">
        <v>46261356.1633173</v>
      </c>
      <c r="V49" s="6">
        <v>46267475.467666902</v>
      </c>
      <c r="W49" s="6">
        <v>46269723.788260303</v>
      </c>
      <c r="X49" s="6">
        <v>46274929.985702701</v>
      </c>
      <c r="Y49" s="6">
        <v>46273604.997420803</v>
      </c>
      <c r="Z49" s="6">
        <v>46276479.624858603</v>
      </c>
      <c r="AA49" s="6">
        <v>46274680.482095502</v>
      </c>
      <c r="AB49" s="6">
        <v>46274591.6024215</v>
      </c>
      <c r="AC49" s="6">
        <v>46273536.455690101</v>
      </c>
      <c r="AD49" s="6">
        <v>46272470.9476135</v>
      </c>
      <c r="AE49" s="6">
        <v>46271484.536175102</v>
      </c>
      <c r="AF49" s="6">
        <v>46270489.039810002</v>
      </c>
      <c r="AG49" s="6">
        <v>46269627.348965697</v>
      </c>
      <c r="AH49" s="6">
        <v>46268776.409163103</v>
      </c>
      <c r="AI49" s="6">
        <v>46267885.077767998</v>
      </c>
      <c r="AJ49" s="6">
        <v>46267021.820302099</v>
      </c>
      <c r="AK49" s="6">
        <v>46266236.3907822</v>
      </c>
    </row>
  </sheetData>
  <hyperlinks>
    <hyperlink ref="A11"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
  <sheetViews>
    <sheetView topLeftCell="N1" workbookViewId="0">
      <selection activeCell="AA49" sqref="AA49"/>
    </sheetView>
  </sheetViews>
  <sheetFormatPr defaultRowHeight="14.5" x14ac:dyDescent="0.35"/>
  <cols>
    <col min="1" max="1" width="45.1796875" customWidth="1"/>
    <col min="2" max="2" width="12.54296875" bestFit="1" customWidth="1"/>
    <col min="4" max="4" width="10" bestFit="1" customWidth="1"/>
  </cols>
  <sheetData>
    <row r="1" spans="1:37" s="11" customFormat="1" ht="15" x14ac:dyDescent="0.25">
      <c r="A1" s="11" t="s">
        <v>30</v>
      </c>
      <c r="B1" s="11">
        <v>2015</v>
      </c>
      <c r="C1" s="11">
        <f t="shared" ref="C1:AK1" si="0">B1+1</f>
        <v>2016</v>
      </c>
      <c r="D1" s="11">
        <f t="shared" si="0"/>
        <v>2017</v>
      </c>
      <c r="E1" s="11">
        <f t="shared" si="0"/>
        <v>2018</v>
      </c>
      <c r="F1" s="11">
        <f t="shared" si="0"/>
        <v>2019</v>
      </c>
      <c r="G1" s="11">
        <f t="shared" si="0"/>
        <v>2020</v>
      </c>
      <c r="H1" s="11">
        <f t="shared" si="0"/>
        <v>2021</v>
      </c>
      <c r="I1" s="11">
        <f t="shared" si="0"/>
        <v>2022</v>
      </c>
      <c r="J1" s="11">
        <f t="shared" si="0"/>
        <v>2023</v>
      </c>
      <c r="K1" s="11">
        <f t="shared" si="0"/>
        <v>2024</v>
      </c>
      <c r="L1" s="11">
        <f t="shared" si="0"/>
        <v>2025</v>
      </c>
      <c r="M1" s="11">
        <f t="shared" si="0"/>
        <v>2026</v>
      </c>
      <c r="N1" s="11">
        <f t="shared" si="0"/>
        <v>2027</v>
      </c>
      <c r="O1" s="11">
        <f t="shared" si="0"/>
        <v>2028</v>
      </c>
      <c r="P1" s="11">
        <f t="shared" si="0"/>
        <v>2029</v>
      </c>
      <c r="Q1" s="11">
        <f t="shared" si="0"/>
        <v>2030</v>
      </c>
      <c r="R1" s="11">
        <f t="shared" si="0"/>
        <v>2031</v>
      </c>
      <c r="S1" s="11">
        <f t="shared" si="0"/>
        <v>2032</v>
      </c>
      <c r="T1" s="11">
        <f t="shared" si="0"/>
        <v>2033</v>
      </c>
      <c r="U1" s="11">
        <f t="shared" si="0"/>
        <v>2034</v>
      </c>
      <c r="V1" s="11">
        <f t="shared" si="0"/>
        <v>2035</v>
      </c>
      <c r="W1" s="11">
        <f t="shared" si="0"/>
        <v>2036</v>
      </c>
      <c r="X1" s="11">
        <f t="shared" si="0"/>
        <v>2037</v>
      </c>
      <c r="Y1" s="11">
        <f t="shared" si="0"/>
        <v>2038</v>
      </c>
      <c r="Z1" s="11">
        <f t="shared" si="0"/>
        <v>2039</v>
      </c>
      <c r="AA1" s="11">
        <f t="shared" si="0"/>
        <v>2040</v>
      </c>
      <c r="AB1" s="11">
        <f t="shared" si="0"/>
        <v>2041</v>
      </c>
      <c r="AC1" s="11">
        <f t="shared" si="0"/>
        <v>2042</v>
      </c>
      <c r="AD1" s="11">
        <f t="shared" si="0"/>
        <v>2043</v>
      </c>
      <c r="AE1" s="11">
        <f t="shared" si="0"/>
        <v>2044</v>
      </c>
      <c r="AF1" s="11">
        <f t="shared" si="0"/>
        <v>2045</v>
      </c>
      <c r="AG1" s="11">
        <f t="shared" si="0"/>
        <v>2046</v>
      </c>
      <c r="AH1" s="11">
        <f t="shared" si="0"/>
        <v>2047</v>
      </c>
      <c r="AI1" s="11">
        <f t="shared" si="0"/>
        <v>2048</v>
      </c>
      <c r="AJ1" s="11">
        <f t="shared" si="0"/>
        <v>2049</v>
      </c>
      <c r="AK1" s="11">
        <f t="shared" si="0"/>
        <v>2050</v>
      </c>
    </row>
    <row r="2" spans="1:37" ht="15" x14ac:dyDescent="0.25">
      <c r="A2" t="s">
        <v>36</v>
      </c>
      <c r="B2" s="37">
        <f>'DOE EIA State Energy Profile'!$B$11</f>
        <v>2867261</v>
      </c>
      <c r="C2" s="37">
        <f>'DOE EIA State Energy Profile'!$C$11</f>
        <v>2858960</v>
      </c>
      <c r="D2" s="23">
        <f>'DOE EIA State Energy Profile'!B11</f>
        <v>2867261</v>
      </c>
      <c r="E2" s="6">
        <f>$D$2*E5</f>
        <v>2684181.7928427071</v>
      </c>
      <c r="F2" s="6">
        <f t="shared" ref="F2:Q2" si="1">$D$2*F5</f>
        <v>2501102.5856854138</v>
      </c>
      <c r="G2" s="6">
        <f t="shared" si="1"/>
        <v>2318023.3785281209</v>
      </c>
      <c r="H2" s="6">
        <f t="shared" si="1"/>
        <v>2134944.1713708281</v>
      </c>
      <c r="I2" s="6">
        <f t="shared" si="1"/>
        <v>1951864.9642135347</v>
      </c>
      <c r="J2" s="6">
        <f t="shared" si="1"/>
        <v>1768785.7570562419</v>
      </c>
      <c r="K2" s="6">
        <f t="shared" si="1"/>
        <v>1585706.5498989488</v>
      </c>
      <c r="L2" s="6">
        <f t="shared" si="1"/>
        <v>1402627.3427416557</v>
      </c>
      <c r="M2" s="6">
        <f t="shared" si="1"/>
        <v>1219548.1355843625</v>
      </c>
      <c r="N2" s="6">
        <f t="shared" si="1"/>
        <v>1036468.9284270696</v>
      </c>
      <c r="O2" s="6">
        <f t="shared" si="1"/>
        <v>853389.72126977658</v>
      </c>
      <c r="P2" s="6">
        <f t="shared" si="1"/>
        <v>670310.51411248359</v>
      </c>
      <c r="Q2" s="6">
        <f t="shared" si="1"/>
        <v>487231.30695518985</v>
      </c>
      <c r="R2" s="6">
        <f>Q2</f>
        <v>487231.30695518985</v>
      </c>
      <c r="S2" s="6">
        <f t="shared" ref="S2:AK2" si="2">R2</f>
        <v>487231.30695518985</v>
      </c>
      <c r="T2" s="6">
        <f t="shared" si="2"/>
        <v>487231.30695518985</v>
      </c>
      <c r="U2" s="6">
        <f t="shared" si="2"/>
        <v>487231.30695518985</v>
      </c>
      <c r="V2" s="6">
        <f t="shared" si="2"/>
        <v>487231.30695518985</v>
      </c>
      <c r="W2" s="6">
        <f t="shared" si="2"/>
        <v>487231.30695518985</v>
      </c>
      <c r="X2" s="6">
        <f t="shared" si="2"/>
        <v>487231.30695518985</v>
      </c>
      <c r="Y2" s="6">
        <f t="shared" si="2"/>
        <v>487231.30695518985</v>
      </c>
      <c r="Z2" s="6">
        <f t="shared" si="2"/>
        <v>487231.30695518985</v>
      </c>
      <c r="AA2" s="6">
        <f t="shared" si="2"/>
        <v>487231.30695518985</v>
      </c>
      <c r="AB2" s="6">
        <f t="shared" si="2"/>
        <v>487231.30695518985</v>
      </c>
      <c r="AC2" s="6">
        <f t="shared" si="2"/>
        <v>487231.30695518985</v>
      </c>
      <c r="AD2" s="6">
        <f t="shared" si="2"/>
        <v>487231.30695518985</v>
      </c>
      <c r="AE2" s="6">
        <f t="shared" si="2"/>
        <v>487231.30695518985</v>
      </c>
      <c r="AF2" s="6">
        <f t="shared" si="2"/>
        <v>487231.30695518985</v>
      </c>
      <c r="AG2" s="6">
        <f t="shared" si="2"/>
        <v>487231.30695518985</v>
      </c>
      <c r="AH2" s="6">
        <f t="shared" si="2"/>
        <v>487231.30695518985</v>
      </c>
      <c r="AI2" s="6">
        <f t="shared" si="2"/>
        <v>487231.30695518985</v>
      </c>
      <c r="AJ2" s="6">
        <f t="shared" si="2"/>
        <v>487231.30695518985</v>
      </c>
      <c r="AK2" s="6">
        <f t="shared" si="2"/>
        <v>487231.30695518985</v>
      </c>
    </row>
    <row r="3" spans="1:37" ht="15" x14ac:dyDescent="0.25">
      <c r="A3" t="s">
        <v>35</v>
      </c>
      <c r="B3" s="3">
        <f>'Natural gas background'!H23</f>
        <v>564.33258541961902</v>
      </c>
      <c r="C3" s="3">
        <f>'Natural gas background'!I23</f>
        <v>562.69878759250514</v>
      </c>
      <c r="D3" s="3">
        <f>'Natural gas background'!J23</f>
        <v>564.33258541961902</v>
      </c>
      <c r="E3">
        <f>$D$3*E5</f>
        <v>528.29904598541714</v>
      </c>
      <c r="F3">
        <f t="shared" ref="F3:Q3" si="3">$D$3*F5</f>
        <v>492.2655065512152</v>
      </c>
      <c r="G3">
        <f t="shared" si="3"/>
        <v>456.23196711701331</v>
      </c>
      <c r="H3">
        <f t="shared" si="3"/>
        <v>420.19842768281137</v>
      </c>
      <c r="I3">
        <f t="shared" si="3"/>
        <v>384.16488824860949</v>
      </c>
      <c r="J3">
        <f t="shared" si="3"/>
        <v>348.13134881440754</v>
      </c>
      <c r="K3">
        <f t="shared" si="3"/>
        <v>312.09780938020566</v>
      </c>
      <c r="L3">
        <f t="shared" si="3"/>
        <v>276.06426994600378</v>
      </c>
      <c r="M3">
        <f t="shared" si="3"/>
        <v>240.03073051180183</v>
      </c>
      <c r="N3">
        <f t="shared" si="3"/>
        <v>203.99719107759992</v>
      </c>
      <c r="O3">
        <f t="shared" si="3"/>
        <v>167.96365164339801</v>
      </c>
      <c r="P3">
        <f t="shared" si="3"/>
        <v>131.93011220919612</v>
      </c>
      <c r="Q3">
        <f t="shared" si="3"/>
        <v>95.896572774994084</v>
      </c>
      <c r="R3">
        <f>Q3</f>
        <v>95.896572774994084</v>
      </c>
      <c r="S3">
        <f t="shared" ref="S3:AK3" si="4">R3</f>
        <v>95.896572774994084</v>
      </c>
      <c r="T3">
        <f t="shared" si="4"/>
        <v>95.896572774994084</v>
      </c>
      <c r="U3">
        <f t="shared" si="4"/>
        <v>95.896572774994084</v>
      </c>
      <c r="V3">
        <f t="shared" si="4"/>
        <v>95.896572774994084</v>
      </c>
      <c r="W3">
        <f t="shared" si="4"/>
        <v>95.896572774994084</v>
      </c>
      <c r="X3">
        <f t="shared" si="4"/>
        <v>95.896572774994084</v>
      </c>
      <c r="Y3">
        <f t="shared" si="4"/>
        <v>95.896572774994084</v>
      </c>
      <c r="Z3">
        <f t="shared" si="4"/>
        <v>95.896572774994084</v>
      </c>
      <c r="AA3">
        <f t="shared" si="4"/>
        <v>95.896572774994084</v>
      </c>
      <c r="AB3">
        <f t="shared" si="4"/>
        <v>95.896572774994084</v>
      </c>
      <c r="AC3">
        <f t="shared" si="4"/>
        <v>95.896572774994084</v>
      </c>
      <c r="AD3">
        <f t="shared" si="4"/>
        <v>95.896572774994084</v>
      </c>
      <c r="AE3">
        <f t="shared" si="4"/>
        <v>95.896572774994084</v>
      </c>
      <c r="AF3">
        <f t="shared" si="4"/>
        <v>95.896572774994084</v>
      </c>
      <c r="AG3">
        <f t="shared" si="4"/>
        <v>95.896572774994084</v>
      </c>
      <c r="AH3">
        <f t="shared" si="4"/>
        <v>95.896572774994084</v>
      </c>
      <c r="AI3">
        <f t="shared" si="4"/>
        <v>95.896572774994084</v>
      </c>
      <c r="AJ3">
        <f t="shared" si="4"/>
        <v>95.896572774994084</v>
      </c>
      <c r="AK3">
        <f t="shared" si="4"/>
        <v>95.896572774994084</v>
      </c>
    </row>
    <row r="5" spans="1:37" ht="15" x14ac:dyDescent="0.25">
      <c r="A5" t="s">
        <v>181</v>
      </c>
      <c r="D5">
        <v>1</v>
      </c>
      <c r="E5">
        <f>D5-($D$5-$Q$5)/13</f>
        <v>0.93614839836439967</v>
      </c>
      <c r="F5">
        <f t="shared" ref="F5:P5" si="5">E5-($D$5-$Q$5)/13</f>
        <v>0.87229679672879934</v>
      </c>
      <c r="G5">
        <f t="shared" si="5"/>
        <v>0.80844519509319901</v>
      </c>
      <c r="H5">
        <f t="shared" si="5"/>
        <v>0.74459359345759868</v>
      </c>
      <c r="I5">
        <f t="shared" si="5"/>
        <v>0.68074199182199835</v>
      </c>
      <c r="J5">
        <f t="shared" si="5"/>
        <v>0.61689039018639802</v>
      </c>
      <c r="K5">
        <f t="shared" si="5"/>
        <v>0.55303878855079769</v>
      </c>
      <c r="L5">
        <f t="shared" si="5"/>
        <v>0.48918718691519736</v>
      </c>
      <c r="M5">
        <f t="shared" si="5"/>
        <v>0.42533558527959703</v>
      </c>
      <c r="N5">
        <f t="shared" si="5"/>
        <v>0.3614839836439967</v>
      </c>
      <c r="O5">
        <f t="shared" si="5"/>
        <v>0.29763238200839637</v>
      </c>
      <c r="P5">
        <f t="shared" si="5"/>
        <v>0.23378078037279604</v>
      </c>
      <c r="Q5" s="10">
        <f>1-F19</f>
        <v>0.16992917873719549</v>
      </c>
    </row>
    <row r="6" spans="1:37" ht="15" x14ac:dyDescent="0.25"/>
    <row r="7" spans="1:37" ht="15" x14ac:dyDescent="0.25"/>
    <row r="8" spans="1:37" ht="15" x14ac:dyDescent="0.25"/>
    <row r="9" spans="1:37" ht="15" x14ac:dyDescent="0.25"/>
    <row r="11" spans="1:37" ht="15" x14ac:dyDescent="0.25"/>
    <row r="12" spans="1:37" ht="15" x14ac:dyDescent="0.25"/>
    <row r="17" spans="1:7" x14ac:dyDescent="0.35">
      <c r="A17" t="s">
        <v>174</v>
      </c>
      <c r="F17" s="6">
        <f>'DOE EIA State Energy Profile'!$B$9</f>
        <v>15865433</v>
      </c>
    </row>
    <row r="18" spans="1:7" x14ac:dyDescent="0.35">
      <c r="A18" t="s">
        <v>179</v>
      </c>
      <c r="F18" s="6">
        <v>2696000</v>
      </c>
    </row>
    <row r="19" spans="1:7" ht="15" x14ac:dyDescent="0.25">
      <c r="A19" t="s">
        <v>175</v>
      </c>
      <c r="F19" s="39">
        <f>1-F18/F17</f>
        <v>0.83007082126280451</v>
      </c>
      <c r="G19" t="s">
        <v>176</v>
      </c>
    </row>
    <row r="21" spans="1:7" ht="15" x14ac:dyDescent="0.25">
      <c r="A21" t="s">
        <v>180</v>
      </c>
    </row>
    <row r="22" spans="1:7" 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7"/>
  <sheetViews>
    <sheetView topLeftCell="K1" workbookViewId="0">
      <selection activeCell="B7" sqref="B7:AK7"/>
    </sheetView>
  </sheetViews>
  <sheetFormatPr defaultRowHeight="14.5" x14ac:dyDescent="0.35"/>
  <cols>
    <col min="1" max="1" width="23.453125" customWidth="1"/>
    <col min="2" max="2" width="13.7265625" bestFit="1" customWidth="1"/>
    <col min="3" max="3" width="12.26953125" bestFit="1" customWidth="1"/>
    <col min="37" max="37" width="13.453125" bestFit="1" customWidth="1"/>
  </cols>
  <sheetData>
    <row r="1" spans="1:37" x14ac:dyDescent="0.25">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f>TREND($R2:$AA2,$R$1:$AA$1,AB$1)</f>
        <v>0</v>
      </c>
      <c r="AC2">
        <f t="shared" ref="AC2:AK3" si="0">TREND($R2:$AA2,$R$1:$AA$1,AC$1)</f>
        <v>0</v>
      </c>
      <c r="AD2">
        <f t="shared" si="0"/>
        <v>0</v>
      </c>
      <c r="AE2">
        <f t="shared" si="0"/>
        <v>0</v>
      </c>
      <c r="AF2">
        <f t="shared" si="0"/>
        <v>0</v>
      </c>
      <c r="AG2">
        <f t="shared" si="0"/>
        <v>0</v>
      </c>
      <c r="AH2">
        <f t="shared" si="0"/>
        <v>0</v>
      </c>
      <c r="AI2">
        <f t="shared" si="0"/>
        <v>0</v>
      </c>
      <c r="AJ2">
        <f t="shared" si="0"/>
        <v>0</v>
      </c>
      <c r="AK2">
        <f t="shared" si="0"/>
        <v>0</v>
      </c>
    </row>
    <row r="3" spans="1:37" x14ac:dyDescent="0.25">
      <c r="A3" t="s">
        <v>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f>TREND($R3:$AA3,$R$1:$AA$1,AB$1)</f>
        <v>0</v>
      </c>
      <c r="AC3">
        <f t="shared" si="0"/>
        <v>0</v>
      </c>
      <c r="AD3">
        <f t="shared" si="0"/>
        <v>0</v>
      </c>
      <c r="AE3">
        <f t="shared" si="0"/>
        <v>0</v>
      </c>
      <c r="AF3">
        <f t="shared" si="0"/>
        <v>0</v>
      </c>
      <c r="AG3">
        <f t="shared" si="0"/>
        <v>0</v>
      </c>
      <c r="AH3">
        <f t="shared" si="0"/>
        <v>0</v>
      </c>
      <c r="AI3">
        <f t="shared" si="0"/>
        <v>0</v>
      </c>
      <c r="AJ3">
        <f t="shared" si="0"/>
        <v>0</v>
      </c>
      <c r="AK3">
        <f t="shared" si="0"/>
        <v>0</v>
      </c>
    </row>
    <row r="4" spans="1:37" x14ac:dyDescent="0.25">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f t="shared" ref="AB4:AK14" si="1">TREND($R4:$AA4,$R$1:$AA$1,AB$1)</f>
        <v>0</v>
      </c>
      <c r="AC4">
        <f t="shared" si="1"/>
        <v>0</v>
      </c>
      <c r="AD4">
        <f t="shared" si="1"/>
        <v>0</v>
      </c>
      <c r="AE4">
        <f t="shared" si="1"/>
        <v>0</v>
      </c>
      <c r="AF4">
        <f t="shared" si="1"/>
        <v>0</v>
      </c>
      <c r="AG4">
        <f t="shared" si="1"/>
        <v>0</v>
      </c>
      <c r="AH4">
        <f t="shared" si="1"/>
        <v>0</v>
      </c>
      <c r="AI4">
        <f t="shared" si="1"/>
        <v>0</v>
      </c>
      <c r="AJ4">
        <f t="shared" si="1"/>
        <v>0</v>
      </c>
      <c r="AK4">
        <f t="shared" si="1"/>
        <v>0</v>
      </c>
    </row>
    <row r="5" spans="1:37" x14ac:dyDescent="0.25">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f t="shared" si="1"/>
        <v>0</v>
      </c>
      <c r="AC5">
        <f t="shared" si="1"/>
        <v>0</v>
      </c>
      <c r="AD5">
        <f t="shared" si="1"/>
        <v>0</v>
      </c>
      <c r="AE5">
        <f t="shared" si="1"/>
        <v>0</v>
      </c>
      <c r="AF5">
        <f t="shared" si="1"/>
        <v>0</v>
      </c>
      <c r="AG5">
        <f t="shared" si="1"/>
        <v>0</v>
      </c>
      <c r="AH5">
        <f t="shared" si="1"/>
        <v>0</v>
      </c>
      <c r="AI5">
        <f t="shared" si="1"/>
        <v>0</v>
      </c>
      <c r="AJ5">
        <f t="shared" si="1"/>
        <v>0</v>
      </c>
      <c r="AK5">
        <f t="shared" si="1"/>
        <v>0</v>
      </c>
    </row>
    <row r="6" spans="1:37" x14ac:dyDescent="0.25">
      <c r="A6" t="s">
        <v>15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f t="shared" si="1"/>
        <v>0</v>
      </c>
      <c r="AC6">
        <f t="shared" si="1"/>
        <v>0</v>
      </c>
      <c r="AD6">
        <f t="shared" si="1"/>
        <v>0</v>
      </c>
      <c r="AE6">
        <f t="shared" si="1"/>
        <v>0</v>
      </c>
      <c r="AF6">
        <f t="shared" si="1"/>
        <v>0</v>
      </c>
      <c r="AG6">
        <f t="shared" si="1"/>
        <v>0</v>
      </c>
      <c r="AH6">
        <f t="shared" si="1"/>
        <v>0</v>
      </c>
      <c r="AI6">
        <f t="shared" si="1"/>
        <v>0</v>
      </c>
      <c r="AJ6">
        <f t="shared" si="1"/>
        <v>0</v>
      </c>
      <c r="AK6">
        <f t="shared" si="1"/>
        <v>0</v>
      </c>
    </row>
    <row r="7" spans="1:37" x14ac:dyDescent="0.25">
      <c r="A7" t="s">
        <v>3</v>
      </c>
      <c r="B7" s="12">
        <f>'Solar calculations'!B3*'Sector allocation of Rooftop PV'!$B$15</f>
        <v>4203927.9498629877</v>
      </c>
      <c r="C7" s="12">
        <f>'Solar calculations'!C3*'Sector allocation of Rooftop PV'!$B$15</f>
        <v>5788934.1476707924</v>
      </c>
      <c r="D7" s="12">
        <f>'Solar calculations'!D3*'Sector allocation of Rooftop PV'!$B$15</f>
        <v>7212584.9768685633</v>
      </c>
      <c r="E7" s="12">
        <f>'Solar calculations'!E3*'Sector allocation of Rooftop PV'!$B$15</f>
        <v>9805441.6309175082</v>
      </c>
      <c r="F7" s="12">
        <f>'Solar calculations'!F3*'Sector allocation of Rooftop PV'!$B$15</f>
        <v>11177582.861674381</v>
      </c>
      <c r="G7" s="12">
        <f>'Solar calculations'!G3*'Sector allocation of Rooftop PV'!$B$15</f>
        <v>12549724.092431257</v>
      </c>
      <c r="H7" s="12">
        <f>'Solar calculations'!H3*'Sector allocation of Rooftop PV'!$B$15</f>
        <v>13921865.323188132</v>
      </c>
      <c r="I7" s="12">
        <f>'Solar calculations'!I3*'Sector allocation of Rooftop PV'!$B$15</f>
        <v>15294006.553945005</v>
      </c>
      <c r="J7" s="12">
        <f>'Solar calculations'!J3*'Sector allocation of Rooftop PV'!$B$15</f>
        <v>16666147.78470188</v>
      </c>
      <c r="K7" s="12">
        <f>'Solar calculations'!K3*'Sector allocation of Rooftop PV'!$B$15</f>
        <v>18038289.015458751</v>
      </c>
      <c r="L7" s="12">
        <f>'Solar calculations'!L3*'Sector allocation of Rooftop PV'!$B$15</f>
        <v>19410430.246215627</v>
      </c>
      <c r="M7" s="12">
        <f>'Solar calculations'!M3*'Sector allocation of Rooftop PV'!$B$15</f>
        <v>20782571.476972502</v>
      </c>
      <c r="N7" s="12">
        <f>'Solar calculations'!N3*'Sector allocation of Rooftop PV'!$B$15</f>
        <v>22154712.707729377</v>
      </c>
      <c r="O7" s="12">
        <f>'Solar calculations'!O3*'Sector allocation of Rooftop PV'!$B$15</f>
        <v>23526853.938486248</v>
      </c>
      <c r="P7" s="12">
        <f>'Solar calculations'!P3*'Sector allocation of Rooftop PV'!$B$15</f>
        <v>24898995.169243127</v>
      </c>
      <c r="Q7" s="12">
        <f>'Solar calculations'!Q3*'Sector allocation of Rooftop PV'!$B$15</f>
        <v>26271136.399999999</v>
      </c>
      <c r="R7" s="12">
        <f>'Solar calculations'!R3*'Sector allocation of Rooftop PV'!$B$15</f>
        <v>26271136.399999999</v>
      </c>
      <c r="S7" s="12">
        <f>'Solar calculations'!S3*'Sector allocation of Rooftop PV'!$B$15</f>
        <v>26271136.399999999</v>
      </c>
      <c r="T7" s="12">
        <f>'Solar calculations'!T3*'Sector allocation of Rooftop PV'!$B$15</f>
        <v>26271136.399999999</v>
      </c>
      <c r="U7" s="12">
        <f>'Solar calculations'!U3*'Sector allocation of Rooftop PV'!$B$15</f>
        <v>26271136.399999999</v>
      </c>
      <c r="V7" s="12">
        <f>'Solar calculations'!V3*'Sector allocation of Rooftop PV'!$B$15</f>
        <v>26271136.399999999</v>
      </c>
      <c r="W7" s="12">
        <f>'Solar calculations'!W3*'Sector allocation of Rooftop PV'!$B$15</f>
        <v>26271136.399999999</v>
      </c>
      <c r="X7" s="12">
        <f>'Solar calculations'!X3*'Sector allocation of Rooftop PV'!$B$15</f>
        <v>26271136.399999999</v>
      </c>
      <c r="Y7" s="12">
        <f>'Solar calculations'!Y3*'Sector allocation of Rooftop PV'!$B$15</f>
        <v>26271136.399999999</v>
      </c>
      <c r="Z7" s="12">
        <f>'Solar calculations'!Z3*'Sector allocation of Rooftop PV'!$B$15</f>
        <v>26271136.399999999</v>
      </c>
      <c r="AA7" s="12">
        <f>'Solar calculations'!AA3*'Sector allocation of Rooftop PV'!$B$15</f>
        <v>26271136.399999999</v>
      </c>
      <c r="AB7" s="12">
        <f>'Solar calculations'!AB3*'Sector allocation of Rooftop PV'!$B$15</f>
        <v>26271136.399999999</v>
      </c>
      <c r="AC7" s="12">
        <f>'Solar calculations'!AC3*'Sector allocation of Rooftop PV'!$B$15</f>
        <v>26271136.399999999</v>
      </c>
      <c r="AD7" s="12">
        <f>'Solar calculations'!AD3*'Sector allocation of Rooftop PV'!$B$15</f>
        <v>26271136.399999999</v>
      </c>
      <c r="AE7" s="12">
        <f>'Solar calculations'!AE3*'Sector allocation of Rooftop PV'!$B$15</f>
        <v>26271136.399999999</v>
      </c>
      <c r="AF7" s="12">
        <f>'Solar calculations'!AF3*'Sector allocation of Rooftop PV'!$B$15</f>
        <v>26271136.399999999</v>
      </c>
      <c r="AG7" s="12">
        <f>'Solar calculations'!AG3*'Sector allocation of Rooftop PV'!$B$15</f>
        <v>26271136.399999999</v>
      </c>
      <c r="AH7" s="12">
        <f>'Solar calculations'!AH3*'Sector allocation of Rooftop PV'!$B$15</f>
        <v>26271136.399999999</v>
      </c>
      <c r="AI7" s="12">
        <f>'Solar calculations'!AI3*'Sector allocation of Rooftop PV'!$B$15</f>
        <v>26271136.399999999</v>
      </c>
      <c r="AJ7" s="12">
        <f>'Solar calculations'!AJ3*'Sector allocation of Rooftop PV'!$B$15</f>
        <v>26271136.399999999</v>
      </c>
      <c r="AK7" s="12">
        <f>'Solar calculations'!AK3*'Sector allocation of Rooftop PV'!$B$15</f>
        <v>26271136.399999999</v>
      </c>
    </row>
    <row r="8" spans="1:37" x14ac:dyDescent="0.25">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f t="shared" si="1"/>
        <v>0</v>
      </c>
      <c r="AC8">
        <f t="shared" si="1"/>
        <v>0</v>
      </c>
      <c r="AD8">
        <f t="shared" si="1"/>
        <v>0</v>
      </c>
      <c r="AE8">
        <f t="shared" si="1"/>
        <v>0</v>
      </c>
      <c r="AF8">
        <f t="shared" si="1"/>
        <v>0</v>
      </c>
      <c r="AG8">
        <f t="shared" si="1"/>
        <v>0</v>
      </c>
      <c r="AH8">
        <f t="shared" si="1"/>
        <v>0</v>
      </c>
      <c r="AI8">
        <f t="shared" si="1"/>
        <v>0</v>
      </c>
      <c r="AJ8">
        <f t="shared" si="1"/>
        <v>0</v>
      </c>
      <c r="AK8">
        <f t="shared" si="1"/>
        <v>0</v>
      </c>
    </row>
    <row r="9" spans="1:37" x14ac:dyDescent="0.25">
      <c r="A9" t="s">
        <v>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f t="shared" si="1"/>
        <v>0</v>
      </c>
      <c r="AC9">
        <f t="shared" si="1"/>
        <v>0</v>
      </c>
      <c r="AD9">
        <f t="shared" si="1"/>
        <v>0</v>
      </c>
      <c r="AE9">
        <f t="shared" si="1"/>
        <v>0</v>
      </c>
      <c r="AF9">
        <f t="shared" si="1"/>
        <v>0</v>
      </c>
      <c r="AG9">
        <f t="shared" si="1"/>
        <v>0</v>
      </c>
      <c r="AH9">
        <f t="shared" si="1"/>
        <v>0</v>
      </c>
      <c r="AI9">
        <f t="shared" si="1"/>
        <v>0</v>
      </c>
      <c r="AJ9">
        <f t="shared" si="1"/>
        <v>0</v>
      </c>
      <c r="AK9">
        <f t="shared" si="1"/>
        <v>0</v>
      </c>
    </row>
    <row r="10" spans="1:37" x14ac:dyDescent="0.25">
      <c r="A10" t="s">
        <v>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f t="shared" si="1"/>
        <v>0</v>
      </c>
      <c r="AC10">
        <f t="shared" si="1"/>
        <v>0</v>
      </c>
      <c r="AD10">
        <f t="shared" si="1"/>
        <v>0</v>
      </c>
      <c r="AE10">
        <f t="shared" si="1"/>
        <v>0</v>
      </c>
      <c r="AF10">
        <f t="shared" si="1"/>
        <v>0</v>
      </c>
      <c r="AG10">
        <f t="shared" si="1"/>
        <v>0</v>
      </c>
      <c r="AH10">
        <f t="shared" si="1"/>
        <v>0</v>
      </c>
      <c r="AI10">
        <f t="shared" si="1"/>
        <v>0</v>
      </c>
      <c r="AJ10">
        <f t="shared" si="1"/>
        <v>0</v>
      </c>
      <c r="AK10">
        <f t="shared" si="1"/>
        <v>0</v>
      </c>
    </row>
    <row r="11" spans="1:37" x14ac:dyDescent="0.25">
      <c r="A11" t="s">
        <v>7</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f t="shared" si="1"/>
        <v>0</v>
      </c>
      <c r="AC11">
        <f t="shared" si="1"/>
        <v>0</v>
      </c>
      <c r="AD11">
        <f t="shared" si="1"/>
        <v>0</v>
      </c>
      <c r="AE11">
        <f t="shared" si="1"/>
        <v>0</v>
      </c>
      <c r="AF11">
        <f t="shared" si="1"/>
        <v>0</v>
      </c>
      <c r="AG11">
        <f t="shared" si="1"/>
        <v>0</v>
      </c>
      <c r="AH11">
        <f t="shared" si="1"/>
        <v>0</v>
      </c>
      <c r="AI11">
        <f t="shared" si="1"/>
        <v>0</v>
      </c>
      <c r="AJ11">
        <f t="shared" si="1"/>
        <v>0</v>
      </c>
      <c r="AK11">
        <f t="shared" si="1"/>
        <v>0</v>
      </c>
    </row>
    <row r="12" spans="1:37" x14ac:dyDescent="0.25">
      <c r="A12" t="s">
        <v>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f t="shared" si="1"/>
        <v>0</v>
      </c>
      <c r="AC12">
        <f t="shared" si="1"/>
        <v>0</v>
      </c>
      <c r="AD12">
        <f t="shared" si="1"/>
        <v>0</v>
      </c>
      <c r="AE12">
        <f t="shared" si="1"/>
        <v>0</v>
      </c>
      <c r="AF12">
        <f t="shared" si="1"/>
        <v>0</v>
      </c>
      <c r="AG12">
        <f t="shared" si="1"/>
        <v>0</v>
      </c>
      <c r="AH12">
        <f t="shared" si="1"/>
        <v>0</v>
      </c>
      <c r="AI12">
        <f t="shared" si="1"/>
        <v>0</v>
      </c>
      <c r="AJ12">
        <f t="shared" si="1"/>
        <v>0</v>
      </c>
      <c r="AK12">
        <f t="shared" si="1"/>
        <v>0</v>
      </c>
    </row>
    <row r="13" spans="1:37" x14ac:dyDescent="0.25">
      <c r="A13" t="s">
        <v>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f t="shared" si="1"/>
        <v>0</v>
      </c>
      <c r="AC13">
        <f t="shared" si="1"/>
        <v>0</v>
      </c>
      <c r="AD13">
        <f t="shared" si="1"/>
        <v>0</v>
      </c>
      <c r="AE13">
        <f t="shared" si="1"/>
        <v>0</v>
      </c>
      <c r="AF13">
        <f t="shared" si="1"/>
        <v>0</v>
      </c>
      <c r="AG13">
        <f t="shared" si="1"/>
        <v>0</v>
      </c>
      <c r="AH13">
        <f t="shared" si="1"/>
        <v>0</v>
      </c>
      <c r="AI13">
        <f t="shared" si="1"/>
        <v>0</v>
      </c>
      <c r="AJ13">
        <f t="shared" si="1"/>
        <v>0</v>
      </c>
      <c r="AK13">
        <f t="shared" si="1"/>
        <v>0</v>
      </c>
    </row>
    <row r="14" spans="1:37" x14ac:dyDescent="0.25">
      <c r="A14" t="s">
        <v>16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f t="shared" si="1"/>
        <v>0</v>
      </c>
      <c r="AC14">
        <f t="shared" si="1"/>
        <v>0</v>
      </c>
      <c r="AD14">
        <f t="shared" si="1"/>
        <v>0</v>
      </c>
      <c r="AE14">
        <f t="shared" si="1"/>
        <v>0</v>
      </c>
      <c r="AF14">
        <f t="shared" si="1"/>
        <v>0</v>
      </c>
      <c r="AG14">
        <f t="shared" si="1"/>
        <v>0</v>
      </c>
      <c r="AH14">
        <f t="shared" si="1"/>
        <v>0</v>
      </c>
      <c r="AI14">
        <f t="shared" si="1"/>
        <v>0</v>
      </c>
      <c r="AJ14">
        <f t="shared" si="1"/>
        <v>0</v>
      </c>
      <c r="AK14">
        <f t="shared" si="1"/>
        <v>0</v>
      </c>
    </row>
    <row r="17" spans="1:37" x14ac:dyDescent="0.25">
      <c r="A17" s="9"/>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Solar background</vt:lpstr>
      <vt:lpstr>Solar calculations</vt:lpstr>
      <vt:lpstr>Sector allocation of Rooftop PV</vt:lpstr>
      <vt:lpstr>DOE EIA State Energy Profile</vt:lpstr>
      <vt:lpstr>IRP excerpts</vt:lpstr>
      <vt:lpstr>Natural gas background</vt:lpstr>
      <vt:lpstr>Natural gas calculations</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2016-01-26T19:10:58Z</dcterms:created>
  <dcterms:modified xsi:type="dcterms:W3CDTF">2019-06-10T21:13:58Z</dcterms:modified>
</cp:coreProperties>
</file>