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0" windowWidth="15360" windowHeight="8760"/>
  </bookViews>
  <sheets>
    <sheet name="About" sheetId="22" r:id="rId1"/>
    <sheet name="PPEIdtIL" sheetId="25" r:id="rId2"/>
    <sheet name="Aggregate effects " sheetId="24" r:id="rId3"/>
    <sheet name="CEC-CPUC additional expected EE" sheetId="20" r:id="rId4"/>
    <sheet name="Aggregate without electrific" sheetId="21" r:id="rId5"/>
    <sheet name="Calibrate utility prog effect" sheetId="5" r:id="rId6"/>
    <sheet name="EPS - Pathway category mapping" sheetId="19" r:id="rId7"/>
    <sheet name="BAU energy" sheetId="7" r:id="rId8"/>
    <sheet name="EPS utility programs" sheetId="10" r:id="rId9"/>
    <sheet name="EPS Retrofit impacts" sheetId="8" r:id="rId10"/>
    <sheet name="EPS-electrification impact" sheetId="13" r:id="rId11"/>
    <sheet name="EPS-codes standard impact" sheetId="14" r:id="rId12"/>
    <sheet name="Aggregate effect input data" sheetId="15" r:id="rId13"/>
  </sheets>
  <calcPr calcId="145621"/>
</workbook>
</file>

<file path=xl/calcChain.xml><?xml version="1.0" encoding="utf-8"?>
<calcChain xmlns="http://schemas.openxmlformats.org/spreadsheetml/2006/main">
  <c r="C28" i="13" l="1"/>
  <c r="D28" i="13"/>
  <c r="E28" i="13"/>
  <c r="F28" i="13"/>
  <c r="G28" i="13"/>
  <c r="H28" i="13"/>
  <c r="I28" i="13"/>
  <c r="J28" i="13"/>
  <c r="K28" i="13"/>
  <c r="L28" i="13"/>
  <c r="M28" i="13"/>
  <c r="N28" i="13"/>
  <c r="O28" i="13"/>
  <c r="B28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B27" i="13"/>
  <c r="B45" i="21" l="1"/>
  <c r="C45" i="21"/>
  <c r="B39" i="21"/>
  <c r="B40" i="21"/>
  <c r="C40" i="21"/>
  <c r="D40" i="21"/>
  <c r="E40" i="21"/>
  <c r="A41" i="21"/>
  <c r="B41" i="21"/>
  <c r="C41" i="21"/>
  <c r="D41" i="21"/>
  <c r="E41" i="21"/>
  <c r="B62" i="20" l="1"/>
  <c r="B59" i="20" s="1"/>
  <c r="B60" i="20" s="1"/>
  <c r="C62" i="20"/>
  <c r="C63" i="20" s="1"/>
  <c r="B63" i="20" l="1"/>
  <c r="C59" i="20"/>
  <c r="C60" i="20" s="1"/>
  <c r="B33" i="21" l="1"/>
  <c r="B32" i="21"/>
  <c r="B35" i="21" s="1"/>
  <c r="B27" i="21"/>
  <c r="O30" i="21" s="1"/>
  <c r="A27" i="21"/>
  <c r="O32" i="21" s="1"/>
  <c r="D27" i="21" s="1"/>
  <c r="C27" i="21" l="1"/>
  <c r="B33" i="15" l="1"/>
  <c r="B35" i="15" s="1"/>
  <c r="B32" i="15"/>
  <c r="B2" i="20"/>
  <c r="D3" i="20"/>
  <c r="B4" i="20"/>
  <c r="C4" i="20"/>
  <c r="D4" i="20"/>
  <c r="E4" i="20"/>
  <c r="A5" i="20"/>
  <c r="B5" i="20"/>
  <c r="C5" i="20"/>
  <c r="D5" i="20"/>
  <c r="E5" i="20"/>
  <c r="A6" i="20"/>
  <c r="B6" i="20"/>
  <c r="C6" i="20"/>
  <c r="D6" i="20"/>
  <c r="E6" i="20"/>
  <c r="A7" i="20"/>
  <c r="B27" i="15" l="1"/>
  <c r="I3" i="24" s="1"/>
  <c r="A27" i="15"/>
  <c r="H3" i="24" s="1"/>
  <c r="P25" i="10"/>
  <c r="O30" i="10" s="1"/>
  <c r="O25" i="10"/>
  <c r="O32" i="10" s="1"/>
  <c r="R25" i="10" s="1"/>
  <c r="O32" i="15" l="1"/>
  <c r="D27" i="15" s="1"/>
  <c r="F3" i="24" s="1"/>
  <c r="O30" i="15"/>
  <c r="C27" i="15"/>
  <c r="G3" i="24" s="1"/>
  <c r="Q25" i="10"/>
  <c r="H11" i="5"/>
  <c r="I11" i="5"/>
  <c r="G11" i="5"/>
  <c r="F11" i="5"/>
  <c r="O32" i="14"/>
  <c r="R25" i="14"/>
  <c r="P25" i="14"/>
  <c r="O30" i="14" s="1"/>
  <c r="O25" i="14"/>
  <c r="P25" i="13"/>
  <c r="A40" i="13" s="1"/>
  <c r="O25" i="13"/>
  <c r="A42" i="13" s="1"/>
  <c r="R25" i="13" s="1"/>
  <c r="F12" i="5" s="1"/>
  <c r="H14" i="5"/>
  <c r="I14" i="5"/>
  <c r="G14" i="5"/>
  <c r="F14" i="5"/>
  <c r="P25" i="8"/>
  <c r="O30" i="8" s="1"/>
  <c r="Q25" i="8"/>
  <c r="R25" i="8"/>
  <c r="O32" i="8"/>
  <c r="I12" i="5" l="1"/>
  <c r="H12" i="5"/>
  <c r="C26" i="5"/>
  <c r="Q25" i="14"/>
  <c r="Q25" i="13"/>
  <c r="G12" i="5" s="1"/>
  <c r="O25" i="8"/>
  <c r="B13" i="5" l="1"/>
  <c r="C14" i="5"/>
  <c r="B14" i="5"/>
  <c r="B40" i="5"/>
  <c r="D11" i="5" s="1"/>
  <c r="A61" i="5"/>
  <c r="A62" i="5" s="1"/>
  <c r="A63" i="5" s="1"/>
  <c r="A64" i="5" s="1"/>
  <c r="A65" i="5" s="1"/>
  <c r="A66" i="5" s="1"/>
  <c r="A67" i="5" s="1"/>
  <c r="A68" i="5" s="1"/>
  <c r="A69" i="5" s="1"/>
  <c r="D56" i="5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C40" i="5" s="1"/>
  <c r="C11" i="5"/>
  <c r="C13" i="5" s="1"/>
  <c r="B3" i="24" l="1"/>
  <c r="D3" i="24" s="1"/>
  <c r="B7" i="20"/>
  <c r="C3" i="24"/>
  <c r="E3" i="24" s="1"/>
  <c r="C7" i="20"/>
  <c r="E13" i="5"/>
  <c r="D14" i="5"/>
  <c r="D7" i="20" s="1"/>
  <c r="D13" i="5"/>
  <c r="E14" i="5"/>
  <c r="E7" i="20" s="1"/>
  <c r="E11" i="5"/>
  <c r="C27" i="5" l="1"/>
</calcChain>
</file>

<file path=xl/sharedStrings.xml><?xml version="1.0" encoding="utf-8"?>
<sst xmlns="http://schemas.openxmlformats.org/spreadsheetml/2006/main" count="387" uniqueCount="169">
  <si>
    <t>Electricity</t>
  </si>
  <si>
    <t>Natural gas</t>
  </si>
  <si>
    <t>Codes/Standards</t>
  </si>
  <si>
    <t>Electricity GWh saved</t>
  </si>
  <si>
    <t>Natural gas Therms saved</t>
  </si>
  <si>
    <t>Residential</t>
  </si>
  <si>
    <t>electricity in GWh</t>
  </si>
  <si>
    <t>https://efiling.energy.ca.gov/getdocument.aspx?tn=223244</t>
  </si>
  <si>
    <t>"California Energy Demand 2018-2030 Revised Forecast"</t>
  </si>
  <si>
    <t>2030 Reference demand - mid-case</t>
  </si>
  <si>
    <t>mm Therms of natural gas</t>
  </si>
  <si>
    <t>Table 3: Comparison of CED 2017 Revised and CED 2015 Mid Case Demand Baseline</t>
  </si>
  <si>
    <t>Forecasts of Statewide End-User Natural Gas Consumption</t>
  </si>
  <si>
    <t>Table 2: Baseline Electricity Consumption by Sector</t>
  </si>
  <si>
    <t>Electricity values directly from:</t>
  </si>
  <si>
    <t>Natural gas results not broken out by sector.  Mid-case value annual growth</t>
  </si>
  <si>
    <t xml:space="preserve">rates (from Table 3) are applied to actual 2017 use to impute 2030 buildings demand. </t>
  </si>
  <si>
    <t>Comm</t>
  </si>
  <si>
    <t>BAU building natural gas use</t>
  </si>
  <si>
    <t>in therms</t>
  </si>
  <si>
    <t>growth rate from Table 3</t>
  </si>
  <si>
    <t xml:space="preserve">Total </t>
  </si>
  <si>
    <t>Reductions by 2029 under SB 350 doubling target</t>
  </si>
  <si>
    <t>Total reductions</t>
  </si>
  <si>
    <t>As % of 2030 demand</t>
  </si>
  <si>
    <t>Financing (PACE+OB)</t>
  </si>
  <si>
    <t>Utility programs</t>
  </si>
  <si>
    <t xml:space="preserve">PACE part - nonutility </t>
  </si>
  <si>
    <t>1/4 of utility programs</t>
  </si>
  <si>
    <t>Utility programs (IOU+POU)</t>
  </si>
  <si>
    <t>3/4 of utility programs</t>
  </si>
  <si>
    <t>Sum of imputed financing</t>
  </si>
  <si>
    <t>Utility programs (adjusted)</t>
  </si>
  <si>
    <t>Time (Year)</t>
  </si>
  <si>
    <t>"Buildings Energy Use by Fuel[Building Fuel]"  Runs:</t>
  </si>
  <si>
    <t>MostRecentRun</t>
  </si>
  <si>
    <t>Buildings Energy Use by Fuel</t>
  </si>
  <si>
    <t>[electricity bf]</t>
  </si>
  <si>
    <t>[hard coal bf]</t>
  </si>
  <si>
    <t>[natural gas bf]</t>
  </si>
  <si>
    <t>[petroleum diesel bf]</t>
  </si>
  <si>
    <t>[heat bf]</t>
  </si>
  <si>
    <t>[biomass bf]</t>
  </si>
  <si>
    <t>AT 0.04 penetration</t>
  </si>
  <si>
    <t>% change in</t>
  </si>
  <si>
    <t>electricity</t>
  </si>
  <si>
    <t>gas</t>
  </si>
  <si>
    <t>Level in univariate comparison to BAU</t>
  </si>
  <si>
    <t xml:space="preserve">BAU </t>
  </si>
  <si>
    <t>Financing</t>
  </si>
  <si>
    <t>Electrification</t>
  </si>
  <si>
    <t>natural gas BTU</t>
  </si>
  <si>
    <t xml:space="preserve">electricity BTU </t>
  </si>
  <si>
    <t>natural gas therms</t>
  </si>
  <si>
    <t>convert GWh to BTU</t>
  </si>
  <si>
    <t>BTU</t>
  </si>
  <si>
    <t>GWh</t>
  </si>
  <si>
    <t>Codes and Stds</t>
  </si>
  <si>
    <t>electrification at 50% of sales by 2030</t>
  </si>
  <si>
    <t>Conversions</t>
  </si>
  <si>
    <t>natural gas reference demand calculated below</t>
  </si>
  <si>
    <t xml:space="preserve">portion of the utility program savings estimate to financing, e.g. on bill financing </t>
  </si>
  <si>
    <t xml:space="preserve">levels of reductions needed </t>
  </si>
  <si>
    <t>for utility programs centered on electricity</t>
  </si>
  <si>
    <t>At least a 10 percent reduction is needed</t>
  </si>
  <si>
    <t xml:space="preserve">in building electricity demand. </t>
  </si>
  <si>
    <t>to come close to overall reductions</t>
  </si>
  <si>
    <t>net of electricity across the 3</t>
  </si>
  <si>
    <t>to earn back electrification "reversal" - would need this amount of raw GWh</t>
  </si>
  <si>
    <t>all together</t>
  </si>
  <si>
    <t>EPS category</t>
  </si>
  <si>
    <t>Pathways category</t>
  </si>
  <si>
    <t>Pathways variable names</t>
  </si>
  <si>
    <t>Notes</t>
  </si>
  <si>
    <t>RESIDENTIAL BUILDINGS</t>
  </si>
  <si>
    <t>heating</t>
  </si>
  <si>
    <t>space heating</t>
  </si>
  <si>
    <t>Res-SH</t>
  </si>
  <si>
    <t>cooling and ventilation</t>
  </si>
  <si>
    <t>central air</t>
  </si>
  <si>
    <t>CA</t>
  </si>
  <si>
    <t>room air</t>
  </si>
  <si>
    <t>RA</t>
  </si>
  <si>
    <t>envelope</t>
  </si>
  <si>
    <t>building shell</t>
  </si>
  <si>
    <t>BS</t>
  </si>
  <si>
    <t xml:space="preserve">BS assumed to be building shell.  The term is used in Pathways documentation, though the variable name does not appear to be defined.  </t>
  </si>
  <si>
    <t>lighting</t>
  </si>
  <si>
    <t xml:space="preserve">lighting </t>
  </si>
  <si>
    <t>LT</t>
  </si>
  <si>
    <t>appliances</t>
  </si>
  <si>
    <t>water heating</t>
  </si>
  <si>
    <t>Res-WH</t>
  </si>
  <si>
    <t>cooking</t>
  </si>
  <si>
    <t>CK</t>
  </si>
  <si>
    <t>freezer</t>
  </si>
  <si>
    <t>FR</t>
  </si>
  <si>
    <t>Dishwasher</t>
  </si>
  <si>
    <t>DW</t>
  </si>
  <si>
    <t>clothes washer</t>
  </si>
  <si>
    <t>CW</t>
  </si>
  <si>
    <t>clothes drier</t>
  </si>
  <si>
    <t>CD</t>
  </si>
  <si>
    <t>refrigeration</t>
  </si>
  <si>
    <t>RF</t>
  </si>
  <si>
    <t>other component</t>
  </si>
  <si>
    <t xml:space="preserve">other </t>
  </si>
  <si>
    <t>OT</t>
  </si>
  <si>
    <t>while this category exists, there are no data contained therein</t>
  </si>
  <si>
    <t>COMMERICAL BUILDINGS</t>
  </si>
  <si>
    <t>SH</t>
  </si>
  <si>
    <t>air conditioning</t>
  </si>
  <si>
    <t>AC</t>
  </si>
  <si>
    <t>ventilation</t>
  </si>
  <si>
    <t>VT</t>
  </si>
  <si>
    <t>WH</t>
  </si>
  <si>
    <t>strange there is no freezer category</t>
  </si>
  <si>
    <t>other</t>
  </si>
  <si>
    <t>SB 350 projected compliance result</t>
  </si>
  <si>
    <t>EPS integrated building sector policy impacts compared to BAU</t>
  </si>
  <si>
    <t>Electricity (% change)</t>
  </si>
  <si>
    <t>Natural gas (% change)</t>
  </si>
  <si>
    <t xml:space="preserve">EPS policy lever </t>
  </si>
  <si>
    <t>Commercial retrofits</t>
  </si>
  <si>
    <t>% change (relative to BAU in 2030)</t>
  </si>
  <si>
    <t>% change in overall building energy compared to 2017</t>
  </si>
  <si>
    <t>with policy action</t>
  </si>
  <si>
    <t>diff</t>
  </si>
  <si>
    <t>PPEIdtIL Potential Percentage Eff Improvement due to Improved Labeling</t>
  </si>
  <si>
    <t>Source:</t>
  </si>
  <si>
    <t>Note:</t>
  </si>
  <si>
    <t xml:space="preserve">Doubling Energy Efficiency Savings: Final Commission Report: Senate Bill 350 </t>
  </si>
  <si>
    <t>October 26, 2017, TN #: 221631</t>
  </si>
  <si>
    <t>California Energy Commission</t>
  </si>
  <si>
    <t>Revised Senate Bill 350 Doubling Energy Efficiency Savings by 2030</t>
  </si>
  <si>
    <t>California Energy Commision</t>
  </si>
  <si>
    <t>August 28, 2018, TN#: 224615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</si>
  <si>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</si>
  <si>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</si>
  <si>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</si>
  <si>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</si>
  <si>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</si>
  <si>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</si>
  <si>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 xml:space="preserve">(A) The technology choice set, as indicated in the Pathways work by technology efficiecy  </t>
  </si>
  <si>
    <t xml:space="preserve">Insights on technology efficiency potentials </t>
  </si>
  <si>
    <t>Calculation below shows the details of the calculation resulting from the assignmet of a</t>
  </si>
  <si>
    <t xml:space="preserve">energy efficiency programs, which would include labeling and also broader audit, education, and behavioral programs. </t>
  </si>
  <si>
    <t>From table b-32</t>
  </si>
  <si>
    <t>fraction of overall SB 350 energy efficiency policy effect</t>
  </si>
  <si>
    <t>Building Component</t>
  </si>
  <si>
    <t>Urban Residential</t>
  </si>
  <si>
    <t>Rural Residential</t>
  </si>
  <si>
    <t>Commercial</t>
  </si>
  <si>
    <t>Percentage electric</t>
  </si>
  <si>
    <t>BAU</t>
  </si>
  <si>
    <t>with policy</t>
  </si>
  <si>
    <t>(B) The level of reductions expected from utility programs.</t>
  </si>
  <si>
    <t xml:space="preserve">In the California model, this policy is used to capture emission reductions expected from </t>
  </si>
  <si>
    <t>(C)  Overall energy efficiency improvements forecasted by the state energy agencies under Senate Bill 350 implementation.</t>
  </si>
  <si>
    <t>The efficiency potential is estimated as the difference between standard and efficient quality components as</t>
  </si>
  <si>
    <t>calculated for PEUDfSbQL Perc E Use Difference from Std by Quality Level</t>
  </si>
  <si>
    <t xml:space="preserve">The improvements from codes and standards in the recommended policy package, </t>
  </si>
  <si>
    <t>are calibrated to roughly deliver the energy savings from such policies estimated in the CEC</t>
  </si>
  <si>
    <t>work (the second and third references).</t>
  </si>
  <si>
    <t>However, even after this, signficant technical potential appears to exist.</t>
  </si>
  <si>
    <t xml:space="preserve">This variable is calibrated to ensure that exploited energy savings remain less than </t>
  </si>
  <si>
    <t>This variable captures some of this through utility programs, reflecting actual policy plans and expectations.</t>
  </si>
  <si>
    <t>Expected energy savings from different policy options</t>
  </si>
  <si>
    <t>The efficiency improvement produced by this variable are calibrated to reflect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</si>
</sst>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10" fontId="0" fillId="0" borderId="0" xfId="42" applyNumberFormat="1" applyFont="1"/>
    <xf numFmtId="0" fontId="0" fillId="33" borderId="0" xfId="0" applyFill="1"/>
    <xf numFmtId="0" fontId="0" fillId="34" borderId="0" xfId="0" applyFill="1" applyAlignment="1">
      <alignment wrapText="1"/>
    </xf>
    <xf numFmtId="0" fontId="0" fillId="34" borderId="0" xfId="0" applyFill="1"/>
    <xf numFmtId="0" fontId="0" fillId="0" borderId="0" xfId="0" applyFill="1"/>
    <xf numFmtId="2" fontId="0" fillId="0" borderId="0" xfId="0" applyNumberFormat="1"/>
    <xf numFmtId="1" fontId="0" fillId="0" borderId="0" xfId="0" applyNumberFormat="1"/>
    <xf numFmtId="11" fontId="0" fillId="0" borderId="0" xfId="0" applyNumberFormat="1"/>
    <xf numFmtId="0" fontId="0" fillId="35" borderId="0" xfId="0" applyFill="1"/>
    <xf numFmtId="0" fontId="0" fillId="36" borderId="0" xfId="0" applyFill="1"/>
    <xf numFmtId="0" fontId="0" fillId="37" borderId="0" xfId="0" applyFill="1"/>
    <xf numFmtId="9" fontId="0" fillId="0" borderId="0" xfId="42" applyFont="1"/>
    <xf numFmtId="0" fontId="18" fillId="0" borderId="0" xfId="0" applyFont="1"/>
    <xf numFmtId="0" fontId="16" fillId="0" borderId="0" xfId="0" applyFont="1"/>
    <xf numFmtId="0" fontId="19" fillId="0" borderId="0" xfId="43"/>
    <xf numFmtId="17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0" fontId="16" fillId="34" borderId="0" xfId="0" applyFont="1" applyFill="1"/>
    <xf numFmtId="0" fontId="16" fillId="38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95250</xdr:rowOff>
    </xdr:from>
    <xdr:to>
      <xdr:col>18</xdr:col>
      <xdr:colOff>489508</xdr:colOff>
      <xdr:row>40</xdr:row>
      <xdr:rowOff>159028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673350"/>
          <a:ext cx="10852708" cy="54041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7</xdr:col>
      <xdr:colOff>69850</xdr:colOff>
      <xdr:row>28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130550"/>
          <a:ext cx="6711950" cy="3632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6</xdr:col>
      <xdr:colOff>584200</xdr:colOff>
      <xdr:row>49</xdr:row>
      <xdr:rowOff>139700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181850"/>
          <a:ext cx="6616700" cy="345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165100</xdr:colOff>
      <xdr:row>36</xdr:row>
      <xdr:rowOff>152400</xdr:rowOff>
    </xdr:from>
    <xdr:to>
      <xdr:col>19</xdr:col>
      <xdr:colOff>489375</xdr:colOff>
      <xdr:row>58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7650" y="7150100"/>
          <a:ext cx="7855375" cy="3911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374650</xdr:colOff>
      <xdr:row>54</xdr:row>
      <xdr:rowOff>385437</xdr:rowOff>
    </xdr:from>
    <xdr:to>
      <xdr:col>16</xdr:col>
      <xdr:colOff>543735</xdr:colOff>
      <xdr:row>77</xdr:row>
      <xdr:rowOff>95585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1050" y="8119737"/>
          <a:ext cx="6198082" cy="4313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filing.energy.ca.gov/GetDocument.aspx?tn=224615" TargetMode="External"/><Relationship Id="rId1" Type="http://schemas.openxmlformats.org/officeDocument/2006/relationships/hyperlink" Target="https://efiling.energy.ca.gov/URLRedirectPage.aspx?TN=TN221631_20171026T102305_Senate_Bill_350_Doubling_Energy_Efficiency_Savings_by_2030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selection activeCell="B25" sqref="B25"/>
    </sheetView>
  </sheetViews>
  <sheetFormatPr defaultRowHeight="14.5" x14ac:dyDescent="0.35"/>
  <sheetData>
    <row r="1" spans="1:12" x14ac:dyDescent="0.35">
      <c r="A1" s="15" t="s">
        <v>128</v>
      </c>
    </row>
    <row r="3" spans="1:12" x14ac:dyDescent="0.35">
      <c r="A3" s="22" t="s">
        <v>157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x14ac:dyDescent="0.35">
      <c r="A4" s="22" t="s">
        <v>146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6" spans="1:12" x14ac:dyDescent="0.35">
      <c r="A6" s="16" t="s">
        <v>129</v>
      </c>
      <c r="B6" s="21" t="s">
        <v>144</v>
      </c>
      <c r="C6" s="6"/>
      <c r="D6" s="6"/>
      <c r="E6" s="6"/>
      <c r="F6" s="6"/>
      <c r="G6" s="6"/>
      <c r="H6" s="6"/>
      <c r="I6" s="6"/>
    </row>
    <row r="7" spans="1:12" x14ac:dyDescent="0.35">
      <c r="B7" s="19" t="s">
        <v>137</v>
      </c>
    </row>
    <row r="8" spans="1:12" x14ac:dyDescent="0.35">
      <c r="B8" s="19" t="s">
        <v>138</v>
      </c>
    </row>
    <row r="9" spans="1:12" x14ac:dyDescent="0.35">
      <c r="B9" s="19" t="s">
        <v>139</v>
      </c>
    </row>
    <row r="10" spans="1:12" x14ac:dyDescent="0.35">
      <c r="B10" s="19" t="s">
        <v>140</v>
      </c>
    </row>
    <row r="11" spans="1:12" x14ac:dyDescent="0.35">
      <c r="B11" s="19" t="s">
        <v>141</v>
      </c>
    </row>
    <row r="12" spans="1:12" x14ac:dyDescent="0.35">
      <c r="B12" s="20" t="s">
        <v>142</v>
      </c>
    </row>
    <row r="15" spans="1:12" x14ac:dyDescent="0.35">
      <c r="B15" s="21" t="s">
        <v>167</v>
      </c>
      <c r="C15" s="6"/>
      <c r="D15" s="6"/>
      <c r="E15" s="6"/>
      <c r="F15" s="6"/>
      <c r="G15" s="6"/>
      <c r="H15" s="6"/>
      <c r="I15" s="6"/>
    </row>
    <row r="16" spans="1:12" x14ac:dyDescent="0.35">
      <c r="B16" s="17" t="s">
        <v>135</v>
      </c>
    </row>
    <row r="17" spans="1:2" x14ac:dyDescent="0.35">
      <c r="B17" t="s">
        <v>134</v>
      </c>
    </row>
    <row r="18" spans="1:2" x14ac:dyDescent="0.35">
      <c r="B18" t="s">
        <v>136</v>
      </c>
    </row>
    <row r="20" spans="1:2" x14ac:dyDescent="0.35">
      <c r="B20" s="17" t="s">
        <v>133</v>
      </c>
    </row>
    <row r="21" spans="1:2" x14ac:dyDescent="0.35">
      <c r="B21" t="s">
        <v>131</v>
      </c>
    </row>
    <row r="22" spans="1:2" x14ac:dyDescent="0.35">
      <c r="B22" t="s">
        <v>132</v>
      </c>
    </row>
    <row r="24" spans="1:2" x14ac:dyDescent="0.35">
      <c r="A24" s="16" t="s">
        <v>130</v>
      </c>
      <c r="B24" t="s">
        <v>168</v>
      </c>
    </row>
    <row r="26" spans="1:2" x14ac:dyDescent="0.35">
      <c r="B26" t="s">
        <v>143</v>
      </c>
    </row>
    <row r="27" spans="1:2" x14ac:dyDescent="0.35">
      <c r="B27" t="s">
        <v>156</v>
      </c>
    </row>
    <row r="28" spans="1:2" x14ac:dyDescent="0.35">
      <c r="B28" t="s">
        <v>158</v>
      </c>
    </row>
    <row r="30" spans="1:2" x14ac:dyDescent="0.35">
      <c r="B30" t="s">
        <v>159</v>
      </c>
    </row>
    <row r="31" spans="1:2" x14ac:dyDescent="0.35">
      <c r="B31" t="s">
        <v>160</v>
      </c>
    </row>
    <row r="33" spans="1:2" x14ac:dyDescent="0.35">
      <c r="B33" t="s">
        <v>161</v>
      </c>
    </row>
    <row r="34" spans="1:2" x14ac:dyDescent="0.35">
      <c r="B34" t="s">
        <v>162</v>
      </c>
    </row>
    <row r="35" spans="1:2" x14ac:dyDescent="0.35">
      <c r="B35" t="s">
        <v>163</v>
      </c>
    </row>
    <row r="37" spans="1:2" x14ac:dyDescent="0.35">
      <c r="B37" t="s">
        <v>164</v>
      </c>
    </row>
    <row r="38" spans="1:2" x14ac:dyDescent="0.35">
      <c r="B38" t="s">
        <v>165</v>
      </c>
    </row>
    <row r="39" spans="1:2" x14ac:dyDescent="0.35">
      <c r="B39" t="s">
        <v>160</v>
      </c>
    </row>
    <row r="41" spans="1:2" x14ac:dyDescent="0.35">
      <c r="B41" t="s">
        <v>166</v>
      </c>
    </row>
    <row r="44" spans="1:2" x14ac:dyDescent="0.35">
      <c r="A44" s="16"/>
    </row>
    <row r="46" spans="1:2" x14ac:dyDescent="0.35">
      <c r="B46" s="17"/>
    </row>
    <row r="47" spans="1:2" x14ac:dyDescent="0.35">
      <c r="B47" s="18"/>
    </row>
    <row r="51" spans="2:2" x14ac:dyDescent="0.35">
      <c r="B51" s="17"/>
    </row>
  </sheetData>
  <hyperlinks>
    <hyperlink ref="B20" r:id="rId1"/>
    <hyperlink ref="B16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workbookViewId="0">
      <selection activeCell="J28" sqref="J28"/>
    </sheetView>
  </sheetViews>
  <sheetFormatPr defaultRowHeight="14.5" x14ac:dyDescent="0.35"/>
  <cols>
    <col min="15" max="15" width="11.81640625" bestFit="1" customWidth="1"/>
  </cols>
  <sheetData>
    <row r="1" spans="1:35" x14ac:dyDescent="0.35">
      <c r="A1" t="s">
        <v>48</v>
      </c>
    </row>
    <row r="2" spans="1:35" x14ac:dyDescent="0.35">
      <c r="A2" t="s">
        <v>33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35">
      <c r="A3" t="s">
        <v>34</v>
      </c>
      <c r="B3" t="s">
        <v>35</v>
      </c>
    </row>
    <row r="4" spans="1:35" x14ac:dyDescent="0.35">
      <c r="A4" t="s">
        <v>36</v>
      </c>
    </row>
    <row r="5" spans="1:35" x14ac:dyDescent="0.35">
      <c r="A5" t="s">
        <v>37</v>
      </c>
      <c r="B5">
        <v>643372880494592</v>
      </c>
      <c r="C5">
        <v>642949893324800</v>
      </c>
      <c r="D5">
        <v>642428927213568</v>
      </c>
      <c r="E5">
        <v>641780588478464</v>
      </c>
      <c r="F5">
        <v>640652488474624</v>
      </c>
      <c r="G5">
        <v>638912087195648</v>
      </c>
      <c r="H5">
        <v>636533816164352</v>
      </c>
      <c r="I5">
        <v>633532439330816</v>
      </c>
      <c r="J5">
        <v>629937954357248</v>
      </c>
      <c r="K5">
        <v>626581571633152</v>
      </c>
      <c r="L5">
        <v>622415386247168</v>
      </c>
      <c r="M5">
        <v>617887685410816</v>
      </c>
      <c r="N5">
        <v>613090341158912</v>
      </c>
      <c r="O5">
        <v>608120057364480</v>
      </c>
      <c r="P5">
        <v>603617522352128</v>
      </c>
      <c r="Q5">
        <v>599639107567616</v>
      </c>
      <c r="R5">
        <v>595969796210688</v>
      </c>
      <c r="S5">
        <v>592599589060608</v>
      </c>
      <c r="T5">
        <v>589413797068800</v>
      </c>
      <c r="U5">
        <v>586586030866432</v>
      </c>
      <c r="V5">
        <v>584187291631616</v>
      </c>
      <c r="W5">
        <v>582237779132416</v>
      </c>
      <c r="X5">
        <v>580766148853760</v>
      </c>
      <c r="Y5">
        <v>579667106988032</v>
      </c>
      <c r="Z5">
        <v>578934747955200</v>
      </c>
      <c r="AA5">
        <v>578676043284480</v>
      </c>
      <c r="AB5">
        <v>578922131488768</v>
      </c>
      <c r="AC5">
        <v>579715089825792</v>
      </c>
      <c r="AD5">
        <v>580960227688448</v>
      </c>
      <c r="AE5">
        <v>582434005450752</v>
      </c>
      <c r="AF5">
        <v>584055489822720</v>
      </c>
      <c r="AG5">
        <v>585794280488960</v>
      </c>
      <c r="AH5">
        <v>587661785956352</v>
      </c>
      <c r="AI5">
        <v>589627874344960</v>
      </c>
    </row>
    <row r="6" spans="1:35" x14ac:dyDescent="0.35">
      <c r="A6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39</v>
      </c>
      <c r="B7">
        <v>746993328586752</v>
      </c>
      <c r="C7">
        <v>747653746917376</v>
      </c>
      <c r="D7">
        <v>748371744653312</v>
      </c>
      <c r="E7">
        <v>749109807939584</v>
      </c>
      <c r="F7">
        <v>749749221195776</v>
      </c>
      <c r="G7">
        <v>750192005480448</v>
      </c>
      <c r="H7">
        <v>750428027355136</v>
      </c>
      <c r="I7">
        <v>750522113982464</v>
      </c>
      <c r="J7">
        <v>750414605582336</v>
      </c>
      <c r="K7">
        <v>750176436224000</v>
      </c>
      <c r="L7">
        <v>749802102980608</v>
      </c>
      <c r="M7">
        <v>749291001872384</v>
      </c>
      <c r="N7">
        <v>748637629972480</v>
      </c>
      <c r="O7">
        <v>747913927983104</v>
      </c>
      <c r="P7">
        <v>747015071858688</v>
      </c>
      <c r="Q7">
        <v>746170372587520</v>
      </c>
      <c r="R7">
        <v>745407411912704</v>
      </c>
      <c r="S7">
        <v>744660423147520</v>
      </c>
      <c r="T7">
        <v>744095769165824</v>
      </c>
      <c r="U7">
        <v>743252009418752</v>
      </c>
      <c r="V7">
        <v>742579243057152</v>
      </c>
      <c r="W7">
        <v>742088744370176</v>
      </c>
      <c r="X7">
        <v>741799035404288</v>
      </c>
      <c r="Y7">
        <v>741766621822976</v>
      </c>
      <c r="Z7">
        <v>742006871556096</v>
      </c>
      <c r="AA7">
        <v>742537702670336</v>
      </c>
      <c r="AB7">
        <v>743367168229376</v>
      </c>
      <c r="AC7">
        <v>744403933069312</v>
      </c>
      <c r="AD7">
        <v>745799730331648</v>
      </c>
      <c r="AE7">
        <v>747411551027200</v>
      </c>
      <c r="AF7">
        <v>749169333501952</v>
      </c>
      <c r="AG7">
        <v>751150991147008</v>
      </c>
      <c r="AH7">
        <v>753291159928832</v>
      </c>
      <c r="AI7">
        <v>755589101649920</v>
      </c>
    </row>
    <row r="8" spans="1:35" x14ac:dyDescent="0.35">
      <c r="A8" t="s">
        <v>40</v>
      </c>
      <c r="B8">
        <v>1924851695616</v>
      </c>
      <c r="C8">
        <v>1921703346176</v>
      </c>
      <c r="D8">
        <v>1918554996736</v>
      </c>
      <c r="E8">
        <v>1915406647296</v>
      </c>
      <c r="F8">
        <v>1913298223104</v>
      </c>
      <c r="G8">
        <v>1912294998016</v>
      </c>
      <c r="H8">
        <v>1912331567104</v>
      </c>
      <c r="I8">
        <v>1913473335296</v>
      </c>
      <c r="J8">
        <v>1915719909376</v>
      </c>
      <c r="K8">
        <v>1919006670848</v>
      </c>
      <c r="L8">
        <v>1923398238208</v>
      </c>
      <c r="M8">
        <v>1928829992960</v>
      </c>
      <c r="N8">
        <v>1935301541888</v>
      </c>
      <c r="O8">
        <v>1942748266496</v>
      </c>
      <c r="P8">
        <v>1951234916352</v>
      </c>
      <c r="Q8">
        <v>1963909840896</v>
      </c>
      <c r="R8">
        <v>1977624952832</v>
      </c>
      <c r="S8">
        <v>1992379858944</v>
      </c>
      <c r="T8">
        <v>2008109940736</v>
      </c>
      <c r="U8">
        <v>2023709999104</v>
      </c>
      <c r="V8">
        <v>2039179902976</v>
      </c>
      <c r="W8">
        <v>2054520045568</v>
      </c>
      <c r="X8">
        <v>2069664890880</v>
      </c>
      <c r="Y8">
        <v>2084549951488</v>
      </c>
      <c r="Z8">
        <v>2099305119744</v>
      </c>
      <c r="AA8">
        <v>2113800110080</v>
      </c>
      <c r="AB8">
        <v>2128035184640</v>
      </c>
      <c r="AC8">
        <v>2142075092992</v>
      </c>
      <c r="AD8">
        <v>2155920097280</v>
      </c>
      <c r="AE8">
        <v>2169505054720</v>
      </c>
      <c r="AF8">
        <v>2182765084672</v>
      </c>
      <c r="AG8">
        <v>2195764936704</v>
      </c>
      <c r="AH8">
        <v>2208439992320</v>
      </c>
      <c r="AI8">
        <v>2220854870016</v>
      </c>
    </row>
    <row r="9" spans="1:35" x14ac:dyDescent="0.35">
      <c r="A9" t="s">
        <v>41</v>
      </c>
      <c r="B9">
        <v>15343354380288</v>
      </c>
      <c r="C9">
        <v>15419384528896</v>
      </c>
      <c r="D9">
        <v>15540811726848</v>
      </c>
      <c r="E9">
        <v>15706749927424</v>
      </c>
      <c r="F9">
        <v>15917200179200</v>
      </c>
      <c r="G9">
        <v>16172214910976</v>
      </c>
      <c r="H9">
        <v>16472104501248</v>
      </c>
      <c r="I9">
        <v>16817027284992</v>
      </c>
      <c r="J9">
        <v>17209634062336</v>
      </c>
      <c r="K9">
        <v>17650495258624</v>
      </c>
      <c r="L9">
        <v>18139926495232</v>
      </c>
      <c r="M9">
        <v>18678756147200</v>
      </c>
      <c r="N9">
        <v>19266986311680</v>
      </c>
      <c r="O9">
        <v>19904616988672</v>
      </c>
      <c r="P9">
        <v>20542247665664</v>
      </c>
      <c r="Q9">
        <v>21196699598848</v>
      </c>
      <c r="R9">
        <v>21851153629184</v>
      </c>
      <c r="S9">
        <v>22505607659520</v>
      </c>
      <c r="T9">
        <v>23160061689856</v>
      </c>
      <c r="U9">
        <v>23767837310976</v>
      </c>
      <c r="V9">
        <v>24329437839360</v>
      </c>
      <c r="W9">
        <v>24845643415552</v>
      </c>
      <c r="X9">
        <v>25317334843392</v>
      </c>
      <c r="Y9">
        <v>25744516317184</v>
      </c>
      <c r="Z9">
        <v>26127131213824</v>
      </c>
      <c r="AA9">
        <v>26464871251968</v>
      </c>
      <c r="AB9">
        <v>26757579145216</v>
      </c>
      <c r="AC9">
        <v>27002604093440</v>
      </c>
      <c r="AD9">
        <v>27199369379840</v>
      </c>
      <c r="AE9">
        <v>27347570917376</v>
      </c>
      <c r="AF9">
        <v>27446371942400</v>
      </c>
      <c r="AG9">
        <v>27495772454912</v>
      </c>
      <c r="AH9">
        <v>27495772454912</v>
      </c>
      <c r="AI9">
        <v>27495772454912</v>
      </c>
    </row>
    <row r="10" spans="1:35" x14ac:dyDescent="0.35">
      <c r="A10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2" spans="1:35" x14ac:dyDescent="0.35">
      <c r="A12" t="s">
        <v>43</v>
      </c>
    </row>
    <row r="13" spans="1:35" x14ac:dyDescent="0.35">
      <c r="A13" t="s">
        <v>33</v>
      </c>
      <c r="B13">
        <v>2017</v>
      </c>
      <c r="C13">
        <v>2018</v>
      </c>
      <c r="D13">
        <v>2019</v>
      </c>
      <c r="E13">
        <v>2020</v>
      </c>
      <c r="F13">
        <v>2021</v>
      </c>
      <c r="G13">
        <v>2022</v>
      </c>
      <c r="H13">
        <v>2023</v>
      </c>
      <c r="I13">
        <v>2024</v>
      </c>
      <c r="J13">
        <v>2025</v>
      </c>
      <c r="K13">
        <v>2026</v>
      </c>
      <c r="L13">
        <v>2027</v>
      </c>
      <c r="M13">
        <v>2028</v>
      </c>
      <c r="N13">
        <v>2029</v>
      </c>
      <c r="O13">
        <v>2030</v>
      </c>
      <c r="P13">
        <v>2031</v>
      </c>
      <c r="Q13">
        <v>2032</v>
      </c>
      <c r="R13">
        <v>2033</v>
      </c>
      <c r="S13">
        <v>2034</v>
      </c>
      <c r="T13">
        <v>2035</v>
      </c>
      <c r="U13">
        <v>2036</v>
      </c>
      <c r="V13">
        <v>2037</v>
      </c>
      <c r="W13">
        <v>2038</v>
      </c>
      <c r="X13">
        <v>2039</v>
      </c>
      <c r="Y13">
        <v>2040</v>
      </c>
      <c r="Z13">
        <v>2041</v>
      </c>
      <c r="AA13">
        <v>2042</v>
      </c>
      <c r="AB13">
        <v>2043</v>
      </c>
      <c r="AC13">
        <v>2044</v>
      </c>
      <c r="AD13">
        <v>2045</v>
      </c>
      <c r="AE13">
        <v>2046</v>
      </c>
      <c r="AF13">
        <v>2047</v>
      </c>
      <c r="AG13">
        <v>2048</v>
      </c>
      <c r="AH13">
        <v>2049</v>
      </c>
      <c r="AI13">
        <v>2050</v>
      </c>
    </row>
    <row r="14" spans="1:35" x14ac:dyDescent="0.35">
      <c r="A14" t="s">
        <v>34</v>
      </c>
      <c r="B14" t="s">
        <v>35</v>
      </c>
    </row>
    <row r="15" spans="1:35" x14ac:dyDescent="0.35">
      <c r="A15" t="s">
        <v>36</v>
      </c>
    </row>
    <row r="16" spans="1:35" x14ac:dyDescent="0.35">
      <c r="A16" t="s">
        <v>37</v>
      </c>
      <c r="B16">
        <v>643372880494592</v>
      </c>
      <c r="C16">
        <v>642949893324800</v>
      </c>
      <c r="D16">
        <v>640311776772096</v>
      </c>
      <c r="E16">
        <v>637686008250368</v>
      </c>
      <c r="F16">
        <v>634593296252928</v>
      </c>
      <c r="G16">
        <v>630905731284992</v>
      </c>
      <c r="H16">
        <v>626670289551360</v>
      </c>
      <c r="I16">
        <v>622147353444352</v>
      </c>
      <c r="J16">
        <v>616731399684096</v>
      </c>
      <c r="K16">
        <v>610951782989824</v>
      </c>
      <c r="L16">
        <v>605920967000064</v>
      </c>
      <c r="M16">
        <v>596193671380992</v>
      </c>
      <c r="N16">
        <v>586502346113024</v>
      </c>
      <c r="O16">
        <v>576608352075776</v>
      </c>
      <c r="P16">
        <v>567210560978944</v>
      </c>
      <c r="Q16">
        <v>558363062566912</v>
      </c>
      <c r="R16">
        <v>548321294811136</v>
      </c>
      <c r="S16">
        <v>537315441115136</v>
      </c>
      <c r="T16">
        <v>523339718197248</v>
      </c>
      <c r="U16">
        <v>509476301963264</v>
      </c>
      <c r="V16">
        <v>496541840179200</v>
      </c>
      <c r="W16">
        <v>482733486768128</v>
      </c>
      <c r="X16">
        <v>469865563422720</v>
      </c>
      <c r="Y16">
        <v>456670920572928</v>
      </c>
      <c r="Z16">
        <v>443933960175616</v>
      </c>
      <c r="AA16">
        <v>431772525395968</v>
      </c>
      <c r="AB16">
        <v>420010388357120</v>
      </c>
      <c r="AC16">
        <v>412573149167616</v>
      </c>
      <c r="AD16">
        <v>405272778506240</v>
      </c>
      <c r="AE16">
        <v>397795575988224</v>
      </c>
      <c r="AF16">
        <v>390434840903680</v>
      </c>
      <c r="AG16">
        <v>382812716793856</v>
      </c>
      <c r="AH16">
        <v>375166802591744</v>
      </c>
      <c r="AI16">
        <v>367308488835072</v>
      </c>
    </row>
    <row r="17" spans="1:35" x14ac:dyDescent="0.35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35">
      <c r="A18" t="s">
        <v>39</v>
      </c>
      <c r="B18">
        <v>746993328586752</v>
      </c>
      <c r="C18">
        <v>747653746917376</v>
      </c>
      <c r="D18">
        <v>747061309865984</v>
      </c>
      <c r="E18">
        <v>746476992987136</v>
      </c>
      <c r="F18">
        <v>745783557095424</v>
      </c>
      <c r="G18">
        <v>744884432535552</v>
      </c>
      <c r="H18">
        <v>743769687195648</v>
      </c>
      <c r="I18">
        <v>742504416673792</v>
      </c>
      <c r="J18">
        <v>741027015032832</v>
      </c>
      <c r="K18">
        <v>739408282124288</v>
      </c>
      <c r="L18">
        <v>737642916347904</v>
      </c>
      <c r="M18">
        <v>735730447941632</v>
      </c>
      <c r="N18">
        <v>733665306869760</v>
      </c>
      <c r="O18">
        <v>731519500943360</v>
      </c>
      <c r="P18">
        <v>729180488597504</v>
      </c>
      <c r="Q18">
        <v>726876708405248</v>
      </c>
      <c r="R18">
        <v>721401900171264</v>
      </c>
      <c r="S18">
        <v>715373376700416</v>
      </c>
      <c r="T18">
        <v>709372569190400</v>
      </c>
      <c r="U18">
        <v>702935352737792</v>
      </c>
      <c r="V18">
        <v>696513437106176</v>
      </c>
      <c r="W18">
        <v>688022689415168</v>
      </c>
      <c r="X18">
        <v>679532075941888</v>
      </c>
      <c r="Y18">
        <v>671103940820992</v>
      </c>
      <c r="Z18">
        <v>662759691780096</v>
      </c>
      <c r="AA18">
        <v>654521743179776</v>
      </c>
      <c r="AB18">
        <v>646402912813056</v>
      </c>
      <c r="AC18">
        <v>638303275581440</v>
      </c>
      <c r="AD18">
        <v>630377651634176</v>
      </c>
      <c r="AE18">
        <v>622483031982080</v>
      </c>
      <c r="AF18">
        <v>614557273817088</v>
      </c>
      <c r="AG18">
        <v>606681176211456</v>
      </c>
      <c r="AH18">
        <v>598793468772352</v>
      </c>
      <c r="AI18">
        <v>590845027811328</v>
      </c>
    </row>
    <row r="19" spans="1:35" x14ac:dyDescent="0.35">
      <c r="A19" t="s">
        <v>40</v>
      </c>
      <c r="B19">
        <v>1924851695616</v>
      </c>
      <c r="C19">
        <v>1921703346176</v>
      </c>
      <c r="D19">
        <v>1918554996736</v>
      </c>
      <c r="E19">
        <v>1915406647296</v>
      </c>
      <c r="F19">
        <v>1913298223104</v>
      </c>
      <c r="G19">
        <v>1912294998016</v>
      </c>
      <c r="H19">
        <v>1912331567104</v>
      </c>
      <c r="I19">
        <v>1913473335296</v>
      </c>
      <c r="J19">
        <v>1915719909376</v>
      </c>
      <c r="K19">
        <v>1919006670848</v>
      </c>
      <c r="L19">
        <v>1923398238208</v>
      </c>
      <c r="M19">
        <v>1928829992960</v>
      </c>
      <c r="N19">
        <v>1935301541888</v>
      </c>
      <c r="O19">
        <v>1942748266496</v>
      </c>
      <c r="P19">
        <v>1951234916352</v>
      </c>
      <c r="Q19">
        <v>1963909840896</v>
      </c>
      <c r="R19">
        <v>1977624952832</v>
      </c>
      <c r="S19">
        <v>1992379858944</v>
      </c>
      <c r="T19">
        <v>2008109940736</v>
      </c>
      <c r="U19">
        <v>2023709999104</v>
      </c>
      <c r="V19">
        <v>2039179902976</v>
      </c>
      <c r="W19">
        <v>2054520045568</v>
      </c>
      <c r="X19">
        <v>2069664890880</v>
      </c>
      <c r="Y19">
        <v>2084549951488</v>
      </c>
      <c r="Z19">
        <v>2099305119744</v>
      </c>
      <c r="AA19">
        <v>2113800110080</v>
      </c>
      <c r="AB19">
        <v>2128035184640</v>
      </c>
      <c r="AC19">
        <v>2142075092992</v>
      </c>
      <c r="AD19">
        <v>2155920097280</v>
      </c>
      <c r="AE19">
        <v>2169505054720</v>
      </c>
      <c r="AF19">
        <v>2182765084672</v>
      </c>
      <c r="AG19">
        <v>2195764936704</v>
      </c>
      <c r="AH19">
        <v>2208439992320</v>
      </c>
      <c r="AI19">
        <v>2220854870016</v>
      </c>
    </row>
    <row r="20" spans="1:35" x14ac:dyDescent="0.35">
      <c r="A20" t="s">
        <v>41</v>
      </c>
      <c r="B20">
        <v>15343354380288</v>
      </c>
      <c r="C20">
        <v>15419384528896</v>
      </c>
      <c r="D20">
        <v>15432508506112</v>
      </c>
      <c r="E20">
        <v>15484137242624</v>
      </c>
      <c r="F20">
        <v>15574230892544</v>
      </c>
      <c r="G20">
        <v>15702836641792</v>
      </c>
      <c r="H20">
        <v>15870252285952</v>
      </c>
      <c r="I20">
        <v>16076641402880</v>
      </c>
      <c r="J20">
        <v>16324359094272</v>
      </c>
      <c r="K20">
        <v>16613930696704</v>
      </c>
      <c r="L20">
        <v>16945646665728</v>
      </c>
      <c r="M20">
        <v>17320248344576</v>
      </c>
      <c r="N20">
        <v>17737745170432</v>
      </c>
      <c r="O20">
        <v>18198141337600</v>
      </c>
      <c r="P20">
        <v>18658032091136</v>
      </c>
      <c r="Q20">
        <v>19134301601792</v>
      </c>
      <c r="R20">
        <v>19610092961792</v>
      </c>
      <c r="S20">
        <v>19705507086336</v>
      </c>
      <c r="T20">
        <v>19789177159680</v>
      </c>
      <c r="U20">
        <v>19814152142848</v>
      </c>
      <c r="V20">
        <v>19780929060864</v>
      </c>
      <c r="W20">
        <v>19595524046848</v>
      </c>
      <c r="X20">
        <v>19329621950464</v>
      </c>
      <c r="Y20">
        <v>18982572654592</v>
      </c>
      <c r="Z20">
        <v>18553562464256</v>
      </c>
      <c r="AA20">
        <v>18041265979392</v>
      </c>
      <c r="AB20">
        <v>17444464754688</v>
      </c>
      <c r="AC20">
        <v>16757882355712</v>
      </c>
      <c r="AD20">
        <v>15979229741056</v>
      </c>
      <c r="AE20">
        <v>15106389835776</v>
      </c>
      <c r="AF20">
        <v>14136121491456</v>
      </c>
      <c r="AG20">
        <v>13066154541056</v>
      </c>
      <c r="AH20">
        <v>11893819310080</v>
      </c>
      <c r="AI20">
        <v>10698818060288</v>
      </c>
    </row>
    <row r="21" spans="1:35" x14ac:dyDescent="0.35">
      <c r="A21" t="s">
        <v>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3" spans="1:35" x14ac:dyDescent="0.35">
      <c r="O23" t="s">
        <v>44</v>
      </c>
    </row>
    <row r="24" spans="1:35" ht="43.5" x14ac:dyDescent="0.35">
      <c r="O24" t="s">
        <v>45</v>
      </c>
      <c r="P24" t="s">
        <v>46</v>
      </c>
      <c r="Q24" s="2" t="s">
        <v>53</v>
      </c>
      <c r="R24" t="s">
        <v>6</v>
      </c>
    </row>
    <row r="25" spans="1:35" x14ac:dyDescent="0.35">
      <c r="O25">
        <f>(O5-O16)/O5</f>
        <v>5.1818230474541462E-2</v>
      </c>
      <c r="P25">
        <f>(O7-O18)/O7</f>
        <v>2.1920205556212564E-2</v>
      </c>
      <c r="Q25">
        <f>O7*P25/100000000000</f>
        <v>163.94427039743999</v>
      </c>
      <c r="R25" s="8">
        <f>O32/1000*R35</f>
        <v>9235.16918648514</v>
      </c>
    </row>
    <row r="28" spans="1:35" x14ac:dyDescent="0.35">
      <c r="O28" s="6" t="s">
        <v>59</v>
      </c>
      <c r="P28" s="6"/>
      <c r="Q28" s="6"/>
      <c r="R28" s="6"/>
      <c r="S28" s="6"/>
      <c r="T28" s="6"/>
    </row>
    <row r="30" spans="1:35" x14ac:dyDescent="0.35">
      <c r="O30">
        <f>P25*O7</f>
        <v>16394427039744</v>
      </c>
      <c r="P30" t="s">
        <v>51</v>
      </c>
    </row>
    <row r="32" spans="1:35" x14ac:dyDescent="0.35">
      <c r="O32">
        <f>O25*O5</f>
        <v>31511705288704</v>
      </c>
      <c r="P32" t="s">
        <v>52</v>
      </c>
    </row>
    <row r="34" spans="15:19" x14ac:dyDescent="0.35">
      <c r="O34" t="s">
        <v>54</v>
      </c>
    </row>
    <row r="35" spans="15:19" x14ac:dyDescent="0.35">
      <c r="O35">
        <v>1000</v>
      </c>
      <c r="P35" t="s">
        <v>55</v>
      </c>
      <c r="R35" s="10">
        <v>2.9307106999999998E-7</v>
      </c>
      <c r="S35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workbookViewId="0">
      <selection activeCell="F30" sqref="F30"/>
    </sheetView>
  </sheetViews>
  <sheetFormatPr defaultRowHeight="14.5" x14ac:dyDescent="0.35"/>
  <cols>
    <col min="15" max="15" width="11.81640625" bestFit="1" customWidth="1"/>
  </cols>
  <sheetData>
    <row r="1" spans="1:35" x14ac:dyDescent="0.35">
      <c r="A1" t="s">
        <v>48</v>
      </c>
    </row>
    <row r="2" spans="1:35" x14ac:dyDescent="0.35">
      <c r="A2" t="s">
        <v>33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35">
      <c r="A3" t="s">
        <v>34</v>
      </c>
      <c r="B3" t="s">
        <v>35</v>
      </c>
    </row>
    <row r="4" spans="1:35" x14ac:dyDescent="0.35">
      <c r="A4" t="s">
        <v>36</v>
      </c>
    </row>
    <row r="5" spans="1:35" x14ac:dyDescent="0.35">
      <c r="A5" t="s">
        <v>37</v>
      </c>
      <c r="B5">
        <v>643372880494592</v>
      </c>
      <c r="C5">
        <v>642949893324800</v>
      </c>
      <c r="D5">
        <v>642428927213568</v>
      </c>
      <c r="E5">
        <v>641780588478464</v>
      </c>
      <c r="F5">
        <v>640652488474624</v>
      </c>
      <c r="G5">
        <v>638912087195648</v>
      </c>
      <c r="H5">
        <v>636533816164352</v>
      </c>
      <c r="I5">
        <v>633532439330816</v>
      </c>
      <c r="J5">
        <v>629937954357248</v>
      </c>
      <c r="K5">
        <v>626581571633152</v>
      </c>
      <c r="L5">
        <v>622415386247168</v>
      </c>
      <c r="M5">
        <v>617887685410816</v>
      </c>
      <c r="N5">
        <v>613090341158912</v>
      </c>
      <c r="O5">
        <v>608120057364480</v>
      </c>
      <c r="P5">
        <v>603617522352128</v>
      </c>
      <c r="Q5">
        <v>599639107567616</v>
      </c>
      <c r="R5">
        <v>595969796210688</v>
      </c>
      <c r="S5">
        <v>592599589060608</v>
      </c>
      <c r="T5">
        <v>589413797068800</v>
      </c>
      <c r="U5">
        <v>586586030866432</v>
      </c>
      <c r="V5">
        <v>584187291631616</v>
      </c>
      <c r="W5">
        <v>582237779132416</v>
      </c>
      <c r="X5">
        <v>580766148853760</v>
      </c>
      <c r="Y5">
        <v>579667106988032</v>
      </c>
      <c r="Z5">
        <v>578934747955200</v>
      </c>
      <c r="AA5">
        <v>578676043284480</v>
      </c>
      <c r="AB5">
        <v>578922131488768</v>
      </c>
      <c r="AC5">
        <v>579715089825792</v>
      </c>
      <c r="AD5">
        <v>580960227688448</v>
      </c>
      <c r="AE5">
        <v>582434005450752</v>
      </c>
      <c r="AF5">
        <v>584055489822720</v>
      </c>
      <c r="AG5">
        <v>585794280488960</v>
      </c>
      <c r="AH5">
        <v>587661785956352</v>
      </c>
      <c r="AI5">
        <v>589627874344960</v>
      </c>
    </row>
    <row r="6" spans="1:35" x14ac:dyDescent="0.35">
      <c r="A6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39</v>
      </c>
      <c r="B7">
        <v>746993328586752</v>
      </c>
      <c r="C7">
        <v>747653746917376</v>
      </c>
      <c r="D7">
        <v>748371744653312</v>
      </c>
      <c r="E7">
        <v>749109807939584</v>
      </c>
      <c r="F7">
        <v>749749221195776</v>
      </c>
      <c r="G7">
        <v>750192005480448</v>
      </c>
      <c r="H7">
        <v>750428027355136</v>
      </c>
      <c r="I7">
        <v>750522113982464</v>
      </c>
      <c r="J7">
        <v>750414605582336</v>
      </c>
      <c r="K7">
        <v>750176436224000</v>
      </c>
      <c r="L7">
        <v>749802102980608</v>
      </c>
      <c r="M7">
        <v>749291001872384</v>
      </c>
      <c r="N7">
        <v>748637629972480</v>
      </c>
      <c r="O7">
        <v>747913927983104</v>
      </c>
      <c r="P7">
        <v>747015071858688</v>
      </c>
      <c r="Q7">
        <v>746170372587520</v>
      </c>
      <c r="R7">
        <v>745407411912704</v>
      </c>
      <c r="S7">
        <v>744660423147520</v>
      </c>
      <c r="T7">
        <v>744095769165824</v>
      </c>
      <c r="U7">
        <v>743252009418752</v>
      </c>
      <c r="V7">
        <v>742579243057152</v>
      </c>
      <c r="W7">
        <v>742088744370176</v>
      </c>
      <c r="X7">
        <v>741799035404288</v>
      </c>
      <c r="Y7">
        <v>741766621822976</v>
      </c>
      <c r="Z7">
        <v>742006871556096</v>
      </c>
      <c r="AA7">
        <v>742537702670336</v>
      </c>
      <c r="AB7">
        <v>743367168229376</v>
      </c>
      <c r="AC7">
        <v>744403933069312</v>
      </c>
      <c r="AD7">
        <v>745799730331648</v>
      </c>
      <c r="AE7">
        <v>747411551027200</v>
      </c>
      <c r="AF7">
        <v>749169333501952</v>
      </c>
      <c r="AG7">
        <v>751150991147008</v>
      </c>
      <c r="AH7">
        <v>753291159928832</v>
      </c>
      <c r="AI7">
        <v>755589101649920</v>
      </c>
    </row>
    <row r="8" spans="1:35" x14ac:dyDescent="0.35">
      <c r="A8" t="s">
        <v>40</v>
      </c>
      <c r="B8">
        <v>1924851695616</v>
      </c>
      <c r="C8">
        <v>1921703346176</v>
      </c>
      <c r="D8">
        <v>1918554996736</v>
      </c>
      <c r="E8">
        <v>1915406647296</v>
      </c>
      <c r="F8">
        <v>1913298223104</v>
      </c>
      <c r="G8">
        <v>1912294998016</v>
      </c>
      <c r="H8">
        <v>1912331567104</v>
      </c>
      <c r="I8">
        <v>1913473335296</v>
      </c>
      <c r="J8">
        <v>1915719909376</v>
      </c>
      <c r="K8">
        <v>1919006670848</v>
      </c>
      <c r="L8">
        <v>1923398238208</v>
      </c>
      <c r="M8">
        <v>1928829992960</v>
      </c>
      <c r="N8">
        <v>1935301541888</v>
      </c>
      <c r="O8">
        <v>1942748266496</v>
      </c>
      <c r="P8">
        <v>1951234916352</v>
      </c>
      <c r="Q8">
        <v>1963909840896</v>
      </c>
      <c r="R8">
        <v>1977624952832</v>
      </c>
      <c r="S8">
        <v>1992379858944</v>
      </c>
      <c r="T8">
        <v>2008109940736</v>
      </c>
      <c r="U8">
        <v>2023709999104</v>
      </c>
      <c r="V8">
        <v>2039179902976</v>
      </c>
      <c r="W8">
        <v>2054520045568</v>
      </c>
      <c r="X8">
        <v>2069664890880</v>
      </c>
      <c r="Y8">
        <v>2084549951488</v>
      </c>
      <c r="Z8">
        <v>2099305119744</v>
      </c>
      <c r="AA8">
        <v>2113800110080</v>
      </c>
      <c r="AB8">
        <v>2128035184640</v>
      </c>
      <c r="AC8">
        <v>2142075092992</v>
      </c>
      <c r="AD8">
        <v>2155920097280</v>
      </c>
      <c r="AE8">
        <v>2169505054720</v>
      </c>
      <c r="AF8">
        <v>2182765084672</v>
      </c>
      <c r="AG8">
        <v>2195764936704</v>
      </c>
      <c r="AH8">
        <v>2208439992320</v>
      </c>
      <c r="AI8">
        <v>2220854870016</v>
      </c>
    </row>
    <row r="9" spans="1:35" x14ac:dyDescent="0.35">
      <c r="A9" t="s">
        <v>41</v>
      </c>
      <c r="B9">
        <v>15343354380288</v>
      </c>
      <c r="C9">
        <v>15419384528896</v>
      </c>
      <c r="D9">
        <v>15540811726848</v>
      </c>
      <c r="E9">
        <v>15706749927424</v>
      </c>
      <c r="F9">
        <v>15917200179200</v>
      </c>
      <c r="G9">
        <v>16172214910976</v>
      </c>
      <c r="H9">
        <v>16472104501248</v>
      </c>
      <c r="I9">
        <v>16817027284992</v>
      </c>
      <c r="J9">
        <v>17209634062336</v>
      </c>
      <c r="K9">
        <v>17650495258624</v>
      </c>
      <c r="L9">
        <v>18139926495232</v>
      </c>
      <c r="M9">
        <v>18678756147200</v>
      </c>
      <c r="N9">
        <v>19266986311680</v>
      </c>
      <c r="O9">
        <v>19904616988672</v>
      </c>
      <c r="P9">
        <v>20542247665664</v>
      </c>
      <c r="Q9">
        <v>21196699598848</v>
      </c>
      <c r="R9">
        <v>21851153629184</v>
      </c>
      <c r="S9">
        <v>22505607659520</v>
      </c>
      <c r="T9">
        <v>23160061689856</v>
      </c>
      <c r="U9">
        <v>23767837310976</v>
      </c>
      <c r="V9">
        <v>24329437839360</v>
      </c>
      <c r="W9">
        <v>24845643415552</v>
      </c>
      <c r="X9">
        <v>25317334843392</v>
      </c>
      <c r="Y9">
        <v>25744516317184</v>
      </c>
      <c r="Z9">
        <v>26127131213824</v>
      </c>
      <c r="AA9">
        <v>26464871251968</v>
      </c>
      <c r="AB9">
        <v>26757579145216</v>
      </c>
      <c r="AC9">
        <v>27002604093440</v>
      </c>
      <c r="AD9">
        <v>27199369379840</v>
      </c>
      <c r="AE9">
        <v>27347570917376</v>
      </c>
      <c r="AF9">
        <v>27446371942400</v>
      </c>
      <c r="AG9">
        <v>27495772454912</v>
      </c>
      <c r="AH9">
        <v>27495772454912</v>
      </c>
      <c r="AI9">
        <v>27495772454912</v>
      </c>
    </row>
    <row r="10" spans="1:35" x14ac:dyDescent="0.35">
      <c r="A10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2" spans="1:35" x14ac:dyDescent="0.35">
      <c r="A12" t="s">
        <v>58</v>
      </c>
    </row>
    <row r="13" spans="1:35" x14ac:dyDescent="0.35">
      <c r="A13" t="s">
        <v>33</v>
      </c>
      <c r="B13">
        <v>2017</v>
      </c>
      <c r="C13">
        <v>2018</v>
      </c>
      <c r="D13">
        <v>2019</v>
      </c>
      <c r="E13">
        <v>2020</v>
      </c>
      <c r="F13">
        <v>2021</v>
      </c>
      <c r="G13">
        <v>2022</v>
      </c>
      <c r="H13">
        <v>2023</v>
      </c>
      <c r="I13">
        <v>2024</v>
      </c>
      <c r="J13">
        <v>2025</v>
      </c>
      <c r="K13">
        <v>2026</v>
      </c>
      <c r="L13">
        <v>2027</v>
      </c>
      <c r="M13">
        <v>2028</v>
      </c>
      <c r="N13">
        <v>2029</v>
      </c>
      <c r="O13">
        <v>2030</v>
      </c>
      <c r="P13">
        <v>2031</v>
      </c>
      <c r="Q13">
        <v>2032</v>
      </c>
      <c r="R13">
        <v>2033</v>
      </c>
      <c r="S13">
        <v>2034</v>
      </c>
      <c r="T13">
        <v>2035</v>
      </c>
      <c r="U13">
        <v>2036</v>
      </c>
      <c r="V13">
        <v>2037</v>
      </c>
      <c r="W13">
        <v>2038</v>
      </c>
      <c r="X13">
        <v>2039</v>
      </c>
      <c r="Y13">
        <v>2040</v>
      </c>
      <c r="Z13">
        <v>2041</v>
      </c>
      <c r="AA13">
        <v>2042</v>
      </c>
      <c r="AB13">
        <v>2043</v>
      </c>
      <c r="AC13">
        <v>2044</v>
      </c>
      <c r="AD13">
        <v>2045</v>
      </c>
      <c r="AE13">
        <v>2046</v>
      </c>
      <c r="AF13">
        <v>2047</v>
      </c>
      <c r="AG13">
        <v>2048</v>
      </c>
      <c r="AH13">
        <v>2049</v>
      </c>
      <c r="AI13">
        <v>2050</v>
      </c>
    </row>
    <row r="14" spans="1:35" x14ac:dyDescent="0.35">
      <c r="A14" t="s">
        <v>34</v>
      </c>
      <c r="B14" t="s">
        <v>35</v>
      </c>
    </row>
    <row r="15" spans="1:35" x14ac:dyDescent="0.35">
      <c r="A15" t="s">
        <v>36</v>
      </c>
    </row>
    <row r="16" spans="1:35" x14ac:dyDescent="0.35">
      <c r="A16" t="s">
        <v>37</v>
      </c>
      <c r="B16">
        <v>643372880494592</v>
      </c>
      <c r="C16">
        <v>642949893324800</v>
      </c>
      <c r="D16">
        <v>643381738864640</v>
      </c>
      <c r="E16">
        <v>644573927833600</v>
      </c>
      <c r="F16">
        <v>646163267059712</v>
      </c>
      <c r="G16">
        <v>648005069832192</v>
      </c>
      <c r="H16">
        <v>649974245228544</v>
      </c>
      <c r="I16">
        <v>651758871248896</v>
      </c>
      <c r="J16">
        <v>654084394713088</v>
      </c>
      <c r="K16">
        <v>658922004283392</v>
      </c>
      <c r="L16">
        <v>660154861223936</v>
      </c>
      <c r="M16">
        <v>664259843325952</v>
      </c>
      <c r="N16">
        <v>669471182159872</v>
      </c>
      <c r="O16">
        <v>675580034940928</v>
      </c>
      <c r="P16">
        <v>681490513920000</v>
      </c>
      <c r="Q16">
        <v>688350985977856</v>
      </c>
      <c r="R16">
        <v>693603395436544</v>
      </c>
      <c r="S16">
        <v>699378515836928</v>
      </c>
      <c r="T16">
        <v>704908084903936</v>
      </c>
      <c r="U16">
        <v>710129087414272</v>
      </c>
      <c r="V16">
        <v>715088231137280</v>
      </c>
      <c r="W16">
        <v>719739479392256</v>
      </c>
      <c r="X16">
        <v>724035319103488</v>
      </c>
      <c r="Y16">
        <v>727953604345856</v>
      </c>
      <c r="Z16">
        <v>731397362810880</v>
      </c>
      <c r="AA16">
        <v>734520273797120</v>
      </c>
      <c r="AB16">
        <v>737419645157376</v>
      </c>
      <c r="AC16">
        <v>739954481168384</v>
      </c>
      <c r="AD16">
        <v>742751712837632</v>
      </c>
      <c r="AE16">
        <v>745652090830848</v>
      </c>
      <c r="AF16">
        <v>748490057580544</v>
      </c>
      <c r="AG16">
        <v>751259170635776</v>
      </c>
      <c r="AH16">
        <v>753991575142400</v>
      </c>
      <c r="AI16">
        <v>756807328858112</v>
      </c>
    </row>
    <row r="17" spans="1:35" x14ac:dyDescent="0.35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35">
      <c r="A18" t="s">
        <v>39</v>
      </c>
      <c r="B18">
        <v>746993328586752</v>
      </c>
      <c r="C18">
        <v>747653746917376</v>
      </c>
      <c r="D18">
        <v>746342842368000</v>
      </c>
      <c r="E18">
        <v>743021423362048</v>
      </c>
      <c r="F18">
        <v>737583726329856</v>
      </c>
      <c r="G18">
        <v>729956736827392</v>
      </c>
      <c r="H18">
        <v>720148507918336</v>
      </c>
      <c r="I18">
        <v>708225007616000</v>
      </c>
      <c r="J18">
        <v>694155768496128</v>
      </c>
      <c r="K18">
        <v>678004879523840</v>
      </c>
      <c r="L18">
        <v>659779722674176</v>
      </c>
      <c r="M18">
        <v>639491505127424</v>
      </c>
      <c r="N18">
        <v>617148414164992</v>
      </c>
      <c r="O18">
        <v>592798432624640</v>
      </c>
      <c r="P18">
        <v>568316649275392</v>
      </c>
      <c r="Q18">
        <v>543886640414720</v>
      </c>
      <c r="R18">
        <v>520804714414080</v>
      </c>
      <c r="S18">
        <v>499136302415872</v>
      </c>
      <c r="T18">
        <v>478996429012992</v>
      </c>
      <c r="U18">
        <v>459904628293632</v>
      </c>
      <c r="V18">
        <v>442296302567424</v>
      </c>
      <c r="W18">
        <v>426776606015488</v>
      </c>
      <c r="X18">
        <v>413377348239360</v>
      </c>
      <c r="Y18">
        <v>402119332986880</v>
      </c>
      <c r="Z18">
        <v>393008801382400</v>
      </c>
      <c r="AA18">
        <v>386046726504448</v>
      </c>
      <c r="AB18">
        <v>381227437654016</v>
      </c>
      <c r="AC18">
        <v>378490234863616</v>
      </c>
      <c r="AD18">
        <v>376668967403520</v>
      </c>
      <c r="AE18">
        <v>375588313366528</v>
      </c>
      <c r="AF18">
        <v>375211429986304</v>
      </c>
      <c r="AG18">
        <v>375575495573504</v>
      </c>
      <c r="AH18">
        <v>376645579964416</v>
      </c>
      <c r="AI18">
        <v>377794584379392</v>
      </c>
    </row>
    <row r="19" spans="1:35" x14ac:dyDescent="0.35">
      <c r="A19" t="s">
        <v>40</v>
      </c>
      <c r="B19">
        <v>1924851695616</v>
      </c>
      <c r="C19">
        <v>1921703346176</v>
      </c>
      <c r="D19">
        <v>1913330597888</v>
      </c>
      <c r="E19">
        <v>1899733450752</v>
      </c>
      <c r="F19">
        <v>1881821937664</v>
      </c>
      <c r="G19">
        <v>1859563552768</v>
      </c>
      <c r="H19">
        <v>1832814772224</v>
      </c>
      <c r="I19">
        <v>1801537585152</v>
      </c>
      <c r="J19">
        <v>1765640110080</v>
      </c>
      <c r="K19">
        <v>1724986818560</v>
      </c>
      <c r="L19">
        <v>1679531704320</v>
      </c>
      <c r="M19">
        <v>1629144612864</v>
      </c>
      <c r="N19">
        <v>1573738905600</v>
      </c>
      <c r="O19">
        <v>1513195569152</v>
      </c>
      <c r="P19">
        <v>1453172326400</v>
      </c>
      <c r="Q19">
        <v>1396817264640</v>
      </c>
      <c r="R19">
        <v>1340982165504</v>
      </c>
      <c r="S19">
        <v>1290891689984</v>
      </c>
      <c r="T19">
        <v>1246512939008</v>
      </c>
      <c r="U19">
        <v>1206903504896</v>
      </c>
      <c r="V19">
        <v>1172128661504</v>
      </c>
      <c r="W19">
        <v>1142299033600</v>
      </c>
      <c r="X19">
        <v>1117452763136</v>
      </c>
      <c r="Y19">
        <v>1097649422336</v>
      </c>
      <c r="Z19">
        <v>1083056979968</v>
      </c>
      <c r="AA19">
        <v>1073688739840</v>
      </c>
      <c r="AB19">
        <v>1069642612736</v>
      </c>
      <c r="AC19">
        <v>1071037415424</v>
      </c>
      <c r="AD19">
        <v>1077959917568</v>
      </c>
      <c r="AE19">
        <v>1084752396288</v>
      </c>
      <c r="AF19">
        <v>1091382280192</v>
      </c>
      <c r="AG19">
        <v>1097882337280</v>
      </c>
      <c r="AH19">
        <v>1104219734016</v>
      </c>
      <c r="AI19">
        <v>1110427303936</v>
      </c>
    </row>
    <row r="20" spans="1:35" x14ac:dyDescent="0.35">
      <c r="A20" t="s">
        <v>41</v>
      </c>
      <c r="B20">
        <v>15343354380288</v>
      </c>
      <c r="C20">
        <v>15419384528896</v>
      </c>
      <c r="D20">
        <v>15493735907328</v>
      </c>
      <c r="E20">
        <v>15561816801280</v>
      </c>
      <c r="F20">
        <v>15619916300288</v>
      </c>
      <c r="G20">
        <v>15664367534080</v>
      </c>
      <c r="H20">
        <v>15691706007552</v>
      </c>
      <c r="I20">
        <v>15698307842048</v>
      </c>
      <c r="J20">
        <v>15682299232256</v>
      </c>
      <c r="K20">
        <v>15640087756800</v>
      </c>
      <c r="L20">
        <v>15567846113280</v>
      </c>
      <c r="M20">
        <v>15462014386176</v>
      </c>
      <c r="N20">
        <v>15318474817536</v>
      </c>
      <c r="O20">
        <v>15133109649408</v>
      </c>
      <c r="P20">
        <v>14947745529856</v>
      </c>
      <c r="Q20">
        <v>14779204763648</v>
      </c>
      <c r="R20">
        <v>14610663997440</v>
      </c>
      <c r="S20">
        <v>14481478385664</v>
      </c>
      <c r="T20">
        <v>14391645831168</v>
      </c>
      <c r="U20">
        <v>14294490021888</v>
      </c>
      <c r="V20">
        <v>14190513225728</v>
      </c>
      <c r="W20">
        <v>14088216248320</v>
      </c>
      <c r="X20">
        <v>13992189755392</v>
      </c>
      <c r="Y20">
        <v>13906143608832</v>
      </c>
      <c r="Z20">
        <v>13833745727488</v>
      </c>
      <c r="AA20">
        <v>13778460606464</v>
      </c>
      <c r="AB20">
        <v>13743912124416</v>
      </c>
      <c r="AC20">
        <v>13731975135232</v>
      </c>
      <c r="AD20">
        <v>13746239963136</v>
      </c>
      <c r="AE20">
        <v>13751180853248</v>
      </c>
      <c r="AF20">
        <v>13750356672512</v>
      </c>
      <c r="AG20">
        <v>13747887276032</v>
      </c>
      <c r="AH20">
        <v>13747886227456</v>
      </c>
      <c r="AI20">
        <v>13747886227456</v>
      </c>
    </row>
    <row r="21" spans="1:35" x14ac:dyDescent="0.35">
      <c r="A21" t="s">
        <v>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3" spans="1:35" x14ac:dyDescent="0.35">
      <c r="O23" t="s">
        <v>44</v>
      </c>
    </row>
    <row r="24" spans="1:35" ht="43.5" x14ac:dyDescent="0.35">
      <c r="O24" t="s">
        <v>45</v>
      </c>
      <c r="P24" t="s">
        <v>46</v>
      </c>
      <c r="Q24" s="2" t="s">
        <v>53</v>
      </c>
      <c r="R24" t="s">
        <v>6</v>
      </c>
    </row>
    <row r="25" spans="1:35" x14ac:dyDescent="0.35">
      <c r="O25">
        <f>(O5-O16)/O5</f>
        <v>-0.11093200554642371</v>
      </c>
      <c r="P25">
        <f>(O7-O18)/O7</f>
        <v>0.20739752203407047</v>
      </c>
      <c r="Q25">
        <f>O7*P25/100000000000</f>
        <v>1551.15495358464</v>
      </c>
      <c r="R25" s="8">
        <f>A42/1000*D45</f>
        <v>-19770.567810505621</v>
      </c>
    </row>
    <row r="26" spans="1:35" x14ac:dyDescent="0.35">
      <c r="A26" t="s">
        <v>153</v>
      </c>
    </row>
    <row r="27" spans="1:35" x14ac:dyDescent="0.35">
      <c r="A27" t="s">
        <v>154</v>
      </c>
      <c r="B27">
        <f>B5/(B5+B7+B8+B9)</f>
        <v>0.45705964103095637</v>
      </c>
      <c r="C27">
        <f t="shared" ref="C27:O27" si="0">C5/(C5+C7+C8+C9)</f>
        <v>0.45665847563815565</v>
      </c>
      <c r="D27">
        <f t="shared" si="0"/>
        <v>0.45618629344661304</v>
      </c>
      <c r="E27">
        <f t="shared" si="0"/>
        <v>0.45564420928647503</v>
      </c>
      <c r="F27">
        <f t="shared" si="0"/>
        <v>0.45493384173581441</v>
      </c>
      <c r="G27">
        <f t="shared" si="0"/>
        <v>0.45403443861180304</v>
      </c>
      <c r="H27">
        <f t="shared" si="0"/>
        <v>0.45293734747782921</v>
      </c>
      <c r="I27">
        <f t="shared" si="0"/>
        <v>0.45162474290292681</v>
      </c>
      <c r="J27">
        <f t="shared" si="0"/>
        <v>0.45012354114019676</v>
      </c>
      <c r="K27">
        <f t="shared" si="0"/>
        <v>0.44873539140462926</v>
      </c>
      <c r="L27">
        <f t="shared" si="0"/>
        <v>0.44704730540408516</v>
      </c>
      <c r="M27">
        <f t="shared" si="0"/>
        <v>0.44523259614509986</v>
      </c>
      <c r="N27">
        <f t="shared" si="0"/>
        <v>0.4433270131849647</v>
      </c>
      <c r="O27">
        <f t="shared" si="0"/>
        <v>0.44134428345260557</v>
      </c>
    </row>
    <row r="28" spans="1:35" x14ac:dyDescent="0.35">
      <c r="A28" t="s">
        <v>155</v>
      </c>
      <c r="B28">
        <f>B16/(B16+B18+B19+B20)</f>
        <v>0.45705964103095637</v>
      </c>
      <c r="C28">
        <f t="shared" ref="C28:O28" si="1">C16/(C16+C18+C19+C20)</f>
        <v>0.45665847563815565</v>
      </c>
      <c r="D28">
        <f t="shared" si="1"/>
        <v>0.45722924354587463</v>
      </c>
      <c r="E28">
        <f t="shared" si="1"/>
        <v>0.45875289973628297</v>
      </c>
      <c r="F28">
        <f t="shared" si="1"/>
        <v>0.46113388185494192</v>
      </c>
      <c r="G28">
        <f t="shared" si="1"/>
        <v>0.46435807425639081</v>
      </c>
      <c r="H28">
        <f t="shared" si="1"/>
        <v>0.46840018889620094</v>
      </c>
      <c r="I28">
        <f t="shared" si="1"/>
        <v>0.47315177650018481</v>
      </c>
      <c r="J28">
        <f t="shared" si="1"/>
        <v>0.47894127033181622</v>
      </c>
      <c r="K28">
        <f t="shared" si="1"/>
        <v>0.48654354048615295</v>
      </c>
      <c r="L28">
        <f t="shared" si="1"/>
        <v>0.4936911206735875</v>
      </c>
      <c r="M28">
        <f t="shared" si="1"/>
        <v>0.50290616752420214</v>
      </c>
      <c r="N28">
        <f t="shared" si="1"/>
        <v>0.51359042319318893</v>
      </c>
      <c r="O28">
        <f t="shared" si="1"/>
        <v>0.52573308254378615</v>
      </c>
    </row>
    <row r="38" spans="1:6" x14ac:dyDescent="0.35">
      <c r="A38" s="6" t="s">
        <v>59</v>
      </c>
      <c r="B38" s="6"/>
      <c r="C38" s="6"/>
      <c r="D38" s="6"/>
      <c r="E38" s="6"/>
      <c r="F38" s="6"/>
    </row>
    <row r="40" spans="1:6" x14ac:dyDescent="0.35">
      <c r="A40">
        <f>P25*O7</f>
        <v>155115495358464</v>
      </c>
      <c r="B40" t="s">
        <v>51</v>
      </c>
    </row>
    <row r="42" spans="1:6" x14ac:dyDescent="0.35">
      <c r="A42">
        <f>O25*O5</f>
        <v>-67459977576448</v>
      </c>
      <c r="B42" t="s">
        <v>52</v>
      </c>
    </row>
    <row r="44" spans="1:6" x14ac:dyDescent="0.35">
      <c r="A44" t="s">
        <v>54</v>
      </c>
    </row>
    <row r="45" spans="1:6" x14ac:dyDescent="0.35">
      <c r="A45">
        <v>1000</v>
      </c>
      <c r="B45" t="s">
        <v>55</v>
      </c>
      <c r="D45" s="10">
        <v>2.9307106999999998E-7</v>
      </c>
      <c r="E45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topLeftCell="A13" workbookViewId="0">
      <selection activeCell="L39" sqref="A1:XFD1048576"/>
    </sheetView>
  </sheetViews>
  <sheetFormatPr defaultRowHeight="14.5" x14ac:dyDescent="0.35"/>
  <cols>
    <col min="15" max="15" width="11.81640625" bestFit="1" customWidth="1"/>
  </cols>
  <sheetData>
    <row r="1" spans="1:35" x14ac:dyDescent="0.35">
      <c r="A1" t="s">
        <v>48</v>
      </c>
    </row>
    <row r="2" spans="1:35" x14ac:dyDescent="0.35">
      <c r="A2" t="s">
        <v>33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35">
      <c r="A3" t="s">
        <v>34</v>
      </c>
      <c r="B3" t="s">
        <v>35</v>
      </c>
    </row>
    <row r="4" spans="1:35" x14ac:dyDescent="0.35">
      <c r="A4" t="s">
        <v>36</v>
      </c>
    </row>
    <row r="5" spans="1:35" x14ac:dyDescent="0.35">
      <c r="A5" t="s">
        <v>37</v>
      </c>
      <c r="B5">
        <v>643372880494592</v>
      </c>
      <c r="C5">
        <v>642949893324800</v>
      </c>
      <c r="D5">
        <v>642428927213568</v>
      </c>
      <c r="E5">
        <v>641780588478464</v>
      </c>
      <c r="F5">
        <v>640652488474624</v>
      </c>
      <c r="G5">
        <v>638912087195648</v>
      </c>
      <c r="H5">
        <v>636533816164352</v>
      </c>
      <c r="I5">
        <v>633532439330816</v>
      </c>
      <c r="J5">
        <v>629937954357248</v>
      </c>
      <c r="K5">
        <v>626581571633152</v>
      </c>
      <c r="L5">
        <v>622415386247168</v>
      </c>
      <c r="M5">
        <v>617887685410816</v>
      </c>
      <c r="N5">
        <v>613090341158912</v>
      </c>
      <c r="O5">
        <v>608120057364480</v>
      </c>
      <c r="P5">
        <v>603617522352128</v>
      </c>
      <c r="Q5">
        <v>599639107567616</v>
      </c>
      <c r="R5">
        <v>595969796210688</v>
      </c>
      <c r="S5">
        <v>592599589060608</v>
      </c>
      <c r="T5">
        <v>589413797068800</v>
      </c>
      <c r="U5">
        <v>586586030866432</v>
      </c>
      <c r="V5">
        <v>584187291631616</v>
      </c>
      <c r="W5">
        <v>582237779132416</v>
      </c>
      <c r="X5">
        <v>580766148853760</v>
      </c>
      <c r="Y5">
        <v>579667106988032</v>
      </c>
      <c r="Z5">
        <v>578934747955200</v>
      </c>
      <c r="AA5">
        <v>578676043284480</v>
      </c>
      <c r="AB5">
        <v>578922131488768</v>
      </c>
      <c r="AC5">
        <v>579715089825792</v>
      </c>
      <c r="AD5">
        <v>580960227688448</v>
      </c>
      <c r="AE5">
        <v>582434005450752</v>
      </c>
      <c r="AF5">
        <v>584055489822720</v>
      </c>
      <c r="AG5">
        <v>585794280488960</v>
      </c>
      <c r="AH5">
        <v>587661785956352</v>
      </c>
      <c r="AI5">
        <v>589627874344960</v>
      </c>
    </row>
    <row r="6" spans="1:35" x14ac:dyDescent="0.35">
      <c r="A6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39</v>
      </c>
      <c r="B7">
        <v>746993328586752</v>
      </c>
      <c r="C7">
        <v>747653746917376</v>
      </c>
      <c r="D7">
        <v>748371744653312</v>
      </c>
      <c r="E7">
        <v>749109807939584</v>
      </c>
      <c r="F7">
        <v>749749221195776</v>
      </c>
      <c r="G7">
        <v>750192005480448</v>
      </c>
      <c r="H7">
        <v>750428027355136</v>
      </c>
      <c r="I7">
        <v>750522113982464</v>
      </c>
      <c r="J7">
        <v>750414605582336</v>
      </c>
      <c r="K7">
        <v>750176436224000</v>
      </c>
      <c r="L7">
        <v>749802102980608</v>
      </c>
      <c r="M7">
        <v>749291001872384</v>
      </c>
      <c r="N7">
        <v>748637629972480</v>
      </c>
      <c r="O7">
        <v>747913927983104</v>
      </c>
      <c r="P7">
        <v>747015071858688</v>
      </c>
      <c r="Q7">
        <v>746170372587520</v>
      </c>
      <c r="R7">
        <v>745407411912704</v>
      </c>
      <c r="S7">
        <v>744660423147520</v>
      </c>
      <c r="T7">
        <v>744095769165824</v>
      </c>
      <c r="U7">
        <v>743252009418752</v>
      </c>
      <c r="V7">
        <v>742579243057152</v>
      </c>
      <c r="W7">
        <v>742088744370176</v>
      </c>
      <c r="X7">
        <v>741799035404288</v>
      </c>
      <c r="Y7">
        <v>741766621822976</v>
      </c>
      <c r="Z7">
        <v>742006871556096</v>
      </c>
      <c r="AA7">
        <v>742537702670336</v>
      </c>
      <c r="AB7">
        <v>743367168229376</v>
      </c>
      <c r="AC7">
        <v>744403933069312</v>
      </c>
      <c r="AD7">
        <v>745799730331648</v>
      </c>
      <c r="AE7">
        <v>747411551027200</v>
      </c>
      <c r="AF7">
        <v>749169333501952</v>
      </c>
      <c r="AG7">
        <v>751150991147008</v>
      </c>
      <c r="AH7">
        <v>753291159928832</v>
      </c>
      <c r="AI7">
        <v>755589101649920</v>
      </c>
    </row>
    <row r="8" spans="1:35" x14ac:dyDescent="0.35">
      <c r="A8" t="s">
        <v>40</v>
      </c>
      <c r="B8">
        <v>1924851695616</v>
      </c>
      <c r="C8">
        <v>1921703346176</v>
      </c>
      <c r="D8">
        <v>1918554996736</v>
      </c>
      <c r="E8">
        <v>1915406647296</v>
      </c>
      <c r="F8">
        <v>1913298223104</v>
      </c>
      <c r="G8">
        <v>1912294998016</v>
      </c>
      <c r="H8">
        <v>1912331567104</v>
      </c>
      <c r="I8">
        <v>1913473335296</v>
      </c>
      <c r="J8">
        <v>1915719909376</v>
      </c>
      <c r="K8">
        <v>1919006670848</v>
      </c>
      <c r="L8">
        <v>1923398238208</v>
      </c>
      <c r="M8">
        <v>1928829992960</v>
      </c>
      <c r="N8">
        <v>1935301541888</v>
      </c>
      <c r="O8">
        <v>1942748266496</v>
      </c>
      <c r="P8">
        <v>1951234916352</v>
      </c>
      <c r="Q8">
        <v>1963909840896</v>
      </c>
      <c r="R8">
        <v>1977624952832</v>
      </c>
      <c r="S8">
        <v>1992379858944</v>
      </c>
      <c r="T8">
        <v>2008109940736</v>
      </c>
      <c r="U8">
        <v>2023709999104</v>
      </c>
      <c r="V8">
        <v>2039179902976</v>
      </c>
      <c r="W8">
        <v>2054520045568</v>
      </c>
      <c r="X8">
        <v>2069664890880</v>
      </c>
      <c r="Y8">
        <v>2084549951488</v>
      </c>
      <c r="Z8">
        <v>2099305119744</v>
      </c>
      <c r="AA8">
        <v>2113800110080</v>
      </c>
      <c r="AB8">
        <v>2128035184640</v>
      </c>
      <c r="AC8">
        <v>2142075092992</v>
      </c>
      <c r="AD8">
        <v>2155920097280</v>
      </c>
      <c r="AE8">
        <v>2169505054720</v>
      </c>
      <c r="AF8">
        <v>2182765084672</v>
      </c>
      <c r="AG8">
        <v>2195764936704</v>
      </c>
      <c r="AH8">
        <v>2208439992320</v>
      </c>
      <c r="AI8">
        <v>2220854870016</v>
      </c>
    </row>
    <row r="9" spans="1:35" x14ac:dyDescent="0.35">
      <c r="A9" t="s">
        <v>41</v>
      </c>
      <c r="B9">
        <v>15343354380288</v>
      </c>
      <c r="C9">
        <v>15419384528896</v>
      </c>
      <c r="D9">
        <v>15540811726848</v>
      </c>
      <c r="E9">
        <v>15706749927424</v>
      </c>
      <c r="F9">
        <v>15917200179200</v>
      </c>
      <c r="G9">
        <v>16172214910976</v>
      </c>
      <c r="H9">
        <v>16472104501248</v>
      </c>
      <c r="I9">
        <v>16817027284992</v>
      </c>
      <c r="J9">
        <v>17209634062336</v>
      </c>
      <c r="K9">
        <v>17650495258624</v>
      </c>
      <c r="L9">
        <v>18139926495232</v>
      </c>
      <c r="M9">
        <v>18678756147200</v>
      </c>
      <c r="N9">
        <v>19266986311680</v>
      </c>
      <c r="O9">
        <v>19904616988672</v>
      </c>
      <c r="P9">
        <v>20542247665664</v>
      </c>
      <c r="Q9">
        <v>21196699598848</v>
      </c>
      <c r="R9">
        <v>21851153629184</v>
      </c>
      <c r="S9">
        <v>22505607659520</v>
      </c>
      <c r="T9">
        <v>23160061689856</v>
      </c>
      <c r="U9">
        <v>23767837310976</v>
      </c>
      <c r="V9">
        <v>24329437839360</v>
      </c>
      <c r="W9">
        <v>24845643415552</v>
      </c>
      <c r="X9">
        <v>25317334843392</v>
      </c>
      <c r="Y9">
        <v>25744516317184</v>
      </c>
      <c r="Z9">
        <v>26127131213824</v>
      </c>
      <c r="AA9">
        <v>26464871251968</v>
      </c>
      <c r="AB9">
        <v>26757579145216</v>
      </c>
      <c r="AC9">
        <v>27002604093440</v>
      </c>
      <c r="AD9">
        <v>27199369379840</v>
      </c>
      <c r="AE9">
        <v>27347570917376</v>
      </c>
      <c r="AF9">
        <v>27446371942400</v>
      </c>
      <c r="AG9">
        <v>27495772454912</v>
      </c>
      <c r="AH9">
        <v>27495772454912</v>
      </c>
      <c r="AI9">
        <v>27495772454912</v>
      </c>
    </row>
    <row r="10" spans="1:35" x14ac:dyDescent="0.35">
      <c r="A10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2" spans="1:35" x14ac:dyDescent="0.35">
      <c r="A12" t="s">
        <v>57</v>
      </c>
    </row>
    <row r="13" spans="1:35" x14ac:dyDescent="0.35">
      <c r="A13" t="s">
        <v>33</v>
      </c>
      <c r="B13">
        <v>2017</v>
      </c>
      <c r="C13">
        <v>2018</v>
      </c>
      <c r="D13">
        <v>2019</v>
      </c>
      <c r="E13">
        <v>2020</v>
      </c>
      <c r="F13">
        <v>2021</v>
      </c>
      <c r="G13">
        <v>2022</v>
      </c>
      <c r="H13">
        <v>2023</v>
      </c>
      <c r="I13">
        <v>2024</v>
      </c>
      <c r="J13">
        <v>2025</v>
      </c>
      <c r="K13">
        <v>2026</v>
      </c>
      <c r="L13">
        <v>2027</v>
      </c>
      <c r="M13">
        <v>2028</v>
      </c>
      <c r="N13">
        <v>2029</v>
      </c>
      <c r="O13">
        <v>2030</v>
      </c>
      <c r="P13">
        <v>2031</v>
      </c>
      <c r="Q13">
        <v>2032</v>
      </c>
      <c r="R13">
        <v>2033</v>
      </c>
      <c r="S13">
        <v>2034</v>
      </c>
      <c r="T13">
        <v>2035</v>
      </c>
      <c r="U13">
        <v>2036</v>
      </c>
      <c r="V13">
        <v>2037</v>
      </c>
      <c r="W13">
        <v>2038</v>
      </c>
      <c r="X13">
        <v>2039</v>
      </c>
      <c r="Y13">
        <v>2040</v>
      </c>
      <c r="Z13">
        <v>2041</v>
      </c>
      <c r="AA13">
        <v>2042</v>
      </c>
      <c r="AB13">
        <v>2043</v>
      </c>
      <c r="AC13">
        <v>2044</v>
      </c>
      <c r="AD13">
        <v>2045</v>
      </c>
      <c r="AE13">
        <v>2046</v>
      </c>
      <c r="AF13">
        <v>2047</v>
      </c>
      <c r="AG13">
        <v>2048</v>
      </c>
      <c r="AH13">
        <v>2049</v>
      </c>
      <c r="AI13">
        <v>2050</v>
      </c>
    </row>
    <row r="14" spans="1:35" x14ac:dyDescent="0.35">
      <c r="A14" t="s">
        <v>34</v>
      </c>
      <c r="B14" t="s">
        <v>35</v>
      </c>
    </row>
    <row r="15" spans="1:35" x14ac:dyDescent="0.35">
      <c r="A15" t="s">
        <v>36</v>
      </c>
    </row>
    <row r="16" spans="1:35" x14ac:dyDescent="0.35">
      <c r="A16" t="s">
        <v>37</v>
      </c>
      <c r="B16">
        <v>643372880494592</v>
      </c>
      <c r="C16">
        <v>642949893324800</v>
      </c>
      <c r="D16">
        <v>641669657526272</v>
      </c>
      <c r="E16">
        <v>639538749767680</v>
      </c>
      <c r="F16">
        <v>636206257799168</v>
      </c>
      <c r="G16">
        <v>631536621715456</v>
      </c>
      <c r="H16">
        <v>625558027239424</v>
      </c>
      <c r="I16">
        <v>618492067840000</v>
      </c>
      <c r="J16">
        <v>609881329500160</v>
      </c>
      <c r="K16">
        <v>600161415856128</v>
      </c>
      <c r="L16">
        <v>590212258332672</v>
      </c>
      <c r="M16">
        <v>578070251569152</v>
      </c>
      <c r="N16">
        <v>565326345404416</v>
      </c>
      <c r="O16">
        <v>552104590573568</v>
      </c>
      <c r="P16">
        <v>539254350413824</v>
      </c>
      <c r="Q16">
        <v>527210356146176</v>
      </c>
      <c r="R16">
        <v>515392015433728</v>
      </c>
      <c r="S16">
        <v>505085637427200</v>
      </c>
      <c r="T16">
        <v>495463904051200</v>
      </c>
      <c r="U16">
        <v>486746496172032</v>
      </c>
      <c r="V16">
        <v>479722848911360</v>
      </c>
      <c r="W16">
        <v>473073400676352</v>
      </c>
      <c r="X16">
        <v>468136570650624</v>
      </c>
      <c r="Y16">
        <v>463625949020160</v>
      </c>
      <c r="Z16">
        <v>460159977521152</v>
      </c>
      <c r="AA16">
        <v>457806268334080</v>
      </c>
      <c r="AB16">
        <v>456270649753600</v>
      </c>
      <c r="AC16">
        <v>455718478020608</v>
      </c>
      <c r="AD16">
        <v>456184515526656</v>
      </c>
      <c r="AE16">
        <v>456877414547456</v>
      </c>
      <c r="AF16">
        <v>457972698316800</v>
      </c>
      <c r="AG16">
        <v>458843737817088</v>
      </c>
      <c r="AH16">
        <v>459842619703296</v>
      </c>
      <c r="AI16">
        <v>460986892943360</v>
      </c>
    </row>
    <row r="17" spans="1:35" x14ac:dyDescent="0.35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35">
      <c r="A18" t="s">
        <v>39</v>
      </c>
      <c r="B18">
        <v>746993328586752</v>
      </c>
      <c r="C18">
        <v>747653746917376</v>
      </c>
      <c r="D18">
        <v>747779643146240</v>
      </c>
      <c r="E18">
        <v>747328940015616</v>
      </c>
      <c r="F18">
        <v>746181579767808</v>
      </c>
      <c r="G18">
        <v>744240858529792</v>
      </c>
      <c r="H18">
        <v>741495434903552</v>
      </c>
      <c r="I18">
        <v>738004700233728</v>
      </c>
      <c r="J18">
        <v>733708256542720</v>
      </c>
      <c r="K18">
        <v>728667843985408</v>
      </c>
      <c r="L18">
        <v>722872725143552</v>
      </c>
      <c r="M18">
        <v>716315652259840</v>
      </c>
      <c r="N18">
        <v>708984747065344</v>
      </c>
      <c r="O18">
        <v>700935173046272</v>
      </c>
      <c r="P18">
        <v>692679239270400</v>
      </c>
      <c r="Q18">
        <v>684433975803904</v>
      </c>
      <c r="R18">
        <v>676513720565760</v>
      </c>
      <c r="S18">
        <v>668919211753472</v>
      </c>
      <c r="T18">
        <v>661813658124288</v>
      </c>
      <c r="U18">
        <v>654739175899136</v>
      </c>
      <c r="V18">
        <v>648151568482304</v>
      </c>
      <c r="W18">
        <v>642343967391744</v>
      </c>
      <c r="X18">
        <v>637349188861952</v>
      </c>
      <c r="Y18">
        <v>633223268794368</v>
      </c>
      <c r="Z18">
        <v>629986943827968</v>
      </c>
      <c r="AA18">
        <v>627660749275136</v>
      </c>
      <c r="AB18">
        <v>626254952792064</v>
      </c>
      <c r="AC18">
        <v>625690969899008</v>
      </c>
      <c r="AD18">
        <v>625782774824960</v>
      </c>
      <c r="AE18">
        <v>626330718699520</v>
      </c>
      <c r="AF18">
        <v>627271316537344</v>
      </c>
      <c r="AG18">
        <v>628670871896064</v>
      </c>
      <c r="AH18">
        <v>630468517036032</v>
      </c>
      <c r="AI18">
        <v>632403936673792</v>
      </c>
    </row>
    <row r="19" spans="1:35" x14ac:dyDescent="0.35">
      <c r="A19" t="s">
        <v>40</v>
      </c>
      <c r="B19">
        <v>1924851695616</v>
      </c>
      <c r="C19">
        <v>1921703346176</v>
      </c>
      <c r="D19">
        <v>1916193472512</v>
      </c>
      <c r="E19">
        <v>1908197031936</v>
      </c>
      <c r="F19">
        <v>1898566385664</v>
      </c>
      <c r="G19">
        <v>1887190515712</v>
      </c>
      <c r="H19">
        <v>1873834541056</v>
      </c>
      <c r="I19">
        <v>1858377744384</v>
      </c>
      <c r="J19">
        <v>1840636755968</v>
      </c>
      <c r="K19">
        <v>1820371714048</v>
      </c>
      <c r="L19">
        <v>1797447221248</v>
      </c>
      <c r="M19">
        <v>1771620270080</v>
      </c>
      <c r="N19">
        <v>1742698184704</v>
      </c>
      <c r="O19">
        <v>1710438612992</v>
      </c>
      <c r="P19">
        <v>1678915403776</v>
      </c>
      <c r="Q19">
        <v>1651276775424</v>
      </c>
      <c r="R19">
        <v>1624374640640</v>
      </c>
      <c r="S19">
        <v>1600570261504</v>
      </c>
      <c r="T19">
        <v>1579942674432</v>
      </c>
      <c r="U19">
        <v>1561593774080</v>
      </c>
      <c r="V19">
        <v>1545680191488</v>
      </c>
      <c r="W19">
        <v>1532391194624</v>
      </c>
      <c r="X19">
        <v>1521847107584</v>
      </c>
      <c r="Y19">
        <v>1514185555968</v>
      </c>
      <c r="Z19">
        <v>1509692276736</v>
      </c>
      <c r="AA19">
        <v>1508456792064</v>
      </c>
      <c r="AB19">
        <v>1510675972096</v>
      </c>
      <c r="AC19">
        <v>1516588498944</v>
      </c>
      <c r="AD19">
        <v>1526390718464</v>
      </c>
      <c r="AE19">
        <v>1536008912896</v>
      </c>
      <c r="AF19">
        <v>1545397075968</v>
      </c>
      <c r="AG19">
        <v>1554600951808</v>
      </c>
      <c r="AH19">
        <v>1563574796288</v>
      </c>
      <c r="AI19">
        <v>1572364615680</v>
      </c>
    </row>
    <row r="20" spans="1:35" x14ac:dyDescent="0.35">
      <c r="A20" t="s">
        <v>41</v>
      </c>
      <c r="B20">
        <v>15343354380288</v>
      </c>
      <c r="C20">
        <v>15419384528896</v>
      </c>
      <c r="D20">
        <v>15513952452608</v>
      </c>
      <c r="E20">
        <v>15624534228992</v>
      </c>
      <c r="F20">
        <v>15749369298944</v>
      </c>
      <c r="G20">
        <v>15886631043072</v>
      </c>
      <c r="H20">
        <v>16034595602432</v>
      </c>
      <c r="I20">
        <v>16191284314112</v>
      </c>
      <c r="J20">
        <v>16356783161344</v>
      </c>
      <c r="K20">
        <v>16529138647040</v>
      </c>
      <c r="L20">
        <v>16706047049728</v>
      </c>
      <c r="M20">
        <v>16885509783552</v>
      </c>
      <c r="N20">
        <v>17064710373376</v>
      </c>
      <c r="O20">
        <v>17240730632192</v>
      </c>
      <c r="P20">
        <v>17411071803392</v>
      </c>
      <c r="Q20">
        <v>17592920047616</v>
      </c>
      <c r="R20">
        <v>17769424748544</v>
      </c>
      <c r="S20">
        <v>17968660480000</v>
      </c>
      <c r="T20">
        <v>18191835201536</v>
      </c>
      <c r="U20">
        <v>18392847220736</v>
      </c>
      <c r="V20">
        <v>18573095337984</v>
      </c>
      <c r="W20">
        <v>18737851793408</v>
      </c>
      <c r="X20">
        <v>18890457350144</v>
      </c>
      <c r="Y20">
        <v>19033248235520</v>
      </c>
      <c r="Z20">
        <v>19168397099008</v>
      </c>
      <c r="AA20">
        <v>19297715879936</v>
      </c>
      <c r="AB20">
        <v>19423058460672</v>
      </c>
      <c r="AC20">
        <v>19543967662080</v>
      </c>
      <c r="AD20">
        <v>19661794050048</v>
      </c>
      <c r="AE20">
        <v>19748121214976</v>
      </c>
      <c r="AF20">
        <v>19803976761344</v>
      </c>
      <c r="AG20">
        <v>19831071965184</v>
      </c>
      <c r="AH20">
        <v>19831071965184</v>
      </c>
      <c r="AI20">
        <v>19831071965184</v>
      </c>
    </row>
    <row r="21" spans="1:35" x14ac:dyDescent="0.35">
      <c r="A21" t="s">
        <v>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3" spans="1:35" x14ac:dyDescent="0.35">
      <c r="O23" t="s">
        <v>44</v>
      </c>
    </row>
    <row r="24" spans="1:35" ht="43.5" x14ac:dyDescent="0.35">
      <c r="O24" t="s">
        <v>45</v>
      </c>
      <c r="P24" t="s">
        <v>46</v>
      </c>
      <c r="Q24" s="2" t="s">
        <v>53</v>
      </c>
      <c r="R24" t="s">
        <v>6</v>
      </c>
    </row>
    <row r="25" spans="1:35" x14ac:dyDescent="0.35">
      <c r="O25">
        <f>(O5-O16)/O5</f>
        <v>9.211251316668681E-2</v>
      </c>
      <c r="P25">
        <f>(O7-O18)/O7</f>
        <v>6.2813049976912977E-2</v>
      </c>
      <c r="Q25">
        <f>O7*P25/100000000000</f>
        <v>469.78754936832007</v>
      </c>
      <c r="R25" s="8">
        <f>O32/1000*R35</f>
        <v>16416.512788962045</v>
      </c>
    </row>
    <row r="28" spans="1:35" x14ac:dyDescent="0.35">
      <c r="O28" s="6" t="s">
        <v>59</v>
      </c>
      <c r="P28" s="6"/>
      <c r="Q28" s="6"/>
      <c r="R28" s="6"/>
      <c r="S28" s="6"/>
      <c r="T28" s="6"/>
    </row>
    <row r="30" spans="1:35" x14ac:dyDescent="0.35">
      <c r="O30">
        <f>P25*O7</f>
        <v>46978754936832.008</v>
      </c>
      <c r="P30" t="s">
        <v>51</v>
      </c>
    </row>
    <row r="32" spans="1:35" x14ac:dyDescent="0.35">
      <c r="O32">
        <f>O25*O5</f>
        <v>56015466790912</v>
      </c>
      <c r="P32" t="s">
        <v>52</v>
      </c>
    </row>
    <row r="34" spans="15:19" x14ac:dyDescent="0.35">
      <c r="O34" t="s">
        <v>54</v>
      </c>
    </row>
    <row r="35" spans="15:19" x14ac:dyDescent="0.35">
      <c r="O35">
        <v>1000</v>
      </c>
      <c r="P35" t="s">
        <v>55</v>
      </c>
      <c r="R35" s="10">
        <v>2.9307106999999998E-7</v>
      </c>
      <c r="S35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workbookViewId="0">
      <selection activeCell="B27" sqref="B27"/>
    </sheetView>
  </sheetViews>
  <sheetFormatPr defaultRowHeight="14.5" x14ac:dyDescent="0.35"/>
  <cols>
    <col min="2" max="2" width="11.81640625" bestFit="1" customWidth="1"/>
    <col min="15" max="15" width="11.81640625" bestFit="1" customWidth="1"/>
  </cols>
  <sheetData>
    <row r="1" spans="1:35" x14ac:dyDescent="0.35">
      <c r="A1" t="s">
        <v>48</v>
      </c>
    </row>
    <row r="2" spans="1:35" x14ac:dyDescent="0.35">
      <c r="A2" t="s">
        <v>33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35">
      <c r="A3" t="s">
        <v>34</v>
      </c>
      <c r="B3" t="s">
        <v>35</v>
      </c>
    </row>
    <row r="4" spans="1:35" x14ac:dyDescent="0.35">
      <c r="A4" t="s">
        <v>36</v>
      </c>
    </row>
    <row r="5" spans="1:35" x14ac:dyDescent="0.35">
      <c r="A5" t="s">
        <v>37</v>
      </c>
      <c r="B5">
        <v>643372880494592</v>
      </c>
      <c r="C5">
        <v>642949893324800</v>
      </c>
      <c r="D5">
        <v>642428927213568</v>
      </c>
      <c r="E5">
        <v>641780588478464</v>
      </c>
      <c r="F5">
        <v>640652488474624</v>
      </c>
      <c r="G5">
        <v>638912087195648</v>
      </c>
      <c r="H5">
        <v>636533816164352</v>
      </c>
      <c r="I5">
        <v>633532439330816</v>
      </c>
      <c r="J5">
        <v>629937954357248</v>
      </c>
      <c r="K5">
        <v>626581571633152</v>
      </c>
      <c r="L5">
        <v>622415386247168</v>
      </c>
      <c r="M5">
        <v>617887685410816</v>
      </c>
      <c r="N5">
        <v>613090341158912</v>
      </c>
      <c r="O5">
        <v>608120057364480</v>
      </c>
      <c r="P5">
        <v>603617522352128</v>
      </c>
      <c r="Q5">
        <v>599639107567616</v>
      </c>
      <c r="R5">
        <v>595969796210688</v>
      </c>
      <c r="S5">
        <v>592599589060608</v>
      </c>
      <c r="T5">
        <v>589413797068800</v>
      </c>
      <c r="U5">
        <v>586586030866432</v>
      </c>
      <c r="V5">
        <v>584187291631616</v>
      </c>
      <c r="W5">
        <v>582237779132416</v>
      </c>
      <c r="X5">
        <v>580766148853760</v>
      </c>
      <c r="Y5">
        <v>579667106988032</v>
      </c>
      <c r="Z5">
        <v>578934747955200</v>
      </c>
      <c r="AA5">
        <v>578676043284480</v>
      </c>
      <c r="AB5">
        <v>578922131488768</v>
      </c>
      <c r="AC5">
        <v>579715089825792</v>
      </c>
      <c r="AD5">
        <v>580960227688448</v>
      </c>
      <c r="AE5">
        <v>582434005450752</v>
      </c>
      <c r="AF5">
        <v>584055489822720</v>
      </c>
      <c r="AG5">
        <v>585794280488960</v>
      </c>
      <c r="AH5">
        <v>587661785956352</v>
      </c>
      <c r="AI5">
        <v>589627874344960</v>
      </c>
    </row>
    <row r="6" spans="1:35" x14ac:dyDescent="0.35">
      <c r="A6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39</v>
      </c>
      <c r="B7">
        <v>746993328586752</v>
      </c>
      <c r="C7">
        <v>747653746917376</v>
      </c>
      <c r="D7">
        <v>748371744653312</v>
      </c>
      <c r="E7">
        <v>749109807939584</v>
      </c>
      <c r="F7">
        <v>749749221195776</v>
      </c>
      <c r="G7">
        <v>750192005480448</v>
      </c>
      <c r="H7">
        <v>750428027355136</v>
      </c>
      <c r="I7">
        <v>750522113982464</v>
      </c>
      <c r="J7">
        <v>750414605582336</v>
      </c>
      <c r="K7">
        <v>750176436224000</v>
      </c>
      <c r="L7">
        <v>749802102980608</v>
      </c>
      <c r="M7">
        <v>749291001872384</v>
      </c>
      <c r="N7">
        <v>748637629972480</v>
      </c>
      <c r="O7">
        <v>747913927983104</v>
      </c>
      <c r="P7">
        <v>747015071858688</v>
      </c>
      <c r="Q7">
        <v>746170372587520</v>
      </c>
      <c r="R7">
        <v>745407411912704</v>
      </c>
      <c r="S7">
        <v>744660423147520</v>
      </c>
      <c r="T7">
        <v>744095769165824</v>
      </c>
      <c r="U7">
        <v>743252009418752</v>
      </c>
      <c r="V7">
        <v>742579243057152</v>
      </c>
      <c r="W7">
        <v>742088744370176</v>
      </c>
      <c r="X7">
        <v>741799035404288</v>
      </c>
      <c r="Y7">
        <v>741766621822976</v>
      </c>
      <c r="Z7">
        <v>742006871556096</v>
      </c>
      <c r="AA7">
        <v>742537702670336</v>
      </c>
      <c r="AB7">
        <v>743367168229376</v>
      </c>
      <c r="AC7">
        <v>744403933069312</v>
      </c>
      <c r="AD7">
        <v>745799730331648</v>
      </c>
      <c r="AE7">
        <v>747411551027200</v>
      </c>
      <c r="AF7">
        <v>749169333501952</v>
      </c>
      <c r="AG7">
        <v>751150991147008</v>
      </c>
      <c r="AH7">
        <v>753291159928832</v>
      </c>
      <c r="AI7">
        <v>755589101649920</v>
      </c>
    </row>
    <row r="8" spans="1:35" x14ac:dyDescent="0.35">
      <c r="A8" t="s">
        <v>40</v>
      </c>
      <c r="B8">
        <v>1924851695616</v>
      </c>
      <c r="C8">
        <v>1921703346176</v>
      </c>
      <c r="D8">
        <v>1918554996736</v>
      </c>
      <c r="E8">
        <v>1915406647296</v>
      </c>
      <c r="F8">
        <v>1913298223104</v>
      </c>
      <c r="G8">
        <v>1912294998016</v>
      </c>
      <c r="H8">
        <v>1912331567104</v>
      </c>
      <c r="I8">
        <v>1913473335296</v>
      </c>
      <c r="J8">
        <v>1915719909376</v>
      </c>
      <c r="K8">
        <v>1919006670848</v>
      </c>
      <c r="L8">
        <v>1923398238208</v>
      </c>
      <c r="M8">
        <v>1928829992960</v>
      </c>
      <c r="N8">
        <v>1935301541888</v>
      </c>
      <c r="O8">
        <v>1942748266496</v>
      </c>
      <c r="P8">
        <v>1951234916352</v>
      </c>
      <c r="Q8">
        <v>1963909840896</v>
      </c>
      <c r="R8">
        <v>1977624952832</v>
      </c>
      <c r="S8">
        <v>1992379858944</v>
      </c>
      <c r="T8">
        <v>2008109940736</v>
      </c>
      <c r="U8">
        <v>2023709999104</v>
      </c>
      <c r="V8">
        <v>2039179902976</v>
      </c>
      <c r="W8">
        <v>2054520045568</v>
      </c>
      <c r="X8">
        <v>2069664890880</v>
      </c>
      <c r="Y8">
        <v>2084549951488</v>
      </c>
      <c r="Z8">
        <v>2099305119744</v>
      </c>
      <c r="AA8">
        <v>2113800110080</v>
      </c>
      <c r="AB8">
        <v>2128035184640</v>
      </c>
      <c r="AC8">
        <v>2142075092992</v>
      </c>
      <c r="AD8">
        <v>2155920097280</v>
      </c>
      <c r="AE8">
        <v>2169505054720</v>
      </c>
      <c r="AF8">
        <v>2182765084672</v>
      </c>
      <c r="AG8">
        <v>2195764936704</v>
      </c>
      <c r="AH8">
        <v>2208439992320</v>
      </c>
      <c r="AI8">
        <v>2220854870016</v>
      </c>
    </row>
    <row r="9" spans="1:35" x14ac:dyDescent="0.35">
      <c r="A9" t="s">
        <v>41</v>
      </c>
      <c r="B9">
        <v>15343354380288</v>
      </c>
      <c r="C9">
        <v>15419384528896</v>
      </c>
      <c r="D9">
        <v>15540811726848</v>
      </c>
      <c r="E9">
        <v>15706749927424</v>
      </c>
      <c r="F9">
        <v>15917200179200</v>
      </c>
      <c r="G9">
        <v>16172214910976</v>
      </c>
      <c r="H9">
        <v>16472104501248</v>
      </c>
      <c r="I9">
        <v>16817027284992</v>
      </c>
      <c r="J9">
        <v>17209634062336</v>
      </c>
      <c r="K9">
        <v>17650495258624</v>
      </c>
      <c r="L9">
        <v>18139926495232</v>
      </c>
      <c r="M9">
        <v>18678756147200</v>
      </c>
      <c r="N9">
        <v>19266986311680</v>
      </c>
      <c r="O9">
        <v>19904616988672</v>
      </c>
      <c r="P9">
        <v>20542247665664</v>
      </c>
      <c r="Q9">
        <v>21196699598848</v>
      </c>
      <c r="R9">
        <v>21851153629184</v>
      </c>
      <c r="S9">
        <v>22505607659520</v>
      </c>
      <c r="T9">
        <v>23160061689856</v>
      </c>
      <c r="U9">
        <v>23767837310976</v>
      </c>
      <c r="V9">
        <v>24329437839360</v>
      </c>
      <c r="W9">
        <v>24845643415552</v>
      </c>
      <c r="X9">
        <v>25317334843392</v>
      </c>
      <c r="Y9">
        <v>25744516317184</v>
      </c>
      <c r="Z9">
        <v>26127131213824</v>
      </c>
      <c r="AA9">
        <v>26464871251968</v>
      </c>
      <c r="AB9">
        <v>26757579145216</v>
      </c>
      <c r="AC9">
        <v>27002604093440</v>
      </c>
      <c r="AD9">
        <v>27199369379840</v>
      </c>
      <c r="AE9">
        <v>27347570917376</v>
      </c>
      <c r="AF9">
        <v>27446371942400</v>
      </c>
      <c r="AG9">
        <v>27495772454912</v>
      </c>
      <c r="AH9">
        <v>27495772454912</v>
      </c>
      <c r="AI9">
        <v>27495772454912</v>
      </c>
    </row>
    <row r="10" spans="1:35" x14ac:dyDescent="0.35">
      <c r="A10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2" spans="1:35" x14ac:dyDescent="0.35">
      <c r="A12" t="s">
        <v>69</v>
      </c>
    </row>
    <row r="13" spans="1:35" x14ac:dyDescent="0.35">
      <c r="A13" t="s">
        <v>33</v>
      </c>
      <c r="B13">
        <v>2017</v>
      </c>
      <c r="C13">
        <v>2018</v>
      </c>
      <c r="D13">
        <v>2019</v>
      </c>
      <c r="E13">
        <v>2020</v>
      </c>
      <c r="F13">
        <v>2021</v>
      </c>
      <c r="G13">
        <v>2022</v>
      </c>
      <c r="H13">
        <v>2023</v>
      </c>
      <c r="I13">
        <v>2024</v>
      </c>
      <c r="J13">
        <v>2025</v>
      </c>
      <c r="K13">
        <v>2026</v>
      </c>
      <c r="L13">
        <v>2027</v>
      </c>
      <c r="M13">
        <v>2028</v>
      </c>
      <c r="N13">
        <v>2029</v>
      </c>
      <c r="O13">
        <v>2030</v>
      </c>
      <c r="P13">
        <v>2031</v>
      </c>
      <c r="Q13">
        <v>2032</v>
      </c>
      <c r="R13">
        <v>2033</v>
      </c>
      <c r="S13">
        <v>2034</v>
      </c>
      <c r="T13">
        <v>2035</v>
      </c>
      <c r="U13">
        <v>2036</v>
      </c>
      <c r="V13">
        <v>2037</v>
      </c>
      <c r="W13">
        <v>2038</v>
      </c>
      <c r="X13">
        <v>2039</v>
      </c>
      <c r="Y13">
        <v>2040</v>
      </c>
      <c r="Z13">
        <v>2041</v>
      </c>
      <c r="AA13">
        <v>2042</v>
      </c>
      <c r="AB13">
        <v>2043</v>
      </c>
      <c r="AC13">
        <v>2044</v>
      </c>
      <c r="AD13">
        <v>2045</v>
      </c>
      <c r="AE13">
        <v>2046</v>
      </c>
      <c r="AF13">
        <v>2047</v>
      </c>
      <c r="AG13">
        <v>2048</v>
      </c>
      <c r="AH13">
        <v>2049</v>
      </c>
      <c r="AI13">
        <v>2050</v>
      </c>
    </row>
    <row r="14" spans="1:35" x14ac:dyDescent="0.35">
      <c r="A14" t="s">
        <v>34</v>
      </c>
      <c r="B14" t="s">
        <v>35</v>
      </c>
    </row>
    <row r="15" spans="1:35" x14ac:dyDescent="0.35">
      <c r="A15" t="s">
        <v>36</v>
      </c>
    </row>
    <row r="16" spans="1:35" x14ac:dyDescent="0.35">
      <c r="A16" t="s">
        <v>37</v>
      </c>
      <c r="B16">
        <v>643372880494592</v>
      </c>
      <c r="C16">
        <v>645589888925696</v>
      </c>
      <c r="D16">
        <v>635075808985088</v>
      </c>
      <c r="E16">
        <v>626829538885632</v>
      </c>
      <c r="F16">
        <v>623564289998848</v>
      </c>
      <c r="G16">
        <v>615890995380224</v>
      </c>
      <c r="H16">
        <v>610557988175872</v>
      </c>
      <c r="I16">
        <v>604134797475840</v>
      </c>
      <c r="J16">
        <v>596164210589696</v>
      </c>
      <c r="K16">
        <v>589136704569344</v>
      </c>
      <c r="L16">
        <v>575667620020224</v>
      </c>
      <c r="M16">
        <v>565458080104448</v>
      </c>
      <c r="N16">
        <v>557122521661440</v>
      </c>
      <c r="O16">
        <v>547477367291904</v>
      </c>
      <c r="P16">
        <v>537154144960512</v>
      </c>
      <c r="Q16">
        <v>527615794348032</v>
      </c>
      <c r="R16">
        <v>516990145921024</v>
      </c>
      <c r="S16">
        <v>508211903856640</v>
      </c>
      <c r="T16">
        <v>499243039064064</v>
      </c>
      <c r="U16">
        <v>489744987324416</v>
      </c>
      <c r="V16">
        <v>480169592619008</v>
      </c>
      <c r="W16">
        <v>469428047183872</v>
      </c>
      <c r="X16">
        <v>463183533834240</v>
      </c>
      <c r="Y16">
        <v>456259778117632</v>
      </c>
      <c r="Z16">
        <v>449271195238400</v>
      </c>
      <c r="AA16">
        <v>442294457073664</v>
      </c>
      <c r="AB16">
        <v>434130663768064</v>
      </c>
      <c r="AC16">
        <v>425929859923968</v>
      </c>
      <c r="AD16">
        <v>418075606253568</v>
      </c>
      <c r="AE16">
        <v>410029387677696</v>
      </c>
      <c r="AF16">
        <v>405520645095424</v>
      </c>
      <c r="AG16">
        <v>404217390956544</v>
      </c>
      <c r="AH16">
        <v>403907247341568</v>
      </c>
      <c r="AI16">
        <v>403888289087488</v>
      </c>
    </row>
    <row r="17" spans="1:35" x14ac:dyDescent="0.35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35">
      <c r="A18" t="s">
        <v>39</v>
      </c>
      <c r="B18">
        <v>746993328586752</v>
      </c>
      <c r="C18">
        <v>747653746917376</v>
      </c>
      <c r="D18">
        <v>741744610115584</v>
      </c>
      <c r="E18">
        <v>733299697778688</v>
      </c>
      <c r="F18">
        <v>722090101571584</v>
      </c>
      <c r="G18">
        <v>708134947520512</v>
      </c>
      <c r="H18">
        <v>691652473651200</v>
      </c>
      <c r="I18">
        <v>672604293693440</v>
      </c>
      <c r="J18">
        <v>650972959342592</v>
      </c>
      <c r="K18">
        <v>627114147577856</v>
      </c>
      <c r="L18">
        <v>600551721009152</v>
      </c>
      <c r="M18">
        <v>571552974241792</v>
      </c>
      <c r="N18">
        <v>540156192882688</v>
      </c>
      <c r="O18">
        <v>506211019522048</v>
      </c>
      <c r="P18">
        <v>473637685559296</v>
      </c>
      <c r="Q18">
        <v>440482249310208</v>
      </c>
      <c r="R18">
        <v>408247345348608</v>
      </c>
      <c r="S18">
        <v>377241674448896</v>
      </c>
      <c r="T18">
        <v>347118015348736</v>
      </c>
      <c r="U18">
        <v>318527156256768</v>
      </c>
      <c r="V18">
        <v>290961955487744</v>
      </c>
      <c r="W18">
        <v>264982654615552</v>
      </c>
      <c r="X18">
        <v>246600916008960</v>
      </c>
      <c r="Y18">
        <v>235529295626240</v>
      </c>
      <c r="Z18">
        <v>228364988186624</v>
      </c>
      <c r="AA18">
        <v>222822098010112</v>
      </c>
      <c r="AB18">
        <v>218843649671168</v>
      </c>
      <c r="AC18">
        <v>216344565907456</v>
      </c>
      <c r="AD18">
        <v>214547138871296</v>
      </c>
      <c r="AE18">
        <v>213345890205696</v>
      </c>
      <c r="AF18">
        <v>212652085215232</v>
      </c>
      <c r="AG18">
        <v>212517666160640</v>
      </c>
      <c r="AH18">
        <v>212881580752896</v>
      </c>
      <c r="AI18">
        <v>213299803193344</v>
      </c>
    </row>
    <row r="19" spans="1:35" x14ac:dyDescent="0.35">
      <c r="A19" t="s">
        <v>40</v>
      </c>
      <c r="B19">
        <v>1924851695616</v>
      </c>
      <c r="C19">
        <v>1921703346176</v>
      </c>
      <c r="D19">
        <v>1895572439040</v>
      </c>
      <c r="E19">
        <v>1862641516544</v>
      </c>
      <c r="F19">
        <v>1797985665024</v>
      </c>
      <c r="G19">
        <v>1730315288576</v>
      </c>
      <c r="H19">
        <v>1659459862528</v>
      </c>
      <c r="I19">
        <v>1585327767552</v>
      </c>
      <c r="J19">
        <v>1507815718912</v>
      </c>
      <c r="K19">
        <v>1426817155072</v>
      </c>
      <c r="L19">
        <v>1342295375872</v>
      </c>
      <c r="M19">
        <v>1254189694976</v>
      </c>
      <c r="N19">
        <v>1162485301248</v>
      </c>
      <c r="O19">
        <v>1067174789120</v>
      </c>
      <c r="P19">
        <v>972118097920</v>
      </c>
      <c r="Q19">
        <v>880463904768</v>
      </c>
      <c r="R19">
        <v>789063860224</v>
      </c>
      <c r="S19">
        <v>720900325376</v>
      </c>
      <c r="T19">
        <v>659775160320</v>
      </c>
      <c r="U19">
        <v>630597156864</v>
      </c>
      <c r="V19">
        <v>604671967232</v>
      </c>
      <c r="W19">
        <v>582154125312</v>
      </c>
      <c r="X19">
        <v>563135315968</v>
      </c>
      <c r="Y19">
        <v>547702833152</v>
      </c>
      <c r="Z19">
        <v>535979196416</v>
      </c>
      <c r="AA19">
        <v>527985344512</v>
      </c>
      <c r="AB19">
        <v>523765940224</v>
      </c>
      <c r="AC19">
        <v>523351490560</v>
      </c>
      <c r="AD19">
        <v>526734131200</v>
      </c>
      <c r="AE19">
        <v>530053234688</v>
      </c>
      <c r="AF19">
        <v>533292875776</v>
      </c>
      <c r="AG19">
        <v>536469012480</v>
      </c>
      <c r="AH19">
        <v>539565752320</v>
      </c>
      <c r="AI19">
        <v>542598987776</v>
      </c>
    </row>
    <row r="20" spans="1:35" x14ac:dyDescent="0.35">
      <c r="A20" t="s">
        <v>41</v>
      </c>
      <c r="B20">
        <v>15343354380288</v>
      </c>
      <c r="C20">
        <v>15419384528896</v>
      </c>
      <c r="D20">
        <v>15318963453952</v>
      </c>
      <c r="E20">
        <v>15172581195776</v>
      </c>
      <c r="F20">
        <v>14969927106560</v>
      </c>
      <c r="G20">
        <v>14699998478336</v>
      </c>
      <c r="H20">
        <v>14351087960064</v>
      </c>
      <c r="I20">
        <v>13910316941312</v>
      </c>
      <c r="J20">
        <v>13364617019392</v>
      </c>
      <c r="K20">
        <v>12697986924544</v>
      </c>
      <c r="L20">
        <v>11892355497984</v>
      </c>
      <c r="M20">
        <v>10927343665152</v>
      </c>
      <c r="N20">
        <v>9779416137728</v>
      </c>
      <c r="O20">
        <v>8421368659968</v>
      </c>
      <c r="P20">
        <v>7010127970304</v>
      </c>
      <c r="Q20">
        <v>5560927780864</v>
      </c>
      <c r="R20">
        <v>4050956845056</v>
      </c>
      <c r="S20">
        <v>2732530860032</v>
      </c>
      <c r="T20">
        <v>1674377822208</v>
      </c>
      <c r="U20">
        <v>1424855269376</v>
      </c>
      <c r="V20">
        <v>1114280951808</v>
      </c>
      <c r="W20">
        <v>933781635072</v>
      </c>
      <c r="X20">
        <v>933827837952</v>
      </c>
      <c r="Y20">
        <v>933849333760</v>
      </c>
      <c r="Z20">
        <v>933856280576</v>
      </c>
      <c r="AA20">
        <v>933856542720</v>
      </c>
      <c r="AB20">
        <v>933857198080</v>
      </c>
      <c r="AC20">
        <v>933862178816</v>
      </c>
      <c r="AD20">
        <v>933876334592</v>
      </c>
      <c r="AE20">
        <v>933881184256</v>
      </c>
      <c r="AF20">
        <v>933880397824</v>
      </c>
      <c r="AG20">
        <v>933877907456</v>
      </c>
      <c r="AH20">
        <v>933877907456</v>
      </c>
      <c r="AI20">
        <v>933877907456</v>
      </c>
    </row>
    <row r="21" spans="1:35" x14ac:dyDescent="0.35">
      <c r="A21" t="s">
        <v>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5" spans="1:35" x14ac:dyDescent="0.35">
      <c r="A25" t="s">
        <v>124</v>
      </c>
    </row>
    <row r="26" spans="1:35" ht="43.5" x14ac:dyDescent="0.35">
      <c r="A26" t="s">
        <v>45</v>
      </c>
      <c r="B26" t="s">
        <v>46</v>
      </c>
      <c r="C26" s="2" t="s">
        <v>53</v>
      </c>
      <c r="D26" t="s">
        <v>6</v>
      </c>
    </row>
    <row r="27" spans="1:35" x14ac:dyDescent="0.35">
      <c r="A27" s="14">
        <f>(O5-O16)/O5</f>
        <v>9.9721575268203133E-2</v>
      </c>
      <c r="B27" s="14">
        <f>(O7-O18)/O7</f>
        <v>0.32316941751954681</v>
      </c>
      <c r="C27">
        <f>O7*B27/100000000000</f>
        <v>2417.0290846105599</v>
      </c>
      <c r="D27" s="8">
        <f>O32/1000*R35</f>
        <v>17772.618067248222</v>
      </c>
    </row>
    <row r="28" spans="1:35" x14ac:dyDescent="0.35">
      <c r="O28" s="6" t="s">
        <v>59</v>
      </c>
      <c r="P28" s="6"/>
      <c r="Q28" s="6"/>
      <c r="R28" s="6"/>
      <c r="S28" s="6"/>
      <c r="T28" s="6"/>
    </row>
    <row r="30" spans="1:35" x14ac:dyDescent="0.35">
      <c r="O30">
        <f>B27*O7</f>
        <v>241702908461056</v>
      </c>
      <c r="P30" t="s">
        <v>51</v>
      </c>
    </row>
    <row r="31" spans="1:35" x14ac:dyDescent="0.35">
      <c r="A31" t="s">
        <v>125</v>
      </c>
    </row>
    <row r="32" spans="1:35" x14ac:dyDescent="0.35">
      <c r="A32">
        <v>2017</v>
      </c>
      <c r="B32">
        <f>SUM(B5:B9)</f>
        <v>1407634415157248</v>
      </c>
      <c r="O32">
        <f>A27*O5</f>
        <v>60642690072576</v>
      </c>
      <c r="P32" t="s">
        <v>52</v>
      </c>
    </row>
    <row r="33" spans="1:19" x14ac:dyDescent="0.35">
      <c r="A33">
        <v>2030</v>
      </c>
      <c r="B33">
        <f>SUM(O16:O20)</f>
        <v>1063176930263040</v>
      </c>
      <c r="C33" t="s">
        <v>126</v>
      </c>
    </row>
    <row r="34" spans="1:19" x14ac:dyDescent="0.35">
      <c r="O34" t="s">
        <v>54</v>
      </c>
    </row>
    <row r="35" spans="1:19" x14ac:dyDescent="0.35">
      <c r="A35" t="s">
        <v>127</v>
      </c>
      <c r="B35">
        <f>(B32-B33)/B32</f>
        <v>0.24470663773571377</v>
      </c>
      <c r="O35">
        <v>1000</v>
      </c>
      <c r="P35" t="s">
        <v>55</v>
      </c>
      <c r="R35" s="10">
        <v>2.9307106999999998E-7</v>
      </c>
      <c r="S35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7"/>
  <sheetViews>
    <sheetView workbookViewId="0">
      <selection activeCell="C13" sqref="C13"/>
    </sheetView>
  </sheetViews>
  <sheetFormatPr defaultRowHeight="14.5" x14ac:dyDescent="0.35"/>
  <sheetData>
    <row r="1" spans="1:4" x14ac:dyDescent="0.35">
      <c r="A1" t="s">
        <v>149</v>
      </c>
      <c r="B1" t="s">
        <v>150</v>
      </c>
      <c r="C1" t="s">
        <v>151</v>
      </c>
      <c r="D1" t="s">
        <v>152</v>
      </c>
    </row>
    <row r="2" spans="1:4" x14ac:dyDescent="0.35">
      <c r="A2" t="s">
        <v>75</v>
      </c>
      <c r="B2">
        <v>0.05</v>
      </c>
      <c r="C2">
        <v>0.05</v>
      </c>
      <c r="D2">
        <v>0.05</v>
      </c>
    </row>
    <row r="3" spans="1:4" x14ac:dyDescent="0.35">
      <c r="A3" t="s">
        <v>78</v>
      </c>
      <c r="B3">
        <v>0.05</v>
      </c>
      <c r="C3">
        <v>0.05</v>
      </c>
      <c r="D3">
        <v>0.05</v>
      </c>
    </row>
    <row r="4" spans="1:4" x14ac:dyDescent="0.35">
      <c r="A4" t="s">
        <v>83</v>
      </c>
      <c r="B4">
        <v>0</v>
      </c>
      <c r="C4">
        <v>0</v>
      </c>
      <c r="D4">
        <v>0</v>
      </c>
    </row>
    <row r="5" spans="1:4" x14ac:dyDescent="0.35">
      <c r="A5" t="s">
        <v>87</v>
      </c>
      <c r="B5">
        <v>0</v>
      </c>
      <c r="C5">
        <v>0</v>
      </c>
      <c r="D5">
        <v>0.25</v>
      </c>
    </row>
    <row r="6" spans="1:4" x14ac:dyDescent="0.35">
      <c r="A6" t="s">
        <v>90</v>
      </c>
      <c r="B6">
        <v>0</v>
      </c>
      <c r="C6">
        <v>0</v>
      </c>
      <c r="D6">
        <v>0</v>
      </c>
    </row>
    <row r="7" spans="1:4" x14ac:dyDescent="0.35">
      <c r="A7" t="s">
        <v>105</v>
      </c>
      <c r="B7">
        <v>0</v>
      </c>
      <c r="C7">
        <v>0</v>
      </c>
      <c r="D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A2" workbookViewId="0">
      <selection activeCell="J45" sqref="J45"/>
    </sheetView>
  </sheetViews>
  <sheetFormatPr defaultRowHeight="14.5" x14ac:dyDescent="0.35"/>
  <sheetData>
    <row r="1" spans="1:9" x14ac:dyDescent="0.35">
      <c r="B1" s="12" t="s">
        <v>118</v>
      </c>
      <c r="C1" s="12"/>
      <c r="D1" s="12"/>
      <c r="E1" s="12"/>
      <c r="F1" s="13" t="s">
        <v>119</v>
      </c>
      <c r="G1" s="13"/>
      <c r="H1" s="13"/>
      <c r="I1" s="13"/>
    </row>
    <row r="2" spans="1:9" ht="58" x14ac:dyDescent="0.35">
      <c r="B2" t="s">
        <v>3</v>
      </c>
      <c r="C2" s="2" t="s">
        <v>4</v>
      </c>
      <c r="D2" s="2" t="s">
        <v>120</v>
      </c>
      <c r="E2" s="2" t="s">
        <v>121</v>
      </c>
      <c r="F2" t="s">
        <v>3</v>
      </c>
      <c r="G2" s="2" t="s">
        <v>4</v>
      </c>
      <c r="H2" s="2" t="s">
        <v>120</v>
      </c>
      <c r="I2" s="2" t="s">
        <v>121</v>
      </c>
    </row>
    <row r="3" spans="1:9" x14ac:dyDescent="0.35">
      <c r="A3" t="s">
        <v>23</v>
      </c>
      <c r="B3">
        <f>SUM('Calibrate utility prog effect'!B11:B14)</f>
        <v>58201</v>
      </c>
      <c r="C3">
        <f>SUM('Calibrate utility prog effect'!C11:C14)</f>
        <v>1453.5</v>
      </c>
      <c r="D3" s="14">
        <f>B3/'Calibrate utility prog effect'!$B$40</f>
        <v>0.23612294410230195</v>
      </c>
      <c r="E3" s="14">
        <f>C3/'Calibrate utility prog effect'!$C$40</f>
        <v>0.18255011587476572</v>
      </c>
      <c r="F3">
        <f>'Aggregate effect input data'!D27</f>
        <v>17772.618067248222</v>
      </c>
      <c r="G3">
        <f>'Aggregate effect input data'!C27</f>
        <v>2417.0290846105599</v>
      </c>
      <c r="H3" s="14">
        <f>'Aggregate effect input data'!A27</f>
        <v>9.9721575268203133E-2</v>
      </c>
      <c r="I3" s="14">
        <f>'Aggregate effect input data'!B27</f>
        <v>0.32316941751954681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3"/>
  <sheetViews>
    <sheetView workbookViewId="0">
      <selection activeCell="A53" sqref="A53:XFD55"/>
    </sheetView>
  </sheetViews>
  <sheetFormatPr defaultRowHeight="14.5" x14ac:dyDescent="0.35"/>
  <cols>
    <col min="2" max="2" width="22.26953125" customWidth="1"/>
    <col min="3" max="3" width="20" customWidth="1"/>
    <col min="4" max="4" width="19.90625" customWidth="1"/>
    <col min="5" max="5" width="15.453125" customWidth="1"/>
  </cols>
  <sheetData>
    <row r="2" spans="1:5" x14ac:dyDescent="0.35">
      <c r="B2" t="str">
        <f>'Calibrate utility prog effect'!B8</f>
        <v>Reductions by 2029 under SB 350 doubling target</v>
      </c>
    </row>
    <row r="3" spans="1:5" x14ac:dyDescent="0.35">
      <c r="D3" t="str">
        <f>'Calibrate utility prog effect'!D9</f>
        <v>As % of 2030 demand</v>
      </c>
    </row>
    <row r="4" spans="1:5" x14ac:dyDescent="0.35">
      <c r="B4" t="str">
        <f>'Calibrate utility prog effect'!B10</f>
        <v>Electricity GWh saved</v>
      </c>
      <c r="C4" t="str">
        <f>'Calibrate utility prog effect'!C10</f>
        <v>Natural gas Therms saved</v>
      </c>
      <c r="D4" t="str">
        <f>'Calibrate utility prog effect'!D10</f>
        <v>Electricity</v>
      </c>
      <c r="E4" t="str">
        <f>'Calibrate utility prog effect'!E10</f>
        <v>Natural gas</v>
      </c>
    </row>
    <row r="5" spans="1:5" x14ac:dyDescent="0.35">
      <c r="A5" t="str">
        <f>'Calibrate utility prog effect'!A11</f>
        <v>Codes/Standards</v>
      </c>
      <c r="B5">
        <f>'Calibrate utility prog effect'!B11</f>
        <v>23746</v>
      </c>
      <c r="C5">
        <f>'Calibrate utility prog effect'!C11</f>
        <v>617</v>
      </c>
      <c r="D5" s="14">
        <f>'Calibrate utility prog effect'!D11</f>
        <v>9.6338128737534792E-2</v>
      </c>
      <c r="E5" s="14">
        <f>'Calibrate utility prog effect'!E11</f>
        <v>7.7491174058982079E-2</v>
      </c>
    </row>
    <row r="6" spans="1:5" x14ac:dyDescent="0.35">
      <c r="A6" t="str">
        <f>'Calibrate utility prog effect'!A13</f>
        <v>Utility programs (adjusted)</v>
      </c>
      <c r="B6">
        <f>'Calibrate utility prog effect'!B13</f>
        <v>17809.5</v>
      </c>
      <c r="C6">
        <f>'Calibrate utility prog effect'!C13</f>
        <v>462.75</v>
      </c>
      <c r="D6" s="14">
        <f>'Calibrate utility prog effect'!D13</f>
        <v>7.2253596553151098E-2</v>
      </c>
      <c r="E6" s="14">
        <f>'Calibrate utility prog effect'!E13</f>
        <v>5.8118380544236556E-2</v>
      </c>
    </row>
    <row r="7" spans="1:5" x14ac:dyDescent="0.35">
      <c r="A7" t="str">
        <f>'Calibrate utility prog effect'!A14</f>
        <v>Financing (PACE+OB)</v>
      </c>
      <c r="B7">
        <f>'Calibrate utility prog effect'!B14</f>
        <v>16645.5</v>
      </c>
      <c r="C7">
        <f>'Calibrate utility prog effect'!C14</f>
        <v>373.75</v>
      </c>
      <c r="D7" s="14">
        <f>'Calibrate utility prog effect'!D14</f>
        <v>6.753121881161607E-2</v>
      </c>
      <c r="E7" s="14">
        <f>'Calibrate utility prog effect'!E14</f>
        <v>4.6940561271547082E-2</v>
      </c>
    </row>
    <row r="54" spans="1:3" x14ac:dyDescent="0.35">
      <c r="A54" t="s">
        <v>145</v>
      </c>
    </row>
    <row r="55" spans="1:3" x14ac:dyDescent="0.35">
      <c r="A55" t="s">
        <v>61</v>
      </c>
    </row>
    <row r="57" spans="1:3" x14ac:dyDescent="0.35">
      <c r="A57" t="s">
        <v>49</v>
      </c>
    </row>
    <row r="58" spans="1:3" x14ac:dyDescent="0.35">
      <c r="A58" t="s">
        <v>27</v>
      </c>
      <c r="B58">
        <v>9748</v>
      </c>
      <c r="C58">
        <v>188</v>
      </c>
    </row>
    <row r="59" spans="1:3" x14ac:dyDescent="0.35">
      <c r="A59" t="s">
        <v>28</v>
      </c>
      <c r="B59">
        <f>1/4*B62</f>
        <v>6897.5</v>
      </c>
      <c r="C59">
        <f>1/4*C62</f>
        <v>185.75</v>
      </c>
    </row>
    <row r="60" spans="1:3" x14ac:dyDescent="0.35">
      <c r="A60" t="s">
        <v>31</v>
      </c>
      <c r="B60">
        <f>SUM(B58:B59)</f>
        <v>16645.5</v>
      </c>
      <c r="C60">
        <f>SUM(C58:C59)</f>
        <v>373.75</v>
      </c>
    </row>
    <row r="62" spans="1:3" x14ac:dyDescent="0.35">
      <c r="A62" t="s">
        <v>29</v>
      </c>
      <c r="B62">
        <f>8540+19050</f>
        <v>27590</v>
      </c>
      <c r="C62">
        <f>7+736</f>
        <v>743</v>
      </c>
    </row>
    <row r="63" spans="1:3" x14ac:dyDescent="0.35">
      <c r="A63" t="s">
        <v>30</v>
      </c>
      <c r="B63">
        <f>3/4*B62</f>
        <v>20692.5</v>
      </c>
      <c r="C63">
        <f>3/4*C62</f>
        <v>557.25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A27" sqref="A27"/>
    </sheetView>
  </sheetViews>
  <sheetFormatPr defaultRowHeight="14.5" x14ac:dyDescent="0.35"/>
  <cols>
    <col min="1" max="1" width="47.08984375" bestFit="1" customWidth="1"/>
    <col min="2" max="2" width="11.81640625" bestFit="1" customWidth="1"/>
    <col min="15" max="15" width="11.81640625" bestFit="1" customWidth="1"/>
  </cols>
  <sheetData>
    <row r="1" spans="1:35" x14ac:dyDescent="0.35">
      <c r="A1" t="s">
        <v>48</v>
      </c>
    </row>
    <row r="2" spans="1:35" x14ac:dyDescent="0.35">
      <c r="A2" t="s">
        <v>33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35">
      <c r="A3" t="s">
        <v>34</v>
      </c>
      <c r="B3" t="s">
        <v>35</v>
      </c>
    </row>
    <row r="4" spans="1:35" x14ac:dyDescent="0.35">
      <c r="A4" t="s">
        <v>36</v>
      </c>
    </row>
    <row r="5" spans="1:35" x14ac:dyDescent="0.35">
      <c r="A5" t="s">
        <v>37</v>
      </c>
      <c r="B5">
        <v>643372880494592</v>
      </c>
      <c r="C5">
        <v>642949893324800</v>
      </c>
      <c r="D5">
        <v>642428927213568</v>
      </c>
      <c r="E5">
        <v>641780588478464</v>
      </c>
      <c r="F5">
        <v>640652488474624</v>
      </c>
      <c r="G5">
        <v>638912087195648</v>
      </c>
      <c r="H5">
        <v>636533816164352</v>
      </c>
      <c r="I5">
        <v>633532439330816</v>
      </c>
      <c r="J5">
        <v>629937954357248</v>
      </c>
      <c r="K5">
        <v>626581571633152</v>
      </c>
      <c r="L5">
        <v>622415386247168</v>
      </c>
      <c r="M5">
        <v>617887685410816</v>
      </c>
      <c r="N5">
        <v>613090341158912</v>
      </c>
      <c r="O5">
        <v>608120057364480</v>
      </c>
      <c r="P5">
        <v>603617522352128</v>
      </c>
      <c r="Q5">
        <v>599639107567616</v>
      </c>
      <c r="R5">
        <v>595969796210688</v>
      </c>
      <c r="S5">
        <v>592599589060608</v>
      </c>
      <c r="T5">
        <v>589413797068800</v>
      </c>
      <c r="U5">
        <v>586586030866432</v>
      </c>
      <c r="V5">
        <v>584187291631616</v>
      </c>
      <c r="W5">
        <v>582237779132416</v>
      </c>
      <c r="X5">
        <v>580766148853760</v>
      </c>
      <c r="Y5">
        <v>579667106988032</v>
      </c>
      <c r="Z5">
        <v>578934747955200</v>
      </c>
      <c r="AA5">
        <v>578676043284480</v>
      </c>
      <c r="AB5">
        <v>578922131488768</v>
      </c>
      <c r="AC5">
        <v>579715089825792</v>
      </c>
      <c r="AD5">
        <v>580960227688448</v>
      </c>
      <c r="AE5">
        <v>582434005450752</v>
      </c>
      <c r="AF5">
        <v>584055489822720</v>
      </c>
      <c r="AG5">
        <v>585794280488960</v>
      </c>
      <c r="AH5">
        <v>587661785956352</v>
      </c>
      <c r="AI5">
        <v>589627874344960</v>
      </c>
    </row>
    <row r="6" spans="1:35" x14ac:dyDescent="0.35">
      <c r="A6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39</v>
      </c>
      <c r="B7">
        <v>746993328586752</v>
      </c>
      <c r="C7">
        <v>747653746917376</v>
      </c>
      <c r="D7">
        <v>748371744653312</v>
      </c>
      <c r="E7">
        <v>749109807939584</v>
      </c>
      <c r="F7">
        <v>749749221195776</v>
      </c>
      <c r="G7">
        <v>750192005480448</v>
      </c>
      <c r="H7">
        <v>750428027355136</v>
      </c>
      <c r="I7">
        <v>750522113982464</v>
      </c>
      <c r="J7">
        <v>750414605582336</v>
      </c>
      <c r="K7">
        <v>750176436224000</v>
      </c>
      <c r="L7">
        <v>749802102980608</v>
      </c>
      <c r="M7">
        <v>749291001872384</v>
      </c>
      <c r="N7">
        <v>748637629972480</v>
      </c>
      <c r="O7">
        <v>747913927983104</v>
      </c>
      <c r="P7">
        <v>747015071858688</v>
      </c>
      <c r="Q7">
        <v>746170372587520</v>
      </c>
      <c r="R7">
        <v>745407411912704</v>
      </c>
      <c r="S7">
        <v>744660423147520</v>
      </c>
      <c r="T7">
        <v>744095769165824</v>
      </c>
      <c r="U7">
        <v>743252009418752</v>
      </c>
      <c r="V7">
        <v>742579243057152</v>
      </c>
      <c r="W7">
        <v>742088744370176</v>
      </c>
      <c r="X7">
        <v>741799035404288</v>
      </c>
      <c r="Y7">
        <v>741766621822976</v>
      </c>
      <c r="Z7">
        <v>742006871556096</v>
      </c>
      <c r="AA7">
        <v>742537702670336</v>
      </c>
      <c r="AB7">
        <v>743367168229376</v>
      </c>
      <c r="AC7">
        <v>744403933069312</v>
      </c>
      <c r="AD7">
        <v>745799730331648</v>
      </c>
      <c r="AE7">
        <v>747411551027200</v>
      </c>
      <c r="AF7">
        <v>749169333501952</v>
      </c>
      <c r="AG7">
        <v>751150991147008</v>
      </c>
      <c r="AH7">
        <v>753291159928832</v>
      </c>
      <c r="AI7">
        <v>755589101649920</v>
      </c>
    </row>
    <row r="8" spans="1:35" x14ac:dyDescent="0.35">
      <c r="A8" t="s">
        <v>40</v>
      </c>
      <c r="B8">
        <v>1924851695616</v>
      </c>
      <c r="C8">
        <v>1921703346176</v>
      </c>
      <c r="D8">
        <v>1918554996736</v>
      </c>
      <c r="E8">
        <v>1915406647296</v>
      </c>
      <c r="F8">
        <v>1913298223104</v>
      </c>
      <c r="G8">
        <v>1912294998016</v>
      </c>
      <c r="H8">
        <v>1912331567104</v>
      </c>
      <c r="I8">
        <v>1913473335296</v>
      </c>
      <c r="J8">
        <v>1915719909376</v>
      </c>
      <c r="K8">
        <v>1919006670848</v>
      </c>
      <c r="L8">
        <v>1923398238208</v>
      </c>
      <c r="M8">
        <v>1928829992960</v>
      </c>
      <c r="N8">
        <v>1935301541888</v>
      </c>
      <c r="O8">
        <v>1942748266496</v>
      </c>
      <c r="P8">
        <v>1951234916352</v>
      </c>
      <c r="Q8">
        <v>1963909840896</v>
      </c>
      <c r="R8">
        <v>1977624952832</v>
      </c>
      <c r="S8">
        <v>1992379858944</v>
      </c>
      <c r="T8">
        <v>2008109940736</v>
      </c>
      <c r="U8">
        <v>2023709999104</v>
      </c>
      <c r="V8">
        <v>2039179902976</v>
      </c>
      <c r="W8">
        <v>2054520045568</v>
      </c>
      <c r="X8">
        <v>2069664890880</v>
      </c>
      <c r="Y8">
        <v>2084549951488</v>
      </c>
      <c r="Z8">
        <v>2099305119744</v>
      </c>
      <c r="AA8">
        <v>2113800110080</v>
      </c>
      <c r="AB8">
        <v>2128035184640</v>
      </c>
      <c r="AC8">
        <v>2142075092992</v>
      </c>
      <c r="AD8">
        <v>2155920097280</v>
      </c>
      <c r="AE8">
        <v>2169505054720</v>
      </c>
      <c r="AF8">
        <v>2182765084672</v>
      </c>
      <c r="AG8">
        <v>2195764936704</v>
      </c>
      <c r="AH8">
        <v>2208439992320</v>
      </c>
      <c r="AI8">
        <v>2220854870016</v>
      </c>
    </row>
    <row r="9" spans="1:35" x14ac:dyDescent="0.35">
      <c r="A9" t="s">
        <v>41</v>
      </c>
      <c r="B9">
        <v>15343354380288</v>
      </c>
      <c r="C9">
        <v>15419384528896</v>
      </c>
      <c r="D9">
        <v>15540811726848</v>
      </c>
      <c r="E9">
        <v>15706749927424</v>
      </c>
      <c r="F9">
        <v>15917200179200</v>
      </c>
      <c r="G9">
        <v>16172214910976</v>
      </c>
      <c r="H9">
        <v>16472104501248</v>
      </c>
      <c r="I9">
        <v>16817027284992</v>
      </c>
      <c r="J9">
        <v>17209634062336</v>
      </c>
      <c r="K9">
        <v>17650495258624</v>
      </c>
      <c r="L9">
        <v>18139926495232</v>
      </c>
      <c r="M9">
        <v>18678756147200</v>
      </c>
      <c r="N9">
        <v>19266986311680</v>
      </c>
      <c r="O9">
        <v>19904616988672</v>
      </c>
      <c r="P9">
        <v>20542247665664</v>
      </c>
      <c r="Q9">
        <v>21196699598848</v>
      </c>
      <c r="R9">
        <v>21851153629184</v>
      </c>
      <c r="S9">
        <v>22505607659520</v>
      </c>
      <c r="T9">
        <v>23160061689856</v>
      </c>
      <c r="U9">
        <v>23767837310976</v>
      </c>
      <c r="V9">
        <v>24329437839360</v>
      </c>
      <c r="W9">
        <v>24845643415552</v>
      </c>
      <c r="X9">
        <v>25317334843392</v>
      </c>
      <c r="Y9">
        <v>25744516317184</v>
      </c>
      <c r="Z9">
        <v>26127131213824</v>
      </c>
      <c r="AA9">
        <v>26464871251968</v>
      </c>
      <c r="AB9">
        <v>26757579145216</v>
      </c>
      <c r="AC9">
        <v>27002604093440</v>
      </c>
      <c r="AD9">
        <v>27199369379840</v>
      </c>
      <c r="AE9">
        <v>27347570917376</v>
      </c>
      <c r="AF9">
        <v>27446371942400</v>
      </c>
      <c r="AG9">
        <v>27495772454912</v>
      </c>
      <c r="AH9">
        <v>27495772454912</v>
      </c>
      <c r="AI9">
        <v>27495772454912</v>
      </c>
    </row>
    <row r="10" spans="1:35" x14ac:dyDescent="0.35">
      <c r="A10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2" spans="1:35" x14ac:dyDescent="0.35">
      <c r="A12" t="s">
        <v>69</v>
      </c>
    </row>
    <row r="13" spans="1:35" x14ac:dyDescent="0.35">
      <c r="A13" t="s">
        <v>33</v>
      </c>
      <c r="B13">
        <v>2017</v>
      </c>
      <c r="C13">
        <v>2018</v>
      </c>
      <c r="D13">
        <v>2019</v>
      </c>
      <c r="E13">
        <v>2020</v>
      </c>
      <c r="F13">
        <v>2021</v>
      </c>
      <c r="G13">
        <v>2022</v>
      </c>
      <c r="H13">
        <v>2023</v>
      </c>
      <c r="I13">
        <v>2024</v>
      </c>
      <c r="J13">
        <v>2025</v>
      </c>
      <c r="K13">
        <v>2026</v>
      </c>
      <c r="L13">
        <v>2027</v>
      </c>
      <c r="M13">
        <v>2028</v>
      </c>
      <c r="N13">
        <v>2029</v>
      </c>
      <c r="O13">
        <v>2030</v>
      </c>
      <c r="P13">
        <v>2031</v>
      </c>
      <c r="Q13">
        <v>2032</v>
      </c>
      <c r="R13">
        <v>2033</v>
      </c>
      <c r="S13">
        <v>2034</v>
      </c>
      <c r="T13">
        <v>2035</v>
      </c>
      <c r="U13">
        <v>2036</v>
      </c>
      <c r="V13">
        <v>2037</v>
      </c>
      <c r="W13">
        <v>2038</v>
      </c>
      <c r="X13">
        <v>2039</v>
      </c>
      <c r="Y13">
        <v>2040</v>
      </c>
      <c r="Z13">
        <v>2041</v>
      </c>
      <c r="AA13">
        <v>2042</v>
      </c>
      <c r="AB13">
        <v>2043</v>
      </c>
      <c r="AC13">
        <v>2044</v>
      </c>
      <c r="AD13">
        <v>2045</v>
      </c>
      <c r="AE13">
        <v>2046</v>
      </c>
      <c r="AF13">
        <v>2047</v>
      </c>
      <c r="AG13">
        <v>2048</v>
      </c>
      <c r="AH13">
        <v>2049</v>
      </c>
      <c r="AI13">
        <v>2050</v>
      </c>
    </row>
    <row r="14" spans="1:35" x14ac:dyDescent="0.35">
      <c r="A14" t="s">
        <v>34</v>
      </c>
      <c r="B14" t="s">
        <v>35</v>
      </c>
    </row>
    <row r="15" spans="1:35" x14ac:dyDescent="0.35">
      <c r="A15" t="s">
        <v>36</v>
      </c>
    </row>
    <row r="16" spans="1:35" x14ac:dyDescent="0.35">
      <c r="A16" t="s">
        <v>37</v>
      </c>
      <c r="B16">
        <v>643372880494592</v>
      </c>
      <c r="C16">
        <v>642949893324800</v>
      </c>
      <c r="D16">
        <v>637479245840384</v>
      </c>
      <c r="E16">
        <v>631532259639296</v>
      </c>
      <c r="F16">
        <v>624505760251904</v>
      </c>
      <c r="G16">
        <v>616319888130048</v>
      </c>
      <c r="H16">
        <v>607233951924224</v>
      </c>
      <c r="I16">
        <v>597191848624128</v>
      </c>
      <c r="J16">
        <v>585396526252032</v>
      </c>
      <c r="K16">
        <v>572559405875200</v>
      </c>
      <c r="L16">
        <v>559485558980608</v>
      </c>
      <c r="M16">
        <v>547414553395200</v>
      </c>
      <c r="N16">
        <v>534685646061568</v>
      </c>
      <c r="O16">
        <v>521609249030144</v>
      </c>
      <c r="P16">
        <v>508822158311424</v>
      </c>
      <c r="Q16">
        <v>496782089912320</v>
      </c>
      <c r="R16">
        <v>484892580249600</v>
      </c>
      <c r="S16">
        <v>475903784124416</v>
      </c>
      <c r="T16">
        <v>467687008370688</v>
      </c>
      <c r="U16">
        <v>459963549876224</v>
      </c>
      <c r="V16">
        <v>453534990467072</v>
      </c>
      <c r="W16">
        <v>447065024888832</v>
      </c>
      <c r="X16">
        <v>441872610754560</v>
      </c>
      <c r="Y16">
        <v>436721737007104</v>
      </c>
      <c r="Z16">
        <v>432214470819840</v>
      </c>
      <c r="AA16">
        <v>428381447389184</v>
      </c>
      <c r="AB16">
        <v>424921247252480</v>
      </c>
      <c r="AC16">
        <v>422040666374144</v>
      </c>
      <c r="AD16">
        <v>419770239287296</v>
      </c>
      <c r="AE16">
        <v>417577255829504</v>
      </c>
      <c r="AF16">
        <v>415589726158848</v>
      </c>
      <c r="AG16">
        <v>413530289340416</v>
      </c>
      <c r="AH16">
        <v>411573864628224</v>
      </c>
      <c r="AI16">
        <v>409551941664768</v>
      </c>
    </row>
    <row r="17" spans="1:35" x14ac:dyDescent="0.35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35">
      <c r="A18" t="s">
        <v>39</v>
      </c>
      <c r="B18">
        <v>746993328586752</v>
      </c>
      <c r="C18">
        <v>747653746917376</v>
      </c>
      <c r="D18">
        <v>747551338790912</v>
      </c>
      <c r="E18">
        <v>746931991085056</v>
      </c>
      <c r="F18">
        <v>745673028796416</v>
      </c>
      <c r="G18">
        <v>743676137439232</v>
      </c>
      <c r="H18">
        <v>740928096567296</v>
      </c>
      <c r="I18">
        <v>737487425110016</v>
      </c>
      <c r="J18">
        <v>733291242061824</v>
      </c>
      <c r="K18">
        <v>728400482271232</v>
      </c>
      <c r="L18">
        <v>722802931924992</v>
      </c>
      <c r="M18">
        <v>716490001088512</v>
      </c>
      <c r="N18">
        <v>709448402206720</v>
      </c>
      <c r="O18">
        <v>701733500092416</v>
      </c>
      <c r="P18">
        <v>693806332641280</v>
      </c>
      <c r="Q18">
        <v>685885607641088</v>
      </c>
      <c r="R18">
        <v>678171242397696</v>
      </c>
      <c r="S18">
        <v>670947510059008</v>
      </c>
      <c r="T18">
        <v>664050463670272</v>
      </c>
      <c r="U18">
        <v>657018595573760</v>
      </c>
      <c r="V18">
        <v>650302608900096</v>
      </c>
      <c r="W18">
        <v>644131210657792</v>
      </c>
      <c r="X18">
        <v>638534666944512</v>
      </c>
      <c r="Y18">
        <v>633568946552832</v>
      </c>
      <c r="Z18">
        <v>629255054557184</v>
      </c>
      <c r="AA18">
        <v>625614130249728</v>
      </c>
      <c r="AB18">
        <v>622657850572800</v>
      </c>
      <c r="AC18">
        <v>620306423087104</v>
      </c>
      <c r="AD18">
        <v>618494752194560</v>
      </c>
      <c r="AE18">
        <v>617081305300992</v>
      </c>
      <c r="AF18">
        <v>616005415993344</v>
      </c>
      <c r="AG18">
        <v>615338286776320</v>
      </c>
      <c r="AH18">
        <v>615021130285056</v>
      </c>
      <c r="AI18">
        <v>614817589100544</v>
      </c>
    </row>
    <row r="19" spans="1:35" x14ac:dyDescent="0.35">
      <c r="A19" t="s">
        <v>40</v>
      </c>
      <c r="B19">
        <v>1924851695616</v>
      </c>
      <c r="C19">
        <v>1921703346176</v>
      </c>
      <c r="D19">
        <v>1901584711680</v>
      </c>
      <c r="E19">
        <v>1880533893120</v>
      </c>
      <c r="F19">
        <v>1859423174656</v>
      </c>
      <c r="G19">
        <v>1838280212480</v>
      </c>
      <c r="H19">
        <v>1817022562304</v>
      </c>
      <c r="I19">
        <v>1795675914240</v>
      </c>
      <c r="J19">
        <v>1774211432448</v>
      </c>
      <c r="K19">
        <v>1752547328000</v>
      </c>
      <c r="L19">
        <v>1730706800640</v>
      </c>
      <c r="M19">
        <v>1708608716800</v>
      </c>
      <c r="N19">
        <v>1686223716352</v>
      </c>
      <c r="O19">
        <v>1663471845376</v>
      </c>
      <c r="P19">
        <v>1641529212928</v>
      </c>
      <c r="Q19">
        <v>1623543775232</v>
      </c>
      <c r="R19">
        <v>1606367576064</v>
      </c>
      <c r="S19">
        <v>1606970507264</v>
      </c>
      <c r="T19">
        <v>1609264136192</v>
      </c>
      <c r="U19">
        <v>1612325584896</v>
      </c>
      <c r="V19">
        <v>1616177659904</v>
      </c>
      <c r="W19">
        <v>1620852473856</v>
      </c>
      <c r="X19">
        <v>1626324205568</v>
      </c>
      <c r="Y19">
        <v>1632570966016</v>
      </c>
      <c r="Z19">
        <v>1639725400064</v>
      </c>
      <c r="AA19">
        <v>1647713583104</v>
      </c>
      <c r="AB19">
        <v>1656566185984</v>
      </c>
      <c r="AC19">
        <v>1666362900480</v>
      </c>
      <c r="AD19">
        <v>1677133217792</v>
      </c>
      <c r="AE19">
        <v>1687701291008</v>
      </c>
      <c r="AF19">
        <v>1698016526336</v>
      </c>
      <c r="AG19">
        <v>1708129386496</v>
      </c>
      <c r="AH19">
        <v>1717989670912</v>
      </c>
      <c r="AI19">
        <v>1727647580160</v>
      </c>
    </row>
    <row r="20" spans="1:35" x14ac:dyDescent="0.35">
      <c r="A20" t="s">
        <v>41</v>
      </c>
      <c r="B20">
        <v>15343354380288</v>
      </c>
      <c r="C20">
        <v>15419384528896</v>
      </c>
      <c r="D20">
        <v>15384647303168</v>
      </c>
      <c r="E20">
        <v>15377151033344</v>
      </c>
      <c r="F20">
        <v>15394618212352</v>
      </c>
      <c r="G20">
        <v>15434697932800</v>
      </c>
      <c r="H20">
        <v>15495154630656</v>
      </c>
      <c r="I20">
        <v>15573467529216</v>
      </c>
      <c r="J20">
        <v>15669137506304</v>
      </c>
      <c r="K20">
        <v>15779622813696</v>
      </c>
      <c r="L20">
        <v>15902001070080</v>
      </c>
      <c r="M20">
        <v>16033607843840</v>
      </c>
      <c r="N20">
        <v>16170948231168</v>
      </c>
      <c r="O20">
        <v>16310389964800</v>
      </c>
      <c r="P20">
        <v>16444048801792</v>
      </c>
      <c r="Q20">
        <v>16589346832384</v>
      </c>
      <c r="R20">
        <v>16729381011456</v>
      </c>
      <c r="S20">
        <v>17039510994944</v>
      </c>
      <c r="T20">
        <v>17350125420544</v>
      </c>
      <c r="U20">
        <v>17614109671424</v>
      </c>
      <c r="V20">
        <v>17832117010432</v>
      </c>
      <c r="W20">
        <v>18006415507456</v>
      </c>
      <c r="X20">
        <v>18138791936000</v>
      </c>
      <c r="Y20">
        <v>18230181625856</v>
      </c>
      <c r="Z20">
        <v>18281522003968</v>
      </c>
      <c r="AA20">
        <v>18293551267840</v>
      </c>
      <c r="AB20">
        <v>18267217330176</v>
      </c>
      <c r="AC20">
        <v>18201115099136</v>
      </c>
      <c r="AD20">
        <v>18095947120640</v>
      </c>
      <c r="AE20">
        <v>17948653649920</v>
      </c>
      <c r="AF20">
        <v>17759576522752</v>
      </c>
      <c r="AG20">
        <v>17529911115776</v>
      </c>
      <c r="AH20">
        <v>17260913623040</v>
      </c>
      <c r="AI20">
        <v>16990496358400</v>
      </c>
    </row>
    <row r="21" spans="1:35" x14ac:dyDescent="0.35">
      <c r="A21" t="s">
        <v>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5" spans="1:35" x14ac:dyDescent="0.35">
      <c r="A25" t="s">
        <v>124</v>
      </c>
    </row>
    <row r="26" spans="1:35" ht="43.5" x14ac:dyDescent="0.35">
      <c r="A26" t="s">
        <v>45</v>
      </c>
      <c r="B26" t="s">
        <v>46</v>
      </c>
      <c r="C26" s="2" t="s">
        <v>53</v>
      </c>
      <c r="D26" t="s">
        <v>6</v>
      </c>
    </row>
    <row r="27" spans="1:35" x14ac:dyDescent="0.35">
      <c r="A27" s="14">
        <f>(O5-O16)/O5</f>
        <v>0.14225942276803621</v>
      </c>
      <c r="B27" s="14">
        <f>(O7-O18)/O7</f>
        <v>6.1745645003860997E-2</v>
      </c>
      <c r="C27">
        <f>O7*B27/100000000000</f>
        <v>461.80427890687997</v>
      </c>
      <c r="D27" s="8">
        <f>O32/1000*R35</f>
        <v>25353.815165108768</v>
      </c>
    </row>
    <row r="28" spans="1:35" x14ac:dyDescent="0.35">
      <c r="O28" s="6" t="s">
        <v>59</v>
      </c>
      <c r="P28" s="6"/>
      <c r="Q28" s="6"/>
      <c r="R28" s="6"/>
      <c r="S28" s="6"/>
      <c r="T28" s="6"/>
    </row>
    <row r="30" spans="1:35" x14ac:dyDescent="0.35">
      <c r="O30">
        <f>B27*O7</f>
        <v>46180427890688</v>
      </c>
      <c r="P30" t="s">
        <v>51</v>
      </c>
    </row>
    <row r="31" spans="1:35" x14ac:dyDescent="0.35">
      <c r="A31" t="s">
        <v>125</v>
      </c>
    </row>
    <row r="32" spans="1:35" x14ac:dyDescent="0.35">
      <c r="A32">
        <v>2017</v>
      </c>
      <c r="B32">
        <f>SUM(B5:B9)</f>
        <v>1407634415157248</v>
      </c>
      <c r="O32">
        <f>A27*O5</f>
        <v>86510808334336</v>
      </c>
      <c r="P32" t="s">
        <v>52</v>
      </c>
    </row>
    <row r="33" spans="1:19" x14ac:dyDescent="0.35">
      <c r="A33">
        <v>2030</v>
      </c>
      <c r="B33">
        <f>SUM(O16:O20)</f>
        <v>1241316610932736</v>
      </c>
      <c r="C33" t="s">
        <v>126</v>
      </c>
    </row>
    <row r="34" spans="1:19" x14ac:dyDescent="0.35">
      <c r="O34" t="s">
        <v>54</v>
      </c>
    </row>
    <row r="35" spans="1:19" x14ac:dyDescent="0.35">
      <c r="A35" t="s">
        <v>127</v>
      </c>
      <c r="B35">
        <f>(B32-B33)/B32</f>
        <v>0.11815411901955558</v>
      </c>
      <c r="O35">
        <v>1000</v>
      </c>
      <c r="P35" t="s">
        <v>55</v>
      </c>
      <c r="R35" s="10">
        <v>2.9307106999999998E-7</v>
      </c>
      <c r="S35" t="s">
        <v>56</v>
      </c>
    </row>
    <row r="39" spans="1:19" x14ac:dyDescent="0.35">
      <c r="B39" t="str">
        <f>'Aggregate effects '!B1</f>
        <v>SB 350 projected compliance result</v>
      </c>
    </row>
    <row r="40" spans="1:19" x14ac:dyDescent="0.35">
      <c r="B40" t="str">
        <f>'Aggregate effects '!B2</f>
        <v>Electricity GWh saved</v>
      </c>
      <c r="C40" t="str">
        <f>'Aggregate effects '!C2</f>
        <v>Natural gas Therms saved</v>
      </c>
      <c r="D40" t="str">
        <f>'Aggregate effects '!D2</f>
        <v>Electricity (% change)</v>
      </c>
      <c r="E40" t="str">
        <f>'Aggregate effects '!E2</f>
        <v>Natural gas (% change)</v>
      </c>
    </row>
    <row r="41" spans="1:19" x14ac:dyDescent="0.35">
      <c r="A41" t="str">
        <f>'Aggregate effects '!A3</f>
        <v>Total reductions</v>
      </c>
      <c r="B41">
        <f>'Aggregate effects '!B3</f>
        <v>58201</v>
      </c>
      <c r="C41">
        <f>'Aggregate effects '!C3</f>
        <v>1453.5</v>
      </c>
      <c r="D41">
        <f>'Aggregate effects '!D3</f>
        <v>0.23612294410230195</v>
      </c>
      <c r="E41">
        <f>'Aggregate effects '!E3</f>
        <v>0.18255011587476572</v>
      </c>
    </row>
    <row r="43" spans="1:19" x14ac:dyDescent="0.35">
      <c r="A43" t="s">
        <v>147</v>
      </c>
      <c r="B43">
        <v>841</v>
      </c>
      <c r="C43">
        <v>107.7</v>
      </c>
    </row>
    <row r="45" spans="1:19" x14ac:dyDescent="0.35">
      <c r="A45" t="s">
        <v>148</v>
      </c>
      <c r="B45">
        <f>B43/B41</f>
        <v>1.4449923540832632E-2</v>
      </c>
      <c r="C45">
        <f>C43/C41</f>
        <v>7.4097007223942205E-2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69"/>
  <sheetViews>
    <sheetView topLeftCell="A10" zoomScale="145" zoomScaleNormal="145" workbookViewId="0">
      <selection activeCell="B24" sqref="B24"/>
    </sheetView>
  </sheetViews>
  <sheetFormatPr defaultRowHeight="14.5" x14ac:dyDescent="0.35"/>
  <cols>
    <col min="1" max="1" width="24.81640625" customWidth="1"/>
    <col min="2" max="2" width="18.6328125" customWidth="1"/>
    <col min="3" max="3" width="13.1796875" customWidth="1"/>
    <col min="4" max="4" width="11.7265625" customWidth="1"/>
    <col min="5" max="5" width="12.36328125" customWidth="1"/>
    <col min="6" max="6" width="18.54296875" customWidth="1"/>
    <col min="9" max="9" width="16.6328125" customWidth="1"/>
    <col min="17" max="17" width="19.08984375" customWidth="1"/>
    <col min="18" max="18" width="18.54296875" bestFit="1" customWidth="1"/>
    <col min="19" max="19" width="17.08984375" customWidth="1"/>
  </cols>
  <sheetData>
    <row r="4" spans="1:10" x14ac:dyDescent="0.35">
      <c r="E4" s="4"/>
    </row>
    <row r="8" spans="1:10" ht="29" x14ac:dyDescent="0.35">
      <c r="B8" t="s">
        <v>22</v>
      </c>
      <c r="F8" s="5" t="s">
        <v>47</v>
      </c>
    </row>
    <row r="9" spans="1:10" x14ac:dyDescent="0.35">
      <c r="D9" t="s">
        <v>24</v>
      </c>
      <c r="F9" s="7"/>
      <c r="H9" t="s">
        <v>24</v>
      </c>
    </row>
    <row r="10" spans="1:10" ht="58" x14ac:dyDescent="0.35">
      <c r="B10" t="s">
        <v>3</v>
      </c>
      <c r="C10" s="2" t="s">
        <v>4</v>
      </c>
      <c r="D10" s="14" t="s">
        <v>0</v>
      </c>
      <c r="E10" s="14" t="s">
        <v>1</v>
      </c>
      <c r="F10" t="s">
        <v>3</v>
      </c>
      <c r="G10" s="2" t="s">
        <v>4</v>
      </c>
      <c r="H10" t="s">
        <v>0</v>
      </c>
      <c r="I10" t="s">
        <v>1</v>
      </c>
      <c r="J10" t="s">
        <v>122</v>
      </c>
    </row>
    <row r="11" spans="1:10" x14ac:dyDescent="0.35">
      <c r="A11" t="s">
        <v>2</v>
      </c>
      <c r="B11">
        <v>23746</v>
      </c>
      <c r="C11">
        <f>617</f>
        <v>617</v>
      </c>
      <c r="D11" s="14">
        <f>B11/$B$40</f>
        <v>9.6338128737534792E-2</v>
      </c>
      <c r="E11" s="14">
        <f>C11/$C$40</f>
        <v>7.7491174058982079E-2</v>
      </c>
      <c r="F11" s="8">
        <f>'EPS-codes standard impact'!R25</f>
        <v>16416.512788962045</v>
      </c>
      <c r="G11">
        <f>'EPS-codes standard impact'!Q25</f>
        <v>469.78754936832007</v>
      </c>
      <c r="H11" s="14">
        <f>'EPS-codes standard impact'!O25</f>
        <v>9.211251316668681E-2</v>
      </c>
      <c r="I11" s="14">
        <f>'EPS-codes standard impact'!P25</f>
        <v>6.2813049976912977E-2</v>
      </c>
    </row>
    <row r="12" spans="1:10" x14ac:dyDescent="0.35">
      <c r="A12" t="s">
        <v>50</v>
      </c>
      <c r="D12" s="14"/>
      <c r="E12" s="14"/>
      <c r="F12" s="9">
        <f>'EPS-electrification impact'!R25</f>
        <v>-19770.567810505621</v>
      </c>
      <c r="G12" s="8">
        <f>'EPS-electrification impact'!Q25</f>
        <v>1551.15495358464</v>
      </c>
      <c r="H12" s="14">
        <f>'EPS-electrification impact'!O25</f>
        <v>-0.11093200554642371</v>
      </c>
      <c r="I12" s="14">
        <f>'EPS-electrification impact'!P25</f>
        <v>0.20739752203407047</v>
      </c>
    </row>
    <row r="13" spans="1:10" x14ac:dyDescent="0.35">
      <c r="A13" t="s">
        <v>32</v>
      </c>
      <c r="B13">
        <f>3/4*B11</f>
        <v>17809.5</v>
      </c>
      <c r="C13">
        <f>3/4*C11</f>
        <v>462.75</v>
      </c>
      <c r="D13" s="14">
        <f>B13/$B$40</f>
        <v>7.2253596553151098E-2</v>
      </c>
      <c r="E13" s="14">
        <f>C13/$C$40</f>
        <v>5.8118380544236556E-2</v>
      </c>
      <c r="H13" s="14"/>
      <c r="I13" s="14"/>
    </row>
    <row r="14" spans="1:10" x14ac:dyDescent="0.35">
      <c r="A14" t="s">
        <v>25</v>
      </c>
      <c r="B14">
        <f>'CEC-CPUC additional expected EE'!B60</f>
        <v>16645.5</v>
      </c>
      <c r="C14">
        <f>'CEC-CPUC additional expected EE'!C60</f>
        <v>373.75</v>
      </c>
      <c r="D14" s="14">
        <f>B14/$B$40</f>
        <v>6.753121881161607E-2</v>
      </c>
      <c r="E14" s="14">
        <f>C14/$C$40</f>
        <v>4.6940561271547082E-2</v>
      </c>
      <c r="F14" s="9">
        <f>'EPS Retrofit impacts'!R25</f>
        <v>9235.16918648514</v>
      </c>
      <c r="G14" s="9">
        <f>'EPS Retrofit impacts'!Q25</f>
        <v>163.94427039743999</v>
      </c>
      <c r="H14" s="14">
        <f>'EPS Retrofit impacts'!O25</f>
        <v>5.1818230474541462E-2</v>
      </c>
      <c r="I14" s="14">
        <f>'EPS Retrofit impacts'!P25</f>
        <v>2.1920205556212564E-2</v>
      </c>
      <c r="J14" t="s">
        <v>123</v>
      </c>
    </row>
    <row r="15" spans="1:10" x14ac:dyDescent="0.35">
      <c r="F15" s="7"/>
    </row>
    <row r="16" spans="1:10" x14ac:dyDescent="0.35">
      <c r="F16" s="4"/>
    </row>
    <row r="19" spans="3:10" x14ac:dyDescent="0.35">
      <c r="C19" t="s">
        <v>62</v>
      </c>
    </row>
    <row r="20" spans="3:10" x14ac:dyDescent="0.35">
      <c r="C20" t="s">
        <v>63</v>
      </c>
      <c r="J20" s="8"/>
    </row>
    <row r="21" spans="3:10" x14ac:dyDescent="0.35">
      <c r="C21" t="s">
        <v>64</v>
      </c>
    </row>
    <row r="22" spans="3:10" x14ac:dyDescent="0.35">
      <c r="C22" t="s">
        <v>66</v>
      </c>
    </row>
    <row r="23" spans="3:10" x14ac:dyDescent="0.35">
      <c r="C23" t="s">
        <v>65</v>
      </c>
    </row>
    <row r="26" spans="3:10" x14ac:dyDescent="0.35">
      <c r="C26" s="8">
        <f>F11+F12+F14</f>
        <v>5881.114164941564</v>
      </c>
      <c r="D26" t="s">
        <v>67</v>
      </c>
    </row>
    <row r="27" spans="3:10" x14ac:dyDescent="0.35">
      <c r="C27" s="8">
        <f>'Aggregate effects '!B3-C26</f>
        <v>52319.885835058434</v>
      </c>
      <c r="D27" t="s">
        <v>68</v>
      </c>
    </row>
    <row r="36" spans="1:3" x14ac:dyDescent="0.35">
      <c r="B36" t="s">
        <v>9</v>
      </c>
    </row>
    <row r="37" spans="1:3" ht="29" x14ac:dyDescent="0.35">
      <c r="B37" t="s">
        <v>6</v>
      </c>
      <c r="C37" s="2" t="s">
        <v>10</v>
      </c>
    </row>
    <row r="38" spans="1:3" x14ac:dyDescent="0.35">
      <c r="A38" t="s">
        <v>5</v>
      </c>
      <c r="B38" s="1">
        <v>120409</v>
      </c>
      <c r="C38" s="1"/>
    </row>
    <row r="39" spans="1:3" x14ac:dyDescent="0.35">
      <c r="A39" t="s">
        <v>17</v>
      </c>
      <c r="B39" s="1">
        <v>126077</v>
      </c>
    </row>
    <row r="40" spans="1:3" x14ac:dyDescent="0.35">
      <c r="A40" t="s">
        <v>21</v>
      </c>
      <c r="B40" s="1">
        <f>SUM(B38:B39)</f>
        <v>246486</v>
      </c>
      <c r="C40">
        <f>$D$69</f>
        <v>7962.1970823460888</v>
      </c>
    </row>
    <row r="43" spans="1:3" x14ac:dyDescent="0.35">
      <c r="A43" t="s">
        <v>60</v>
      </c>
    </row>
    <row r="45" spans="1:3" x14ac:dyDescent="0.35">
      <c r="A45" t="s">
        <v>7</v>
      </c>
    </row>
    <row r="46" spans="1:3" x14ac:dyDescent="0.35">
      <c r="A46" t="s">
        <v>8</v>
      </c>
    </row>
    <row r="48" spans="1:3" x14ac:dyDescent="0.35">
      <c r="A48" t="s">
        <v>14</v>
      </c>
    </row>
    <row r="49" spans="1:5" x14ac:dyDescent="0.35">
      <c r="A49" t="s">
        <v>13</v>
      </c>
    </row>
    <row r="50" spans="1:5" x14ac:dyDescent="0.35">
      <c r="A50" t="s">
        <v>15</v>
      </c>
    </row>
    <row r="51" spans="1:5" x14ac:dyDescent="0.35">
      <c r="A51" t="s">
        <v>16</v>
      </c>
    </row>
    <row r="53" spans="1:5" x14ac:dyDescent="0.35">
      <c r="A53" t="s">
        <v>11</v>
      </c>
    </row>
    <row r="54" spans="1:5" x14ac:dyDescent="0.35">
      <c r="A54" t="s">
        <v>12</v>
      </c>
    </row>
    <row r="55" spans="1:5" ht="43.5" x14ac:dyDescent="0.35">
      <c r="C55" s="2" t="s">
        <v>18</v>
      </c>
      <c r="D55" t="s">
        <v>19</v>
      </c>
      <c r="E55" s="2" t="s">
        <v>20</v>
      </c>
    </row>
    <row r="56" spans="1:5" x14ac:dyDescent="0.35">
      <c r="A56">
        <v>2017</v>
      </c>
      <c r="C56">
        <v>746993328586752</v>
      </c>
      <c r="D56">
        <f>C56/100000000000</f>
        <v>7469.9332858675198</v>
      </c>
    </row>
    <row r="57" spans="1:5" x14ac:dyDescent="0.35">
      <c r="A57">
        <v>2018</v>
      </c>
      <c r="D57">
        <f>D56+E57*D56</f>
        <v>7532.6807254688065</v>
      </c>
      <c r="E57" s="3">
        <v>8.3999999999999995E-3</v>
      </c>
    </row>
    <row r="58" spans="1:5" x14ac:dyDescent="0.35">
      <c r="A58">
        <v>2019</v>
      </c>
      <c r="D58">
        <f t="shared" ref="D58:D69" si="0">D57+E58*D57</f>
        <v>7595.9552435627447</v>
      </c>
      <c r="E58" s="3">
        <v>8.3999999999999995E-3</v>
      </c>
    </row>
    <row r="59" spans="1:5" x14ac:dyDescent="0.35">
      <c r="A59">
        <v>2020</v>
      </c>
      <c r="D59">
        <f t="shared" si="0"/>
        <v>7659.7612676086719</v>
      </c>
      <c r="E59" s="3">
        <v>8.3999999999999995E-3</v>
      </c>
    </row>
    <row r="60" spans="1:5" x14ac:dyDescent="0.35">
      <c r="A60">
        <v>2021</v>
      </c>
      <c r="D60">
        <f t="shared" si="0"/>
        <v>7691.9322649326286</v>
      </c>
      <c r="E60" s="3">
        <v>4.1999999999999997E-3</v>
      </c>
    </row>
    <row r="61" spans="1:5" x14ac:dyDescent="0.35">
      <c r="A61">
        <f>A60+1</f>
        <v>2022</v>
      </c>
      <c r="D61">
        <f t="shared" si="0"/>
        <v>7724.2383804453457</v>
      </c>
      <c r="E61" s="3">
        <v>4.1999999999999997E-3</v>
      </c>
    </row>
    <row r="62" spans="1:5" x14ac:dyDescent="0.35">
      <c r="A62">
        <f t="shared" ref="A62:A69" si="1">A61+1</f>
        <v>2023</v>
      </c>
      <c r="D62">
        <f t="shared" si="0"/>
        <v>7756.6801816432162</v>
      </c>
      <c r="E62" s="3">
        <v>4.1999999999999997E-3</v>
      </c>
    </row>
    <row r="63" spans="1:5" x14ac:dyDescent="0.35">
      <c r="A63">
        <f t="shared" si="1"/>
        <v>2024</v>
      </c>
      <c r="D63">
        <f t="shared" si="0"/>
        <v>7789.2582384061179</v>
      </c>
      <c r="E63" s="3">
        <v>4.1999999999999997E-3</v>
      </c>
    </row>
    <row r="64" spans="1:5" x14ac:dyDescent="0.35">
      <c r="A64">
        <f t="shared" si="1"/>
        <v>2025</v>
      </c>
      <c r="D64">
        <f t="shared" si="0"/>
        <v>7821.973123007424</v>
      </c>
      <c r="E64" s="3">
        <v>4.1999999999999997E-3</v>
      </c>
    </row>
    <row r="65" spans="1:5" x14ac:dyDescent="0.35">
      <c r="A65">
        <f t="shared" si="1"/>
        <v>2026</v>
      </c>
      <c r="D65">
        <f t="shared" si="0"/>
        <v>7854.8254101240555</v>
      </c>
      <c r="E65" s="3">
        <v>4.1999999999999997E-3</v>
      </c>
    </row>
    <row r="66" spans="1:5" x14ac:dyDescent="0.35">
      <c r="A66">
        <f t="shared" si="1"/>
        <v>2027</v>
      </c>
      <c r="D66">
        <f t="shared" si="0"/>
        <v>7881.5318165184772</v>
      </c>
      <c r="E66" s="3">
        <v>3.3999999999999998E-3</v>
      </c>
    </row>
    <row r="67" spans="1:5" x14ac:dyDescent="0.35">
      <c r="A67">
        <f t="shared" si="1"/>
        <v>2028</v>
      </c>
      <c r="D67">
        <f t="shared" si="0"/>
        <v>7908.3290246946399</v>
      </c>
      <c r="E67" s="3">
        <v>3.3999999999999998E-3</v>
      </c>
    </row>
    <row r="68" spans="1:5" x14ac:dyDescent="0.35">
      <c r="A68">
        <f t="shared" si="1"/>
        <v>2029</v>
      </c>
      <c r="D68">
        <f t="shared" si="0"/>
        <v>7935.217343378602</v>
      </c>
      <c r="E68" s="3">
        <v>3.3999999999999998E-3</v>
      </c>
    </row>
    <row r="69" spans="1:5" x14ac:dyDescent="0.35">
      <c r="A69">
        <f t="shared" si="1"/>
        <v>2030</v>
      </c>
      <c r="D69">
        <f t="shared" si="0"/>
        <v>7962.1970823460888</v>
      </c>
      <c r="E69" s="3">
        <v>3.3999999999999998E-3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G39" sqref="G39"/>
    </sheetView>
  </sheetViews>
  <sheetFormatPr defaultRowHeight="14.5" x14ac:dyDescent="0.35"/>
  <sheetData>
    <row r="1" spans="1:4" x14ac:dyDescent="0.35">
      <c r="A1" t="s">
        <v>70</v>
      </c>
      <c r="B1" t="s">
        <v>71</v>
      </c>
      <c r="C1" t="s">
        <v>72</v>
      </c>
      <c r="D1" t="s">
        <v>73</v>
      </c>
    </row>
    <row r="3" spans="1:4" x14ac:dyDescent="0.35">
      <c r="A3" s="11" t="s">
        <v>74</v>
      </c>
      <c r="B3" s="11"/>
    </row>
    <row r="4" spans="1:4" x14ac:dyDescent="0.35">
      <c r="A4" t="s">
        <v>75</v>
      </c>
      <c r="B4" t="s">
        <v>76</v>
      </c>
      <c r="C4" t="s">
        <v>77</v>
      </c>
    </row>
    <row r="5" spans="1:4" x14ac:dyDescent="0.35">
      <c r="A5" t="s">
        <v>78</v>
      </c>
      <c r="B5" t="s">
        <v>79</v>
      </c>
      <c r="C5" t="s">
        <v>80</v>
      </c>
    </row>
    <row r="6" spans="1:4" x14ac:dyDescent="0.35">
      <c r="B6" t="s">
        <v>81</v>
      </c>
      <c r="C6" t="s">
        <v>82</v>
      </c>
    </row>
    <row r="7" spans="1:4" x14ac:dyDescent="0.35">
      <c r="A7" t="s">
        <v>83</v>
      </c>
      <c r="B7" t="s">
        <v>84</v>
      </c>
      <c r="C7" t="s">
        <v>85</v>
      </c>
      <c r="D7" t="s">
        <v>86</v>
      </c>
    </row>
    <row r="8" spans="1:4" x14ac:dyDescent="0.35">
      <c r="A8" t="s">
        <v>87</v>
      </c>
      <c r="B8" t="s">
        <v>88</v>
      </c>
      <c r="C8" t="s">
        <v>89</v>
      </c>
    </row>
    <row r="9" spans="1:4" x14ac:dyDescent="0.35">
      <c r="A9" t="s">
        <v>90</v>
      </c>
      <c r="B9" t="s">
        <v>91</v>
      </c>
      <c r="C9" t="s">
        <v>92</v>
      </c>
    </row>
    <row r="10" spans="1:4" x14ac:dyDescent="0.35">
      <c r="B10" t="s">
        <v>93</v>
      </c>
      <c r="C10" t="s">
        <v>94</v>
      </c>
    </row>
    <row r="11" spans="1:4" x14ac:dyDescent="0.35">
      <c r="B11" t="s">
        <v>95</v>
      </c>
      <c r="C11" t="s">
        <v>96</v>
      </c>
    </row>
    <row r="12" spans="1:4" x14ac:dyDescent="0.35">
      <c r="B12" t="s">
        <v>97</v>
      </c>
      <c r="C12" t="s">
        <v>98</v>
      </c>
    </row>
    <row r="13" spans="1:4" x14ac:dyDescent="0.35">
      <c r="B13" t="s">
        <v>99</v>
      </c>
      <c r="C13" t="s">
        <v>100</v>
      </c>
    </row>
    <row r="14" spans="1:4" x14ac:dyDescent="0.35">
      <c r="B14" t="s">
        <v>101</v>
      </c>
      <c r="C14" t="s">
        <v>102</v>
      </c>
    </row>
    <row r="15" spans="1:4" x14ac:dyDescent="0.35">
      <c r="B15" t="s">
        <v>103</v>
      </c>
      <c r="C15" t="s">
        <v>104</v>
      </c>
    </row>
    <row r="16" spans="1:4" x14ac:dyDescent="0.35">
      <c r="A16" t="s">
        <v>105</v>
      </c>
      <c r="B16" t="s">
        <v>106</v>
      </c>
      <c r="C16" t="s">
        <v>107</v>
      </c>
      <c r="D16" t="s">
        <v>108</v>
      </c>
    </row>
    <row r="20" spans="1:4" x14ac:dyDescent="0.35">
      <c r="A20" s="11" t="s">
        <v>109</v>
      </c>
      <c r="B20" s="11"/>
    </row>
    <row r="21" spans="1:4" x14ac:dyDescent="0.35">
      <c r="A21" t="s">
        <v>75</v>
      </c>
      <c r="B21" t="s">
        <v>76</v>
      </c>
      <c r="C21" t="s">
        <v>110</v>
      </c>
    </row>
    <row r="22" spans="1:4" x14ac:dyDescent="0.35">
      <c r="A22" t="s">
        <v>78</v>
      </c>
      <c r="B22" t="s">
        <v>111</v>
      </c>
      <c r="C22" t="s">
        <v>112</v>
      </c>
    </row>
    <row r="23" spans="1:4" x14ac:dyDescent="0.35">
      <c r="B23" t="s">
        <v>113</v>
      </c>
      <c r="C23" t="s">
        <v>114</v>
      </c>
    </row>
    <row r="24" spans="1:4" x14ac:dyDescent="0.35">
      <c r="A24" t="s">
        <v>83</v>
      </c>
      <c r="B24" t="s">
        <v>84</v>
      </c>
    </row>
    <row r="25" spans="1:4" x14ac:dyDescent="0.35">
      <c r="A25" t="s">
        <v>87</v>
      </c>
      <c r="B25" t="s">
        <v>87</v>
      </c>
      <c r="C25" t="s">
        <v>89</v>
      </c>
    </row>
    <row r="26" spans="1:4" x14ac:dyDescent="0.35">
      <c r="A26" t="s">
        <v>90</v>
      </c>
      <c r="B26" t="s">
        <v>91</v>
      </c>
      <c r="C26" t="s">
        <v>115</v>
      </c>
    </row>
    <row r="27" spans="1:4" x14ac:dyDescent="0.35">
      <c r="B27" t="s">
        <v>93</v>
      </c>
      <c r="C27" t="s">
        <v>94</v>
      </c>
    </row>
    <row r="28" spans="1:4" x14ac:dyDescent="0.35">
      <c r="B28" t="s">
        <v>103</v>
      </c>
      <c r="C28" t="s">
        <v>104</v>
      </c>
      <c r="D28" t="s">
        <v>116</v>
      </c>
    </row>
    <row r="29" spans="1:4" x14ac:dyDescent="0.35">
      <c r="A29" t="s">
        <v>105</v>
      </c>
      <c r="B29" t="s">
        <v>117</v>
      </c>
      <c r="C29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0"/>
  <sheetViews>
    <sheetView workbookViewId="0">
      <selection activeCell="F30" sqref="F30"/>
    </sheetView>
  </sheetViews>
  <sheetFormatPr defaultRowHeight="14.5" x14ac:dyDescent="0.35"/>
  <sheetData>
    <row r="2" spans="1:35" x14ac:dyDescent="0.35">
      <c r="A2" t="s">
        <v>33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35">
      <c r="A3" t="s">
        <v>34</v>
      </c>
      <c r="B3" t="s">
        <v>35</v>
      </c>
    </row>
    <row r="4" spans="1:35" x14ac:dyDescent="0.35">
      <c r="A4" t="s">
        <v>36</v>
      </c>
    </row>
    <row r="5" spans="1:35" x14ac:dyDescent="0.35">
      <c r="A5" t="s">
        <v>37</v>
      </c>
      <c r="B5">
        <v>643372880494592</v>
      </c>
      <c r="C5">
        <v>642949893324800</v>
      </c>
      <c r="D5">
        <v>642428927213568</v>
      </c>
      <c r="E5">
        <v>641780588478464</v>
      </c>
      <c r="F5">
        <v>640652488474624</v>
      </c>
      <c r="G5">
        <v>638912087195648</v>
      </c>
      <c r="H5">
        <v>636533816164352</v>
      </c>
      <c r="I5">
        <v>633532439330816</v>
      </c>
      <c r="J5">
        <v>629937954357248</v>
      </c>
      <c r="K5">
        <v>626581571633152</v>
      </c>
      <c r="L5">
        <v>622415386247168</v>
      </c>
      <c r="M5">
        <v>617887685410816</v>
      </c>
      <c r="N5">
        <v>613090341158912</v>
      </c>
      <c r="O5">
        <v>608120057364480</v>
      </c>
      <c r="P5">
        <v>603617522352128</v>
      </c>
      <c r="Q5">
        <v>599639107567616</v>
      </c>
      <c r="R5">
        <v>595969796210688</v>
      </c>
      <c r="S5">
        <v>592599589060608</v>
      </c>
      <c r="T5">
        <v>589413797068800</v>
      </c>
      <c r="U5">
        <v>586586030866432</v>
      </c>
      <c r="V5">
        <v>584187291631616</v>
      </c>
      <c r="W5">
        <v>582237779132416</v>
      </c>
      <c r="X5">
        <v>580766148853760</v>
      </c>
      <c r="Y5">
        <v>579667106988032</v>
      </c>
      <c r="Z5">
        <v>578934747955200</v>
      </c>
      <c r="AA5">
        <v>578676043284480</v>
      </c>
      <c r="AB5">
        <v>578922131488768</v>
      </c>
      <c r="AC5">
        <v>579715089825792</v>
      </c>
      <c r="AD5">
        <v>580960227688448</v>
      </c>
      <c r="AE5">
        <v>582434005450752</v>
      </c>
      <c r="AF5">
        <v>584055489822720</v>
      </c>
      <c r="AG5">
        <v>585794280488960</v>
      </c>
      <c r="AH5">
        <v>587661785956352</v>
      </c>
      <c r="AI5">
        <v>589627874344960</v>
      </c>
    </row>
    <row r="6" spans="1:35" x14ac:dyDescent="0.35">
      <c r="A6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39</v>
      </c>
      <c r="B7">
        <v>746993328586752</v>
      </c>
      <c r="C7">
        <v>747653746917376</v>
      </c>
      <c r="D7">
        <v>748371744653312</v>
      </c>
      <c r="E7">
        <v>749109807939584</v>
      </c>
      <c r="F7">
        <v>749749221195776</v>
      </c>
      <c r="G7">
        <v>750192005480448</v>
      </c>
      <c r="H7">
        <v>750428027355136</v>
      </c>
      <c r="I7">
        <v>750522113982464</v>
      </c>
      <c r="J7">
        <v>750414605582336</v>
      </c>
      <c r="K7">
        <v>750176436224000</v>
      </c>
      <c r="L7">
        <v>749802102980608</v>
      </c>
      <c r="M7">
        <v>749291001872384</v>
      </c>
      <c r="N7">
        <v>748637629972480</v>
      </c>
      <c r="O7">
        <v>747913927983104</v>
      </c>
      <c r="P7">
        <v>747015071858688</v>
      </c>
      <c r="Q7">
        <v>746170372587520</v>
      </c>
      <c r="R7">
        <v>745407411912704</v>
      </c>
      <c r="S7">
        <v>744660423147520</v>
      </c>
      <c r="T7">
        <v>744095769165824</v>
      </c>
      <c r="U7">
        <v>743252009418752</v>
      </c>
      <c r="V7">
        <v>742579243057152</v>
      </c>
      <c r="W7">
        <v>742088744370176</v>
      </c>
      <c r="X7">
        <v>741799035404288</v>
      </c>
      <c r="Y7">
        <v>741766621822976</v>
      </c>
      <c r="Z7">
        <v>742006871556096</v>
      </c>
      <c r="AA7">
        <v>742537702670336</v>
      </c>
      <c r="AB7">
        <v>743367168229376</v>
      </c>
      <c r="AC7">
        <v>744403933069312</v>
      </c>
      <c r="AD7">
        <v>745799730331648</v>
      </c>
      <c r="AE7">
        <v>747411551027200</v>
      </c>
      <c r="AF7">
        <v>749169333501952</v>
      </c>
      <c r="AG7">
        <v>751150991147008</v>
      </c>
      <c r="AH7">
        <v>753291159928832</v>
      </c>
      <c r="AI7">
        <v>755589101649920</v>
      </c>
    </row>
    <row r="8" spans="1:35" x14ac:dyDescent="0.35">
      <c r="A8" t="s">
        <v>40</v>
      </c>
      <c r="B8">
        <v>1924851695616</v>
      </c>
      <c r="C8">
        <v>1921703346176</v>
      </c>
      <c r="D8">
        <v>1918554996736</v>
      </c>
      <c r="E8">
        <v>1915406647296</v>
      </c>
      <c r="F8">
        <v>1913298223104</v>
      </c>
      <c r="G8">
        <v>1912294998016</v>
      </c>
      <c r="H8">
        <v>1912331567104</v>
      </c>
      <c r="I8">
        <v>1913473335296</v>
      </c>
      <c r="J8">
        <v>1915719909376</v>
      </c>
      <c r="K8">
        <v>1919006670848</v>
      </c>
      <c r="L8">
        <v>1923398238208</v>
      </c>
      <c r="M8">
        <v>1928829992960</v>
      </c>
      <c r="N8">
        <v>1935301541888</v>
      </c>
      <c r="O8">
        <v>1942748266496</v>
      </c>
      <c r="P8">
        <v>1951234916352</v>
      </c>
      <c r="Q8">
        <v>1963909840896</v>
      </c>
      <c r="R8">
        <v>1977624952832</v>
      </c>
      <c r="S8">
        <v>1992379858944</v>
      </c>
      <c r="T8">
        <v>2008109940736</v>
      </c>
      <c r="U8">
        <v>2023709999104</v>
      </c>
      <c r="V8">
        <v>2039179902976</v>
      </c>
      <c r="W8">
        <v>2054520045568</v>
      </c>
      <c r="X8">
        <v>2069664890880</v>
      </c>
      <c r="Y8">
        <v>2084549951488</v>
      </c>
      <c r="Z8">
        <v>2099305119744</v>
      </c>
      <c r="AA8">
        <v>2113800110080</v>
      </c>
      <c r="AB8">
        <v>2128035184640</v>
      </c>
      <c r="AC8">
        <v>2142075092992</v>
      </c>
      <c r="AD8">
        <v>2155920097280</v>
      </c>
      <c r="AE8">
        <v>2169505054720</v>
      </c>
      <c r="AF8">
        <v>2182765084672</v>
      </c>
      <c r="AG8">
        <v>2195764936704</v>
      </c>
      <c r="AH8">
        <v>2208439992320</v>
      </c>
      <c r="AI8">
        <v>2220854870016</v>
      </c>
    </row>
    <row r="9" spans="1:35" x14ac:dyDescent="0.35">
      <c r="A9" t="s">
        <v>41</v>
      </c>
      <c r="B9">
        <v>15343354380288</v>
      </c>
      <c r="C9">
        <v>15419384528896</v>
      </c>
      <c r="D9">
        <v>15540811726848</v>
      </c>
      <c r="E9">
        <v>15706749927424</v>
      </c>
      <c r="F9">
        <v>15917200179200</v>
      </c>
      <c r="G9">
        <v>16172214910976</v>
      </c>
      <c r="H9">
        <v>16472104501248</v>
      </c>
      <c r="I9">
        <v>16817027284992</v>
      </c>
      <c r="J9">
        <v>17209634062336</v>
      </c>
      <c r="K9">
        <v>17650495258624</v>
      </c>
      <c r="L9">
        <v>18139926495232</v>
      </c>
      <c r="M9">
        <v>18678756147200</v>
      </c>
      <c r="N9">
        <v>19266986311680</v>
      </c>
      <c r="O9">
        <v>19904616988672</v>
      </c>
      <c r="P9">
        <v>20542247665664</v>
      </c>
      <c r="Q9">
        <v>21196699598848</v>
      </c>
      <c r="R9">
        <v>21851153629184</v>
      </c>
      <c r="S9">
        <v>22505607659520</v>
      </c>
      <c r="T9">
        <v>23160061689856</v>
      </c>
      <c r="U9">
        <v>23767837310976</v>
      </c>
      <c r="V9">
        <v>24329437839360</v>
      </c>
      <c r="W9">
        <v>24845643415552</v>
      </c>
      <c r="X9">
        <v>25317334843392</v>
      </c>
      <c r="Y9">
        <v>25744516317184</v>
      </c>
      <c r="Z9">
        <v>26127131213824</v>
      </c>
      <c r="AA9">
        <v>26464871251968</v>
      </c>
      <c r="AB9">
        <v>26757579145216</v>
      </c>
      <c r="AC9">
        <v>27002604093440</v>
      </c>
      <c r="AD9">
        <v>27199369379840</v>
      </c>
      <c r="AE9">
        <v>27347570917376</v>
      </c>
      <c r="AF9">
        <v>27446371942400</v>
      </c>
      <c r="AG9">
        <v>27495772454912</v>
      </c>
      <c r="AH9">
        <v>27495772454912</v>
      </c>
      <c r="AI9">
        <v>27495772454912</v>
      </c>
    </row>
    <row r="10" spans="1:35" x14ac:dyDescent="0.35">
      <c r="A10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workbookViewId="0">
      <selection activeCell="M17" sqref="M17"/>
    </sheetView>
  </sheetViews>
  <sheetFormatPr defaultRowHeight="14.5" x14ac:dyDescent="0.35"/>
  <cols>
    <col min="15" max="15" width="11.81640625" bestFit="1" customWidth="1"/>
  </cols>
  <sheetData>
    <row r="1" spans="1:35" x14ac:dyDescent="0.35">
      <c r="A1" t="s">
        <v>48</v>
      </c>
    </row>
    <row r="2" spans="1:35" x14ac:dyDescent="0.35">
      <c r="A2" t="s">
        <v>33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35">
      <c r="A3" t="s">
        <v>34</v>
      </c>
      <c r="B3" t="s">
        <v>35</v>
      </c>
    </row>
    <row r="4" spans="1:35" x14ac:dyDescent="0.35">
      <c r="A4" t="s">
        <v>36</v>
      </c>
    </row>
    <row r="5" spans="1:35" x14ac:dyDescent="0.35">
      <c r="A5" t="s">
        <v>37</v>
      </c>
      <c r="B5">
        <v>643372880494592</v>
      </c>
      <c r="C5">
        <v>642949893324800</v>
      </c>
      <c r="D5">
        <v>642428927213568</v>
      </c>
      <c r="E5">
        <v>641780588478464</v>
      </c>
      <c r="F5">
        <v>640652488474624</v>
      </c>
      <c r="G5">
        <v>638912087195648</v>
      </c>
      <c r="H5">
        <v>636533816164352</v>
      </c>
      <c r="I5">
        <v>633532439330816</v>
      </c>
      <c r="J5">
        <v>629937954357248</v>
      </c>
      <c r="K5">
        <v>626581571633152</v>
      </c>
      <c r="L5">
        <v>622415386247168</v>
      </c>
      <c r="M5">
        <v>617887685410816</v>
      </c>
      <c r="N5">
        <v>613090341158912</v>
      </c>
      <c r="O5">
        <v>608120057364480</v>
      </c>
      <c r="P5">
        <v>603617522352128</v>
      </c>
      <c r="Q5">
        <v>599639107567616</v>
      </c>
      <c r="R5">
        <v>595969796210688</v>
      </c>
      <c r="S5">
        <v>592599589060608</v>
      </c>
      <c r="T5">
        <v>589413797068800</v>
      </c>
      <c r="U5">
        <v>586586030866432</v>
      </c>
      <c r="V5">
        <v>584187291631616</v>
      </c>
      <c r="W5">
        <v>582237779132416</v>
      </c>
      <c r="X5">
        <v>580766148853760</v>
      </c>
      <c r="Y5">
        <v>579667106988032</v>
      </c>
      <c r="Z5">
        <v>578934747955200</v>
      </c>
      <c r="AA5">
        <v>578676043284480</v>
      </c>
      <c r="AB5">
        <v>578922131488768</v>
      </c>
      <c r="AC5">
        <v>579715089825792</v>
      </c>
      <c r="AD5">
        <v>580960227688448</v>
      </c>
      <c r="AE5">
        <v>582434005450752</v>
      </c>
      <c r="AF5">
        <v>584055489822720</v>
      </c>
      <c r="AG5">
        <v>585794280488960</v>
      </c>
      <c r="AH5">
        <v>587661785956352</v>
      </c>
      <c r="AI5">
        <v>589627874344960</v>
      </c>
    </row>
    <row r="6" spans="1:35" x14ac:dyDescent="0.35">
      <c r="A6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39</v>
      </c>
      <c r="B7">
        <v>746993328586752</v>
      </c>
      <c r="C7">
        <v>747653746917376</v>
      </c>
      <c r="D7">
        <v>748371744653312</v>
      </c>
      <c r="E7">
        <v>749109807939584</v>
      </c>
      <c r="F7">
        <v>749749221195776</v>
      </c>
      <c r="G7">
        <v>750192005480448</v>
      </c>
      <c r="H7">
        <v>750428027355136</v>
      </c>
      <c r="I7">
        <v>750522113982464</v>
      </c>
      <c r="J7">
        <v>750414605582336</v>
      </c>
      <c r="K7">
        <v>750176436224000</v>
      </c>
      <c r="L7">
        <v>749802102980608</v>
      </c>
      <c r="M7">
        <v>749291001872384</v>
      </c>
      <c r="N7">
        <v>748637629972480</v>
      </c>
      <c r="O7">
        <v>747913927983104</v>
      </c>
      <c r="P7">
        <v>747015071858688</v>
      </c>
      <c r="Q7">
        <v>746170372587520</v>
      </c>
      <c r="R7">
        <v>745407411912704</v>
      </c>
      <c r="S7">
        <v>744660423147520</v>
      </c>
      <c r="T7">
        <v>744095769165824</v>
      </c>
      <c r="U7">
        <v>743252009418752</v>
      </c>
      <c r="V7">
        <v>742579243057152</v>
      </c>
      <c r="W7">
        <v>742088744370176</v>
      </c>
      <c r="X7">
        <v>741799035404288</v>
      </c>
      <c r="Y7">
        <v>741766621822976</v>
      </c>
      <c r="Z7">
        <v>742006871556096</v>
      </c>
      <c r="AA7">
        <v>742537702670336</v>
      </c>
      <c r="AB7">
        <v>743367168229376</v>
      </c>
      <c r="AC7">
        <v>744403933069312</v>
      </c>
      <c r="AD7">
        <v>745799730331648</v>
      </c>
      <c r="AE7">
        <v>747411551027200</v>
      </c>
      <c r="AF7">
        <v>749169333501952</v>
      </c>
      <c r="AG7">
        <v>751150991147008</v>
      </c>
      <c r="AH7">
        <v>753291159928832</v>
      </c>
      <c r="AI7">
        <v>755589101649920</v>
      </c>
    </row>
    <row r="8" spans="1:35" x14ac:dyDescent="0.35">
      <c r="A8" t="s">
        <v>40</v>
      </c>
      <c r="B8">
        <v>1924851695616</v>
      </c>
      <c r="C8">
        <v>1921703346176</v>
      </c>
      <c r="D8">
        <v>1918554996736</v>
      </c>
      <c r="E8">
        <v>1915406647296</v>
      </c>
      <c r="F8">
        <v>1913298223104</v>
      </c>
      <c r="G8">
        <v>1912294998016</v>
      </c>
      <c r="H8">
        <v>1912331567104</v>
      </c>
      <c r="I8">
        <v>1913473335296</v>
      </c>
      <c r="J8">
        <v>1915719909376</v>
      </c>
      <c r="K8">
        <v>1919006670848</v>
      </c>
      <c r="L8">
        <v>1923398238208</v>
      </c>
      <c r="M8">
        <v>1928829992960</v>
      </c>
      <c r="N8">
        <v>1935301541888</v>
      </c>
      <c r="O8">
        <v>1942748266496</v>
      </c>
      <c r="P8">
        <v>1951234916352</v>
      </c>
      <c r="Q8">
        <v>1963909840896</v>
      </c>
      <c r="R8">
        <v>1977624952832</v>
      </c>
      <c r="S8">
        <v>1992379858944</v>
      </c>
      <c r="T8">
        <v>2008109940736</v>
      </c>
      <c r="U8">
        <v>2023709999104</v>
      </c>
      <c r="V8">
        <v>2039179902976</v>
      </c>
      <c r="W8">
        <v>2054520045568</v>
      </c>
      <c r="X8">
        <v>2069664890880</v>
      </c>
      <c r="Y8">
        <v>2084549951488</v>
      </c>
      <c r="Z8">
        <v>2099305119744</v>
      </c>
      <c r="AA8">
        <v>2113800110080</v>
      </c>
      <c r="AB8">
        <v>2128035184640</v>
      </c>
      <c r="AC8">
        <v>2142075092992</v>
      </c>
      <c r="AD8">
        <v>2155920097280</v>
      </c>
      <c r="AE8">
        <v>2169505054720</v>
      </c>
      <c r="AF8">
        <v>2182765084672</v>
      </c>
      <c r="AG8">
        <v>2195764936704</v>
      </c>
      <c r="AH8">
        <v>2208439992320</v>
      </c>
      <c r="AI8">
        <v>2220854870016</v>
      </c>
    </row>
    <row r="9" spans="1:35" x14ac:dyDescent="0.35">
      <c r="A9" t="s">
        <v>41</v>
      </c>
      <c r="B9">
        <v>15343354380288</v>
      </c>
      <c r="C9">
        <v>15419384528896</v>
      </c>
      <c r="D9">
        <v>15540811726848</v>
      </c>
      <c r="E9">
        <v>15706749927424</v>
      </c>
      <c r="F9">
        <v>15917200179200</v>
      </c>
      <c r="G9">
        <v>16172214910976</v>
      </c>
      <c r="H9">
        <v>16472104501248</v>
      </c>
      <c r="I9">
        <v>16817027284992</v>
      </c>
      <c r="J9">
        <v>17209634062336</v>
      </c>
      <c r="K9">
        <v>17650495258624</v>
      </c>
      <c r="L9">
        <v>18139926495232</v>
      </c>
      <c r="M9">
        <v>18678756147200</v>
      </c>
      <c r="N9">
        <v>19266986311680</v>
      </c>
      <c r="O9">
        <v>19904616988672</v>
      </c>
      <c r="P9">
        <v>20542247665664</v>
      </c>
      <c r="Q9">
        <v>21196699598848</v>
      </c>
      <c r="R9">
        <v>21851153629184</v>
      </c>
      <c r="S9">
        <v>22505607659520</v>
      </c>
      <c r="T9">
        <v>23160061689856</v>
      </c>
      <c r="U9">
        <v>23767837310976</v>
      </c>
      <c r="V9">
        <v>24329437839360</v>
      </c>
      <c r="W9">
        <v>24845643415552</v>
      </c>
      <c r="X9">
        <v>25317334843392</v>
      </c>
      <c r="Y9">
        <v>25744516317184</v>
      </c>
      <c r="Z9">
        <v>26127131213824</v>
      </c>
      <c r="AA9">
        <v>26464871251968</v>
      </c>
      <c r="AB9">
        <v>26757579145216</v>
      </c>
      <c r="AC9">
        <v>27002604093440</v>
      </c>
      <c r="AD9">
        <v>27199369379840</v>
      </c>
      <c r="AE9">
        <v>27347570917376</v>
      </c>
      <c r="AF9">
        <v>27446371942400</v>
      </c>
      <c r="AG9">
        <v>27495772454912</v>
      </c>
      <c r="AH9">
        <v>27495772454912</v>
      </c>
      <c r="AI9">
        <v>27495772454912</v>
      </c>
    </row>
    <row r="10" spans="1:35" x14ac:dyDescent="0.35">
      <c r="A10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2" spans="1:35" x14ac:dyDescent="0.35">
      <c r="A12" t="s">
        <v>26</v>
      </c>
    </row>
    <row r="13" spans="1:35" x14ac:dyDescent="0.35">
      <c r="A13" t="s">
        <v>33</v>
      </c>
      <c r="B13">
        <v>2017</v>
      </c>
      <c r="C13">
        <v>2018</v>
      </c>
      <c r="D13">
        <v>2019</v>
      </c>
      <c r="E13">
        <v>2020</v>
      </c>
      <c r="F13">
        <v>2021</v>
      </c>
      <c r="G13">
        <v>2022</v>
      </c>
      <c r="H13">
        <v>2023</v>
      </c>
      <c r="I13">
        <v>2024</v>
      </c>
      <c r="J13">
        <v>2025</v>
      </c>
      <c r="K13">
        <v>2026</v>
      </c>
      <c r="L13">
        <v>2027</v>
      </c>
      <c r="M13">
        <v>2028</v>
      </c>
      <c r="N13">
        <v>2029</v>
      </c>
      <c r="O13">
        <v>2030</v>
      </c>
      <c r="P13">
        <v>2031</v>
      </c>
      <c r="Q13">
        <v>2032</v>
      </c>
      <c r="R13">
        <v>2033</v>
      </c>
      <c r="S13">
        <v>2034</v>
      </c>
      <c r="T13">
        <v>2035</v>
      </c>
      <c r="U13">
        <v>2036</v>
      </c>
      <c r="V13">
        <v>2037</v>
      </c>
      <c r="W13">
        <v>2038</v>
      </c>
      <c r="X13">
        <v>2039</v>
      </c>
      <c r="Y13">
        <v>2040</v>
      </c>
      <c r="Z13">
        <v>2041</v>
      </c>
      <c r="AA13">
        <v>2042</v>
      </c>
      <c r="AB13">
        <v>2043</v>
      </c>
      <c r="AC13">
        <v>2044</v>
      </c>
      <c r="AD13">
        <v>2045</v>
      </c>
      <c r="AE13">
        <v>2046</v>
      </c>
      <c r="AF13">
        <v>2047</v>
      </c>
      <c r="AG13">
        <v>2048</v>
      </c>
      <c r="AH13">
        <v>2049</v>
      </c>
      <c r="AI13">
        <v>2050</v>
      </c>
    </row>
    <row r="14" spans="1:35" x14ac:dyDescent="0.35">
      <c r="A14" t="s">
        <v>34</v>
      </c>
      <c r="B14" t="s">
        <v>35</v>
      </c>
    </row>
    <row r="15" spans="1:35" x14ac:dyDescent="0.35">
      <c r="A15" t="s">
        <v>36</v>
      </c>
    </row>
    <row r="16" spans="1:35" x14ac:dyDescent="0.35">
      <c r="A16" t="s">
        <v>37</v>
      </c>
      <c r="B16">
        <v>643372880494592</v>
      </c>
      <c r="C16">
        <v>642949893324800</v>
      </c>
      <c r="D16">
        <v>638102888513536</v>
      </c>
      <c r="E16">
        <v>633384397176832</v>
      </c>
      <c r="F16">
        <v>628200170323968</v>
      </c>
      <c r="G16">
        <v>622453235646464</v>
      </c>
      <c r="H16">
        <v>616309553364992</v>
      </c>
      <c r="I16">
        <v>609948371255296</v>
      </c>
      <c r="J16">
        <v>602492375138304</v>
      </c>
      <c r="K16">
        <v>594770426593280</v>
      </c>
      <c r="L16">
        <v>587605682946048</v>
      </c>
      <c r="M16">
        <v>581663931236352</v>
      </c>
      <c r="N16">
        <v>575403680858112</v>
      </c>
      <c r="O16">
        <v>569003575607296</v>
      </c>
      <c r="P16">
        <v>562993104420864</v>
      </c>
      <c r="Q16">
        <v>557478467076096</v>
      </c>
      <c r="R16">
        <v>551759651012608</v>
      </c>
      <c r="S16">
        <v>548700023685120</v>
      </c>
      <c r="T16">
        <v>545874941837312</v>
      </c>
      <c r="U16">
        <v>543619345809408</v>
      </c>
      <c r="V16">
        <v>541386935894016</v>
      </c>
      <c r="W16">
        <v>539123051921408</v>
      </c>
      <c r="X16">
        <v>537398488334336</v>
      </c>
      <c r="Y16">
        <v>536091375435776</v>
      </c>
      <c r="Z16">
        <v>535166011310080</v>
      </c>
      <c r="AA16">
        <v>534682491944960</v>
      </c>
      <c r="AB16">
        <v>534665278521344</v>
      </c>
      <c r="AC16">
        <v>535198592663552</v>
      </c>
      <c r="AD16">
        <v>536155095302144</v>
      </c>
      <c r="AE16">
        <v>537326950285312</v>
      </c>
      <c r="AF16">
        <v>538669563772928</v>
      </c>
      <c r="AG16">
        <v>540134617382912</v>
      </c>
      <c r="AH16">
        <v>541709427539968</v>
      </c>
      <c r="AI16">
        <v>543390806573056</v>
      </c>
    </row>
    <row r="17" spans="1:35" x14ac:dyDescent="0.35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35">
      <c r="A18" t="s">
        <v>39</v>
      </c>
      <c r="B18">
        <v>746993328586752</v>
      </c>
      <c r="C18">
        <v>747653746917376</v>
      </c>
      <c r="D18">
        <v>748078680244224</v>
      </c>
      <c r="E18">
        <v>748520323678208</v>
      </c>
      <c r="F18">
        <v>748858955005952</v>
      </c>
      <c r="G18">
        <v>748997132156928</v>
      </c>
      <c r="H18">
        <v>748924788801536</v>
      </c>
      <c r="I18">
        <v>748706752102400</v>
      </c>
      <c r="J18">
        <v>748283630714880</v>
      </c>
      <c r="K18">
        <v>747726291599360</v>
      </c>
      <c r="L18">
        <v>747029366046720</v>
      </c>
      <c r="M18">
        <v>746192182968320</v>
      </c>
      <c r="N18">
        <v>745209373655040</v>
      </c>
      <c r="O18">
        <v>744152878809088</v>
      </c>
      <c r="P18">
        <v>742918075711488</v>
      </c>
      <c r="Q18">
        <v>741734275350528</v>
      </c>
      <c r="R18">
        <v>740628925251584</v>
      </c>
      <c r="S18">
        <v>739851670388736</v>
      </c>
      <c r="T18">
        <v>739257085853696</v>
      </c>
      <c r="U18">
        <v>738384670621696</v>
      </c>
      <c r="V18">
        <v>737684054081536</v>
      </c>
      <c r="W18">
        <v>737166376304640</v>
      </c>
      <c r="X18">
        <v>736850226446336</v>
      </c>
      <c r="Y18">
        <v>736791975952384</v>
      </c>
      <c r="Z18">
        <v>737006858534912</v>
      </c>
      <c r="AA18">
        <v>737512993587200</v>
      </c>
      <c r="AB18">
        <v>738318367064064</v>
      </c>
      <c r="AC18">
        <v>739331643801600</v>
      </c>
      <c r="AD18">
        <v>740704556941312</v>
      </c>
      <c r="AE18">
        <v>742294030385152</v>
      </c>
      <c r="AF18">
        <v>744030069587968</v>
      </c>
      <c r="AG18">
        <v>745990789267456</v>
      </c>
      <c r="AH18">
        <v>748110691172352</v>
      </c>
      <c r="AI18">
        <v>750388902887424</v>
      </c>
    </row>
    <row r="19" spans="1:35" x14ac:dyDescent="0.35">
      <c r="A19" t="s">
        <v>40</v>
      </c>
      <c r="B19">
        <v>1924851695616</v>
      </c>
      <c r="C19">
        <v>1921703346176</v>
      </c>
      <c r="D19">
        <v>1902505623552</v>
      </c>
      <c r="E19">
        <v>1883308032000</v>
      </c>
      <c r="F19">
        <v>1865017327616</v>
      </c>
      <c r="G19">
        <v>1847690264576</v>
      </c>
      <c r="H19">
        <v>1831269957632</v>
      </c>
      <c r="I19">
        <v>1815813160960</v>
      </c>
      <c r="J19">
        <v>1801319874560</v>
      </c>
      <c r="K19">
        <v>1787733606400</v>
      </c>
      <c r="L19">
        <v>1775110979584</v>
      </c>
      <c r="M19">
        <v>1763395108864</v>
      </c>
      <c r="N19">
        <v>1752586125312</v>
      </c>
      <c r="O19">
        <v>1742627274752</v>
      </c>
      <c r="P19">
        <v>1733575442432</v>
      </c>
      <c r="Q19">
        <v>1728578846720</v>
      </c>
      <c r="R19">
        <v>1724489007104</v>
      </c>
      <c r="S19">
        <v>1737355427840</v>
      </c>
      <c r="T19">
        <v>1751071981568</v>
      </c>
      <c r="U19">
        <v>1764675289088</v>
      </c>
      <c r="V19">
        <v>1778164957184</v>
      </c>
      <c r="W19">
        <v>1791541379072</v>
      </c>
      <c r="X19">
        <v>1804747800576</v>
      </c>
      <c r="Y19">
        <v>1817727598592</v>
      </c>
      <c r="Z19">
        <v>1830593888256</v>
      </c>
      <c r="AA19">
        <v>1843233292288</v>
      </c>
      <c r="AB19">
        <v>1855646334976</v>
      </c>
      <c r="AC19">
        <v>1867889115136</v>
      </c>
      <c r="AD19">
        <v>1879962157056</v>
      </c>
      <c r="AE19">
        <v>1891808182272</v>
      </c>
      <c r="AF19">
        <v>1903370960896</v>
      </c>
      <c r="AG19">
        <v>1914706984960</v>
      </c>
      <c r="AH19">
        <v>1925759631360</v>
      </c>
      <c r="AI19">
        <v>1936585523200</v>
      </c>
    </row>
    <row r="20" spans="1:35" x14ac:dyDescent="0.35">
      <c r="A20" t="s">
        <v>41</v>
      </c>
      <c r="B20">
        <v>15343354380288</v>
      </c>
      <c r="C20">
        <v>15419384528896</v>
      </c>
      <c r="D20">
        <v>15398513672192</v>
      </c>
      <c r="E20">
        <v>15420910206976</v>
      </c>
      <c r="F20">
        <v>15486570987520</v>
      </c>
      <c r="G20">
        <v>15595541102592</v>
      </c>
      <c r="H20">
        <v>15748127784960</v>
      </c>
      <c r="I20">
        <v>15944486223872</v>
      </c>
      <c r="J20">
        <v>16187263025152</v>
      </c>
      <c r="K20">
        <v>16477023371264</v>
      </c>
      <c r="L20">
        <v>16814076592128</v>
      </c>
      <c r="M20">
        <v>17199247917056</v>
      </c>
      <c r="N20">
        <v>17632535248896</v>
      </c>
      <c r="O20">
        <v>18113932296192</v>
      </c>
      <c r="P20">
        <v>18594037497856</v>
      </c>
      <c r="Q20">
        <v>19089812619264</v>
      </c>
      <c r="R20">
        <v>19584329449472</v>
      </c>
      <c r="S20">
        <v>20238783479808</v>
      </c>
      <c r="T20">
        <v>20893237510144</v>
      </c>
      <c r="U20">
        <v>21501013131264</v>
      </c>
      <c r="V20">
        <v>22062613659648</v>
      </c>
      <c r="W20">
        <v>22578817138688</v>
      </c>
      <c r="X20">
        <v>23050510663680</v>
      </c>
      <c r="Y20">
        <v>23477690040320</v>
      </c>
      <c r="Z20">
        <v>23860304936960</v>
      </c>
      <c r="AA20">
        <v>24198047072256</v>
      </c>
      <c r="AB20">
        <v>24490754965504</v>
      </c>
      <c r="AC20">
        <v>24735777816576</v>
      </c>
      <c r="AD20">
        <v>24932545200128</v>
      </c>
      <c r="AE20">
        <v>25080746737664</v>
      </c>
      <c r="AF20">
        <v>25179547762688</v>
      </c>
      <c r="AG20">
        <v>25228948275200</v>
      </c>
      <c r="AH20">
        <v>25228948275200</v>
      </c>
      <c r="AI20">
        <v>25228948275200</v>
      </c>
    </row>
    <row r="21" spans="1:35" x14ac:dyDescent="0.35">
      <c r="A21" t="s">
        <v>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3" spans="1:35" x14ac:dyDescent="0.35">
      <c r="O23" t="s">
        <v>44</v>
      </c>
    </row>
    <row r="24" spans="1:35" ht="43.5" x14ac:dyDescent="0.35">
      <c r="O24" t="s">
        <v>45</v>
      </c>
      <c r="P24" t="s">
        <v>46</v>
      </c>
      <c r="Q24" s="2" t="s">
        <v>53</v>
      </c>
      <c r="R24" t="s">
        <v>6</v>
      </c>
    </row>
    <row r="25" spans="1:35" x14ac:dyDescent="0.35">
      <c r="O25">
        <f>(O5-O16)/O5</f>
        <v>6.4323617159924268E-2</v>
      </c>
      <c r="P25">
        <f>(O7-O18)/O7</f>
        <v>5.0287192593917911E-3</v>
      </c>
      <c r="Q25">
        <f>O7*P25/100000000000</f>
        <v>37.610491740160001</v>
      </c>
      <c r="R25" s="8">
        <f>O32/1000*R35</f>
        <v>11463.909163213391</v>
      </c>
    </row>
    <row r="28" spans="1:35" x14ac:dyDescent="0.35">
      <c r="O28" s="6" t="s">
        <v>59</v>
      </c>
      <c r="P28" s="6"/>
      <c r="Q28" s="6"/>
      <c r="R28" s="6"/>
      <c r="S28" s="6"/>
      <c r="T28" s="6"/>
    </row>
    <row r="30" spans="1:35" x14ac:dyDescent="0.35">
      <c r="O30">
        <f>P25*O7</f>
        <v>3761049174016</v>
      </c>
      <c r="P30" t="s">
        <v>51</v>
      </c>
    </row>
    <row r="32" spans="1:35" x14ac:dyDescent="0.35">
      <c r="O32">
        <f>O25*O5</f>
        <v>39116481757183.992</v>
      </c>
      <c r="P32" t="s">
        <v>52</v>
      </c>
    </row>
    <row r="34" spans="15:19" x14ac:dyDescent="0.35">
      <c r="O34" t="s">
        <v>54</v>
      </c>
    </row>
    <row r="35" spans="15:19" x14ac:dyDescent="0.35">
      <c r="O35">
        <v>1000</v>
      </c>
      <c r="P35" t="s">
        <v>55</v>
      </c>
      <c r="R35" s="10">
        <v>2.9307106999999998E-7</v>
      </c>
      <c r="S35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PPEIdtIL</vt:lpstr>
      <vt:lpstr>Aggregate effects </vt:lpstr>
      <vt:lpstr>CEC-CPUC additional expected EE</vt:lpstr>
      <vt:lpstr>Aggregate without electrific</vt:lpstr>
      <vt:lpstr>Calibrate utility prog effect</vt:lpstr>
      <vt:lpstr>EPS - Pathway category mapping</vt:lpstr>
      <vt:lpstr>BAU energy</vt:lpstr>
      <vt:lpstr>EPS utility programs</vt:lpstr>
      <vt:lpstr>EPS Retrofit impacts</vt:lpstr>
      <vt:lpstr>EPS-electrification impact</vt:lpstr>
      <vt:lpstr>EPS-codes standard impact</vt:lpstr>
      <vt:lpstr>Aggregate effect input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Busch</dc:creator>
  <cp:lastModifiedBy>Chris Busch</cp:lastModifiedBy>
  <dcterms:created xsi:type="dcterms:W3CDTF">2018-09-19T17:45:52Z</dcterms:created>
  <dcterms:modified xsi:type="dcterms:W3CDTF">2018-11-09T17:49:06Z</dcterms:modified>
</cp:coreProperties>
</file>