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1330" windowHeight="6630" firstSheet="16" activeTab="21"/>
  </bookViews>
  <sheets>
    <sheet name="About" sheetId="1" r:id="rId1"/>
    <sheet name="Passenger Aircraft" sheetId="22" r:id="rId2"/>
    <sheet name="Ships" sheetId="25" r:id="rId3"/>
    <sheet name="HDV costs" sheetId="32" r:id="rId4"/>
    <sheet name="LDV freight = MD costs" sheetId="33" r:id="rId5"/>
    <sheet name="E3 LDV car" sheetId="34" r:id="rId6"/>
    <sheet name="E3 LD truck" sheetId="35" r:id="rId7"/>
    <sheet name="Transportation Data Book" sheetId="51" r:id="rId8"/>
    <sheet name="E3 Bus Price Data" sheetId="41" r:id="rId9"/>
    <sheet name="LDV EV comparative  lit" sheetId="53" r:id="rId10"/>
    <sheet name="LDV EV method-sources" sheetId="48" r:id="rId11"/>
    <sheet name="LDV market segments" sheetId="57" r:id="rId12"/>
    <sheet name="Battery cost per unit" sheetId="60" r:id="rId13"/>
    <sheet name="Battery size across segments" sheetId="58" r:id="rId14"/>
    <sheet name="Weighted average battery cost" sheetId="59" r:id="rId15"/>
    <sheet name="100 mile vs. 200 miles" sheetId="61" r:id="rId16"/>
    <sheet name="LDV EV calculations" sheetId="50" r:id="rId17"/>
    <sheet name="LDV Account for auto vs truck" sheetId="38" r:id="rId18"/>
    <sheet name="more recent LDV $" sheetId="63" r:id="rId19"/>
    <sheet name="LDV PHEV addendum" sheetId="55" r:id="rId20"/>
    <sheet name="Motorcycles" sheetId="23" r:id="rId21"/>
    <sheet name="BNVP-LDVs-psgr" sheetId="2" r:id="rId22"/>
    <sheet name="BNVP-LDVs-frgt" sheetId="8" r:id="rId23"/>
    <sheet name="BNVP-HDVs-psgr" sheetId="9" r:id="rId24"/>
    <sheet name="BNVP-HDVs-frgt" sheetId="10"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definedNames>
    <definedName name="cpi_2010to2012">About!#REF!</definedName>
    <definedName name="cpi_2013to2012">About!$A$99</definedName>
    <definedName name="cpi_2014to2012">About!$A$98</definedName>
    <definedName name="cpi_2016to2012">About!$A$100</definedName>
  </definedNames>
  <calcPr calcId="145621"/>
</workbook>
</file>

<file path=xl/calcChain.xml><?xml version="1.0" encoding="utf-8"?>
<calcChain xmlns="http://schemas.openxmlformats.org/spreadsheetml/2006/main">
  <c r="B6" i="2" l="1"/>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C14" i="55"/>
  <c r="D14" i="55"/>
  <c r="E14" i="55"/>
  <c r="F14" i="55"/>
  <c r="G14" i="55"/>
  <c r="H14" i="55"/>
  <c r="I14" i="55"/>
  <c r="J14" i="55"/>
  <c r="K14" i="55"/>
  <c r="L14" i="55"/>
  <c r="M14" i="55"/>
  <c r="N14" i="55"/>
  <c r="O14" i="55"/>
  <c r="P14" i="55"/>
  <c r="Q14" i="55"/>
  <c r="R14" i="55"/>
  <c r="S14" i="55"/>
  <c r="T14" i="55"/>
  <c r="U14" i="55"/>
  <c r="V14" i="55"/>
  <c r="W14" i="55"/>
  <c r="X14" i="55"/>
  <c r="Y14" i="55"/>
  <c r="Z14" i="55"/>
  <c r="AA14" i="55"/>
  <c r="AB14" i="55"/>
  <c r="AC14" i="55"/>
  <c r="AD14" i="55"/>
  <c r="AE14" i="55"/>
  <c r="AF14" i="55"/>
  <c r="AG14" i="55"/>
  <c r="AH14" i="55"/>
  <c r="AI14" i="55"/>
  <c r="B14" i="55"/>
  <c r="B11" i="55"/>
  <c r="C11" i="55"/>
  <c r="D11" i="55"/>
  <c r="E11" i="55"/>
  <c r="F11" i="55"/>
  <c r="G11" i="55"/>
  <c r="H11" i="55"/>
  <c r="I11" i="55"/>
  <c r="J11" i="55"/>
  <c r="K11" i="55"/>
  <c r="L11" i="55"/>
  <c r="M11" i="55"/>
  <c r="N11" i="55"/>
  <c r="O11" i="55"/>
  <c r="P11" i="55"/>
  <c r="Q11" i="55"/>
  <c r="R11" i="55"/>
  <c r="S11" i="55"/>
  <c r="T11" i="55"/>
  <c r="U11" i="55"/>
  <c r="V11" i="55"/>
  <c r="W11" i="55"/>
  <c r="X11" i="55"/>
  <c r="Y11" i="55"/>
  <c r="Z11" i="55"/>
  <c r="AA11" i="55"/>
  <c r="AB11" i="55"/>
  <c r="AC11" i="55"/>
  <c r="AD11" i="55"/>
  <c r="AE11" i="55"/>
  <c r="AF11" i="55"/>
  <c r="AG11" i="55"/>
  <c r="AH11" i="55"/>
  <c r="AI11" i="55"/>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B8" i="55"/>
  <c r="C8" i="55" s="1"/>
  <c r="D8" i="55" s="1"/>
  <c r="E8" i="55" s="1"/>
  <c r="F8" i="55" s="1"/>
  <c r="G8" i="55" s="1"/>
  <c r="H8" i="55" s="1"/>
  <c r="I8" i="55" s="1"/>
  <c r="J8" i="55" s="1"/>
  <c r="K8" i="55" s="1"/>
  <c r="L8" i="55" s="1"/>
  <c r="M8" i="55" s="1"/>
  <c r="N8" i="55" s="1"/>
  <c r="O8" i="55" s="1"/>
  <c r="P8" i="55" s="1"/>
  <c r="Q8" i="55" s="1"/>
  <c r="R8" i="55" s="1"/>
  <c r="S8" i="55" s="1"/>
  <c r="T8" i="55" s="1"/>
  <c r="U8" i="55" s="1"/>
  <c r="V8" i="55" s="1"/>
  <c r="W8" i="55" s="1"/>
  <c r="X8" i="55" s="1"/>
  <c r="Y8" i="55" s="1"/>
  <c r="Z8" i="55" s="1"/>
  <c r="AA8" i="55" s="1"/>
  <c r="AB8" i="55" s="1"/>
  <c r="AC8" i="55" s="1"/>
  <c r="AD8" i="55" s="1"/>
  <c r="AE8" i="55" s="1"/>
  <c r="AF8" i="55" s="1"/>
  <c r="AG8" i="55" s="1"/>
  <c r="AH8" i="55" s="1"/>
  <c r="AI8" i="55" s="1"/>
  <c r="B7" i="50"/>
  <c r="B27" i="50" s="1"/>
  <c r="A38" i="59"/>
  <c r="B57" i="58"/>
  <c r="A54" i="58"/>
  <c r="B54" i="58"/>
  <c r="A55" i="58"/>
  <c r="B55" i="58"/>
  <c r="A32" i="59"/>
  <c r="B32" i="59"/>
  <c r="A33" i="59"/>
  <c r="B33" i="59"/>
  <c r="Q16" i="61"/>
  <c r="Q15" i="61"/>
  <c r="C50" i="58"/>
  <c r="C44" i="58"/>
  <c r="E30" i="38"/>
  <c r="F30" i="38" s="1"/>
  <c r="G30" i="38" s="1"/>
  <c r="H30" i="38" s="1"/>
  <c r="I30" i="38" s="1"/>
  <c r="J30" i="38" s="1"/>
  <c r="K30" i="38" s="1"/>
  <c r="L30" i="38" s="1"/>
  <c r="M30" i="38" s="1"/>
  <c r="N30" i="38" s="1"/>
  <c r="O30" i="38" s="1"/>
  <c r="P30" i="38" s="1"/>
  <c r="Q30" i="38" s="1"/>
  <c r="R30" i="38" s="1"/>
  <c r="S30" i="38" s="1"/>
  <c r="T30" i="38" s="1"/>
  <c r="U30" i="38" s="1"/>
  <c r="V30" i="38" s="1"/>
  <c r="W30" i="38" s="1"/>
  <c r="X30" i="38" s="1"/>
  <c r="Y30" i="38" s="1"/>
  <c r="Z30" i="38" s="1"/>
  <c r="AA30" i="38" s="1"/>
  <c r="AB30" i="38" s="1"/>
  <c r="AC30" i="38" s="1"/>
  <c r="AD30" i="38" s="1"/>
  <c r="AE30" i="38" s="1"/>
  <c r="AF30" i="38" s="1"/>
  <c r="AG30" i="38" s="1"/>
  <c r="AH30" i="38" s="1"/>
  <c r="AI30" i="38" s="1"/>
  <c r="AJ30" i="38" s="1"/>
  <c r="D30"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AH25" i="38"/>
  <c r="AI25" i="38"/>
  <c r="AJ25" i="38"/>
  <c r="D25" i="38"/>
  <c r="C30" i="38"/>
  <c r="A11" i="50"/>
  <c r="B11" i="50"/>
  <c r="B26" i="50" s="1"/>
  <c r="O8" i="63"/>
  <c r="O5" i="63"/>
  <c r="N3" i="63"/>
  <c r="O3" i="63"/>
  <c r="N4" i="63"/>
  <c r="O4" i="63"/>
  <c r="A26" i="50"/>
  <c r="B6" i="50"/>
  <c r="B16" i="50" s="1"/>
  <c r="B2" i="2" s="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G2" i="2" s="1"/>
  <c r="AH2" i="2" s="1"/>
  <c r="AI2" i="2" s="1"/>
  <c r="F12" i="60"/>
  <c r="G12" i="60"/>
  <c r="F13" i="60"/>
  <c r="G13" i="60"/>
  <c r="F14" i="60"/>
  <c r="G14" i="60"/>
  <c r="G15" i="60"/>
  <c r="G16" i="60" s="1"/>
  <c r="G17" i="60" s="1"/>
  <c r="C18" i="60"/>
  <c r="E15" i="60" s="1"/>
  <c r="B19" i="59"/>
  <c r="B18" i="59"/>
  <c r="E17" i="61"/>
  <c r="E16" i="61"/>
  <c r="B34" i="48"/>
  <c r="A17" i="59"/>
  <c r="A20" i="59"/>
  <c r="P6" i="61"/>
  <c r="P9" i="61"/>
  <c r="P10" i="61"/>
  <c r="B21" i="61" s="1"/>
  <c r="B22" i="59" s="1"/>
  <c r="P5" i="61"/>
  <c r="P12" i="61" s="1"/>
  <c r="A16" i="61"/>
  <c r="A18" i="59" s="1"/>
  <c r="A17" i="61"/>
  <c r="A19" i="59" s="1"/>
  <c r="A20" i="61"/>
  <c r="A21" i="59" s="1"/>
  <c r="A21" i="61"/>
  <c r="A22" i="59" s="1"/>
  <c r="B19" i="50" l="1"/>
  <c r="C19" i="60"/>
  <c r="E16" i="60"/>
  <c r="E18" i="60"/>
  <c r="E17" i="60"/>
  <c r="E14" i="60"/>
  <c r="E13" i="60"/>
  <c r="E12" i="60"/>
  <c r="B17" i="61"/>
  <c r="B20" i="61"/>
  <c r="B21" i="59" s="1"/>
  <c r="F21" i="59" s="1"/>
  <c r="B16" i="61"/>
  <c r="F29" i="60" l="1"/>
  <c r="C22" i="60"/>
  <c r="G29" i="60"/>
  <c r="C21" i="60"/>
  <c r="I12" i="60"/>
  <c r="I13" i="60"/>
  <c r="I17" i="60"/>
  <c r="I16" i="60"/>
  <c r="I15" i="60"/>
  <c r="C23" i="60" l="1"/>
  <c r="C24" i="60"/>
  <c r="E5" i="60" s="1"/>
  <c r="B2" i="59" s="1"/>
  <c r="H29" i="60"/>
  <c r="B54" i="57" l="1"/>
  <c r="C30" i="58"/>
  <c r="B12" i="59" s="1"/>
  <c r="C24" i="58"/>
  <c r="B11" i="59" s="1"/>
  <c r="C15" i="58"/>
  <c r="B6" i="59" s="1"/>
  <c r="C9" i="58"/>
  <c r="B5" i="59" s="1"/>
  <c r="C44" i="57"/>
  <c r="C46" i="57"/>
  <c r="C39" i="57"/>
  <c r="A36" i="57"/>
  <c r="A53" i="57" s="1"/>
  <c r="A37" i="57"/>
  <c r="A38" i="57"/>
  <c r="A43" i="57"/>
  <c r="A44" i="57"/>
  <c r="A45" i="57"/>
  <c r="A46" i="57"/>
  <c r="B37" i="57"/>
  <c r="B53" i="57" s="1"/>
  <c r="L48" i="57"/>
  <c r="M45" i="57" s="1"/>
  <c r="L41" i="57"/>
  <c r="M38" i="57" s="1"/>
  <c r="C45" i="57" l="1"/>
  <c r="C38" i="57"/>
  <c r="M39" i="57"/>
  <c r="M37" i="57"/>
  <c r="M46" i="57"/>
  <c r="M44" i="57"/>
  <c r="B4" i="18" l="1"/>
  <c r="B4" i="17"/>
  <c r="G12" i="48"/>
  <c r="C4" i="17" l="1"/>
  <c r="C6" i="59" l="1"/>
  <c r="C5" i="59"/>
  <c r="C12" i="59"/>
  <c r="C11" i="59"/>
  <c r="D4" i="17"/>
  <c r="D4" i="18" s="1"/>
  <c r="C4" i="18"/>
  <c r="B7" i="16"/>
  <c r="B7" i="15"/>
  <c r="B7" i="14"/>
  <c r="B7" i="13"/>
  <c r="B7" i="12"/>
  <c r="B7" i="11"/>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B5" i="10"/>
  <c r="B4" i="10" s="1"/>
  <c r="C5" i="10"/>
  <c r="C4" i="10" s="1"/>
  <c r="D5" i="10"/>
  <c r="D4" i="10" s="1"/>
  <c r="E5" i="10"/>
  <c r="E4" i="10" s="1"/>
  <c r="F5" i="10"/>
  <c r="F4" i="10" s="1"/>
  <c r="G5" i="10"/>
  <c r="G4" i="10" s="1"/>
  <c r="H5" i="10"/>
  <c r="H4" i="10" s="1"/>
  <c r="I5" i="10"/>
  <c r="I4" i="10" s="1"/>
  <c r="J5" i="10"/>
  <c r="J4" i="10" s="1"/>
  <c r="K5" i="10"/>
  <c r="K4" i="10" s="1"/>
  <c r="L5" i="10"/>
  <c r="L4" i="10" s="1"/>
  <c r="M5" i="10"/>
  <c r="M4" i="10" s="1"/>
  <c r="N5" i="10"/>
  <c r="N4" i="10" s="1"/>
  <c r="O5" i="10"/>
  <c r="O4" i="10" s="1"/>
  <c r="P5" i="10"/>
  <c r="P4" i="10" s="1"/>
  <c r="Q5" i="10"/>
  <c r="Q4" i="10" s="1"/>
  <c r="R5" i="10"/>
  <c r="R4" i="10" s="1"/>
  <c r="S5" i="10"/>
  <c r="S4" i="10" s="1"/>
  <c r="T5" i="10"/>
  <c r="T4" i="10" s="1"/>
  <c r="U5" i="10"/>
  <c r="U4" i="10" s="1"/>
  <c r="V5" i="10"/>
  <c r="V4" i="10" s="1"/>
  <c r="W5" i="10"/>
  <c r="W4" i="10" s="1"/>
  <c r="X5" i="10"/>
  <c r="X4" i="10" s="1"/>
  <c r="Y5" i="10"/>
  <c r="Y4" i="10" s="1"/>
  <c r="Z5" i="10"/>
  <c r="Z4" i="10" s="1"/>
  <c r="AA5" i="10"/>
  <c r="AA4" i="10" s="1"/>
  <c r="AB5" i="10"/>
  <c r="AB4" i="10" s="1"/>
  <c r="AC5" i="10"/>
  <c r="AC4" i="10" s="1"/>
  <c r="AD5" i="10"/>
  <c r="AD4" i="10" s="1"/>
  <c r="AE5" i="10"/>
  <c r="AE4" i="10" s="1"/>
  <c r="AF5" i="10"/>
  <c r="AF4" i="10" s="1"/>
  <c r="AG5" i="10"/>
  <c r="AG4" i="10" s="1"/>
  <c r="AH5" i="10"/>
  <c r="AH4" i="10" s="1"/>
  <c r="AI5" i="10"/>
  <c r="AI4" i="10" s="1"/>
  <c r="B6"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B2"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5" i="9"/>
  <c r="B4" i="9" s="1"/>
  <c r="C5" i="9"/>
  <c r="C4" i="9" s="1"/>
  <c r="D5" i="9"/>
  <c r="D4" i="9" s="1"/>
  <c r="E5" i="9"/>
  <c r="E4" i="9" s="1"/>
  <c r="F5" i="9"/>
  <c r="F4" i="9" s="1"/>
  <c r="G5" i="9"/>
  <c r="G4" i="9" s="1"/>
  <c r="H5" i="9"/>
  <c r="H4" i="9" s="1"/>
  <c r="I5" i="9"/>
  <c r="I4" i="9" s="1"/>
  <c r="J5" i="9"/>
  <c r="J4" i="9" s="1"/>
  <c r="K5" i="9"/>
  <c r="K4" i="9" s="1"/>
  <c r="L5" i="9"/>
  <c r="L4" i="9" s="1"/>
  <c r="M5" i="9"/>
  <c r="M4" i="9" s="1"/>
  <c r="N5" i="9"/>
  <c r="N4" i="9" s="1"/>
  <c r="O5" i="9"/>
  <c r="O4" i="9" s="1"/>
  <c r="P5" i="9"/>
  <c r="P4" i="9" s="1"/>
  <c r="Q5" i="9"/>
  <c r="Q4" i="9" s="1"/>
  <c r="R5" i="9"/>
  <c r="R4" i="9" s="1"/>
  <c r="S5" i="9"/>
  <c r="S4" i="9" s="1"/>
  <c r="T5" i="9"/>
  <c r="T4" i="9" s="1"/>
  <c r="U5" i="9"/>
  <c r="U4" i="9" s="1"/>
  <c r="V5" i="9"/>
  <c r="V4" i="9" s="1"/>
  <c r="W5" i="9"/>
  <c r="W4" i="9" s="1"/>
  <c r="X5" i="9"/>
  <c r="X4" i="9" s="1"/>
  <c r="Y5" i="9"/>
  <c r="Y4" i="9" s="1"/>
  <c r="Z5" i="9"/>
  <c r="Z4" i="9" s="1"/>
  <c r="AA5" i="9"/>
  <c r="AA4" i="9" s="1"/>
  <c r="AB5" i="9"/>
  <c r="AB4" i="9" s="1"/>
  <c r="AC5" i="9"/>
  <c r="AC4" i="9" s="1"/>
  <c r="AD5" i="9"/>
  <c r="AD4" i="9" s="1"/>
  <c r="AE5" i="9"/>
  <c r="AE4" i="9" s="1"/>
  <c r="AF5" i="9"/>
  <c r="AF4" i="9" s="1"/>
  <c r="AG5" i="9"/>
  <c r="AG4" i="9" s="1"/>
  <c r="AH5" i="9"/>
  <c r="AH4" i="9" s="1"/>
  <c r="AI5" i="9"/>
  <c r="AI4" i="9" s="1"/>
  <c r="B6"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21" i="33"/>
  <c r="D21" i="33"/>
  <c r="E21" i="33"/>
  <c r="F21" i="33"/>
  <c r="G21"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AK21" i="33"/>
  <c r="AL21" i="33"/>
  <c r="AM21" i="33"/>
  <c r="AN21" i="33"/>
  <c r="AO21" i="33"/>
  <c r="AP21" i="33"/>
  <c r="AQ21" i="33"/>
  <c r="AR21" i="33"/>
  <c r="C22" i="33"/>
  <c r="D22" i="33"/>
  <c r="E22" i="33"/>
  <c r="F22" i="33"/>
  <c r="G22" i="33"/>
  <c r="H22" i="33"/>
  <c r="I22" i="33"/>
  <c r="J22" i="33"/>
  <c r="K22" i="33"/>
  <c r="L22" i="33"/>
  <c r="M22" i="33"/>
  <c r="N22" i="33"/>
  <c r="O22" i="33"/>
  <c r="P22" i="33"/>
  <c r="Q22" i="33"/>
  <c r="R22" i="33"/>
  <c r="S22" i="33"/>
  <c r="T22" i="33"/>
  <c r="U22" i="33"/>
  <c r="V22" i="33"/>
  <c r="W22" i="33"/>
  <c r="X22" i="33"/>
  <c r="Y22" i="33"/>
  <c r="Z22" i="33"/>
  <c r="AA22" i="33"/>
  <c r="AB22" i="33"/>
  <c r="AC22" i="33"/>
  <c r="AD22" i="33"/>
  <c r="AE22" i="33"/>
  <c r="AF22" i="33"/>
  <c r="AG22" i="33"/>
  <c r="AH22" i="33"/>
  <c r="AI22" i="33"/>
  <c r="AJ22" i="33"/>
  <c r="AK22" i="33"/>
  <c r="AL22" i="33"/>
  <c r="AM22" i="33"/>
  <c r="AN22" i="33"/>
  <c r="AO22" i="33"/>
  <c r="AP22" i="33"/>
  <c r="AQ22" i="33"/>
  <c r="AR22" i="33"/>
  <c r="C23" i="33"/>
  <c r="D23" i="33"/>
  <c r="E23" i="33"/>
  <c r="F23" i="33"/>
  <c r="G23" i="33"/>
  <c r="H23" i="33"/>
  <c r="I23" i="33"/>
  <c r="J23" i="33"/>
  <c r="K23" i="33"/>
  <c r="L23" i="33"/>
  <c r="M23" i="33"/>
  <c r="N23" i="33"/>
  <c r="O23" i="33"/>
  <c r="P23" i="33"/>
  <c r="Q23" i="33"/>
  <c r="R23" i="33"/>
  <c r="S23" i="33"/>
  <c r="T23" i="33"/>
  <c r="U23" i="33"/>
  <c r="V23" i="33"/>
  <c r="W23" i="33"/>
  <c r="X23" i="33"/>
  <c r="Y23" i="33"/>
  <c r="Z23" i="33"/>
  <c r="AA23" i="33"/>
  <c r="AB23" i="33"/>
  <c r="AC23" i="33"/>
  <c r="AD23" i="33"/>
  <c r="AE23" i="33"/>
  <c r="AF23" i="33"/>
  <c r="AG23" i="33"/>
  <c r="AH23" i="33"/>
  <c r="AI23" i="33"/>
  <c r="AJ23" i="33"/>
  <c r="AK23" i="33"/>
  <c r="AL23" i="33"/>
  <c r="AM23" i="33"/>
  <c r="AN23" i="33"/>
  <c r="AO23" i="33"/>
  <c r="AP23" i="33"/>
  <c r="AQ23" i="33"/>
  <c r="AR23" i="33"/>
  <c r="C25" i="33"/>
  <c r="D25" i="33"/>
  <c r="E25" i="33"/>
  <c r="F25" i="33"/>
  <c r="G25" i="33"/>
  <c r="H25" i="33"/>
  <c r="I25" i="33"/>
  <c r="J25" i="33"/>
  <c r="K25" i="33"/>
  <c r="L25" i="33"/>
  <c r="M25" i="33"/>
  <c r="N25" i="33"/>
  <c r="O25" i="33"/>
  <c r="P25" i="33"/>
  <c r="Q25" i="33"/>
  <c r="R25" i="33"/>
  <c r="S25" i="33"/>
  <c r="T25" i="33"/>
  <c r="U25" i="33"/>
  <c r="V25" i="33"/>
  <c r="W25" i="33"/>
  <c r="X25" i="33"/>
  <c r="Y25" i="33"/>
  <c r="Z25" i="33"/>
  <c r="AA25" i="33"/>
  <c r="AB25" i="33"/>
  <c r="AC25" i="33"/>
  <c r="AD25" i="33"/>
  <c r="AE25" i="33"/>
  <c r="AF25" i="33"/>
  <c r="AG25" i="33"/>
  <c r="AH25" i="33"/>
  <c r="AI25" i="33"/>
  <c r="AJ25" i="33"/>
  <c r="AK25" i="33"/>
  <c r="AL25" i="33"/>
  <c r="AM25" i="33"/>
  <c r="AN25" i="33"/>
  <c r="AO25" i="33"/>
  <c r="AP25" i="33"/>
  <c r="AQ25" i="33"/>
  <c r="AR25" i="33"/>
  <c r="C26" i="33"/>
  <c r="D26" i="33"/>
  <c r="E26" i="33"/>
  <c r="F26" i="33"/>
  <c r="G26"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AK26" i="33"/>
  <c r="AL26" i="33"/>
  <c r="AM26" i="33"/>
  <c r="AN26" i="33"/>
  <c r="AO26" i="33"/>
  <c r="AP26" i="33"/>
  <c r="AQ26" i="33"/>
  <c r="AR26" i="33"/>
  <c r="B26" i="33"/>
  <c r="B25" i="33"/>
  <c r="B23" i="33"/>
  <c r="B22" i="33"/>
  <c r="B21" i="33"/>
  <c r="B25" i="59" l="1"/>
  <c r="E4" i="17"/>
  <c r="E4" i="18" s="1"/>
  <c r="F4" i="17" l="1"/>
  <c r="F4" i="18" s="1"/>
  <c r="G4" i="17" l="1"/>
  <c r="G4" i="18" s="1"/>
  <c r="H4" i="17"/>
  <c r="H4" i="18" s="1"/>
  <c r="B4"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B5"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B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B6"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B15" i="38"/>
  <c r="C15" i="38"/>
  <c r="D15" i="38"/>
  <c r="E15" i="38"/>
  <c r="F15" i="38"/>
  <c r="G15" i="38"/>
  <c r="H15" i="38"/>
  <c r="I15" i="38"/>
  <c r="J15" i="38"/>
  <c r="K15" i="38"/>
  <c r="L15" i="38"/>
  <c r="M15" i="38"/>
  <c r="N15" i="38"/>
  <c r="O15" i="38"/>
  <c r="P15" i="38"/>
  <c r="Q15" i="38"/>
  <c r="R15" i="38"/>
  <c r="S15" i="38"/>
  <c r="T15" i="38"/>
  <c r="U15" i="38"/>
  <c r="V15" i="38"/>
  <c r="W15" i="38"/>
  <c r="X15" i="38"/>
  <c r="Y15" i="38"/>
  <c r="Z15" i="38"/>
  <c r="AA15" i="38"/>
  <c r="AB15" i="38"/>
  <c r="AC15" i="38"/>
  <c r="AD15" i="38"/>
  <c r="AE15" i="38"/>
  <c r="AF15" i="38"/>
  <c r="AG15" i="38"/>
  <c r="AH15" i="38"/>
  <c r="AI15" i="38"/>
  <c r="AJ15" i="38"/>
  <c r="B14" i="38"/>
  <c r="C14" i="38"/>
  <c r="D14" i="38"/>
  <c r="E14" i="38"/>
  <c r="F14" i="38"/>
  <c r="G14" i="38"/>
  <c r="H14" i="38"/>
  <c r="I14" i="38"/>
  <c r="J14" i="38"/>
  <c r="K14" i="38"/>
  <c r="L14" i="38"/>
  <c r="M14" i="38"/>
  <c r="N14" i="38"/>
  <c r="O14" i="38"/>
  <c r="P14" i="38"/>
  <c r="Q14" i="38"/>
  <c r="R14" i="38"/>
  <c r="S14" i="38"/>
  <c r="T14" i="38"/>
  <c r="U14" i="38"/>
  <c r="V14" i="38"/>
  <c r="W14" i="38"/>
  <c r="X14" i="38"/>
  <c r="Y14" i="38"/>
  <c r="Z14" i="38"/>
  <c r="AA14" i="38"/>
  <c r="AB14" i="38"/>
  <c r="AC14" i="38"/>
  <c r="AD14" i="38"/>
  <c r="AE14" i="38"/>
  <c r="AF14" i="38"/>
  <c r="AG14" i="38"/>
  <c r="AH14" i="38"/>
  <c r="AI14" i="38"/>
  <c r="AJ14" i="38"/>
  <c r="B18" i="38"/>
  <c r="B19" i="38"/>
  <c r="B20" i="38"/>
  <c r="B21" i="38"/>
  <c r="B13" i="38"/>
  <c r="C13" i="38"/>
  <c r="D13" i="38"/>
  <c r="E13" i="38"/>
  <c r="F13" i="38"/>
  <c r="G13" i="38"/>
  <c r="H13" i="38"/>
  <c r="I13" i="38"/>
  <c r="J13" i="38"/>
  <c r="K13" i="38"/>
  <c r="L13" i="38"/>
  <c r="M13" i="38"/>
  <c r="N13" i="38"/>
  <c r="O13" i="38"/>
  <c r="P13" i="38"/>
  <c r="Q13" i="38"/>
  <c r="R13" i="38"/>
  <c r="S13" i="38"/>
  <c r="T13" i="38"/>
  <c r="U13" i="38"/>
  <c r="V13" i="38"/>
  <c r="W13" i="38"/>
  <c r="X13" i="38"/>
  <c r="Y13" i="38"/>
  <c r="Z13" i="38"/>
  <c r="AA13" i="38"/>
  <c r="AB13" i="38"/>
  <c r="AC13" i="38"/>
  <c r="AD13" i="38"/>
  <c r="AE13" i="38"/>
  <c r="AF13" i="38"/>
  <c r="AG13" i="38"/>
  <c r="AH13" i="38"/>
  <c r="AI13" i="38"/>
  <c r="AJ13" i="38"/>
  <c r="C18" i="38"/>
  <c r="C24" i="38" s="1"/>
  <c r="D18" i="38"/>
  <c r="D24" i="38" s="1"/>
  <c r="C5" i="2" s="1"/>
  <c r="E18" i="38"/>
  <c r="E24" i="38" s="1"/>
  <c r="D5" i="2" s="1"/>
  <c r="F18" i="38"/>
  <c r="F24" i="38" s="1"/>
  <c r="E5" i="2" s="1"/>
  <c r="G18" i="38"/>
  <c r="G24" i="38" s="1"/>
  <c r="F5" i="2" s="1"/>
  <c r="H18" i="38"/>
  <c r="H24" i="38" s="1"/>
  <c r="G5" i="2" s="1"/>
  <c r="I18" i="38"/>
  <c r="I24" i="38" s="1"/>
  <c r="H5" i="2" s="1"/>
  <c r="J18" i="38"/>
  <c r="J24" i="38" s="1"/>
  <c r="I5" i="2" s="1"/>
  <c r="K18" i="38"/>
  <c r="K24" i="38" s="1"/>
  <c r="J5" i="2" s="1"/>
  <c r="L18" i="38"/>
  <c r="L24" i="38" s="1"/>
  <c r="K5" i="2" s="1"/>
  <c r="M18" i="38"/>
  <c r="M24" i="38" s="1"/>
  <c r="L5" i="2" s="1"/>
  <c r="N18" i="38"/>
  <c r="N24" i="38" s="1"/>
  <c r="M5" i="2" s="1"/>
  <c r="O18" i="38"/>
  <c r="O24" i="38" s="1"/>
  <c r="N5" i="2" s="1"/>
  <c r="P18" i="38"/>
  <c r="P24" i="38" s="1"/>
  <c r="O5" i="2" s="1"/>
  <c r="Q18" i="38"/>
  <c r="Q24" i="38" s="1"/>
  <c r="P5" i="2" s="1"/>
  <c r="R18" i="38"/>
  <c r="R24" i="38" s="1"/>
  <c r="Q5" i="2" s="1"/>
  <c r="S18" i="38"/>
  <c r="S24" i="38" s="1"/>
  <c r="R5" i="2" s="1"/>
  <c r="T18" i="38"/>
  <c r="T24" i="38" s="1"/>
  <c r="S5" i="2" s="1"/>
  <c r="U18" i="38"/>
  <c r="U24" i="38" s="1"/>
  <c r="T5" i="2" s="1"/>
  <c r="V18" i="38"/>
  <c r="V24" i="38" s="1"/>
  <c r="U5" i="2" s="1"/>
  <c r="W18" i="38"/>
  <c r="W24" i="38" s="1"/>
  <c r="V5" i="2" s="1"/>
  <c r="X18" i="38"/>
  <c r="X24" i="38" s="1"/>
  <c r="W5" i="2" s="1"/>
  <c r="Y18" i="38"/>
  <c r="Y24" i="38" s="1"/>
  <c r="X5" i="2" s="1"/>
  <c r="Z18" i="38"/>
  <c r="Z24" i="38" s="1"/>
  <c r="Y5" i="2" s="1"/>
  <c r="AA18" i="38"/>
  <c r="AA24" i="38" s="1"/>
  <c r="Z5" i="2" s="1"/>
  <c r="AB18" i="38"/>
  <c r="AB24" i="38" s="1"/>
  <c r="AA5" i="2" s="1"/>
  <c r="AC18" i="38"/>
  <c r="AC24" i="38" s="1"/>
  <c r="AB5" i="2" s="1"/>
  <c r="AD18" i="38"/>
  <c r="AD24" i="38" s="1"/>
  <c r="AC5" i="2" s="1"/>
  <c r="AE18" i="38"/>
  <c r="AE24" i="38" s="1"/>
  <c r="AD5" i="2" s="1"/>
  <c r="AF18" i="38"/>
  <c r="AF24" i="38" s="1"/>
  <c r="AE5" i="2" s="1"/>
  <c r="AG18" i="38"/>
  <c r="AG24" i="38" s="1"/>
  <c r="AF5" i="2" s="1"/>
  <c r="AH18" i="38"/>
  <c r="AH24" i="38" s="1"/>
  <c r="AG5" i="2" s="1"/>
  <c r="AI18" i="38"/>
  <c r="AI24" i="38" s="1"/>
  <c r="AH5" i="2" s="1"/>
  <c r="AJ18" i="38"/>
  <c r="AJ24" i="38" s="1"/>
  <c r="AI5" i="2" s="1"/>
  <c r="C19"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AH19" i="38"/>
  <c r="AI19" i="38"/>
  <c r="AJ19" i="38"/>
  <c r="C21"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AH21" i="38"/>
  <c r="AI21" i="38"/>
  <c r="AJ21" i="38"/>
  <c r="C20"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AH20" i="38"/>
  <c r="AI20" i="38"/>
  <c r="AJ20" i="38"/>
  <c r="H29" i="34"/>
  <c r="H30" i="34" s="1"/>
  <c r="H31" i="34" s="1"/>
  <c r="H32" i="34" s="1"/>
  <c r="H33" i="34" s="1"/>
  <c r="H34" i="34" s="1"/>
  <c r="H35" i="34" s="1"/>
  <c r="H36" i="34" s="1"/>
  <c r="H37" i="34" s="1"/>
  <c r="H19" i="34"/>
  <c r="H20" i="34" s="1"/>
  <c r="H21" i="34" s="1"/>
  <c r="H22" i="34" s="1"/>
  <c r="H23" i="34" s="1"/>
  <c r="H24" i="34" s="1"/>
  <c r="H25" i="34" s="1"/>
  <c r="H26" i="34" s="1"/>
  <c r="H27" i="34" s="1"/>
  <c r="H9" i="34"/>
  <c r="H10" i="34" s="1"/>
  <c r="H11" i="34" s="1"/>
  <c r="H12" i="34" s="1"/>
  <c r="H13" i="34" s="1"/>
  <c r="H14" i="34" s="1"/>
  <c r="H15" i="34" s="1"/>
  <c r="H16" i="34" s="1"/>
  <c r="H17" i="34" s="1"/>
  <c r="G35" i="35"/>
  <c r="G36" i="35" s="1"/>
  <c r="G37" i="35" s="1"/>
  <c r="G38" i="35" s="1"/>
  <c r="G39" i="35" s="1"/>
  <c r="G40" i="35" s="1"/>
  <c r="G41" i="35" s="1"/>
  <c r="G42" i="35" s="1"/>
  <c r="G43" i="35" s="1"/>
  <c r="F25" i="35"/>
  <c r="F26" i="35" s="1"/>
  <c r="F27" i="35" s="1"/>
  <c r="F28" i="35" s="1"/>
  <c r="F29" i="35" s="1"/>
  <c r="F30" i="35" s="1"/>
  <c r="F31" i="35" s="1"/>
  <c r="F32" i="35" s="1"/>
  <c r="F33" i="35" s="1"/>
  <c r="L5" i="35"/>
  <c r="L6" i="35" s="1"/>
  <c r="L7" i="35" s="1"/>
  <c r="L8" i="35" s="1"/>
  <c r="L9" i="35" s="1"/>
  <c r="L10" i="35" s="1"/>
  <c r="L11" i="35" s="1"/>
  <c r="L12" i="35" s="1"/>
  <c r="L13" i="35" s="1"/>
  <c r="X35" i="35"/>
  <c r="L35" i="35" s="1"/>
  <c r="L36" i="35" s="1"/>
  <c r="L37" i="35" s="1"/>
  <c r="L38" i="35" s="1"/>
  <c r="L39" i="35" s="1"/>
  <c r="L40" i="35" s="1"/>
  <c r="L41" i="35" s="1"/>
  <c r="L42" i="35" s="1"/>
  <c r="L43" i="35" s="1"/>
  <c r="W35" i="35"/>
  <c r="K35" i="35" s="1"/>
  <c r="K36" i="35" s="1"/>
  <c r="K37" i="35" s="1"/>
  <c r="K38" i="35" s="1"/>
  <c r="K39" i="35" s="1"/>
  <c r="K40" i="35" s="1"/>
  <c r="K41" i="35" s="1"/>
  <c r="K42" i="35" s="1"/>
  <c r="K43" i="35" s="1"/>
  <c r="V35" i="35"/>
  <c r="J35" i="35" s="1"/>
  <c r="J36" i="35" s="1"/>
  <c r="J37" i="35" s="1"/>
  <c r="J38" i="35" s="1"/>
  <c r="J39" i="35" s="1"/>
  <c r="J40" i="35" s="1"/>
  <c r="J41" i="35" s="1"/>
  <c r="J42" i="35" s="1"/>
  <c r="J43" i="35" s="1"/>
  <c r="U35" i="35"/>
  <c r="I35" i="35" s="1"/>
  <c r="I36" i="35" s="1"/>
  <c r="I37" i="35" s="1"/>
  <c r="I38" i="35" s="1"/>
  <c r="I39" i="35" s="1"/>
  <c r="I40" i="35" s="1"/>
  <c r="I41" i="35" s="1"/>
  <c r="I42" i="35" s="1"/>
  <c r="I43" i="35" s="1"/>
  <c r="T35" i="35"/>
  <c r="H35" i="35" s="1"/>
  <c r="H36" i="35" s="1"/>
  <c r="H37" i="35" s="1"/>
  <c r="H38" i="35" s="1"/>
  <c r="H39" i="35" s="1"/>
  <c r="H40" i="35" s="1"/>
  <c r="H41" i="35" s="1"/>
  <c r="H42" i="35" s="1"/>
  <c r="H43" i="35" s="1"/>
  <c r="S35" i="35"/>
  <c r="R35" i="35"/>
  <c r="F35" i="35" s="1"/>
  <c r="F36" i="35" s="1"/>
  <c r="F37" i="35" s="1"/>
  <c r="F38" i="35" s="1"/>
  <c r="F39" i="35" s="1"/>
  <c r="F40" i="35" s="1"/>
  <c r="F41" i="35" s="1"/>
  <c r="F42" i="35" s="1"/>
  <c r="F43" i="35" s="1"/>
  <c r="Q35" i="35"/>
  <c r="E35" i="35" s="1"/>
  <c r="E36" i="35" s="1"/>
  <c r="E37" i="35" s="1"/>
  <c r="E38" i="35" s="1"/>
  <c r="E39" i="35" s="1"/>
  <c r="E40" i="35" s="1"/>
  <c r="E41" i="35" s="1"/>
  <c r="E42" i="35" s="1"/>
  <c r="E43" i="35" s="1"/>
  <c r="P35" i="35"/>
  <c r="D35" i="35" s="1"/>
  <c r="D36" i="35" s="1"/>
  <c r="D37" i="35" s="1"/>
  <c r="D38" i="35" s="1"/>
  <c r="D39" i="35" s="1"/>
  <c r="D40" i="35" s="1"/>
  <c r="D41" i="35" s="1"/>
  <c r="D42" i="35" s="1"/>
  <c r="D43" i="35" s="1"/>
  <c r="O35" i="35"/>
  <c r="C35" i="35" s="1"/>
  <c r="C36" i="35" s="1"/>
  <c r="C37" i="35" s="1"/>
  <c r="C38" i="35" s="1"/>
  <c r="C39" i="35" s="1"/>
  <c r="C40" i="35" s="1"/>
  <c r="C41" i="35" s="1"/>
  <c r="C42" i="35" s="1"/>
  <c r="C43" i="35" s="1"/>
  <c r="N35" i="35"/>
  <c r="B35" i="35" s="1"/>
  <c r="B36" i="35" s="1"/>
  <c r="B37" i="35" s="1"/>
  <c r="B38" i="35" s="1"/>
  <c r="B39" i="35" s="1"/>
  <c r="B40" i="35" s="1"/>
  <c r="B41" i="35" s="1"/>
  <c r="B42" i="35" s="1"/>
  <c r="B43" i="35" s="1"/>
  <c r="X25" i="35"/>
  <c r="L25" i="35" s="1"/>
  <c r="L26" i="35" s="1"/>
  <c r="L27" i="35" s="1"/>
  <c r="L28" i="35" s="1"/>
  <c r="L29" i="35" s="1"/>
  <c r="L30" i="35" s="1"/>
  <c r="L31" i="35" s="1"/>
  <c r="L32" i="35" s="1"/>
  <c r="L33" i="35" s="1"/>
  <c r="W25" i="35"/>
  <c r="K25" i="35" s="1"/>
  <c r="K26" i="35" s="1"/>
  <c r="K27" i="35" s="1"/>
  <c r="K28" i="35" s="1"/>
  <c r="K29" i="35" s="1"/>
  <c r="K30" i="35" s="1"/>
  <c r="K31" i="35" s="1"/>
  <c r="K32" i="35" s="1"/>
  <c r="K33" i="35" s="1"/>
  <c r="V25" i="35"/>
  <c r="J25" i="35" s="1"/>
  <c r="J26" i="35" s="1"/>
  <c r="J27" i="35" s="1"/>
  <c r="J28" i="35" s="1"/>
  <c r="J29" i="35" s="1"/>
  <c r="J30" i="35" s="1"/>
  <c r="J31" i="35" s="1"/>
  <c r="J32" i="35" s="1"/>
  <c r="J33" i="35" s="1"/>
  <c r="U25" i="35"/>
  <c r="I25" i="35" s="1"/>
  <c r="I26" i="35" s="1"/>
  <c r="I27" i="35" s="1"/>
  <c r="I28" i="35" s="1"/>
  <c r="I29" i="35" s="1"/>
  <c r="I30" i="35" s="1"/>
  <c r="I31" i="35" s="1"/>
  <c r="I32" i="35" s="1"/>
  <c r="I33" i="35" s="1"/>
  <c r="T25" i="35"/>
  <c r="H25" i="35" s="1"/>
  <c r="H26" i="35" s="1"/>
  <c r="H27" i="35" s="1"/>
  <c r="H28" i="35" s="1"/>
  <c r="H29" i="35" s="1"/>
  <c r="H30" i="35" s="1"/>
  <c r="H31" i="35" s="1"/>
  <c r="H32" i="35" s="1"/>
  <c r="H33" i="35" s="1"/>
  <c r="S25" i="35"/>
  <c r="G25" i="35" s="1"/>
  <c r="G26" i="35" s="1"/>
  <c r="G27" i="35" s="1"/>
  <c r="G28" i="35" s="1"/>
  <c r="G29" i="35" s="1"/>
  <c r="G30" i="35" s="1"/>
  <c r="G31" i="35" s="1"/>
  <c r="G32" i="35" s="1"/>
  <c r="G33" i="35" s="1"/>
  <c r="R25" i="35"/>
  <c r="Q25" i="35"/>
  <c r="E25" i="35" s="1"/>
  <c r="E26" i="35" s="1"/>
  <c r="E27" i="35" s="1"/>
  <c r="E28" i="35" s="1"/>
  <c r="E29" i="35" s="1"/>
  <c r="E30" i="35" s="1"/>
  <c r="E31" i="35" s="1"/>
  <c r="E32" i="35" s="1"/>
  <c r="E33" i="35" s="1"/>
  <c r="P25" i="35"/>
  <c r="D25" i="35" s="1"/>
  <c r="D26" i="35" s="1"/>
  <c r="D27" i="35" s="1"/>
  <c r="D28" i="35" s="1"/>
  <c r="D29" i="35" s="1"/>
  <c r="D30" i="35" s="1"/>
  <c r="D31" i="35" s="1"/>
  <c r="D32" i="35" s="1"/>
  <c r="D33" i="35" s="1"/>
  <c r="O25" i="35"/>
  <c r="C25" i="35" s="1"/>
  <c r="C26" i="35" s="1"/>
  <c r="C27" i="35" s="1"/>
  <c r="C28" i="35" s="1"/>
  <c r="C29" i="35" s="1"/>
  <c r="C30" i="35" s="1"/>
  <c r="C31" i="35" s="1"/>
  <c r="C32" i="35" s="1"/>
  <c r="C33" i="35" s="1"/>
  <c r="N25" i="35"/>
  <c r="B25" i="35" s="1"/>
  <c r="B26" i="35" s="1"/>
  <c r="B27" i="35" s="1"/>
  <c r="B28" i="35" s="1"/>
  <c r="B29" i="35" s="1"/>
  <c r="B30" i="35" s="1"/>
  <c r="B31" i="35" s="1"/>
  <c r="B32" i="35" s="1"/>
  <c r="B33" i="35" s="1"/>
  <c r="X15" i="35"/>
  <c r="L15" i="35" s="1"/>
  <c r="L16" i="35" s="1"/>
  <c r="L17" i="35" s="1"/>
  <c r="L18" i="35" s="1"/>
  <c r="L19" i="35" s="1"/>
  <c r="L20" i="35" s="1"/>
  <c r="L21" i="35" s="1"/>
  <c r="L22" i="35" s="1"/>
  <c r="L23" i="35" s="1"/>
  <c r="W15" i="35"/>
  <c r="K15" i="35" s="1"/>
  <c r="K16" i="35" s="1"/>
  <c r="K17" i="35" s="1"/>
  <c r="K18" i="35" s="1"/>
  <c r="K19" i="35" s="1"/>
  <c r="K20" i="35" s="1"/>
  <c r="K21" i="35" s="1"/>
  <c r="K22" i="35" s="1"/>
  <c r="K23" i="35" s="1"/>
  <c r="V15" i="35"/>
  <c r="J15" i="35" s="1"/>
  <c r="J16" i="35" s="1"/>
  <c r="J17" i="35" s="1"/>
  <c r="J18" i="35" s="1"/>
  <c r="J19" i="35" s="1"/>
  <c r="J20" i="35" s="1"/>
  <c r="J21" i="35" s="1"/>
  <c r="J22" i="35" s="1"/>
  <c r="J23" i="35" s="1"/>
  <c r="U15" i="35"/>
  <c r="I15" i="35" s="1"/>
  <c r="I16" i="35" s="1"/>
  <c r="I17" i="35" s="1"/>
  <c r="I18" i="35" s="1"/>
  <c r="I19" i="35" s="1"/>
  <c r="I20" i="35" s="1"/>
  <c r="I21" i="35" s="1"/>
  <c r="I22" i="35" s="1"/>
  <c r="I23" i="35" s="1"/>
  <c r="T15" i="35"/>
  <c r="H15" i="35" s="1"/>
  <c r="H16" i="35" s="1"/>
  <c r="H17" i="35" s="1"/>
  <c r="H18" i="35" s="1"/>
  <c r="H19" i="35" s="1"/>
  <c r="H20" i="35" s="1"/>
  <c r="H21" i="35" s="1"/>
  <c r="H22" i="35" s="1"/>
  <c r="H23" i="35" s="1"/>
  <c r="S15" i="35"/>
  <c r="G15" i="35" s="1"/>
  <c r="G16" i="35" s="1"/>
  <c r="G17" i="35" s="1"/>
  <c r="G18" i="35" s="1"/>
  <c r="G19" i="35" s="1"/>
  <c r="G20" i="35" s="1"/>
  <c r="G21" i="35" s="1"/>
  <c r="G22" i="35" s="1"/>
  <c r="G23" i="35" s="1"/>
  <c r="R15" i="35"/>
  <c r="F15" i="35" s="1"/>
  <c r="F16" i="35" s="1"/>
  <c r="F17" i="35" s="1"/>
  <c r="F18" i="35" s="1"/>
  <c r="F19" i="35" s="1"/>
  <c r="F20" i="35" s="1"/>
  <c r="F21" i="35" s="1"/>
  <c r="F22" i="35" s="1"/>
  <c r="F23" i="35" s="1"/>
  <c r="Q15" i="35"/>
  <c r="E15" i="35" s="1"/>
  <c r="E16" i="35" s="1"/>
  <c r="E17" i="35" s="1"/>
  <c r="E18" i="35" s="1"/>
  <c r="E19" i="35" s="1"/>
  <c r="E20" i="35" s="1"/>
  <c r="E21" i="35" s="1"/>
  <c r="E22" i="35" s="1"/>
  <c r="E23" i="35" s="1"/>
  <c r="P15" i="35"/>
  <c r="D15" i="35" s="1"/>
  <c r="D16" i="35" s="1"/>
  <c r="D17" i="35" s="1"/>
  <c r="D18" i="35" s="1"/>
  <c r="D19" i="35" s="1"/>
  <c r="D20" i="35" s="1"/>
  <c r="D21" i="35" s="1"/>
  <c r="D22" i="35" s="1"/>
  <c r="D23" i="35" s="1"/>
  <c r="O15" i="35"/>
  <c r="C15" i="35" s="1"/>
  <c r="C16" i="35" s="1"/>
  <c r="C17" i="35" s="1"/>
  <c r="C18" i="35" s="1"/>
  <c r="C19" i="35" s="1"/>
  <c r="C20" i="35" s="1"/>
  <c r="C21" i="35" s="1"/>
  <c r="C22" i="35" s="1"/>
  <c r="C23" i="35" s="1"/>
  <c r="N15" i="35"/>
  <c r="B15" i="35" s="1"/>
  <c r="B16" i="35" s="1"/>
  <c r="B17" i="35" s="1"/>
  <c r="B18" i="35" s="1"/>
  <c r="B19" i="35" s="1"/>
  <c r="B20" i="35" s="1"/>
  <c r="B21" i="35" s="1"/>
  <c r="B22" i="35" s="1"/>
  <c r="B23" i="35" s="1"/>
  <c r="O5" i="35"/>
  <c r="C5" i="35" s="1"/>
  <c r="C6" i="35" s="1"/>
  <c r="C7" i="35" s="1"/>
  <c r="C8" i="35" s="1"/>
  <c r="C9" i="35" s="1"/>
  <c r="C10" i="35" s="1"/>
  <c r="C11" i="35" s="1"/>
  <c r="C12" i="35" s="1"/>
  <c r="C13" i="35" s="1"/>
  <c r="P5" i="35"/>
  <c r="D5" i="35" s="1"/>
  <c r="D6" i="35" s="1"/>
  <c r="D7" i="35" s="1"/>
  <c r="D8" i="35" s="1"/>
  <c r="D9" i="35" s="1"/>
  <c r="D10" i="35" s="1"/>
  <c r="D11" i="35" s="1"/>
  <c r="D12" i="35" s="1"/>
  <c r="D13" i="35" s="1"/>
  <c r="Q5" i="35"/>
  <c r="E5" i="35" s="1"/>
  <c r="E6" i="35" s="1"/>
  <c r="E7" i="35" s="1"/>
  <c r="E8" i="35" s="1"/>
  <c r="E9" i="35" s="1"/>
  <c r="E10" i="35" s="1"/>
  <c r="E11" i="35" s="1"/>
  <c r="E12" i="35" s="1"/>
  <c r="E13" i="35" s="1"/>
  <c r="R5" i="35"/>
  <c r="F5" i="35" s="1"/>
  <c r="F6" i="35" s="1"/>
  <c r="F7" i="35" s="1"/>
  <c r="F8" i="35" s="1"/>
  <c r="F9" i="35" s="1"/>
  <c r="F10" i="35" s="1"/>
  <c r="F11" i="35" s="1"/>
  <c r="F12" i="35" s="1"/>
  <c r="F13" i="35" s="1"/>
  <c r="S5" i="35"/>
  <c r="G5" i="35" s="1"/>
  <c r="G6" i="35" s="1"/>
  <c r="G7" i="35" s="1"/>
  <c r="G8" i="35" s="1"/>
  <c r="G9" i="35" s="1"/>
  <c r="G10" i="35" s="1"/>
  <c r="G11" i="35" s="1"/>
  <c r="G12" i="35" s="1"/>
  <c r="G13" i="35" s="1"/>
  <c r="T5" i="35"/>
  <c r="H5" i="35" s="1"/>
  <c r="H6" i="35" s="1"/>
  <c r="H7" i="35" s="1"/>
  <c r="H8" i="35" s="1"/>
  <c r="H9" i="35" s="1"/>
  <c r="H10" i="35" s="1"/>
  <c r="H11" i="35" s="1"/>
  <c r="H12" i="35" s="1"/>
  <c r="H13" i="35" s="1"/>
  <c r="U5" i="35"/>
  <c r="I5" i="35" s="1"/>
  <c r="I6" i="35" s="1"/>
  <c r="I7" i="35" s="1"/>
  <c r="I8" i="35" s="1"/>
  <c r="I9" i="35" s="1"/>
  <c r="I10" i="35" s="1"/>
  <c r="I11" i="35" s="1"/>
  <c r="I12" i="35" s="1"/>
  <c r="I13" i="35" s="1"/>
  <c r="V5" i="35"/>
  <c r="J5" i="35" s="1"/>
  <c r="J6" i="35" s="1"/>
  <c r="J7" i="35" s="1"/>
  <c r="J8" i="35" s="1"/>
  <c r="J9" i="35" s="1"/>
  <c r="J10" i="35" s="1"/>
  <c r="J11" i="35" s="1"/>
  <c r="J12" i="35" s="1"/>
  <c r="J13" i="35" s="1"/>
  <c r="W5" i="35"/>
  <c r="K5" i="35" s="1"/>
  <c r="K6" i="35" s="1"/>
  <c r="K7" i="35" s="1"/>
  <c r="K8" i="35" s="1"/>
  <c r="K9" i="35" s="1"/>
  <c r="K10" i="35" s="1"/>
  <c r="K11" i="35" s="1"/>
  <c r="K12" i="35" s="1"/>
  <c r="K13" i="35" s="1"/>
  <c r="X5" i="35"/>
  <c r="N5" i="35"/>
  <c r="B5" i="35" s="1"/>
  <c r="B6" i="35" s="1"/>
  <c r="B7" i="35" s="1"/>
  <c r="B8" i="35" s="1"/>
  <c r="B9" i="35" s="1"/>
  <c r="B10" i="35" s="1"/>
  <c r="B11" i="35" s="1"/>
  <c r="B12" i="35" s="1"/>
  <c r="B13" i="35" s="1"/>
  <c r="B5" i="2" l="1"/>
  <c r="AG35" i="38"/>
  <c r="AC35" i="38"/>
  <c r="Y35" i="38"/>
  <c r="U35" i="38"/>
  <c r="Q35" i="38"/>
  <c r="M35" i="38"/>
  <c r="I35" i="38"/>
  <c r="E35" i="38"/>
  <c r="AJ27" i="38"/>
  <c r="AI3" i="2" s="1"/>
  <c r="AF27" i="38"/>
  <c r="AE3" i="2" s="1"/>
  <c r="AB27" i="38"/>
  <c r="AA3" i="2" s="1"/>
  <c r="X27" i="38"/>
  <c r="W3" i="2" s="1"/>
  <c r="T27" i="38"/>
  <c r="S3" i="2" s="1"/>
  <c r="P27" i="38"/>
  <c r="O3" i="2" s="1"/>
  <c r="L27" i="38"/>
  <c r="K3" i="2" s="1"/>
  <c r="H27" i="38"/>
  <c r="G3" i="2" s="1"/>
  <c r="D27" i="38"/>
  <c r="C3" i="2" s="1"/>
  <c r="AI37" i="38"/>
  <c r="AE37" i="38"/>
  <c r="AA37" i="38"/>
  <c r="W37" i="38"/>
  <c r="S37" i="38"/>
  <c r="O37" i="38"/>
  <c r="K37" i="38"/>
  <c r="G37" i="38"/>
  <c r="C37" i="38"/>
  <c r="AJ35" i="38"/>
  <c r="AF35" i="38"/>
  <c r="AB35" i="38"/>
  <c r="X35" i="38"/>
  <c r="T35" i="38"/>
  <c r="P35" i="38"/>
  <c r="L35" i="38"/>
  <c r="H35" i="38"/>
  <c r="D35" i="38"/>
  <c r="AI27" i="38"/>
  <c r="AH3" i="2" s="1"/>
  <c r="AE27" i="38"/>
  <c r="AD3" i="2" s="1"/>
  <c r="AA27" i="38"/>
  <c r="Z3" i="2" s="1"/>
  <c r="W27" i="38"/>
  <c r="V3" i="2" s="1"/>
  <c r="S27" i="38"/>
  <c r="R3" i="2" s="1"/>
  <c r="O27" i="38"/>
  <c r="N3" i="2" s="1"/>
  <c r="K27" i="38"/>
  <c r="J3" i="2" s="1"/>
  <c r="G27" i="38"/>
  <c r="F3" i="2" s="1"/>
  <c r="C27" i="38"/>
  <c r="B3" i="2" s="1"/>
  <c r="AH37" i="38"/>
  <c r="AD37" i="38"/>
  <c r="Z37" i="38"/>
  <c r="V37" i="38"/>
  <c r="R37" i="38"/>
  <c r="N37" i="38"/>
  <c r="J37" i="38"/>
  <c r="F37" i="38"/>
  <c r="AI35" i="38"/>
  <c r="AE35" i="38"/>
  <c r="AA35" i="38"/>
  <c r="W35" i="38"/>
  <c r="S35" i="38"/>
  <c r="O35" i="38"/>
  <c r="K35" i="38"/>
  <c r="G35" i="38"/>
  <c r="C35" i="38"/>
  <c r="AH27" i="38"/>
  <c r="AG3" i="2" s="1"/>
  <c r="AD27" i="38"/>
  <c r="AC3" i="2" s="1"/>
  <c r="Z27" i="38"/>
  <c r="Y3" i="2" s="1"/>
  <c r="V27" i="38"/>
  <c r="U3" i="2" s="1"/>
  <c r="R27" i="38"/>
  <c r="Q3" i="2" s="1"/>
  <c r="N27" i="38"/>
  <c r="M3" i="2" s="1"/>
  <c r="J27" i="38"/>
  <c r="I3" i="2" s="1"/>
  <c r="F27" i="38"/>
  <c r="E3" i="2" s="1"/>
  <c r="AG37" i="38"/>
  <c r="AC37" i="38"/>
  <c r="Y37" i="38"/>
  <c r="U37" i="38"/>
  <c r="Q37" i="38"/>
  <c r="M37" i="38"/>
  <c r="I37" i="38"/>
  <c r="E37" i="38"/>
  <c r="AH35" i="38"/>
  <c r="AD35" i="38"/>
  <c r="Z35" i="38"/>
  <c r="V35" i="38"/>
  <c r="R35" i="38"/>
  <c r="N35" i="38"/>
  <c r="J35" i="38"/>
  <c r="F35" i="38"/>
  <c r="AG27" i="38"/>
  <c r="AF3" i="2" s="1"/>
  <c r="AC27" i="38"/>
  <c r="AB3" i="2" s="1"/>
  <c r="Y27" i="38"/>
  <c r="X3" i="2" s="1"/>
  <c r="U27" i="38"/>
  <c r="T3" i="2" s="1"/>
  <c r="Q27" i="38"/>
  <c r="P3" i="2" s="1"/>
  <c r="M27" i="38"/>
  <c r="L3" i="2" s="1"/>
  <c r="I27" i="38"/>
  <c r="H3" i="2" s="1"/>
  <c r="E27" i="38"/>
  <c r="D3" i="2" s="1"/>
  <c r="AJ37" i="38"/>
  <c r="AF37" i="38"/>
  <c r="AB37" i="38"/>
  <c r="X37" i="38"/>
  <c r="T37" i="38"/>
  <c r="P37" i="38"/>
  <c r="L37" i="38"/>
  <c r="H37" i="38"/>
  <c r="D37" i="38"/>
  <c r="I4" i="17"/>
  <c r="I4" i="18" s="1"/>
  <c r="W20" i="32"/>
  <c r="V20" i="32"/>
  <c r="U20" i="32"/>
  <c r="T20" i="32"/>
  <c r="S20" i="32"/>
  <c r="R20" i="32"/>
  <c r="Q20" i="32"/>
  <c r="P20" i="32"/>
  <c r="O20" i="32"/>
  <c r="N20" i="32"/>
  <c r="M20" i="32"/>
  <c r="L20" i="32"/>
  <c r="K20" i="32"/>
  <c r="J20" i="32"/>
  <c r="I20" i="32"/>
  <c r="H20" i="32"/>
  <c r="G20" i="32"/>
  <c r="F20" i="32"/>
  <c r="E20" i="32"/>
  <c r="D20" i="32"/>
  <c r="C20" i="32"/>
  <c r="A19" i="32"/>
  <c r="B19" i="32"/>
  <c r="C19" i="32"/>
  <c r="D19" i="32"/>
  <c r="E19" i="32"/>
  <c r="F19" i="32"/>
  <c r="G19" i="32"/>
  <c r="H19" i="32"/>
  <c r="I19" i="32"/>
  <c r="J19" i="32"/>
  <c r="K19" i="32"/>
  <c r="L19" i="32"/>
  <c r="M19" i="32"/>
  <c r="N19" i="32"/>
  <c r="O19" i="32"/>
  <c r="P19" i="32"/>
  <c r="Q19" i="32"/>
  <c r="R19" i="32"/>
  <c r="S19" i="32"/>
  <c r="T19" i="32"/>
  <c r="U19" i="32"/>
  <c r="V19" i="32"/>
  <c r="W19" i="32"/>
  <c r="X19" i="32"/>
  <c r="Y19" i="32"/>
  <c r="Z19" i="32"/>
  <c r="AA19" i="32"/>
  <c r="AB19" i="32"/>
  <c r="AC19" i="32"/>
  <c r="AD19" i="32"/>
  <c r="AE19" i="32"/>
  <c r="AF19" i="32"/>
  <c r="AG19" i="32"/>
  <c r="AH19" i="32"/>
  <c r="AI19" i="32"/>
  <c r="AJ19" i="32"/>
  <c r="AK19" i="32"/>
  <c r="AL19" i="32"/>
  <c r="AM19" i="32"/>
  <c r="AN19" i="32"/>
  <c r="AO19" i="32"/>
  <c r="AP19" i="32"/>
  <c r="AQ19" i="32"/>
  <c r="AR19" i="32"/>
  <c r="D7" i="32"/>
  <c r="E7" i="32"/>
  <c r="F7" i="32"/>
  <c r="G7" i="32"/>
  <c r="H7" i="32"/>
  <c r="I7" i="32"/>
  <c r="J7" i="32"/>
  <c r="K7" i="32"/>
  <c r="L7" i="32"/>
  <c r="M7" i="32"/>
  <c r="N7" i="32"/>
  <c r="O7" i="32"/>
  <c r="P7" i="32"/>
  <c r="Q7" i="32"/>
  <c r="R7" i="32"/>
  <c r="S7" i="32"/>
  <c r="T7" i="32"/>
  <c r="U7" i="32"/>
  <c r="V7" i="32"/>
  <c r="W7" i="32"/>
  <c r="C7" i="32"/>
  <c r="B7" i="38"/>
  <c r="B2" i="17" l="1"/>
  <c r="B2" i="18" s="1"/>
  <c r="B27" i="38"/>
  <c r="B35" i="38"/>
  <c r="B24" i="38"/>
  <c r="B37" i="38"/>
  <c r="J4" i="17"/>
  <c r="J4" i="18" s="1"/>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H2" i="17" l="1"/>
  <c r="H2" i="18" s="1"/>
  <c r="J2" i="17"/>
  <c r="J2" i="18" s="1"/>
  <c r="D2" i="17"/>
  <c r="D2" i="18" s="1"/>
  <c r="E2" i="17"/>
  <c r="E2" i="18" s="1"/>
  <c r="F2" i="17"/>
  <c r="F2" i="18" s="1"/>
  <c r="C2" i="17"/>
  <c r="C2" i="18" s="1"/>
  <c r="I2" i="17"/>
  <c r="I2" i="18" s="1"/>
  <c r="G2" i="17"/>
  <c r="G2" i="18" s="1"/>
  <c r="K4" i="17"/>
  <c r="K4" i="18" s="1"/>
  <c r="C7" i="16"/>
  <c r="L4" i="17" l="1"/>
  <c r="L4" i="18" s="1"/>
  <c r="K2" i="17"/>
  <c r="K2" i="18" s="1"/>
  <c r="Y7" i="16"/>
  <c r="X7" i="16"/>
  <c r="P7" i="16"/>
  <c r="L7" i="16"/>
  <c r="AH7" i="16"/>
  <c r="AD7" i="16"/>
  <c r="Z7" i="16"/>
  <c r="V7" i="16"/>
  <c r="R7" i="16"/>
  <c r="N7" i="16"/>
  <c r="J7" i="16"/>
  <c r="F7" i="16"/>
  <c r="AC7" i="16"/>
  <c r="Q7" i="16"/>
  <c r="M7" i="16"/>
  <c r="I7" i="16"/>
  <c r="E7" i="16"/>
  <c r="D7" i="16"/>
  <c r="AG7" i="16"/>
  <c r="U7" i="16"/>
  <c r="AF7" i="16"/>
  <c r="AB7" i="16"/>
  <c r="T7" i="16"/>
  <c r="H7" i="16"/>
  <c r="AI7" i="16"/>
  <c r="AE7" i="16"/>
  <c r="AA7" i="16"/>
  <c r="W7" i="16"/>
  <c r="S7" i="16"/>
  <c r="O7" i="16"/>
  <c r="K7" i="16"/>
  <c r="G7" i="16"/>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I7" i="12"/>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M4" i="17" l="1"/>
  <c r="M4" i="18" s="1"/>
  <c r="L2" i="17"/>
  <c r="L2" i="18" s="1"/>
  <c r="D7" i="12"/>
  <c r="H7" i="12"/>
  <c r="L7" i="12"/>
  <c r="P7" i="12"/>
  <c r="T7" i="12"/>
  <c r="X7" i="12"/>
  <c r="AB7" i="12"/>
  <c r="AF7" i="12"/>
  <c r="E7" i="12"/>
  <c r="I7" i="12"/>
  <c r="M7" i="12"/>
  <c r="Q7" i="12"/>
  <c r="U7" i="12"/>
  <c r="Y7" i="12"/>
  <c r="AC7" i="12"/>
  <c r="AG7" i="12"/>
  <c r="J7" i="12"/>
  <c r="N7" i="12"/>
  <c r="R7" i="12"/>
  <c r="V7" i="12"/>
  <c r="Z7" i="12"/>
  <c r="AD7" i="12"/>
  <c r="AH7" i="12"/>
  <c r="F7" i="12"/>
  <c r="C7" i="12"/>
  <c r="G7" i="12"/>
  <c r="K7" i="12"/>
  <c r="O7" i="12"/>
  <c r="S7" i="12"/>
  <c r="W7" i="12"/>
  <c r="AA7" i="12"/>
  <c r="AE7" i="12"/>
  <c r="N4" i="17" l="1"/>
  <c r="N4" i="18" s="1"/>
  <c r="M2" i="17"/>
  <c r="M2" i="18" s="1"/>
  <c r="O4" i="17" l="1"/>
  <c r="O4" i="18" s="1"/>
  <c r="N2" i="17"/>
  <c r="N2" i="18" s="1"/>
  <c r="P4" i="17" l="1"/>
  <c r="P4" i="18" s="1"/>
  <c r="O2" i="17"/>
  <c r="O2" i="18" s="1"/>
  <c r="P2" i="17" l="1"/>
  <c r="P2" i="18" s="1"/>
  <c r="Q4" i="17"/>
  <c r="Q4" i="18" s="1"/>
  <c r="R4" i="17" l="1"/>
  <c r="R4" i="18" s="1"/>
  <c r="Q2" i="17"/>
  <c r="Q2" i="18" s="1"/>
  <c r="R2" i="17" l="1"/>
  <c r="R2" i="18" s="1"/>
  <c r="S4" i="17"/>
  <c r="S4" i="18" s="1"/>
  <c r="T4" i="17" l="1"/>
  <c r="T4" i="18" s="1"/>
  <c r="S2" i="17"/>
  <c r="S2" i="18" s="1"/>
  <c r="U4" i="17" l="1"/>
  <c r="U4" i="18" s="1"/>
  <c r="T2" i="17"/>
  <c r="T2" i="18" s="1"/>
  <c r="U2" i="17" l="1"/>
  <c r="U2" i="18" s="1"/>
  <c r="V4" i="17"/>
  <c r="V4" i="18" s="1"/>
  <c r="W4" i="17" l="1"/>
  <c r="W4" i="18" s="1"/>
  <c r="V2" i="17"/>
  <c r="V2" i="18" s="1"/>
  <c r="X4" i="17" l="1"/>
  <c r="X4" i="18" s="1"/>
  <c r="W2" i="17"/>
  <c r="W2" i="18" s="1"/>
  <c r="X2" i="17" l="1"/>
  <c r="X2" i="18" s="1"/>
  <c r="Y4" i="17"/>
  <c r="Y4" i="18" s="1"/>
  <c r="Y2" i="17" l="1"/>
  <c r="Y2" i="18" s="1"/>
  <c r="Z4" i="17"/>
  <c r="Z4" i="18" s="1"/>
  <c r="Z2" i="17" l="1"/>
  <c r="Z2" i="18" s="1"/>
  <c r="AA4" i="17"/>
  <c r="AA4" i="18" s="1"/>
  <c r="AB4" i="17" l="1"/>
  <c r="AB4" i="18" s="1"/>
  <c r="AA2" i="17"/>
  <c r="AA2" i="18" s="1"/>
  <c r="AC4" i="17" l="1"/>
  <c r="AC4" i="18" s="1"/>
  <c r="AB2" i="17"/>
  <c r="AB2" i="18" s="1"/>
  <c r="AD4" i="17" l="1"/>
  <c r="AD4" i="18" s="1"/>
  <c r="AC2" i="17"/>
  <c r="AC2" i="18" s="1"/>
  <c r="AE4" i="17" l="1"/>
  <c r="AE4" i="18" s="1"/>
  <c r="AD2" i="17"/>
  <c r="AD2" i="18" s="1"/>
  <c r="AF4" i="17" l="1"/>
  <c r="AF4" i="18" s="1"/>
  <c r="AE2" i="17"/>
  <c r="AE2" i="18" s="1"/>
  <c r="AF2" i="17" l="1"/>
  <c r="AF2" i="18" s="1"/>
  <c r="AG4" i="17"/>
  <c r="AG4" i="18" s="1"/>
  <c r="AG2" i="17" l="1"/>
  <c r="AG2" i="18" s="1"/>
  <c r="AH4" i="17"/>
  <c r="AH4" i="18" s="1"/>
  <c r="AH2" i="17" l="1"/>
  <c r="AH2" i="18" s="1"/>
  <c r="AI4" i="17"/>
  <c r="AI2" i="17" l="1"/>
  <c r="AI2" i="18" s="1"/>
  <c r="AI4" i="18"/>
</calcChain>
</file>

<file path=xl/sharedStrings.xml><?xml version="1.0" encoding="utf-8"?>
<sst xmlns="http://schemas.openxmlformats.org/spreadsheetml/2006/main" count="700" uniqueCount="431">
  <si>
    <t>battery electric vehicle</t>
  </si>
  <si>
    <t>natural gas vehicle</t>
  </si>
  <si>
    <t>gasoline vehicle</t>
  </si>
  <si>
    <t>diesel vehicle</t>
  </si>
  <si>
    <t>plugin hybrid vehicle</t>
  </si>
  <si>
    <t>nonroad vehicle</t>
  </si>
  <si>
    <t>Notes</t>
  </si>
  <si>
    <t>aircraft</t>
  </si>
  <si>
    <t>rail</t>
  </si>
  <si>
    <t>ships</t>
  </si>
  <si>
    <t>motorbikes</t>
  </si>
  <si>
    <t>BNVP BAU New Vehicle Price</t>
  </si>
  <si>
    <t>Sources:</t>
  </si>
  <si>
    <t>Any vehicle types / cargo type / technology combinations that cannot exist</t>
  </si>
  <si>
    <t>(defined as having zero for all years in the variable MPNVbT) are assigned a</t>
  </si>
  <si>
    <t>price of zero in this variable.</t>
  </si>
  <si>
    <t>See "cpi.xlsx" in the InputData folder for source information.</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</si>
  <si>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</si>
  <si>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</si>
  <si>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</si>
  <si>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</si>
  <si>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</si>
  <si>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</si>
  <si>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</si>
  <si>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</si>
  <si>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</si>
  <si>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</si>
  <si>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</si>
  <si>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</si>
  <si>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</si>
  <si>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</si>
  <si>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</si>
  <si>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</si>
  <si>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</si>
  <si>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</si>
  <si>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</si>
  <si>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</si>
  <si>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</si>
  <si>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</si>
  <si>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</si>
  <si>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</si>
  <si>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</si>
  <si>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</si>
  <si>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</si>
  <si>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</si>
  <si>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</si>
  <si>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</si>
  <si>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</si>
  <si>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</si>
  <si>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</si>
  <si>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</si>
  <si>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</si>
  <si>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</si>
  <si>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</si>
  <si>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</si>
  <si>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</si>
  <si>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</si>
  <si>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</si>
  <si>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</si>
  <si>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</si>
  <si>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</si>
  <si>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2016 to 2012, for AEO 2017</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</si>
  <si>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</si>
  <si>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</si>
  <si>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</si>
  <si>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</si>
  <si>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</si>
  <si>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Bob Tita and James Hagerty, The Wall Street Journal</t>
  </si>
  <si>
    <t>Caterpillar Falls Behind GE in Locomotives Race</t>
  </si>
  <si>
    <t>http://www.wsj.com/articles/caterpillar-falls-behind-ge-in-locomotives-race-1405291739</t>
  </si>
  <si>
    <t>Paragraph 5</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</si>
  <si>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</si>
  <si>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</si>
  <si>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</si>
  <si>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</si>
  <si>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</si>
  <si>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entire train).  We use the same price for passenger and freight locomotives.</t>
  </si>
  <si>
    <t>We assume the price does not change with time.</t>
  </si>
  <si>
    <t>rail (locomotive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</si>
  <si>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</si>
  <si>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</si>
  <si>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</si>
  <si>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</si>
  <si>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</si>
  <si>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</si>
  <si>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</si>
  <si>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</si>
  <si>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</si>
  <si>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</si>
  <si>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</si>
  <si>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</si>
  <si>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</si>
  <si>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</si>
  <si>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</si>
  <si>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</si>
  <si>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</si>
  <si>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</si>
  <si>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</si>
  <si>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</si>
  <si>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</si>
  <si>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</si>
  <si>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</si>
  <si>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</si>
  <si>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</si>
  <si>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</si>
  <si>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</si>
  <si>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</si>
  <si>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</si>
  <si>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</si>
  <si>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</si>
  <si>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</si>
  <si>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</si>
  <si>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</si>
  <si>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</si>
  <si>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</si>
  <si>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</si>
  <si>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</si>
  <si>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</si>
  <si>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</si>
  <si>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</si>
  <si>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</si>
  <si>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</si>
  <si>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</si>
  <si>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</si>
  <si>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</si>
  <si>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</si>
  <si>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</si>
  <si>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</si>
  <si>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</si>
  <si>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</si>
  <si>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</si>
  <si>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</si>
  <si>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</si>
  <si>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</si>
  <si>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</si>
  <si>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</si>
  <si>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</si>
  <si>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</si>
  <si>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</si>
  <si>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</si>
  <si>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</si>
  <si>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Baseline MDV-Gasoline</t>
  </si>
  <si>
    <t>Reference MDV-Gasoline</t>
  </si>
  <si>
    <t>Reference MDV-Diesel</t>
  </si>
  <si>
    <t>Battery Electric MDV</t>
  </si>
  <si>
    <t xml:space="preserve"> </t>
  </si>
  <si>
    <t>Reference Diesel HDV</t>
  </si>
  <si>
    <t>Reference CNG HDV</t>
  </si>
  <si>
    <t>Baseline MDV-Diesel</t>
  </si>
  <si>
    <t>LNG MDV</t>
  </si>
  <si>
    <t>CNG MDV</t>
  </si>
  <si>
    <t>Diesel Hybrid MDV</t>
  </si>
  <si>
    <t>Hydrogen FC MDV</t>
  </si>
  <si>
    <t>SP MDV Gasoline</t>
  </si>
  <si>
    <t>SP MDV Diesel</t>
  </si>
  <si>
    <t>SP MDV CNG</t>
  </si>
  <si>
    <t>SP MDV Hydrogen FCV</t>
  </si>
  <si>
    <t>SP MDV Battery Electric</t>
  </si>
  <si>
    <t>Reference Gasoline LDV</t>
  </si>
  <si>
    <t>Baseline Gasoline LDV</t>
  </si>
  <si>
    <t>PHEV25</t>
  </si>
  <si>
    <t>BEV</t>
  </si>
  <si>
    <t>Pipeline Gas Fuel Cell</t>
  </si>
  <si>
    <t>Hydrogen Fuel Cell</t>
  </si>
  <si>
    <t>CNG</t>
  </si>
  <si>
    <t>PHEV50</t>
  </si>
  <si>
    <t>PHEV40</t>
  </si>
  <si>
    <t>SP Gasoline LDV</t>
  </si>
  <si>
    <t>SP PHEV25</t>
  </si>
  <si>
    <t>Autos</t>
  </si>
  <si>
    <t>Truck</t>
  </si>
  <si>
    <t>% autos</t>
  </si>
  <si>
    <t>% light truck</t>
  </si>
  <si>
    <t>These highlighted data are interpolated, extrapolated, or backcasted</t>
  </si>
  <si>
    <t>composite LDV price</t>
  </si>
  <si>
    <t xml:space="preserve">Not just "in use" technologies but all technologies.  </t>
  </si>
  <si>
    <t>"In use" technologies</t>
  </si>
  <si>
    <t xml:space="preserve">Use "in use" for time series where possible and fill in the blanks through estimation otherwise. </t>
  </si>
  <si>
    <t>Below image shows location of "in use"</t>
  </si>
  <si>
    <t xml:space="preserve">Vintage cost at lower left is where the larger set of vehicles is covered. </t>
  </si>
  <si>
    <t>additional techs not selected</t>
  </si>
  <si>
    <t>Baseline Diesel HDV</t>
  </si>
  <si>
    <t>Reference LNG HDV</t>
  </si>
  <si>
    <t>Hybrid Diesel HDV</t>
  </si>
  <si>
    <t>Hyrogen FCV HDV</t>
  </si>
  <si>
    <t>Hybrid LNG</t>
  </si>
  <si>
    <t>SP HDV Diesel</t>
  </si>
  <si>
    <t>SP HDV CNG</t>
  </si>
  <si>
    <t>SP HDV Hydrogen FCV</t>
  </si>
  <si>
    <t>SP HDV Battery Electric</t>
  </si>
  <si>
    <t>"In use"</t>
  </si>
  <si>
    <t>Full set of techs</t>
  </si>
  <si>
    <t>As elsewhere, mapping from Pathways to EPS for vehicles as follows</t>
  </si>
  <si>
    <t xml:space="preserve">LDV </t>
  </si>
  <si>
    <t>LDV Passenger</t>
  </si>
  <si>
    <t>MDV</t>
  </si>
  <si>
    <t>LDV Freight</t>
  </si>
  <si>
    <t>HDV</t>
  </si>
  <si>
    <t>Bus</t>
  </si>
  <si>
    <t>HDV Passenger</t>
  </si>
  <si>
    <t>HDV Freight</t>
  </si>
  <si>
    <t>Data from E3 pathways model for motor vehicles</t>
  </si>
  <si>
    <t>Offroad vehicles</t>
  </si>
  <si>
    <t>Gasoline Bus</t>
  </si>
  <si>
    <t>Diesel Bus</t>
  </si>
  <si>
    <t>CNG Bus</t>
  </si>
  <si>
    <t>LNG Bus</t>
  </si>
  <si>
    <t>Diesel Hybrid Bus</t>
  </si>
  <si>
    <t>BEV Bus</t>
  </si>
  <si>
    <t>Tech Placeholder 2</t>
  </si>
  <si>
    <t>Tech Placeholder 3</t>
  </si>
  <si>
    <t>Tech Placeholder 4</t>
  </si>
  <si>
    <t>"Tech inputs"</t>
  </si>
  <si>
    <t>"In use technology"</t>
  </si>
  <si>
    <t>BEV bus</t>
  </si>
  <si>
    <t xml:space="preserve">"In use technology" fills out some of the time series, but still need to forecast forward for BEV and Hybrid, shown in highlighted cells. </t>
  </si>
  <si>
    <t xml:space="preserve">Diesel Buses achieve slightly better efficiency, but only by a marginal amount.  </t>
  </si>
  <si>
    <t xml:space="preserve">It may be that gasoline buses are fundamentally different, i.e. school buses vs. transit. </t>
  </si>
  <si>
    <t>Our model would not account for this difference.</t>
  </si>
  <si>
    <t>For a more realistic comparison of gasoline vs. diesel buses that represents vehicles that are similar other than the engine, we substitute the diesel price for the gas price one might infer from the E3 data (i.e. $101953 in 2011)</t>
  </si>
  <si>
    <t>BAU data show only CNG vehicles after 2016, so use that as the natural gas price</t>
  </si>
  <si>
    <t>Shaded areas are interpolated or extrapolated to smooth prices where data are missing</t>
  </si>
  <si>
    <t>SP labels indicate prices in the "Scoping Plan scenario" -- showing no change</t>
  </si>
  <si>
    <t>A linear trend is used to interpolate between data points.</t>
  </si>
  <si>
    <t>incremental difference for linear trend</t>
  </si>
  <si>
    <t>TRUCK</t>
  </si>
  <si>
    <t>AUTO</t>
  </si>
  <si>
    <t>We use the PHEV values, which are the most well developed (i.e. the others are not a complete time series), typically for the PHEV25 model</t>
  </si>
  <si>
    <t>US model documentation carried over for now</t>
  </si>
  <si>
    <t>LDV psgr</t>
  </si>
  <si>
    <t>HDVS psg</t>
  </si>
  <si>
    <t>Why would diesel buses ever be purchased if E3 data, showing gasoline buses at 20% of diesel cost, are true?</t>
  </si>
  <si>
    <t>For a more realistic comparison of gasoline vs. diesel buses that represents vehicles that are similar other than the engine, we substitute the diesel price for the gas price one might infer from the E3 data (i.e. $101953 in 2011 is the sole gasoline price given)</t>
  </si>
  <si>
    <t>(2) PHEV50, PHEV40, PHEV25 are not explicitly defined in Pathways documentation.  We assume these numbers refer to the size of the battery.</t>
  </si>
  <si>
    <t xml:space="preserve">(1) Diesel Buses achieve slightly better efficiency, but only by a marginal amount.  </t>
  </si>
  <si>
    <t>Notes:</t>
  </si>
  <si>
    <t>(2) BAU data show only CNG vehicles after 2016, so use that as the natural gas price</t>
  </si>
  <si>
    <t>HDV freight</t>
  </si>
  <si>
    <t>Gasoline type not a realistic option, so we set this value at an arbitrarily high number (999,999)</t>
  </si>
  <si>
    <t>PHEV</t>
  </si>
  <si>
    <t>We adjust 2012 dollars to 2017 dollars using the following conversion factor:</t>
  </si>
  <si>
    <t>https://www.theicct.org/sites/default/files/publications/EU_vehicle_taxation_Report_20181214_0.pdf</t>
  </si>
  <si>
    <t>https://www.theicct.org/sites/default/files/publications/EV%20Evolving%20Incentives_white-paper_ICCT_nov2016.pdf</t>
  </si>
  <si>
    <t xml:space="preserve">(1) There are no diesel LDVs in the E3 data or expected in the California fleet due to air quality concerns.  </t>
  </si>
  <si>
    <t>However, the fact that the PHEV25 price is higher than full bEV for LDV autos seems to contradict this.</t>
  </si>
  <si>
    <t>"The largest determinant of electric vehicles’ purchase price and incremental cost over internal combustion vehicles is the cost of battery packs."</t>
  </si>
  <si>
    <t>https://www.ucsusa.org/clean-vehicles/electric-vehicles/electric-cars-battery-life-materials-cost</t>
  </si>
  <si>
    <t>See the following publictions</t>
  </si>
  <si>
    <t xml:space="preserve">Gasoline buses are fundamentally different, i.e. school buses vs. transit. </t>
  </si>
  <si>
    <t>Below are answers that were found before accounting for cost declines since model publication</t>
  </si>
  <si>
    <t>EIA also finds a similar price premium on the electric VW Golf, as stated below:</t>
  </si>
  <si>
    <t>An EV with a 100-mile range is projected to save around $385 annually in 2025 compared to a standard gasoline vehicle. These fuel savings come at an incremental vehicle price before tax credits of around $10,000.</t>
  </si>
  <si>
    <t>https://www.eia.gov/todayinenergy/detail.php?id=17211</t>
  </si>
  <si>
    <t>Year</t>
  </si>
  <si>
    <t>Method, in brief.</t>
  </si>
  <si>
    <t>Hold other vehicle attributes constant by looking at how much the battery adds to cost, and calculating the effect of electrification as a function of this.</t>
  </si>
  <si>
    <t xml:space="preserve">Battery cost is used as the determinant of the initial difference (2017 Start Year) in cost between electric and standard-fueled vehicles. </t>
  </si>
  <si>
    <t>https://evadoption.com/ev-statistics-of-the-week-range-price-and-battery-size-of-currently-available-in-the-us-bevs/</t>
  </si>
  <si>
    <t>https://www.sfchronicle.com/business/article/The-top-electric-car-in-California-is-not-a-Tesla-12717630.php</t>
  </si>
  <si>
    <t>Fiat 500</t>
  </si>
  <si>
    <t>Nissan Leaf</t>
  </si>
  <si>
    <t>VW Golf</t>
  </si>
  <si>
    <t>Battery pack size</t>
  </si>
  <si>
    <t>Price per kWh</t>
  </si>
  <si>
    <t>per kWh</t>
  </si>
  <si>
    <t>Tesla Battery cost</t>
  </si>
  <si>
    <t>Total</t>
  </si>
  <si>
    <t>California 2017 sales of Evs for top 6 models</t>
  </si>
  <si>
    <t>Fraction of sales</t>
  </si>
  <si>
    <t>Empirical 2017 sales are used to find empirically-based estimates of battery size and cost.</t>
  </si>
  <si>
    <t>Use the following data points to estimate battery cost</t>
  </si>
  <si>
    <t>This Union of Concerned Scientists piece states:</t>
  </si>
  <si>
    <t>When the first mass-market EVs were introduced in 2010, their battery packs cost an estimated $1,000 per kilowatt-hour (kWh).</t>
  </si>
  <si>
    <t xml:space="preserve"> Today, Tesla's Model 3 battery pack costs $190 per kWh, and General Motors’ 2017 Chevrolet Bolt battery pack is estimated to cost about $205 per kWh. </t>
  </si>
  <si>
    <t>Comparisons to other similar analysis</t>
  </si>
  <si>
    <t>The ICCT uses variants of same vehicle to isolate electrification costs in the same way the above calculations are carried out.</t>
  </si>
  <si>
    <t>1.  International Council on Clean Transportation</t>
  </si>
  <si>
    <t>2.  Energy Information Administration</t>
  </si>
  <si>
    <t>3.  Union of Concerned Scientists</t>
  </si>
  <si>
    <t>2017 data from Union of Concerned Scientists.</t>
  </si>
  <si>
    <t>Using Golf as an example, stating:</t>
  </si>
  <si>
    <t>GM Bolt</t>
  </si>
  <si>
    <t>Tesla Model S</t>
  </si>
  <si>
    <t>Tesla Model X</t>
  </si>
  <si>
    <t>In current dollars, import cars, on average, were less expensive than domestic cars until 1982.  Since then, import prices have more than tripled, while domestic prices have more than doubled (current dollars).</t>
  </si>
  <si>
    <t>Table 10.13</t>
  </si>
  <si>
    <t>Average Price of a New Car (Domestic and Import), 1970–2017</t>
  </si>
  <si>
    <r>
      <t>Domestic</t>
    </r>
    <r>
      <rPr>
        <vertAlign val="superscript"/>
        <sz val="10"/>
        <color indexed="8"/>
        <rFont val="Times New Roman"/>
        <family val="1"/>
      </rPr>
      <t>a</t>
    </r>
  </si>
  <si>
    <t>Import</t>
  </si>
  <si>
    <t xml:space="preserve">Current </t>
  </si>
  <si>
    <t>Constant 2017</t>
  </si>
  <si>
    <t>dollars</t>
  </si>
  <si>
    <r>
      <t>dollars</t>
    </r>
    <r>
      <rPr>
        <vertAlign val="superscript"/>
        <sz val="10"/>
        <color indexed="8"/>
        <rFont val="Times New Roman"/>
        <family val="1"/>
      </rPr>
      <t>b</t>
    </r>
  </si>
  <si>
    <t>Average annual percentage change</t>
  </si>
  <si>
    <t>1970–2017</t>
  </si>
  <si>
    <t>2007–2017</t>
  </si>
  <si>
    <r>
      <rPr>
        <b/>
        <sz val="10"/>
        <color indexed="8"/>
        <rFont val="Times New Roman"/>
        <family val="1"/>
      </rPr>
      <t>Note:</t>
    </r>
    <r>
      <rPr>
        <sz val="10"/>
        <color indexed="8"/>
        <rFont val="Times New Roman"/>
        <family val="1"/>
      </rPr>
      <t xml:space="preserve">  These data are based on an average car and do not include prices for pickups, vans, or sport utility vehicles.</t>
    </r>
  </si>
  <si>
    <t xml:space="preserve">Source:  </t>
  </si>
  <si>
    <r>
      <t xml:space="preserve">U.S. Department of Commerce, Bureau of Economic Analysis, </t>
    </r>
    <r>
      <rPr>
        <i/>
        <sz val="10"/>
        <color indexed="8"/>
        <rFont val="Times New Roman"/>
        <family val="1"/>
      </rPr>
      <t>Average Transaction Price per New Car</t>
    </r>
    <r>
      <rPr>
        <sz val="10"/>
        <color indexed="8"/>
        <rFont val="Times New Roman"/>
        <family val="1"/>
      </rPr>
      <t>, Washington, DC, 2018.  (Additional resources:  www.bea.gov)</t>
    </r>
  </si>
  <si>
    <r>
      <t xml:space="preserve">     a</t>
    </r>
    <r>
      <rPr>
        <sz val="10"/>
        <color indexed="8"/>
        <rFont val="Times New Roman"/>
        <family val="1"/>
      </rPr>
      <t xml:space="preserve"> Includes all vehicles produced in the United States regardless of manufacture.</t>
    </r>
  </si>
  <si>
    <r>
      <t xml:space="preserve">     b</t>
    </r>
    <r>
      <rPr>
        <sz val="10"/>
        <color indexed="8"/>
        <rFont val="Times New Roman"/>
        <family val="1"/>
      </rPr>
      <t xml:space="preserve"> Adjusted by the Consumer Price Inflation Index.</t>
    </r>
  </si>
  <si>
    <t>The average price of a new light truck grew 46% from 1990-2017 in constant dollars terms, and by 173% when not adjusted for inflation.  From the earliest available estimates in 2002, average prices for import light trucks were slightly higher than domestic prices until 2009.  By 2017, domestic light truck prices averaged nearly $5,000 higher than import prices.</t>
  </si>
  <si>
    <t>Table 10.14</t>
  </si>
  <si>
    <r>
      <t>Average Price of a New Light Truck</t>
    </r>
    <r>
      <rPr>
        <b/>
        <vertAlign val="superscript"/>
        <sz val="11"/>
        <color indexed="8"/>
        <rFont val="Times New Roman"/>
        <family val="1"/>
      </rPr>
      <t>a</t>
    </r>
    <r>
      <rPr>
        <b/>
        <sz val="11"/>
        <color indexed="8"/>
        <rFont val="Times New Roman"/>
        <family val="1"/>
      </rPr>
      <t xml:space="preserve"> (Domestic and Import), 1990-2017</t>
    </r>
  </si>
  <si>
    <r>
      <t>Domestic</t>
    </r>
    <r>
      <rPr>
        <vertAlign val="superscript"/>
        <sz val="10"/>
        <color indexed="8"/>
        <rFont val="Times New Roman"/>
        <family val="1"/>
      </rPr>
      <t>b</t>
    </r>
  </si>
  <si>
    <r>
      <t>dollars</t>
    </r>
    <r>
      <rPr>
        <vertAlign val="superscript"/>
        <sz val="10"/>
        <color indexed="8"/>
        <rFont val="Times New Roman"/>
        <family val="1"/>
      </rPr>
      <t>c</t>
    </r>
  </si>
  <si>
    <t>d</t>
  </si>
  <si>
    <t>U.S. Department of Commerce, Bureau of Economic Analysis, Underlying Detail, Motor Vehicle Output, August 2018 and Ward’s Communications, www.wardsauto.com.</t>
  </si>
  <si>
    <r>
      <t xml:space="preserve">     a</t>
    </r>
    <r>
      <rPr>
        <sz val="10"/>
        <color indexed="8"/>
        <rFont val="Times New Roman"/>
        <family val="1"/>
      </rPr>
      <t xml:space="preserve"> Light trucks in this table are 14,000 lb and less.</t>
    </r>
  </si>
  <si>
    <r>
      <t xml:space="preserve">     b </t>
    </r>
    <r>
      <rPr>
        <sz val="10"/>
        <color indexed="8"/>
        <rFont val="Times New Roman"/>
        <family val="1"/>
      </rPr>
      <t>Includes all vehicles produced in the United States regardless of manufacturer.</t>
    </r>
  </si>
  <si>
    <r>
      <t xml:space="preserve">     c</t>
    </r>
    <r>
      <rPr>
        <sz val="10"/>
        <color indexed="8"/>
        <rFont val="Times New Roman"/>
        <family val="1"/>
      </rPr>
      <t xml:space="preserve"> Adjusted by the Consumer Price Inflation Index.</t>
    </r>
  </si>
  <si>
    <r>
      <t xml:space="preserve">   </t>
    </r>
    <r>
      <rPr>
        <vertAlign val="superscript"/>
        <sz val="10"/>
        <color indexed="8"/>
        <rFont val="Times New Roman"/>
        <family val="1"/>
      </rPr>
      <t>d</t>
    </r>
    <r>
      <rPr>
        <sz val="10"/>
        <color indexed="8"/>
        <rFont val="Times New Roman"/>
        <family val="1"/>
      </rPr>
      <t xml:space="preserve"> Data are not available.</t>
    </r>
  </si>
  <si>
    <t>Transportation Data Book, 2019</t>
  </si>
  <si>
    <t>Oak Ridge National Lab</t>
  </si>
  <si>
    <t>https://cta.ornl.gov/data/search.html</t>
  </si>
  <si>
    <t>Without Tesla X</t>
  </si>
  <si>
    <t>Sales weighted average - With Tesla X</t>
  </si>
  <si>
    <t>Fraction of sales without Tesla model X for use in share of cost variable</t>
  </si>
  <si>
    <t>Data point for battery cost</t>
  </si>
  <si>
    <t>GM/Bolt Battery cost</t>
  </si>
  <si>
    <t>EV sales in California in 2017</t>
  </si>
  <si>
    <t>Data for California sales in 2017</t>
  </si>
  <si>
    <t>Data for battery sizes in 2017  vehicles</t>
  </si>
  <si>
    <t>**For both Tesla Model S and Model X, assume equal sales across the three types of configurations, resulting in an average battery size of 91.67 kW</t>
  </si>
  <si>
    <t>SF Chronicle</t>
  </si>
  <si>
    <t>Evadoption.com</t>
  </si>
  <si>
    <t>Calculation in 3 steps</t>
  </si>
  <si>
    <t>For PHEV</t>
  </si>
  <si>
    <t>Addendeum step for PHEV because these vehicles are not currently looped in for endogenous learning or incentive effects.</t>
  </si>
  <si>
    <t>Time (Year)</t>
  </si>
  <si>
    <t>"This Year Battery Cost as Fraction of First Year Battery Cost"  Runs:</t>
  </si>
  <si>
    <t>NoSettings</t>
  </si>
  <si>
    <t>This Year Battery Cost as Fraction of First Year Battery Cost</t>
  </si>
  <si>
    <t>Add in endogenous learning with BAU global deployment.  This does not count additional innovation due to strong California policy beyond BAU.</t>
  </si>
  <si>
    <t>Imputed PHEV price taking innovation into account</t>
  </si>
  <si>
    <t>Share of 100-mile range versus 200-mile range or greater vehicles.</t>
  </si>
  <si>
    <t>EPIC Final Report | Project 1.25 DC Fast Charging Mapping</t>
  </si>
  <si>
    <t>Electric Program Investment Charge (EPIC)</t>
  </si>
  <si>
    <t>Report for Pacific Gas and Electric</t>
  </si>
  <si>
    <t>BEV 200</t>
  </si>
  <si>
    <t>BEV 100</t>
  </si>
  <si>
    <t>https://www.pge.com/pge_global/common/pdfs/about-pge/environment/what-we-are-doing/electric-program-investment-charge/EPIC-1.25.pdf</t>
  </si>
  <si>
    <t xml:space="preserve">This report shows 100-mile BEVs dominating.  </t>
  </si>
  <si>
    <t xml:space="preserve">AEO forecasts also show smaller range BEVs as the main type in the coming decade. </t>
  </si>
  <si>
    <t>Other OEM battery cost assumed $240</t>
  </si>
  <si>
    <t>Empirical data on battery size and cost</t>
  </si>
  <si>
    <t>sub 100</t>
  </si>
  <si>
    <t>https://www.nada.org/WorkArea/DownloadAsset.aspx?id=21474853735</t>
  </si>
  <si>
    <t>National auto dealers association</t>
  </si>
  <si>
    <t>Fractions within  car or truck</t>
  </si>
  <si>
    <t>car</t>
  </si>
  <si>
    <t>small</t>
  </si>
  <si>
    <t>mid</t>
  </si>
  <si>
    <t>large</t>
  </si>
  <si>
    <t>truck</t>
  </si>
  <si>
    <t>pickup</t>
  </si>
  <si>
    <t>crossover</t>
  </si>
  <si>
    <t>SUV</t>
  </si>
  <si>
    <t>(don’t have value for van, so exclude)</t>
  </si>
  <si>
    <t>(luxury assumed to span types, so exclude)</t>
  </si>
  <si>
    <t>subtotal</t>
  </si>
  <si>
    <t xml:space="preserve">share of cars </t>
  </si>
  <si>
    <t>Market Beat</t>
  </si>
  <si>
    <t>National Auto Dealers Association</t>
  </si>
  <si>
    <t>California Dealers Association Data do not provide this level of specificity at the segment level.</t>
  </si>
  <si>
    <t>Cal dealers association</t>
  </si>
  <si>
    <t>use national data to scale down to smaller segments</t>
  </si>
  <si>
    <t>large or medium</t>
  </si>
  <si>
    <t>Use the following data to estimate sales by segment.</t>
  </si>
  <si>
    <t>Market shares</t>
  </si>
  <si>
    <t>battey size</t>
  </si>
  <si>
    <t>BEV 100 truck avg</t>
  </si>
  <si>
    <t>BEV car 200 avg</t>
  </si>
  <si>
    <t>BEV 100 car avg</t>
  </si>
  <si>
    <t>Tesla and Bolt dominating sales.</t>
  </si>
  <si>
    <t xml:space="preserve">Sales weighted </t>
  </si>
  <si>
    <t>Use their battery costs to determine incremental cost impacts plus a portio for Nissan and VW represented by market average, pegged at $50 above market leaders, as Ricardo estimates below.</t>
  </si>
  <si>
    <t>Resulting estimated cost in 2017</t>
  </si>
  <si>
    <t>Also identify share of car vs. turck (continuing focus on non-SUV)</t>
  </si>
  <si>
    <t xml:space="preserve"> Technology Type</t>
  </si>
  <si>
    <t>New Car Sales 1/</t>
  </si>
  <si>
    <t xml:space="preserve">   100 Mile Electric Vehicle</t>
  </si>
  <si>
    <t xml:space="preserve">   200 Mile Electric Vehicle</t>
  </si>
  <si>
    <t>AEO 2019 forecast - table 39.9 (pacific region new LDV sales)</t>
  </si>
  <si>
    <t xml:space="preserve"> Alternative-Fuel Light Trucks</t>
  </si>
  <si>
    <t>Trucks</t>
  </si>
  <si>
    <t>cars</t>
  </si>
  <si>
    <t>Cars</t>
  </si>
  <si>
    <t>battery size</t>
  </si>
  <si>
    <t>battery cost</t>
  </si>
  <si>
    <t>BEV 200 car avg</t>
  </si>
  <si>
    <t>BEV 200 truck avg</t>
  </si>
  <si>
    <t>weighted average cost</t>
  </si>
  <si>
    <t>Tesla share</t>
  </si>
  <si>
    <t>GM share</t>
  </si>
  <si>
    <t>remainder</t>
  </si>
  <si>
    <t>2017 estimate</t>
  </si>
  <si>
    <t>https://www.nature.com/articles/nenergy2017125.pdf</t>
  </si>
  <si>
    <t>"Energy storage deployment and innovation for the clean energy transition"</t>
  </si>
  <si>
    <t>Take the average of the estimated Tesla and GM Bolt prices.</t>
  </si>
  <si>
    <t>estimated battery price</t>
  </si>
  <si>
    <t>We use the AEO ratio</t>
  </si>
  <si>
    <t xml:space="preserve">shares per AEO </t>
  </si>
  <si>
    <t>Ricardo finds more BEVs of 100 miles range, as shown below, through 2025.</t>
  </si>
  <si>
    <t>adjusted car share as an intermediate value between AOE and Ricardo</t>
  </si>
  <si>
    <t>share of truck sales</t>
  </si>
  <si>
    <t>for cars alone</t>
  </si>
  <si>
    <t>2017 Battery Cost</t>
  </si>
  <si>
    <t>car shares</t>
  </si>
  <si>
    <t>Ricardo pegs industry average as $50 per unit above market leader.</t>
  </si>
  <si>
    <t>First average incremental cost</t>
  </si>
  <si>
    <t>Based on different required battery sizes by vehicle segments and expected sales, estimate incremental cost</t>
  </si>
  <si>
    <t>From Ricardo /EPIC</t>
  </si>
  <si>
    <t>trucks</t>
  </si>
  <si>
    <t>average price</t>
  </si>
  <si>
    <t>total</t>
  </si>
  <si>
    <t>LDV</t>
  </si>
  <si>
    <t>BEV LDV price</t>
  </si>
  <si>
    <t>Share</t>
  </si>
  <si>
    <t>Use change in composite price over time to adjust the more current LDV price over time</t>
  </si>
  <si>
    <t xml:space="preserve">Updated </t>
  </si>
  <si>
    <t>change from previous year</t>
  </si>
  <si>
    <t>BEV battery cost on average for LDV</t>
  </si>
  <si>
    <t>PHEV 40</t>
  </si>
  <si>
    <t>PHEV truck</t>
  </si>
  <si>
    <t>PHEV Car</t>
  </si>
  <si>
    <t>as fractions of overall LDV</t>
  </si>
  <si>
    <t>car %</t>
  </si>
  <si>
    <t>truck %</t>
  </si>
  <si>
    <t>overall PHEV size</t>
  </si>
  <si>
    <t>PHEV battery price decline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</si>
</sst>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0%"/>
    <numFmt numFmtId="168" formatCode="0.0000"/>
    <numFmt numFmtId="169" formatCode="#,##0.0"/>
  </numFmts>
  <fonts count="22"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sz val="11"/>
      <name val="Calibri"/>
      <family val="2"/>
      <scheme val="minor"/>
    </font>
    <font>
      <u/>
      <sz val="11"/>
      <color theme="10"/>
      <name val="Calibri"/>
      <family val="2"/>
      <scheme val="minor"/>
    </font>
    <font>
      <b/>
      <sz val="12"/>
      <color rgb="FF777777"/>
      <name val="Arial"/>
      <family val="2"/>
    </font>
    <font>
      <sz val="10"/>
      <color theme="1"/>
      <name val="Times New Roman"/>
      <family val="1"/>
    </font>
    <font>
      <i/>
      <sz val="10"/>
      <color theme="1"/>
      <name val="Times New Roman"/>
      <family val="1"/>
    </font>
    <font>
      <b/>
      <sz val="11"/>
      <color theme="1"/>
      <name val="Times New Roman"/>
      <family val="1"/>
    </font>
    <font>
      <vertAlign val="superscript"/>
      <sz val="10"/>
      <color indexed="8"/>
      <name val="Times New Roman"/>
      <family val="1"/>
    </font>
    <font>
      <sz val="10"/>
      <name val="Times New Roman"/>
      <family val="1"/>
    </font>
    <font>
      <sz val="10"/>
      <color indexed="8"/>
      <name val="Times New Roman"/>
      <family val="1"/>
    </font>
    <font>
      <b/>
      <sz val="10"/>
      <color indexed="8"/>
      <name val="Times New Roman"/>
      <family val="1"/>
    </font>
    <font>
      <b/>
      <sz val="10"/>
      <color theme="1"/>
      <name val="Times New Roman"/>
      <family val="1"/>
    </font>
    <font>
      <i/>
      <sz val="10"/>
      <color indexed="8"/>
      <name val="Times New Roman"/>
      <family val="1"/>
    </font>
    <font>
      <vertAlign val="superscript"/>
      <sz val="10"/>
      <color theme="1"/>
      <name val="Times New Roman"/>
      <family val="1"/>
    </font>
    <font>
      <b/>
      <sz val="11"/>
      <color indexed="8"/>
      <name val="Times New Roman"/>
      <family val="1"/>
    </font>
    <font>
      <b/>
      <vertAlign val="superscript"/>
      <sz val="11"/>
      <color indexed="8"/>
      <name val="Times New Roman"/>
      <family val="1"/>
    </font>
  </fonts>
  <fills count="1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s>
  <cellStyleXfs count="11">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43" fontId="6" fillId="0" borderId="0" applyFont="0" applyFill="0" applyBorder="0" applyAlignment="0" applyProtection="0"/>
    <xf numFmtId="0" fontId="8" fillId="0" borderId="0" applyNumberFormat="0" applyFill="0" applyBorder="0" applyAlignment="0" applyProtection="0"/>
  </cellStyleXfs>
  <cellXfs count="109">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164" fontId="0" fillId="0" borderId="0" xfId="8" applyNumberFormat="1" applyFont="1"/>
    <xf numFmtId="0" fontId="1" fillId="2" borderId="0" xfId="0" applyFont="1" applyFill="1" applyAlignment="1">
      <alignment horizontal="right"/>
    </xf>
    <xf numFmtId="0" fontId="0" fillId="3" borderId="0" xfId="0" applyFill="1"/>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1" fontId="0" fillId="0" borderId="0" xfId="0" applyNumberFormat="1"/>
    <xf numFmtId="6" fontId="0" fillId="0" borderId="0" xfId="0" applyNumberFormat="1"/>
    <xf numFmtId="8" fontId="0" fillId="0" borderId="0" xfId="0" applyNumberFormat="1"/>
    <xf numFmtId="0" fontId="0" fillId="5" borderId="0" xfId="0" applyFill="1"/>
    <xf numFmtId="6" fontId="0" fillId="5" borderId="0" xfId="0" applyNumberFormat="1" applyFill="1"/>
    <xf numFmtId="8" fontId="0" fillId="5" borderId="0" xfId="0" applyNumberFormat="1" applyFill="1"/>
    <xf numFmtId="165" fontId="0" fillId="0" borderId="0" xfId="9" applyNumberFormat="1" applyFont="1"/>
    <xf numFmtId="0" fontId="0" fillId="6" borderId="0" xfId="0" applyFill="1"/>
    <xf numFmtId="0" fontId="0" fillId="7" borderId="0" xfId="0" applyFill="1"/>
    <xf numFmtId="8" fontId="0" fillId="0" borderId="0" xfId="0" applyNumberFormat="1" applyAlignment="1">
      <alignment wrapText="1"/>
    </xf>
    <xf numFmtId="6" fontId="0" fillId="7" borderId="0" xfId="0" applyNumberFormat="1" applyFill="1"/>
    <xf numFmtId="0" fontId="0" fillId="0" borderId="0" xfId="0" applyAlignment="1">
      <alignment horizontal="right"/>
    </xf>
    <xf numFmtId="0" fontId="0" fillId="8" borderId="0" xfId="0" applyFill="1"/>
    <xf numFmtId="0" fontId="7" fillId="0" borderId="0" xfId="0" applyFont="1" applyFill="1"/>
    <xf numFmtId="0" fontId="0" fillId="10" borderId="0" xfId="0" applyFill="1"/>
    <xf numFmtId="1" fontId="7" fillId="9" borderId="0" xfId="0" applyNumberFormat="1" applyFont="1" applyFill="1"/>
    <xf numFmtId="2" fontId="0" fillId="0" borderId="0" xfId="0" applyNumberFormat="1"/>
    <xf numFmtId="0" fontId="8" fillId="0" borderId="0" xfId="10"/>
    <xf numFmtId="0" fontId="9" fillId="0" borderId="0" xfId="0" applyFont="1"/>
    <xf numFmtId="166" fontId="0" fillId="0" borderId="0" xfId="8" applyNumberFormat="1" applyFont="1"/>
    <xf numFmtId="0" fontId="10" fillId="0" borderId="0" xfId="0" applyFont="1"/>
    <xf numFmtId="0" fontId="10" fillId="0" borderId="9" xfId="0" applyFont="1" applyBorder="1" applyAlignment="1">
      <alignment horizontal="center" vertical="center"/>
    </xf>
    <xf numFmtId="0" fontId="10" fillId="0" borderId="9" xfId="0" applyFont="1" applyBorder="1"/>
    <xf numFmtId="0" fontId="10" fillId="0" borderId="0" xfId="0" applyFont="1" applyBorder="1"/>
    <xf numFmtId="0" fontId="10" fillId="0" borderId="0" xfId="0" applyFont="1" applyBorder="1" applyAlignment="1">
      <alignment horizontal="center" vertical="center"/>
    </xf>
    <xf numFmtId="0" fontId="10" fillId="0" borderId="11" xfId="0" applyFont="1" applyBorder="1" applyAlignment="1">
      <alignment horizontal="center" vertical="center"/>
    </xf>
    <xf numFmtId="3" fontId="10" fillId="0" borderId="0" xfId="0" applyNumberFormat="1" applyFont="1" applyBorder="1" applyAlignment="1">
      <alignment horizontal="right" vertical="center" indent="2"/>
    </xf>
    <xf numFmtId="3" fontId="10" fillId="0" borderId="0" xfId="0" applyNumberFormat="1" applyFont="1" applyBorder="1" applyAlignment="1">
      <alignment horizontal="center" vertical="center"/>
    </xf>
    <xf numFmtId="0" fontId="14" fillId="0" borderId="0" xfId="0" applyFont="1" applyFill="1" applyBorder="1" applyAlignment="1">
      <alignment horizontal="center"/>
    </xf>
    <xf numFmtId="3" fontId="14" fillId="0" borderId="0" xfId="0" applyNumberFormat="1" applyFont="1" applyFill="1" applyBorder="1" applyAlignment="1">
      <alignment horizontal="right" indent="2"/>
    </xf>
    <xf numFmtId="3" fontId="14" fillId="0" borderId="0" xfId="0" applyNumberFormat="1" applyFont="1" applyFill="1" applyBorder="1" applyAlignment="1">
      <alignment horizontal="center"/>
    </xf>
    <xf numFmtId="0" fontId="14" fillId="0" borderId="0" xfId="0" applyFont="1" applyFill="1" applyBorder="1"/>
    <xf numFmtId="0" fontId="10" fillId="0" borderId="0" xfId="0" applyFont="1" applyAlignment="1">
      <alignment horizontal="center" vertical="center"/>
    </xf>
    <xf numFmtId="3" fontId="10" fillId="0" borderId="0" xfId="0" applyNumberFormat="1" applyFont="1" applyAlignment="1">
      <alignment horizontal="right" vertical="center" indent="2"/>
    </xf>
    <xf numFmtId="3" fontId="10" fillId="0" borderId="0" xfId="0" applyNumberFormat="1" applyFont="1" applyAlignment="1">
      <alignment horizontal="center" vertical="center"/>
    </xf>
    <xf numFmtId="3" fontId="10" fillId="0" borderId="0" xfId="0" applyNumberFormat="1" applyFont="1"/>
    <xf numFmtId="0" fontId="10" fillId="0" borderId="0" xfId="0" applyFont="1" applyAlignment="1">
      <alignment vertical="center"/>
    </xf>
    <xf numFmtId="167" fontId="10" fillId="0" borderId="0" xfId="0" applyNumberFormat="1" applyFont="1" applyAlignment="1">
      <alignment horizontal="center" vertical="center"/>
    </xf>
    <xf numFmtId="167" fontId="10" fillId="0" borderId="0" xfId="0" applyNumberFormat="1" applyFont="1"/>
    <xf numFmtId="167" fontId="10" fillId="0" borderId="9" xfId="0" applyNumberFormat="1" applyFont="1" applyBorder="1" applyAlignment="1">
      <alignment horizontal="center" vertical="center"/>
    </xf>
    <xf numFmtId="0" fontId="17" fillId="0" borderId="0" xfId="0" applyFont="1" applyAlignment="1">
      <alignment vertical="center"/>
    </xf>
    <xf numFmtId="0" fontId="10" fillId="0" borderId="9" xfId="0" applyFont="1" applyBorder="1" applyAlignment="1">
      <alignment vertical="center"/>
    </xf>
    <xf numFmtId="0" fontId="19" fillId="0" borderId="0" xfId="0" applyFont="1" applyAlignment="1">
      <alignment vertical="center"/>
    </xf>
    <xf numFmtId="0" fontId="19" fillId="0" borderId="0" xfId="0" applyFont="1"/>
    <xf numFmtId="0" fontId="0" fillId="0" borderId="0" xfId="0"/>
    <xf numFmtId="0" fontId="0" fillId="0" borderId="0" xfId="0"/>
    <xf numFmtId="0" fontId="10" fillId="0" borderId="0" xfId="0" applyFont="1"/>
    <xf numFmtId="0" fontId="10" fillId="0" borderId="0" xfId="0" applyFont="1" applyAlignment="1">
      <alignment horizontal="center" vertical="center"/>
    </xf>
    <xf numFmtId="0" fontId="10" fillId="0" borderId="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xf numFmtId="3" fontId="10" fillId="0" borderId="0" xfId="0" applyNumberFormat="1" applyFont="1" applyAlignment="1">
      <alignment horizontal="right" vertical="center" indent="2"/>
    </xf>
    <xf numFmtId="3" fontId="10" fillId="0" borderId="0" xfId="0" applyNumberFormat="1" applyFont="1" applyAlignment="1">
      <alignment horizontal="center" vertical="center"/>
    </xf>
    <xf numFmtId="3" fontId="10" fillId="0" borderId="0" xfId="0" applyNumberFormat="1" applyFont="1"/>
    <xf numFmtId="0" fontId="10" fillId="0" borderId="0" xfId="0" applyFont="1" applyAlignment="1">
      <alignment vertical="center"/>
    </xf>
    <xf numFmtId="167" fontId="10" fillId="0" borderId="0" xfId="0" applyNumberFormat="1" applyFont="1" applyAlignment="1">
      <alignment horizontal="center" vertical="center"/>
    </xf>
    <xf numFmtId="167" fontId="10" fillId="0" borderId="0" xfId="0" applyNumberFormat="1" applyFont="1"/>
    <xf numFmtId="0" fontId="17" fillId="0" borderId="0" xfId="0" applyFont="1" applyAlignment="1">
      <alignment vertical="center"/>
    </xf>
    <xf numFmtId="0" fontId="10" fillId="0" borderId="9" xfId="0" applyFont="1" applyBorder="1" applyAlignment="1">
      <alignment vertical="center"/>
    </xf>
    <xf numFmtId="0" fontId="10" fillId="0" borderId="9" xfId="0" applyFont="1" applyBorder="1"/>
    <xf numFmtId="0" fontId="19" fillId="0" borderId="0" xfId="0" applyFont="1" applyAlignment="1">
      <alignment vertical="center"/>
    </xf>
    <xf numFmtId="0" fontId="19" fillId="0" borderId="0" xfId="0" applyFont="1"/>
    <xf numFmtId="0" fontId="10" fillId="0" borderId="9" xfId="0" applyFont="1" applyBorder="1" applyAlignment="1">
      <alignment horizontal="center" vertical="center"/>
    </xf>
    <xf numFmtId="167" fontId="10" fillId="0" borderId="9" xfId="0" applyNumberFormat="1" applyFont="1" applyBorder="1" applyAlignment="1">
      <alignment horizontal="center" vertical="center"/>
    </xf>
    <xf numFmtId="3" fontId="19" fillId="0" borderId="0" xfId="0" applyNumberFormat="1" applyFont="1" applyAlignment="1">
      <alignment horizontal="center" vertical="center"/>
    </xf>
    <xf numFmtId="168" fontId="0" fillId="0" borderId="0" xfId="0" applyNumberFormat="1"/>
    <xf numFmtId="0" fontId="1" fillId="0" borderId="0" xfId="0" applyFont="1" applyFill="1"/>
    <xf numFmtId="0" fontId="0" fillId="9" borderId="0" xfId="0" applyFill="1"/>
    <xf numFmtId="0" fontId="1" fillId="0" borderId="0" xfId="0" applyFont="1" applyAlignment="1">
      <alignment horizontal="left" vertical="top"/>
    </xf>
    <xf numFmtId="11" fontId="1" fillId="2" borderId="0" xfId="0" applyNumberFormat="1" applyFont="1" applyFill="1"/>
    <xf numFmtId="11" fontId="0" fillId="9" borderId="0" xfId="0" applyNumberFormat="1" applyFill="1"/>
    <xf numFmtId="11" fontId="1" fillId="0" borderId="0" xfId="0" applyNumberFormat="1" applyFont="1" applyFill="1"/>
    <xf numFmtId="0" fontId="1" fillId="10" borderId="0" xfId="0" applyFont="1" applyFill="1"/>
    <xf numFmtId="17" fontId="0" fillId="0" borderId="0" xfId="0" applyNumberFormat="1"/>
    <xf numFmtId="169" fontId="0" fillId="0" borderId="0" xfId="0" applyNumberFormat="1"/>
    <xf numFmtId="44" fontId="0" fillId="0" borderId="0" xfId="8" applyFont="1"/>
    <xf numFmtId="10" fontId="0" fillId="0" borderId="0" xfId="0" applyNumberFormat="1"/>
    <xf numFmtId="44" fontId="0" fillId="0" borderId="0" xfId="0" applyNumberFormat="1"/>
    <xf numFmtId="0" fontId="10" fillId="0" borderId="0" xfId="0" applyFont="1" applyAlignment="1">
      <alignment horizontal="left"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0" fillId="0" borderId="11" xfId="0" applyFont="1" applyBorder="1" applyAlignment="1">
      <alignment horizontal="center" vertical="center"/>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12" xfId="0" applyFont="1" applyBorder="1" applyAlignment="1">
      <alignment horizontal="left" vertical="center" wrapText="1"/>
    </xf>
    <xf numFmtId="0" fontId="11" fillId="0" borderId="0" xfId="0" applyFont="1" applyBorder="1" applyAlignment="1">
      <alignment horizontal="left" vertical="center" wrapText="1"/>
    </xf>
    <xf numFmtId="0" fontId="11" fillId="0" borderId="13"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0" fillId="0" borderId="0" xfId="0" applyFont="1" applyBorder="1" applyAlignment="1">
      <alignment horizontal="center" vertical="center"/>
    </xf>
    <xf numFmtId="0" fontId="15" fillId="0" borderId="0" xfId="0" applyFont="1" applyAlignment="1">
      <alignment horizontal="left" vertical="center" wrapText="1"/>
    </xf>
  </cellXfs>
  <cellStyles count="11">
    <cellStyle name="Body: normal cell" xfId="4"/>
    <cellStyle name="Comma" xfId="9" builtinId="3"/>
    <cellStyle name="Currency" xfId="8" builtinId="4"/>
    <cellStyle name="Font: Calibri, 9pt regular" xfId="6"/>
    <cellStyle name="Footnotes: top row" xfId="2"/>
    <cellStyle name="Header: bottom row" xfId="5"/>
    <cellStyle name="Hyperlink" xfId="10"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xdr:col>
      <xdr:colOff>985837</xdr:colOff>
      <xdr:row>33</xdr:row>
      <xdr:rowOff>114300</xdr:rowOff>
    </xdr:from>
    <xdr:to>
      <xdr:col>8</xdr:col>
      <xdr:colOff>552480</xdr:colOff>
      <xdr:row>48</xdr:row>
      <xdr:rowOff>123845</xdr:rowOff>
    </xdr:to>
    <xdr:pic>
      <xdr:nvPicPr>
        <xdr:cNvPr id="2" name="Picture 1"/>
        <xdr:cNvPicPr>
          <a:picLocks noChangeAspect="1"/>
        </xdr:cNvPicPr>
      </xdr:nvPicPr>
      <xdr:blipFill>
        <a:blip xmlns:r="http://schemas.openxmlformats.org/officeDocument/2006/relationships" r:embed="rId1"/>
        <a:stretch>
          <a:fillRect/>
        </a:stretch>
      </xdr:blipFill>
      <xdr:spPr>
        <a:xfrm>
          <a:off x="5653087" y="6629400"/>
          <a:ext cx="4276756" cy="2724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19</xdr:row>
      <xdr:rowOff>38100</xdr:rowOff>
    </xdr:from>
    <xdr:to>
      <xdr:col>10</xdr:col>
      <xdr:colOff>476250</xdr:colOff>
      <xdr:row>30</xdr:row>
      <xdr:rowOff>116917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52550" y="7219950"/>
          <a:ext cx="5219700" cy="2104467"/>
        </a:xfrm>
        <a:prstGeom prst="rect">
          <a:avLst/>
        </a:prstGeom>
      </xdr:spPr>
    </xdr:pic>
    <xdr:clientData/>
  </xdr:twoCellAnchor>
  <xdr:twoCellAnchor editAs="oneCell">
    <xdr:from>
      <xdr:col>0</xdr:col>
      <xdr:colOff>603250</xdr:colOff>
      <xdr:row>39</xdr:row>
      <xdr:rowOff>107950</xdr:rowOff>
    </xdr:from>
    <xdr:to>
      <xdr:col>9</xdr:col>
      <xdr:colOff>482930</xdr:colOff>
      <xdr:row>75</xdr:row>
      <xdr:rowOff>120991</xdr:rowOff>
    </xdr:to>
    <xdr:pic>
      <xdr:nvPicPr>
        <xdr:cNvPr id="3" name="Picture 2"/>
        <xdr:cNvPicPr>
          <a:picLocks noChangeAspect="1"/>
        </xdr:cNvPicPr>
      </xdr:nvPicPr>
      <xdr:blipFill>
        <a:blip xmlns:r="http://schemas.openxmlformats.org/officeDocument/2006/relationships" r:embed="rId2"/>
        <a:stretch>
          <a:fillRect/>
        </a:stretch>
      </xdr:blipFill>
      <xdr:spPr>
        <a:xfrm>
          <a:off x="603250" y="7473950"/>
          <a:ext cx="6420180" cy="66424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565150</xdr:colOff>
      <xdr:row>40</xdr:row>
      <xdr:rowOff>107950</xdr:rowOff>
    </xdr:from>
    <xdr:to>
      <xdr:col>4</xdr:col>
      <xdr:colOff>485843</xdr:colOff>
      <xdr:row>56</xdr:row>
      <xdr:rowOff>19050</xdr:rowOff>
    </xdr:to>
    <xdr:pic>
      <xdr:nvPicPr>
        <xdr:cNvPr id="3" name="Picture 2"/>
        <xdr:cNvPicPr>
          <a:picLocks noChangeAspect="1"/>
        </xdr:cNvPicPr>
      </xdr:nvPicPr>
      <xdr:blipFill>
        <a:blip xmlns:r="http://schemas.openxmlformats.org/officeDocument/2006/relationships" r:embed="rId1"/>
        <a:stretch>
          <a:fillRect/>
        </a:stretch>
      </xdr:blipFill>
      <xdr:spPr>
        <a:xfrm>
          <a:off x="565150" y="7486650"/>
          <a:ext cx="3356043" cy="2857500"/>
        </a:xfrm>
        <a:prstGeom prst="rect">
          <a:avLst/>
        </a:prstGeom>
      </xdr:spPr>
    </xdr:pic>
    <xdr:clientData/>
  </xdr:twoCellAnchor>
  <xdr:twoCellAnchor editAs="oneCell">
    <xdr:from>
      <xdr:col>0</xdr:col>
      <xdr:colOff>25400</xdr:colOff>
      <xdr:row>61</xdr:row>
      <xdr:rowOff>25400</xdr:rowOff>
    </xdr:from>
    <xdr:to>
      <xdr:col>7</xdr:col>
      <xdr:colOff>245979</xdr:colOff>
      <xdr:row>84</xdr:row>
      <xdr:rowOff>12970</xdr:rowOff>
    </xdr:to>
    <xdr:pic>
      <xdr:nvPicPr>
        <xdr:cNvPr id="4" name="Picture 3"/>
        <xdr:cNvPicPr>
          <a:picLocks noChangeAspect="1"/>
        </xdr:cNvPicPr>
      </xdr:nvPicPr>
      <xdr:blipFill>
        <a:blip xmlns:r="http://schemas.openxmlformats.org/officeDocument/2006/relationships" r:embed="rId2"/>
        <a:stretch>
          <a:fillRect/>
        </a:stretch>
      </xdr:blipFill>
      <xdr:spPr>
        <a:xfrm>
          <a:off x="25400" y="11271250"/>
          <a:ext cx="6056229" cy="4223020"/>
        </a:xfrm>
        <a:prstGeom prst="rect">
          <a:avLst/>
        </a:prstGeom>
      </xdr:spPr>
    </xdr:pic>
    <xdr:clientData/>
  </xdr:twoCellAnchor>
  <xdr:twoCellAnchor editAs="oneCell">
    <xdr:from>
      <xdr:col>0</xdr:col>
      <xdr:colOff>196850</xdr:colOff>
      <xdr:row>97</xdr:row>
      <xdr:rowOff>158750</xdr:rowOff>
    </xdr:from>
    <xdr:to>
      <xdr:col>8</xdr:col>
      <xdr:colOff>12204</xdr:colOff>
      <xdr:row>133</xdr:row>
      <xdr:rowOff>6691</xdr:rowOff>
    </xdr:to>
    <xdr:pic>
      <xdr:nvPicPr>
        <xdr:cNvPr id="5" name="Picture 4"/>
        <xdr:cNvPicPr>
          <a:picLocks noChangeAspect="1"/>
        </xdr:cNvPicPr>
      </xdr:nvPicPr>
      <xdr:blipFill>
        <a:blip xmlns:r="http://schemas.openxmlformats.org/officeDocument/2006/relationships" r:embed="rId3"/>
        <a:stretch>
          <a:fillRect/>
        </a:stretch>
      </xdr:blipFill>
      <xdr:spPr>
        <a:xfrm>
          <a:off x="196850" y="18230850"/>
          <a:ext cx="6260604" cy="64773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177800</xdr:colOff>
      <xdr:row>8</xdr:row>
      <xdr:rowOff>178090</xdr:rowOff>
    </xdr:from>
    <xdr:to>
      <xdr:col>22</xdr:col>
      <xdr:colOff>521129</xdr:colOff>
      <xdr:row>22</xdr:row>
      <xdr:rowOff>38279</xdr:rowOff>
    </xdr:to>
    <xdr:pic>
      <xdr:nvPicPr>
        <xdr:cNvPr id="3" name="Picture 2"/>
        <xdr:cNvPicPr>
          <a:picLocks noChangeAspect="1"/>
        </xdr:cNvPicPr>
      </xdr:nvPicPr>
      <xdr:blipFill>
        <a:blip xmlns:r="http://schemas.openxmlformats.org/officeDocument/2006/relationships" r:embed="rId1"/>
        <a:stretch>
          <a:fillRect/>
        </a:stretch>
      </xdr:blipFill>
      <xdr:spPr>
        <a:xfrm>
          <a:off x="8102600" y="1651290"/>
          <a:ext cx="5829729" cy="2438289"/>
        </a:xfrm>
        <a:prstGeom prst="rect">
          <a:avLst/>
        </a:prstGeom>
      </xdr:spPr>
    </xdr:pic>
    <xdr:clientData/>
  </xdr:twoCellAnchor>
  <xdr:twoCellAnchor editAs="oneCell">
    <xdr:from>
      <xdr:col>0</xdr:col>
      <xdr:colOff>573300</xdr:colOff>
      <xdr:row>8</xdr:row>
      <xdr:rowOff>107949</xdr:rowOff>
    </xdr:from>
    <xdr:to>
      <xdr:col>11</xdr:col>
      <xdr:colOff>120650</xdr:colOff>
      <xdr:row>24</xdr:row>
      <xdr:rowOff>90076</xdr:rowOff>
    </xdr:to>
    <xdr:pic>
      <xdr:nvPicPr>
        <xdr:cNvPr id="4" name="Picture 3"/>
        <xdr:cNvPicPr>
          <a:picLocks noChangeAspect="1"/>
        </xdr:cNvPicPr>
      </xdr:nvPicPr>
      <xdr:blipFill>
        <a:blip xmlns:r="http://schemas.openxmlformats.org/officeDocument/2006/relationships" r:embed="rId2"/>
        <a:stretch>
          <a:fillRect/>
        </a:stretch>
      </xdr:blipFill>
      <xdr:spPr>
        <a:xfrm>
          <a:off x="573300" y="1581149"/>
          <a:ext cx="6252950" cy="29285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35</xdr:row>
      <xdr:rowOff>0</xdr:rowOff>
    </xdr:from>
    <xdr:to>
      <xdr:col>12</xdr:col>
      <xdr:colOff>476650</xdr:colOff>
      <xdr:row>60</xdr:row>
      <xdr:rowOff>152644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7918450"/>
          <a:ext cx="7791850" cy="47563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361950</xdr:colOff>
      <xdr:row>2</xdr:row>
      <xdr:rowOff>101600</xdr:rowOff>
    </xdr:from>
    <xdr:to>
      <xdr:col>18</xdr:col>
      <xdr:colOff>203599</xdr:colOff>
      <xdr:row>16</xdr:row>
      <xdr:rowOff>165236</xdr:rowOff>
    </xdr:to>
    <xdr:pic>
      <xdr:nvPicPr>
        <xdr:cNvPr id="2" name="Picture 1"/>
        <xdr:cNvPicPr>
          <a:picLocks noChangeAspect="1"/>
        </xdr:cNvPicPr>
      </xdr:nvPicPr>
      <xdr:blipFill>
        <a:blip xmlns:r="http://schemas.openxmlformats.org/officeDocument/2006/relationships" r:embed="rId1"/>
        <a:stretch>
          <a:fillRect/>
        </a:stretch>
      </xdr:blipFill>
      <xdr:spPr>
        <a:xfrm>
          <a:off x="3822700" y="469900"/>
          <a:ext cx="7766449" cy="2641736"/>
        </a:xfrm>
        <a:prstGeom prst="rect">
          <a:avLst/>
        </a:prstGeom>
      </xdr:spPr>
    </xdr:pic>
    <xdr:clientData/>
  </xdr:twoCellAnchor>
  <xdr:twoCellAnchor editAs="oneCell">
    <xdr:from>
      <xdr:col>6</xdr:col>
      <xdr:colOff>6350</xdr:colOff>
      <xdr:row>22</xdr:row>
      <xdr:rowOff>165100</xdr:rowOff>
    </xdr:from>
    <xdr:to>
      <xdr:col>18</xdr:col>
      <xdr:colOff>279400</xdr:colOff>
      <xdr:row>42</xdr:row>
      <xdr:rowOff>158750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4216400"/>
          <a:ext cx="7588250" cy="367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323850</xdr:colOff>
      <xdr:row>24</xdr:row>
      <xdr:rowOff>50800</xdr:rowOff>
    </xdr:from>
    <xdr:to>
      <xdr:col>7</xdr:col>
      <xdr:colOff>603603</xdr:colOff>
      <xdr:row>48</xdr:row>
      <xdr:rowOff>31976</xdr:rowOff>
    </xdr:to>
    <xdr:pic>
      <xdr:nvPicPr>
        <xdr:cNvPr id="2" name="Picture 1"/>
        <xdr:cNvPicPr>
          <a:picLocks noChangeAspect="1"/>
        </xdr:cNvPicPr>
      </xdr:nvPicPr>
      <xdr:blipFill>
        <a:blip xmlns:r="http://schemas.openxmlformats.org/officeDocument/2006/relationships" r:embed="rId1"/>
        <a:stretch>
          <a:fillRect/>
        </a:stretch>
      </xdr:blipFill>
      <xdr:spPr>
        <a:xfrm>
          <a:off x="323850" y="4286250"/>
          <a:ext cx="6871053" cy="4400776"/>
        </a:xfrm>
        <a:prstGeom prst="rect">
          <a:avLst/>
        </a:prstGeom>
      </xdr:spPr>
    </xdr:pic>
    <xdr:clientData/>
  </xdr:twoCellAnchor>
  <xdr:twoCellAnchor editAs="oneCell">
    <xdr:from>
      <xdr:col>0</xdr:col>
      <xdr:colOff>0</xdr:colOff>
      <xdr:row>48</xdr:row>
      <xdr:rowOff>0</xdr:rowOff>
    </xdr:from>
    <xdr:to>
      <xdr:col>6</xdr:col>
      <xdr:colOff>278904</xdr:colOff>
      <xdr:row>83</xdr:row>
      <xdr:rowOff>32091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8839200"/>
          <a:ext cx="6260604" cy="64773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70167</xdr:colOff>
      <xdr:row>10</xdr:row>
      <xdr:rowOff>95331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8300"/>
          <a:ext cx="6166167" cy="1568531"/>
        </a:xfrm>
        <a:prstGeom prst="rect">
          <a:avLst/>
        </a:prstGeom>
      </xdr:spPr>
    </xdr:pic>
    <xdr:clientData/>
  </xdr:twoCellAnchor>
  <xdr:twoCellAnchor editAs="oneCell">
    <xdr:from>
      <xdr:col>0</xdr:col>
      <xdr:colOff>0</xdr:colOff>
      <xdr:row>13</xdr:row>
      <xdr:rowOff>0</xdr:rowOff>
    </xdr:from>
    <xdr:to>
      <xdr:col>9</xdr:col>
      <xdr:colOff>533709</xdr:colOff>
      <xdr:row>50</xdr:row>
      <xdr:rowOff>32102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393950"/>
          <a:ext cx="6020109" cy="6845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pge.com/pge_global/common/pdfs/about-pge/environment/what-we-are-doing/electric-program-investment-charge/EPIC-1.25.pdf" TargetMode="External"/><Relationship Id="rId1" Type="http://schemas.openxmlformats.org/officeDocument/2006/relationships/hyperlink" Target="https://www.eia.gov/todayinenergy/detail.php?id=17211" TargetMode="External"/><Relationship Id="rId4"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ge.com/pge_global/common/pdfs/about-pge/environment/what-we-are-doing/electric-program-investment-charge/EPIC-1.25.pdf" TargetMode="External"/><Relationship Id="rId7" Type="http://schemas.openxmlformats.org/officeDocument/2006/relationships/drawing" Target="../drawings/drawing4.xml"/><Relationship Id="rId2" Type="http://schemas.openxmlformats.org/officeDocument/2006/relationships/hyperlink" Target="https://evadoption.com/ev-statistics-of-the-week-range-price-and-battery-size-of-currently-available-in-the-us-bevs/" TargetMode="External"/><Relationship Id="rId1" Type="http://schemas.openxmlformats.org/officeDocument/2006/relationships/hyperlink" Target="https://www.sfchronicle.com/business/article/The-top-electric-car-in-California-is-not-a-Tesla-12717630.php" TargetMode="External"/><Relationship Id="rId6" Type="http://schemas.openxmlformats.org/officeDocument/2006/relationships/printerSettings" Target="../printerSettings/printerSettings4.bin"/><Relationship Id="rId5" Type="http://schemas.openxmlformats.org/officeDocument/2006/relationships/hyperlink" Target="https://www.nature.com/articles/nenergy2017125.pdf" TargetMode="External"/><Relationship Id="rId4" Type="http://schemas.openxmlformats.org/officeDocument/2006/relationships/hyperlink" Target="https://www.ucsusa.org/clean-vehicles/electric-vehicles/electric-cars-battery-life-materials-cos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nada.org/WorkArea/DownloadAsset.aspx?id=21474853735" TargetMode="External"/><Relationship Id="rId1" Type="http://schemas.openxmlformats.org/officeDocument/2006/relationships/hyperlink" Target="https://www.nada.org/WorkArea/DownloadAsset.aspx?id=21474853735"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hyperlink" Target="https://cta.ornl.gov/data/search.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topLeftCell="A31" workbookViewId="0">
      <selection activeCell="B42" sqref="B42"/>
    </sheetView>
  </sheetViews>
  <sheetFormatPr defaultRowHeight="14.5" x14ac:dyDescent="0.35"/>
  <cols>
    <col min="2" max="2" width="56.26953125" customWidth="1"/>
    <col min="3" max="3" width="20.54296875" customWidth="1"/>
  </cols>
  <sheetData>
    <row r="1" spans="1:3" ht="14.25" x14ac:dyDescent="0.45">
      <c r="A1" s="1" t="s">
        <v>11</v>
      </c>
    </row>
    <row r="3" spans="1:3" ht="14.25" x14ac:dyDescent="0.45">
      <c r="A3" s="1" t="s">
        <v>12</v>
      </c>
      <c r="B3" s="11" t="s">
        <v>201</v>
      </c>
    </row>
    <row r="4" spans="1:3" ht="14.25" x14ac:dyDescent="0.45">
      <c r="B4" t="s">
        <v>192</v>
      </c>
    </row>
    <row r="5" spans="1:3" ht="14.25" x14ac:dyDescent="0.45">
      <c r="B5" s="27" t="s">
        <v>193</v>
      </c>
      <c r="C5" s="27" t="s">
        <v>194</v>
      </c>
    </row>
    <row r="6" spans="1:3" ht="14.25" x14ac:dyDescent="0.45">
      <c r="B6" s="27" t="s">
        <v>195</v>
      </c>
      <c r="C6" s="27" t="s">
        <v>196</v>
      </c>
    </row>
    <row r="7" spans="1:3" ht="14.25" x14ac:dyDescent="0.45">
      <c r="B7" s="27" t="s">
        <v>198</v>
      </c>
      <c r="C7" s="27" t="s">
        <v>199</v>
      </c>
    </row>
    <row r="8" spans="1:3" ht="14.25" x14ac:dyDescent="0.45">
      <c r="B8" s="27" t="s">
        <v>197</v>
      </c>
      <c r="C8" s="27" t="s">
        <v>200</v>
      </c>
    </row>
    <row r="9" spans="1:3" ht="14.25" x14ac:dyDescent="0.45">
      <c r="B9" s="10"/>
    </row>
    <row r="10" spans="1:3" ht="14.25" x14ac:dyDescent="0.45">
      <c r="B10" s="11" t="s">
        <v>202</v>
      </c>
    </row>
    <row r="12" spans="1:3" ht="14.25" x14ac:dyDescent="0.45">
      <c r="B12" s="11" t="s">
        <v>7</v>
      </c>
    </row>
    <row r="13" spans="1:3" ht="14.25" x14ac:dyDescent="0.45">
      <c r="B13" s="10" t="s">
        <v>64</v>
      </c>
    </row>
    <row r="14" spans="1:3" ht="14.25" x14ac:dyDescent="0.45">
      <c r="B14" s="12">
        <v>2012</v>
      </c>
    </row>
    <row r="15" spans="1:3" ht="14.25" x14ac:dyDescent="0.45">
      <c r="B15" s="10" t="s">
        <v>65</v>
      </c>
    </row>
    <row r="16" spans="1:3" ht="28.5" x14ac:dyDescent="0.45">
      <c r="B16" s="10" t="s">
        <v>66</v>
      </c>
    </row>
    <row r="17" spans="2:2" ht="14.25" x14ac:dyDescent="0.45">
      <c r="B17" s="10"/>
    </row>
    <row r="18" spans="2:2" ht="14.25" x14ac:dyDescent="0.45">
      <c r="B18" s="11" t="s">
        <v>78</v>
      </c>
    </row>
    <row r="19" spans="2:2" ht="14.25" x14ac:dyDescent="0.45">
      <c r="B19" s="10" t="s">
        <v>67</v>
      </c>
    </row>
    <row r="20" spans="2:2" ht="14.25" x14ac:dyDescent="0.45">
      <c r="B20" s="12">
        <v>2014</v>
      </c>
    </row>
    <row r="21" spans="2:2" ht="14.25" x14ac:dyDescent="0.45">
      <c r="B21" s="10" t="s">
        <v>68</v>
      </c>
    </row>
    <row r="22" spans="2:2" ht="28.5" x14ac:dyDescent="0.45">
      <c r="B22" s="10" t="s">
        <v>69</v>
      </c>
    </row>
    <row r="23" spans="2:2" ht="14.25" x14ac:dyDescent="0.45">
      <c r="B23" s="10" t="s">
        <v>70</v>
      </c>
    </row>
    <row r="24" spans="2:2" ht="14.25" x14ac:dyDescent="0.45">
      <c r="B24" s="10"/>
    </row>
    <row r="25" spans="2:2" ht="14.25" x14ac:dyDescent="0.45">
      <c r="B25" s="2" t="s">
        <v>9</v>
      </c>
    </row>
    <row r="26" spans="2:2" ht="14.25" x14ac:dyDescent="0.45">
      <c r="B26" s="6" t="s">
        <v>122</v>
      </c>
    </row>
    <row r="28" spans="2:2" ht="14.25" x14ac:dyDescent="0.45">
      <c r="B28" s="11" t="s">
        <v>10</v>
      </c>
    </row>
    <row r="29" spans="2:2" ht="14.25" x14ac:dyDescent="0.45">
      <c r="B29" s="10" t="s">
        <v>71</v>
      </c>
    </row>
    <row r="30" spans="2:2" ht="14.25" x14ac:dyDescent="0.45">
      <c r="B30" s="12">
        <v>2016</v>
      </c>
    </row>
    <row r="31" spans="2:2" ht="14.25" x14ac:dyDescent="0.45">
      <c r="B31" s="10" t="s">
        <v>72</v>
      </c>
    </row>
    <row r="32" spans="2:2" ht="28.5" x14ac:dyDescent="0.45">
      <c r="B32" s="10" t="s">
        <v>73</v>
      </c>
    </row>
    <row r="33" spans="1:2" x14ac:dyDescent="0.35">
      <c r="B33" s="10"/>
    </row>
    <row r="34" spans="1:2" x14ac:dyDescent="0.35">
      <c r="A34" s="1" t="s">
        <v>235</v>
      </c>
      <c r="B34" s="10"/>
    </row>
    <row r="35" spans="1:2" x14ac:dyDescent="0.35">
      <c r="A35" t="s">
        <v>177</v>
      </c>
    </row>
    <row r="36" spans="1:2" x14ac:dyDescent="0.35">
      <c r="A36" t="s">
        <v>178</v>
      </c>
    </row>
    <row r="37" spans="1:2" x14ac:dyDescent="0.35">
      <c r="A37" t="s">
        <v>179</v>
      </c>
    </row>
    <row r="38" spans="1:2" x14ac:dyDescent="0.35">
      <c r="B38" s="10"/>
    </row>
    <row r="39" spans="1:2" x14ac:dyDescent="0.35">
      <c r="B39" s="10"/>
    </row>
    <row r="40" spans="1:2" x14ac:dyDescent="0.35">
      <c r="B40" s="10"/>
    </row>
    <row r="41" spans="1:2" x14ac:dyDescent="0.35">
      <c r="B41" s="10"/>
    </row>
    <row r="42" spans="1:2" x14ac:dyDescent="0.35">
      <c r="B42" s="10"/>
    </row>
    <row r="43" spans="1:2" x14ac:dyDescent="0.35">
      <c r="B43" s="10"/>
    </row>
    <row r="44" spans="1:2" x14ac:dyDescent="0.35">
      <c r="B44" s="10"/>
    </row>
    <row r="45" spans="1:2" x14ac:dyDescent="0.35">
      <c r="B45" s="10"/>
    </row>
    <row r="46" spans="1:2" x14ac:dyDescent="0.35">
      <c r="B46" s="10"/>
    </row>
    <row r="49" spans="1:2" x14ac:dyDescent="0.35">
      <c r="A49" s="1" t="s">
        <v>229</v>
      </c>
      <c r="B49" s="10"/>
    </row>
    <row r="50" spans="1:2" x14ac:dyDescent="0.35">
      <c r="B50" s="10"/>
    </row>
    <row r="51" spans="1:2" ht="15" customHeight="1" x14ac:dyDescent="0.35">
      <c r="A51" t="s">
        <v>243</v>
      </c>
    </row>
    <row r="53" spans="1:2" x14ac:dyDescent="0.35">
      <c r="A53" t="s">
        <v>233</v>
      </c>
    </row>
    <row r="54" spans="1:2" x14ac:dyDescent="0.35">
      <c r="A54" t="s">
        <v>244</v>
      </c>
    </row>
    <row r="55" spans="1:2" x14ac:dyDescent="0.35">
      <c r="A55" t="s">
        <v>227</v>
      </c>
    </row>
    <row r="57" spans="1:2" x14ac:dyDescent="0.35">
      <c r="A57" s="1" t="s">
        <v>230</v>
      </c>
    </row>
    <row r="58" spans="1:2" x14ac:dyDescent="0.35">
      <c r="A58" t="s">
        <v>234</v>
      </c>
    </row>
    <row r="59" spans="1:2" x14ac:dyDescent="0.35">
      <c r="A59" t="s">
        <v>231</v>
      </c>
    </row>
    <row r="60" spans="1:2" x14ac:dyDescent="0.35">
      <c r="A60" t="s">
        <v>217</v>
      </c>
    </row>
    <row r="61" spans="1:2" x14ac:dyDescent="0.35">
      <c r="A61" t="s">
        <v>218</v>
      </c>
    </row>
    <row r="62" spans="1:2" x14ac:dyDescent="0.35">
      <c r="A62" t="s">
        <v>232</v>
      </c>
    </row>
    <row r="64" spans="1:2" x14ac:dyDescent="0.35">
      <c r="A64" t="s">
        <v>236</v>
      </c>
    </row>
    <row r="66" spans="1:2" x14ac:dyDescent="0.35">
      <c r="A66" s="1" t="s">
        <v>237</v>
      </c>
    </row>
    <row r="67" spans="1:2" x14ac:dyDescent="0.35">
      <c r="A67" t="s">
        <v>238</v>
      </c>
    </row>
    <row r="70" spans="1:2" x14ac:dyDescent="0.35">
      <c r="A70" s="15" t="s">
        <v>228</v>
      </c>
      <c r="B70" s="15"/>
    </row>
    <row r="71" spans="1:2" ht="13.9" customHeight="1" x14ac:dyDescent="0.35"/>
    <row r="72" spans="1:2" x14ac:dyDescent="0.35">
      <c r="A72" s="1" t="s">
        <v>7</v>
      </c>
    </row>
    <row r="73" spans="1:2" x14ac:dyDescent="0.35">
      <c r="A73" t="s">
        <v>62</v>
      </c>
    </row>
    <row r="74" spans="1:2" x14ac:dyDescent="0.35">
      <c r="A74" t="s">
        <v>63</v>
      </c>
    </row>
    <row r="75" spans="1:2" x14ac:dyDescent="0.35">
      <c r="A75" t="s">
        <v>75</v>
      </c>
    </row>
    <row r="77" spans="1:2" x14ac:dyDescent="0.35">
      <c r="A77" s="1" t="s">
        <v>8</v>
      </c>
    </row>
    <row r="78" spans="1:2" x14ac:dyDescent="0.35">
      <c r="A78" t="s">
        <v>74</v>
      </c>
    </row>
    <row r="79" spans="1:2" x14ac:dyDescent="0.35">
      <c r="A79" t="s">
        <v>76</v>
      </c>
    </row>
    <row r="80" spans="1:2" x14ac:dyDescent="0.35">
      <c r="A80" t="s">
        <v>77</v>
      </c>
    </row>
    <row r="82" spans="1:1" x14ac:dyDescent="0.35">
      <c r="A82" s="1" t="s">
        <v>119</v>
      </c>
    </row>
    <row r="83" spans="1:1" x14ac:dyDescent="0.35">
      <c r="A83" t="s">
        <v>118</v>
      </c>
    </row>
    <row r="85" spans="1:1" x14ac:dyDescent="0.35">
      <c r="A85" s="1" t="s">
        <v>80</v>
      </c>
    </row>
    <row r="86" spans="1:1" x14ac:dyDescent="0.35">
      <c r="A86" t="s">
        <v>118</v>
      </c>
    </row>
    <row r="87" spans="1:1" x14ac:dyDescent="0.35">
      <c r="A87" s="13"/>
    </row>
    <row r="88" spans="1:1" x14ac:dyDescent="0.35">
      <c r="A88" s="1" t="s">
        <v>10</v>
      </c>
    </row>
    <row r="89" spans="1:1" x14ac:dyDescent="0.35">
      <c r="A89" s="13" t="s">
        <v>138</v>
      </c>
    </row>
    <row r="90" spans="1:1" x14ac:dyDescent="0.35">
      <c r="A90" s="13" t="s">
        <v>139</v>
      </c>
    </row>
    <row r="91" spans="1:1" x14ac:dyDescent="0.35">
      <c r="A91" s="13" t="s">
        <v>140</v>
      </c>
    </row>
    <row r="92" spans="1:1" x14ac:dyDescent="0.35">
      <c r="A92" s="13"/>
    </row>
    <row r="93" spans="1:1" x14ac:dyDescent="0.35">
      <c r="A93" s="1" t="s">
        <v>54</v>
      </c>
    </row>
    <row r="94" spans="1:1" x14ac:dyDescent="0.35">
      <c r="A94" t="s">
        <v>55</v>
      </c>
    </row>
    <row r="95" spans="1:1" x14ac:dyDescent="0.35">
      <c r="A95" t="s">
        <v>56</v>
      </c>
    </row>
    <row r="96" spans="1:1" x14ac:dyDescent="0.35">
      <c r="A96" t="s">
        <v>57</v>
      </c>
    </row>
    <row r="97" spans="1:2" x14ac:dyDescent="0.35">
      <c r="A97" t="s">
        <v>58</v>
      </c>
    </row>
    <row r="98" spans="1:2" x14ac:dyDescent="0.35">
      <c r="A98">
        <v>0.97099999999999997</v>
      </c>
      <c r="B98" t="s">
        <v>59</v>
      </c>
    </row>
    <row r="99" spans="1:2" x14ac:dyDescent="0.35">
      <c r="A99">
        <v>0.98699999999999999</v>
      </c>
      <c r="B99" t="s">
        <v>60</v>
      </c>
    </row>
    <row r="100" spans="1:2" x14ac:dyDescent="0.35">
      <c r="A100">
        <v>0.95299999999999996</v>
      </c>
      <c r="B100" t="s">
        <v>61</v>
      </c>
    </row>
    <row r="102" spans="1:2" x14ac:dyDescent="0.35">
      <c r="A102" t="s">
        <v>240</v>
      </c>
    </row>
    <row r="103" spans="1:2" x14ac:dyDescent="0.35">
      <c r="A103">
        <v>1.0680000000000001</v>
      </c>
    </row>
    <row r="104" spans="1:2" x14ac:dyDescent="0.35">
      <c r="A104" t="s">
        <v>16</v>
      </c>
    </row>
    <row r="108" spans="1:2" x14ac:dyDescent="0.35">
      <c r="A108" s="1" t="s">
        <v>6</v>
      </c>
    </row>
    <row r="109" spans="1:2" x14ac:dyDescent="0.35">
      <c r="A109" t="s">
        <v>13</v>
      </c>
    </row>
    <row r="110" spans="1:2" x14ac:dyDescent="0.35">
      <c r="A110" t="s">
        <v>14</v>
      </c>
    </row>
    <row r="111" spans="1:2" x14ac:dyDescent="0.35">
      <c r="A111" t="s">
        <v>15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A35" sqref="A35:A39"/>
    </sheetView>
  </sheetViews>
  <sheetFormatPr defaultRowHeight="14.5" x14ac:dyDescent="0.35"/>
  <cols>
    <col min="1" max="1" width="23.81640625" customWidth="1"/>
  </cols>
  <sheetData>
    <row r="1" spans="1:13" x14ac:dyDescent="0.35">
      <c r="A1" s="2" t="s">
        <v>274</v>
      </c>
      <c r="B1" s="2"/>
      <c r="C1" s="2"/>
      <c r="D1" s="2"/>
      <c r="E1" s="2"/>
      <c r="F1" s="2"/>
      <c r="G1" s="2"/>
      <c r="H1" s="2"/>
      <c r="I1" s="2"/>
      <c r="J1" s="2"/>
      <c r="K1" s="2"/>
      <c r="L1" s="2"/>
      <c r="M1" s="2"/>
    </row>
    <row r="2" spans="1:13" s="5" customFormat="1" x14ac:dyDescent="0.35">
      <c r="A2" s="82"/>
      <c r="B2" s="82"/>
      <c r="C2" s="82"/>
      <c r="D2" s="82"/>
      <c r="E2" s="82"/>
      <c r="F2" s="82"/>
      <c r="G2" s="82"/>
      <c r="H2" s="82"/>
      <c r="I2" s="82"/>
      <c r="J2" s="82"/>
      <c r="K2" s="82"/>
      <c r="L2" s="82"/>
      <c r="M2" s="82"/>
    </row>
    <row r="3" spans="1:13" x14ac:dyDescent="0.35">
      <c r="A3" t="s">
        <v>276</v>
      </c>
    </row>
    <row r="4" spans="1:13" x14ac:dyDescent="0.35">
      <c r="A4" t="s">
        <v>275</v>
      </c>
    </row>
    <row r="5" spans="1:13" x14ac:dyDescent="0.35">
      <c r="A5" t="s">
        <v>247</v>
      </c>
    </row>
    <row r="6" spans="1:13" x14ac:dyDescent="0.35">
      <c r="A6" t="s">
        <v>241</v>
      </c>
    </row>
    <row r="9" spans="1:13" x14ac:dyDescent="0.35">
      <c r="A9" t="s">
        <v>277</v>
      </c>
      <c r="B9" s="35"/>
    </row>
    <row r="10" spans="1:13" x14ac:dyDescent="0.35">
      <c r="A10" t="s">
        <v>250</v>
      </c>
    </row>
    <row r="11" spans="1:13" x14ac:dyDescent="0.35">
      <c r="A11" t="s">
        <v>280</v>
      </c>
    </row>
    <row r="12" spans="1:13" x14ac:dyDescent="0.35">
      <c r="A12" s="6" t="s">
        <v>251</v>
      </c>
      <c r="B12" s="35"/>
    </row>
    <row r="13" spans="1:13" x14ac:dyDescent="0.35">
      <c r="A13" s="33" t="s">
        <v>252</v>
      </c>
    </row>
    <row r="16" spans="1:13" x14ac:dyDescent="0.35">
      <c r="A16" t="s">
        <v>278</v>
      </c>
    </row>
    <row r="17" spans="1:1" x14ac:dyDescent="0.35">
      <c r="A17" t="s">
        <v>279</v>
      </c>
    </row>
    <row r="35" spans="1:1" s="88" customFormat="1" x14ac:dyDescent="0.35">
      <c r="A35" s="88" t="s">
        <v>335</v>
      </c>
    </row>
    <row r="36" spans="1:1" x14ac:dyDescent="0.35">
      <c r="A36" t="s">
        <v>336</v>
      </c>
    </row>
    <row r="37" spans="1:1" x14ac:dyDescent="0.35">
      <c r="A37" t="s">
        <v>337</v>
      </c>
    </row>
    <row r="38" spans="1:1" x14ac:dyDescent="0.35">
      <c r="A38" t="s">
        <v>338</v>
      </c>
    </row>
    <row r="39" spans="1:1" x14ac:dyDescent="0.35">
      <c r="A39" s="33" t="s">
        <v>341</v>
      </c>
    </row>
  </sheetData>
  <hyperlinks>
    <hyperlink ref="A13" r:id="rId1"/>
    <hyperlink ref="A39" r:id="rId2"/>
  </hyperlinks>
  <pageMargins left="0.7" right="0.7" top="0.75" bottom="0.75" header="0.3" footer="0.3"/>
  <pageSetup orientation="portrait" verticalDpi="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topLeftCell="A40" workbookViewId="0">
      <selection activeCell="K71" sqref="K71"/>
    </sheetView>
  </sheetViews>
  <sheetFormatPr defaultRowHeight="14.5" x14ac:dyDescent="0.35"/>
  <cols>
    <col min="1" max="1" width="20.6328125" customWidth="1"/>
    <col min="2" max="2" width="11.08984375" bestFit="1" customWidth="1"/>
    <col min="6" max="6" width="16.90625" customWidth="1"/>
  </cols>
  <sheetData>
    <row r="1" spans="1:8" s="2" customFormat="1" x14ac:dyDescent="0.35">
      <c r="A1" s="2" t="s">
        <v>254</v>
      </c>
    </row>
    <row r="3" spans="1:8" x14ac:dyDescent="0.35">
      <c r="A3" t="s">
        <v>255</v>
      </c>
    </row>
    <row r="5" spans="1:8" x14ac:dyDescent="0.35">
      <c r="A5" t="s">
        <v>256</v>
      </c>
    </row>
    <row r="6" spans="1:8" x14ac:dyDescent="0.35">
      <c r="A6" t="s">
        <v>245</v>
      </c>
    </row>
    <row r="7" spans="1:8" x14ac:dyDescent="0.35">
      <c r="A7" t="s">
        <v>242</v>
      </c>
    </row>
    <row r="9" spans="1:8" x14ac:dyDescent="0.35">
      <c r="A9" t="s">
        <v>269</v>
      </c>
    </row>
    <row r="11" spans="1:8" x14ac:dyDescent="0.35">
      <c r="A11" t="s">
        <v>270</v>
      </c>
      <c r="H11" t="s">
        <v>264</v>
      </c>
    </row>
    <row r="12" spans="1:8" x14ac:dyDescent="0.35">
      <c r="F12" t="s">
        <v>319</v>
      </c>
      <c r="G12" s="5">
        <f>60*205</f>
        <v>12300</v>
      </c>
      <c r="H12" s="5">
        <v>205</v>
      </c>
    </row>
    <row r="13" spans="1:8" x14ac:dyDescent="0.35">
      <c r="F13" t="s">
        <v>265</v>
      </c>
      <c r="G13" s="5"/>
      <c r="H13" s="5">
        <v>190</v>
      </c>
    </row>
    <row r="14" spans="1:8" ht="15.5" x14ac:dyDescent="0.35">
      <c r="A14" s="34"/>
      <c r="F14" t="s">
        <v>344</v>
      </c>
      <c r="H14">
        <v>240</v>
      </c>
    </row>
    <row r="15" spans="1:8" s="61" customFormat="1" ht="15.5" x14ac:dyDescent="0.35">
      <c r="A15" s="34"/>
    </row>
    <row r="17" spans="1:4" s="2" customFormat="1" x14ac:dyDescent="0.35">
      <c r="A17" s="2" t="s">
        <v>410</v>
      </c>
    </row>
    <row r="19" spans="1:4" s="61" customFormat="1" x14ac:dyDescent="0.35">
      <c r="A19" s="61" t="s">
        <v>411</v>
      </c>
    </row>
    <row r="20" spans="1:4" s="61" customFormat="1" x14ac:dyDescent="0.35"/>
    <row r="22" spans="1:4" s="2" customFormat="1" x14ac:dyDescent="0.35">
      <c r="A22" s="2" t="s">
        <v>318</v>
      </c>
    </row>
    <row r="23" spans="1:4" s="61" customFormat="1" x14ac:dyDescent="0.35"/>
    <row r="24" spans="1:4" x14ac:dyDescent="0.35">
      <c r="A24" t="s">
        <v>271</v>
      </c>
    </row>
    <row r="25" spans="1:4" x14ac:dyDescent="0.35">
      <c r="A25" s="33" t="s">
        <v>246</v>
      </c>
      <c r="D25" s="5"/>
    </row>
    <row r="26" spans="1:4" x14ac:dyDescent="0.35">
      <c r="B26" t="s">
        <v>272</v>
      </c>
      <c r="D26" s="5"/>
    </row>
    <row r="27" spans="1:4" x14ac:dyDescent="0.35">
      <c r="B27" t="s">
        <v>273</v>
      </c>
    </row>
    <row r="28" spans="1:4" s="5" customFormat="1" x14ac:dyDescent="0.35"/>
    <row r="29" spans="1:4" x14ac:dyDescent="0.35">
      <c r="A29" t="s">
        <v>398</v>
      </c>
    </row>
    <row r="30" spans="1:4" s="61" customFormat="1" x14ac:dyDescent="0.35">
      <c r="A30" s="33" t="s">
        <v>397</v>
      </c>
    </row>
    <row r="31" spans="1:4" s="61" customFormat="1" x14ac:dyDescent="0.35">
      <c r="A31">
        <v>178.41</v>
      </c>
      <c r="B31" s="61" t="s">
        <v>396</v>
      </c>
    </row>
    <row r="32" spans="1:4" s="61" customFormat="1" x14ac:dyDescent="0.35"/>
    <row r="33" spans="1:2" s="61" customFormat="1" x14ac:dyDescent="0.35">
      <c r="A33" s="61" t="s">
        <v>399</v>
      </c>
    </row>
    <row r="34" spans="1:2" s="61" customFormat="1" x14ac:dyDescent="0.35">
      <c r="A34" s="61" t="s">
        <v>400</v>
      </c>
      <c r="B34" s="61">
        <f>(205+190)/2</f>
        <v>197.5</v>
      </c>
    </row>
    <row r="35" spans="1:2" s="61" customFormat="1" x14ac:dyDescent="0.35"/>
    <row r="36" spans="1:2" s="61" customFormat="1" x14ac:dyDescent="0.35"/>
    <row r="37" spans="1:2" s="2" customFormat="1" x14ac:dyDescent="0.35">
      <c r="A37" s="2" t="s">
        <v>321</v>
      </c>
    </row>
    <row r="38" spans="1:2" x14ac:dyDescent="0.35">
      <c r="A38" t="s">
        <v>324</v>
      </c>
    </row>
    <row r="39" spans="1:2" x14ac:dyDescent="0.35">
      <c r="A39" t="s">
        <v>320</v>
      </c>
    </row>
    <row r="40" spans="1:2" x14ac:dyDescent="0.35">
      <c r="A40" s="33" t="s">
        <v>258</v>
      </c>
    </row>
    <row r="58" spans="1:1" s="2" customFormat="1" x14ac:dyDescent="0.35">
      <c r="A58" s="2" t="s">
        <v>322</v>
      </c>
    </row>
    <row r="59" spans="1:1" x14ac:dyDescent="0.35">
      <c r="A59" t="s">
        <v>325</v>
      </c>
    </row>
    <row r="60" spans="1:1" x14ac:dyDescent="0.35">
      <c r="A60" s="33" t="s">
        <v>257</v>
      </c>
    </row>
    <row r="88" spans="1:6" x14ac:dyDescent="0.35">
      <c r="A88" s="88" t="s">
        <v>335</v>
      </c>
      <c r="B88" s="30"/>
      <c r="C88" s="30"/>
      <c r="D88" s="30"/>
      <c r="E88" s="30"/>
      <c r="F88" s="30"/>
    </row>
    <row r="89" spans="1:6" x14ac:dyDescent="0.35">
      <c r="A89" s="61" t="s">
        <v>336</v>
      </c>
    </row>
    <row r="90" spans="1:6" x14ac:dyDescent="0.35">
      <c r="A90" s="61" t="s">
        <v>337</v>
      </c>
    </row>
    <row r="91" spans="1:6" x14ac:dyDescent="0.35">
      <c r="A91" s="61" t="s">
        <v>338</v>
      </c>
    </row>
    <row r="92" spans="1:6" x14ac:dyDescent="0.35">
      <c r="A92" s="33" t="s">
        <v>341</v>
      </c>
    </row>
    <row r="95" spans="1:6" x14ac:dyDescent="0.35">
      <c r="A95" t="s">
        <v>342</v>
      </c>
    </row>
    <row r="96" spans="1:6" x14ac:dyDescent="0.35">
      <c r="A96" t="s">
        <v>343</v>
      </c>
    </row>
    <row r="97" spans="1:1" x14ac:dyDescent="0.35">
      <c r="A97" t="s">
        <v>401</v>
      </c>
    </row>
  </sheetData>
  <hyperlinks>
    <hyperlink ref="A40" r:id="rId1"/>
    <hyperlink ref="A60" r:id="rId2"/>
    <hyperlink ref="A92" r:id="rId3"/>
    <hyperlink ref="A25" r:id="rId4"/>
    <hyperlink ref="A30" r:id="rId5"/>
  </hyperlinks>
  <pageMargins left="0.7" right="0.7" top="0.75" bottom="0.75" header="0.3" footer="0.3"/>
  <pageSetup orientation="portrait" r:id="rId6"/>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16" workbookViewId="0">
      <selection activeCell="B54" sqref="A53:B54"/>
    </sheetView>
  </sheetViews>
  <sheetFormatPr defaultRowHeight="14.5" x14ac:dyDescent="0.35"/>
  <sheetData>
    <row r="1" spans="2:2" x14ac:dyDescent="0.35">
      <c r="B1" t="s">
        <v>363</v>
      </c>
    </row>
    <row r="2" spans="2:2" x14ac:dyDescent="0.35">
      <c r="B2" t="s">
        <v>362</v>
      </c>
    </row>
    <row r="3" spans="2:2" x14ac:dyDescent="0.35">
      <c r="B3" s="33" t="s">
        <v>347</v>
      </c>
    </row>
    <row r="4" spans="2:2" x14ac:dyDescent="0.35">
      <c r="B4" s="89">
        <v>43101</v>
      </c>
    </row>
    <row r="6" spans="2:2" x14ac:dyDescent="0.35">
      <c r="B6" t="s">
        <v>364</v>
      </c>
    </row>
    <row r="7" spans="2:2" x14ac:dyDescent="0.35">
      <c r="B7" t="s">
        <v>368</v>
      </c>
    </row>
    <row r="30" spans="2:11" x14ac:dyDescent="0.35">
      <c r="B30" s="33" t="s">
        <v>347</v>
      </c>
    </row>
    <row r="32" spans="2:11" x14ac:dyDescent="0.35">
      <c r="B32" t="s">
        <v>365</v>
      </c>
      <c r="K32" t="s">
        <v>348</v>
      </c>
    </row>
    <row r="34" spans="1:13" x14ac:dyDescent="0.35">
      <c r="K34" t="s">
        <v>349</v>
      </c>
    </row>
    <row r="35" spans="1:13" x14ac:dyDescent="0.35">
      <c r="C35" t="s">
        <v>366</v>
      </c>
    </row>
    <row r="36" spans="1:13" x14ac:dyDescent="0.35">
      <c r="A36" t="str">
        <f t="shared" ref="A36:A46" si="0">K36</f>
        <v>car</v>
      </c>
      <c r="K36" s="1" t="s">
        <v>350</v>
      </c>
      <c r="M36" t="s">
        <v>361</v>
      </c>
    </row>
    <row r="37" spans="1:13" x14ac:dyDescent="0.35">
      <c r="A37" t="str">
        <f t="shared" si="0"/>
        <v>small</v>
      </c>
      <c r="B37">
        <f>0.21</f>
        <v>0.21</v>
      </c>
      <c r="C37">
        <v>0.21</v>
      </c>
      <c r="K37" t="s">
        <v>351</v>
      </c>
      <c r="L37">
        <v>0.13700000000000001</v>
      </c>
      <c r="M37">
        <f>L37/$L$41</f>
        <v>0.53725490196078429</v>
      </c>
    </row>
    <row r="38" spans="1:13" x14ac:dyDescent="0.35">
      <c r="A38" t="str">
        <f t="shared" si="0"/>
        <v>mid</v>
      </c>
      <c r="C38">
        <f>(B39-C39)</f>
        <v>9.8813559322033895E-2</v>
      </c>
      <c r="K38" t="s">
        <v>352</v>
      </c>
      <c r="L38">
        <v>0.106</v>
      </c>
      <c r="M38" s="61">
        <f>L38/$L$41</f>
        <v>0.41568627450980389</v>
      </c>
    </row>
    <row r="39" spans="1:13" x14ac:dyDescent="0.35">
      <c r="A39" t="s">
        <v>367</v>
      </c>
      <c r="B39">
        <v>0.11</v>
      </c>
      <c r="C39">
        <f>(L39/(L39+L38))*B39</f>
        <v>1.1186440677966102E-2</v>
      </c>
      <c r="K39" t="s">
        <v>353</v>
      </c>
      <c r="L39">
        <v>1.2E-2</v>
      </c>
      <c r="M39" s="61">
        <f>L39/$L$41</f>
        <v>4.7058823529411764E-2</v>
      </c>
    </row>
    <row r="40" spans="1:13" x14ac:dyDescent="0.35">
      <c r="K40" t="s">
        <v>359</v>
      </c>
    </row>
    <row r="41" spans="1:13" x14ac:dyDescent="0.35">
      <c r="K41" t="s">
        <v>360</v>
      </c>
      <c r="L41">
        <f>SUM(L37:L39)</f>
        <v>0.255</v>
      </c>
    </row>
    <row r="42" spans="1:13" s="61" customFormat="1" x14ac:dyDescent="0.35"/>
    <row r="43" spans="1:13" x14ac:dyDescent="0.35">
      <c r="A43" t="str">
        <f t="shared" si="0"/>
        <v>truck</v>
      </c>
      <c r="K43" s="1" t="s">
        <v>354</v>
      </c>
    </row>
    <row r="44" spans="1:13" x14ac:dyDescent="0.35">
      <c r="A44" t="str">
        <f t="shared" si="0"/>
        <v>pickup</v>
      </c>
      <c r="B44">
        <v>0.16</v>
      </c>
      <c r="C44">
        <f>B44</f>
        <v>0.16</v>
      </c>
      <c r="K44" t="s">
        <v>355</v>
      </c>
      <c r="L44">
        <v>0.158</v>
      </c>
      <c r="M44">
        <f>L44/L48</f>
        <v>0.25199362041467305</v>
      </c>
    </row>
    <row r="45" spans="1:13" x14ac:dyDescent="0.35">
      <c r="A45" t="str">
        <f t="shared" si="0"/>
        <v>crossover</v>
      </c>
      <c r="C45">
        <f>B46-C46</f>
        <v>0.2392963752665245</v>
      </c>
      <c r="K45" t="s">
        <v>356</v>
      </c>
      <c r="L45">
        <v>0.38700000000000001</v>
      </c>
      <c r="M45" s="61">
        <f>L45/L48</f>
        <v>0.61722488038277512</v>
      </c>
    </row>
    <row r="46" spans="1:13" x14ac:dyDescent="0.35">
      <c r="A46" t="str">
        <f t="shared" si="0"/>
        <v>SUV</v>
      </c>
      <c r="B46">
        <v>0.28999999999999998</v>
      </c>
      <c r="C46">
        <f>B46*L46/(L46+L45)</f>
        <v>5.0703624733475477E-2</v>
      </c>
      <c r="K46" t="s">
        <v>357</v>
      </c>
      <c r="L46">
        <v>8.2000000000000003E-2</v>
      </c>
      <c r="M46" s="61">
        <f>L46/L48</f>
        <v>0.13078149920255183</v>
      </c>
    </row>
    <row r="47" spans="1:13" x14ac:dyDescent="0.35">
      <c r="K47" t="s">
        <v>358</v>
      </c>
    </row>
    <row r="48" spans="1:13" x14ac:dyDescent="0.35">
      <c r="L48">
        <f>SUM(L44:L46)</f>
        <v>0.627</v>
      </c>
    </row>
    <row r="51" spans="1:2" x14ac:dyDescent="0.35">
      <c r="A51" t="s">
        <v>378</v>
      </c>
    </row>
    <row r="53" spans="1:2" x14ac:dyDescent="0.35">
      <c r="A53" t="str">
        <f t="shared" ref="A53" si="1">A36</f>
        <v>car</v>
      </c>
      <c r="B53">
        <f>(B37+B39)</f>
        <v>0.32</v>
      </c>
    </row>
    <row r="54" spans="1:2" x14ac:dyDescent="0.35">
      <c r="A54" t="s">
        <v>354</v>
      </c>
      <c r="B54">
        <f>B44+B46</f>
        <v>0.44999999999999996</v>
      </c>
    </row>
  </sheetData>
  <hyperlinks>
    <hyperlink ref="B30" r:id="rId1"/>
    <hyperlink ref="B3" r:id="rId2"/>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28" workbookViewId="0">
      <selection activeCell="V15" sqref="V15"/>
    </sheetView>
  </sheetViews>
  <sheetFormatPr defaultRowHeight="14.5" x14ac:dyDescent="0.35"/>
  <sheetData>
    <row r="2" spans="1:9" x14ac:dyDescent="0.35">
      <c r="A2" t="s">
        <v>374</v>
      </c>
    </row>
    <row r="3" spans="1:9" x14ac:dyDescent="0.35">
      <c r="A3" t="s">
        <v>376</v>
      </c>
    </row>
    <row r="5" spans="1:9" x14ac:dyDescent="0.35">
      <c r="A5" t="s">
        <v>377</v>
      </c>
      <c r="E5">
        <f>'Battery cost per unit'!$C$24</f>
        <v>208.54812051906282</v>
      </c>
    </row>
    <row r="8" spans="1:9" x14ac:dyDescent="0.35">
      <c r="A8" s="2" t="s">
        <v>345</v>
      </c>
      <c r="B8" s="2"/>
      <c r="C8" s="2"/>
      <c r="D8" s="2"/>
      <c r="E8" s="85"/>
      <c r="F8" s="2"/>
      <c r="G8" s="2"/>
      <c r="H8" s="2"/>
      <c r="I8" s="2"/>
    </row>
    <row r="9" spans="1:9" x14ac:dyDescent="0.35">
      <c r="A9" s="82"/>
      <c r="B9" s="82"/>
      <c r="C9" s="82"/>
      <c r="D9" s="82"/>
      <c r="E9" s="87"/>
      <c r="F9" s="82"/>
      <c r="G9" s="82"/>
      <c r="H9" s="82"/>
      <c r="I9" s="82"/>
    </row>
    <row r="10" spans="1:9" x14ac:dyDescent="0.35">
      <c r="A10" s="13"/>
      <c r="B10" s="13"/>
      <c r="C10" s="81"/>
      <c r="D10" s="61"/>
    </row>
    <row r="11" spans="1:9" ht="130.5" x14ac:dyDescent="0.35">
      <c r="B11" s="61"/>
      <c r="C11" s="10" t="s">
        <v>267</v>
      </c>
      <c r="D11" s="61"/>
      <c r="E11" s="10" t="s">
        <v>268</v>
      </c>
      <c r="F11" t="s">
        <v>262</v>
      </c>
      <c r="G11" t="s">
        <v>263</v>
      </c>
      <c r="I11" s="10" t="s">
        <v>317</v>
      </c>
    </row>
    <row r="12" spans="1:9" x14ac:dyDescent="0.35">
      <c r="A12" t="s">
        <v>281</v>
      </c>
      <c r="B12" s="61" t="s">
        <v>339</v>
      </c>
      <c r="C12">
        <v>13487</v>
      </c>
      <c r="D12" s="61"/>
      <c r="E12">
        <f t="shared" ref="E12:E18" si="0">C12/$C$18</f>
        <v>0.30123065240211733</v>
      </c>
      <c r="F12">
        <f>60</f>
        <v>60</v>
      </c>
      <c r="G12">
        <f>'LDV EV method-sources'!$H$12</f>
        <v>205</v>
      </c>
      <c r="I12" s="61">
        <f>C12/$C$19</f>
        <v>0.35620526635501676</v>
      </c>
    </row>
    <row r="13" spans="1:9" x14ac:dyDescent="0.35">
      <c r="A13" t="s">
        <v>282</v>
      </c>
      <c r="B13" s="61" t="s">
        <v>339</v>
      </c>
      <c r="C13">
        <v>11813</v>
      </c>
      <c r="D13" s="61"/>
      <c r="E13">
        <f t="shared" si="0"/>
        <v>0.26384204766265384</v>
      </c>
      <c r="F13" s="61">
        <f>(100+100+75)/3</f>
        <v>91.666666666666671</v>
      </c>
      <c r="G13">
        <f>'LDV EV method-sources'!$H$13</f>
        <v>190</v>
      </c>
      <c r="I13" s="61">
        <f>C13/$C$19</f>
        <v>0.31199323878192431</v>
      </c>
    </row>
    <row r="14" spans="1:9" x14ac:dyDescent="0.35">
      <c r="A14" t="s">
        <v>283</v>
      </c>
      <c r="B14" s="61" t="s">
        <v>339</v>
      </c>
      <c r="C14">
        <v>6910</v>
      </c>
      <c r="D14" s="61"/>
      <c r="E14">
        <f t="shared" si="0"/>
        <v>0.15433408527460746</v>
      </c>
      <c r="F14" s="61">
        <f>(100+100+75)/3</f>
        <v>91.666666666666671</v>
      </c>
      <c r="G14">
        <f>'LDV EV method-sources'!$H$13</f>
        <v>190</v>
      </c>
      <c r="I14" s="61"/>
    </row>
    <row r="15" spans="1:9" x14ac:dyDescent="0.35">
      <c r="A15" t="s">
        <v>259</v>
      </c>
      <c r="B15" s="61" t="s">
        <v>346</v>
      </c>
      <c r="C15">
        <v>4943</v>
      </c>
      <c r="D15" s="61"/>
      <c r="E15">
        <f t="shared" si="0"/>
        <v>0.1104013579612713</v>
      </c>
      <c r="F15">
        <v>24</v>
      </c>
      <c r="G15">
        <f>'LDV EV method-sources'!$H$14</f>
        <v>240</v>
      </c>
      <c r="I15" s="61">
        <f>C15/$C$19</f>
        <v>0.13054961307873122</v>
      </c>
    </row>
    <row r="16" spans="1:9" x14ac:dyDescent="0.35">
      <c r="A16" t="s">
        <v>260</v>
      </c>
      <c r="B16" s="61" t="s">
        <v>340</v>
      </c>
      <c r="C16">
        <v>4418</v>
      </c>
      <c r="D16" s="61"/>
      <c r="E16">
        <f t="shared" si="0"/>
        <v>9.8675541062694036E-2</v>
      </c>
      <c r="F16">
        <v>30</v>
      </c>
      <c r="G16">
        <f>G15</f>
        <v>240</v>
      </c>
      <c r="I16" s="61">
        <f>C16/$C$19</f>
        <v>0.11668383382193698</v>
      </c>
    </row>
    <row r="17" spans="1:9" x14ac:dyDescent="0.35">
      <c r="A17" t="s">
        <v>261</v>
      </c>
      <c r="B17" s="61" t="s">
        <v>340</v>
      </c>
      <c r="C17">
        <v>3202</v>
      </c>
      <c r="D17" s="61"/>
      <c r="E17">
        <f t="shared" si="0"/>
        <v>7.1516315636656017E-2</v>
      </c>
      <c r="F17">
        <v>35.799999999999997</v>
      </c>
      <c r="G17">
        <f>G16</f>
        <v>240</v>
      </c>
      <c r="I17" s="61">
        <f>C17/$C$19</f>
        <v>8.456804796239073E-2</v>
      </c>
    </row>
    <row r="18" spans="1:9" x14ac:dyDescent="0.35">
      <c r="A18" t="s">
        <v>266</v>
      </c>
      <c r="B18" s="61"/>
      <c r="C18">
        <f>SUM(C12:C17)</f>
        <v>44773</v>
      </c>
      <c r="D18" s="61"/>
      <c r="E18">
        <f t="shared" si="0"/>
        <v>1</v>
      </c>
    </row>
    <row r="19" spans="1:9" x14ac:dyDescent="0.35">
      <c r="A19" s="61" t="s">
        <v>315</v>
      </c>
      <c r="B19" s="61"/>
      <c r="C19" s="61">
        <f>C18-C14</f>
        <v>37863</v>
      </c>
      <c r="D19" s="61"/>
      <c r="E19" s="61"/>
      <c r="F19" s="61"/>
      <c r="G19" s="61"/>
      <c r="H19" s="61"/>
      <c r="I19" s="61"/>
    </row>
    <row r="20" spans="1:9" x14ac:dyDescent="0.35">
      <c r="A20" s="61"/>
      <c r="B20" s="61"/>
      <c r="C20" s="61"/>
      <c r="D20" s="61"/>
      <c r="E20" s="61"/>
      <c r="F20" s="61"/>
      <c r="G20" s="61"/>
      <c r="H20" s="61"/>
      <c r="I20" s="61"/>
    </row>
    <row r="21" spans="1:9" x14ac:dyDescent="0.35">
      <c r="A21" s="61"/>
      <c r="B21" s="61" t="s">
        <v>393</v>
      </c>
      <c r="C21" s="61">
        <f>E13+E14</f>
        <v>0.4181761329372613</v>
      </c>
      <c r="D21" s="61"/>
      <c r="E21" s="61"/>
      <c r="F21" s="61"/>
      <c r="G21" s="61"/>
      <c r="H21" s="61"/>
      <c r="I21" s="61"/>
    </row>
    <row r="22" spans="1:9" x14ac:dyDescent="0.35">
      <c r="A22" s="61"/>
      <c r="B22" s="61" t="s">
        <v>394</v>
      </c>
      <c r="C22" s="61">
        <f>E12</f>
        <v>0.30123065240211733</v>
      </c>
      <c r="D22" s="61"/>
      <c r="E22" s="61"/>
      <c r="F22" s="61"/>
      <c r="G22" s="61"/>
      <c r="H22" s="61"/>
      <c r="I22" s="61"/>
    </row>
    <row r="23" spans="1:9" x14ac:dyDescent="0.35">
      <c r="A23" s="61"/>
      <c r="B23" s="61" t="s">
        <v>395</v>
      </c>
      <c r="C23" s="61">
        <f>1-(C21+C22)</f>
        <v>0.28059321466062137</v>
      </c>
      <c r="D23" s="61"/>
      <c r="E23" s="61"/>
      <c r="F23" s="61"/>
      <c r="G23" s="61"/>
      <c r="H23" s="61"/>
      <c r="I23" s="61"/>
    </row>
    <row r="24" spans="1:9" x14ac:dyDescent="0.35">
      <c r="A24" s="61" t="s">
        <v>375</v>
      </c>
      <c r="B24" s="61"/>
      <c r="C24" s="61">
        <f>(C21*G13+C22*G12+C23*G15)</f>
        <v>208.54812051906282</v>
      </c>
      <c r="D24" s="61"/>
      <c r="E24" s="61"/>
      <c r="F24" s="61"/>
      <c r="G24" s="61"/>
      <c r="H24" s="61"/>
      <c r="I24" s="61"/>
    </row>
    <row r="25" spans="1:9" x14ac:dyDescent="0.35">
      <c r="A25" s="61"/>
      <c r="B25" s="61"/>
      <c r="C25" s="61"/>
      <c r="D25" s="61"/>
      <c r="E25" s="61"/>
      <c r="F25" s="61"/>
      <c r="G25" s="61"/>
      <c r="H25" s="61"/>
      <c r="I25" s="61"/>
    </row>
    <row r="26" spans="1:9" x14ac:dyDescent="0.35">
      <c r="A26" s="61"/>
      <c r="B26" s="61"/>
      <c r="C26" s="61"/>
      <c r="D26" s="61"/>
      <c r="E26" s="61"/>
      <c r="F26" s="61"/>
      <c r="G26" s="61"/>
      <c r="H26" s="61"/>
      <c r="I26" s="61"/>
    </row>
    <row r="27" spans="1:9" x14ac:dyDescent="0.35">
      <c r="A27" s="61"/>
      <c r="B27" s="61"/>
      <c r="C27" s="61"/>
      <c r="D27" s="61"/>
      <c r="E27" s="61"/>
      <c r="F27" s="61"/>
      <c r="G27" s="61"/>
      <c r="H27" s="61"/>
      <c r="I27" s="61"/>
    </row>
    <row r="28" spans="1:9" x14ac:dyDescent="0.35">
      <c r="B28" s="61"/>
      <c r="D28" s="61"/>
    </row>
    <row r="29" spans="1:9" x14ac:dyDescent="0.35">
      <c r="A29" t="s">
        <v>316</v>
      </c>
      <c r="B29" s="61"/>
      <c r="D29" s="61"/>
      <c r="F29">
        <f>(F12*$E$12+F13*($E$13+E14)+F15*$E$15+E16*F16+$E$17*F17)</f>
        <v>64.576834252786284</v>
      </c>
      <c r="G29">
        <f>(G12*E12+G13*(E13+E14)+G15*(E15+E16+E17))</f>
        <v>208.54812051906282</v>
      </c>
      <c r="H29">
        <f>F29*G29</f>
        <v>13467.377412489617</v>
      </c>
    </row>
    <row r="30" spans="1:9" x14ac:dyDescent="0.35">
      <c r="B30" s="61"/>
      <c r="D30" s="61"/>
    </row>
    <row r="31" spans="1:9" x14ac:dyDescent="0.35">
      <c r="A31" t="s">
        <v>323</v>
      </c>
      <c r="B31" s="61"/>
      <c r="D31" s="61"/>
    </row>
    <row r="33" spans="1:1" x14ac:dyDescent="0.35">
      <c r="A33" t="s">
        <v>409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7"/>
  <sheetViews>
    <sheetView topLeftCell="A26" workbookViewId="0">
      <selection activeCell="B57" sqref="B57"/>
    </sheetView>
  </sheetViews>
  <sheetFormatPr defaultRowHeight="14.5" x14ac:dyDescent="0.35"/>
  <cols>
    <col min="1" max="1" width="14.6328125" bestFit="1" customWidth="1"/>
  </cols>
  <sheetData>
    <row r="2" spans="1:7" x14ac:dyDescent="0.35">
      <c r="G2" t="s">
        <v>412</v>
      </c>
    </row>
    <row r="3" spans="1:7" x14ac:dyDescent="0.35">
      <c r="A3" t="s">
        <v>340</v>
      </c>
    </row>
    <row r="5" spans="1:7" x14ac:dyDescent="0.35">
      <c r="A5" t="s">
        <v>369</v>
      </c>
      <c r="C5" t="s">
        <v>370</v>
      </c>
    </row>
    <row r="6" spans="1:7" x14ac:dyDescent="0.35">
      <c r="A6" t="s">
        <v>351</v>
      </c>
      <c r="B6">
        <v>0.21</v>
      </c>
      <c r="C6">
        <v>30.5</v>
      </c>
    </row>
    <row r="7" spans="1:7" x14ac:dyDescent="0.35">
      <c r="A7" t="s">
        <v>352</v>
      </c>
      <c r="B7">
        <v>9.8813559322033895E-2</v>
      </c>
      <c r="C7">
        <v>30</v>
      </c>
    </row>
    <row r="8" spans="1:7" x14ac:dyDescent="0.35">
      <c r="A8" t="s">
        <v>367</v>
      </c>
      <c r="B8">
        <v>1.1186440677966102E-2</v>
      </c>
      <c r="C8">
        <v>35</v>
      </c>
    </row>
    <row r="9" spans="1:7" x14ac:dyDescent="0.35">
      <c r="A9" t="s">
        <v>373</v>
      </c>
      <c r="C9">
        <f>(B6*C6+B7*C7+B8*C8)/SUM(B6+B7+B8)</f>
        <v>30.502913135593218</v>
      </c>
    </row>
    <row r="10" spans="1:7" s="61" customFormat="1" x14ac:dyDescent="0.35"/>
    <row r="11" spans="1:7" x14ac:dyDescent="0.35">
      <c r="A11" t="s">
        <v>354</v>
      </c>
    </row>
    <row r="12" spans="1:7" x14ac:dyDescent="0.35">
      <c r="A12" t="s">
        <v>355</v>
      </c>
      <c r="B12">
        <v>0.16</v>
      </c>
      <c r="C12">
        <v>51</v>
      </c>
    </row>
    <row r="13" spans="1:7" x14ac:dyDescent="0.35">
      <c r="A13" t="s">
        <v>356</v>
      </c>
      <c r="B13">
        <v>0.2392963752665245</v>
      </c>
      <c r="C13">
        <v>41</v>
      </c>
    </row>
    <row r="14" spans="1:7" x14ac:dyDescent="0.35">
      <c r="A14" t="s">
        <v>357</v>
      </c>
      <c r="B14">
        <v>5.0703624733475477E-2</v>
      </c>
      <c r="C14">
        <v>48</v>
      </c>
    </row>
    <row r="15" spans="1:7" x14ac:dyDescent="0.35">
      <c r="A15" t="s">
        <v>371</v>
      </c>
      <c r="C15" s="61">
        <f>(B12*C12+B13*C13+B14*C14)/SUM(B12+B13+B14)</f>
        <v>45.344278606965183</v>
      </c>
    </row>
    <row r="18" spans="1:3" x14ac:dyDescent="0.35">
      <c r="A18" s="61" t="s">
        <v>339</v>
      </c>
      <c r="B18" s="61"/>
      <c r="C18" s="61"/>
    </row>
    <row r="19" spans="1:3" x14ac:dyDescent="0.35">
      <c r="A19" s="61"/>
      <c r="B19" s="61"/>
      <c r="C19" s="61"/>
    </row>
    <row r="20" spans="1:3" x14ac:dyDescent="0.35">
      <c r="A20" s="61" t="s">
        <v>369</v>
      </c>
      <c r="B20" s="61"/>
      <c r="C20" s="61" t="s">
        <v>370</v>
      </c>
    </row>
    <row r="21" spans="1:3" x14ac:dyDescent="0.35">
      <c r="A21" s="61" t="s">
        <v>351</v>
      </c>
      <c r="B21" s="61">
        <v>0.21</v>
      </c>
      <c r="C21" s="61">
        <v>62</v>
      </c>
    </row>
    <row r="22" spans="1:3" x14ac:dyDescent="0.35">
      <c r="A22" s="61" t="s">
        <v>352</v>
      </c>
      <c r="B22" s="61">
        <v>9.8813559322033895E-2</v>
      </c>
      <c r="C22" s="61">
        <v>64</v>
      </c>
    </row>
    <row r="23" spans="1:3" x14ac:dyDescent="0.35">
      <c r="A23" s="61" t="s">
        <v>367</v>
      </c>
      <c r="B23" s="61">
        <v>1.1186440677966102E-2</v>
      </c>
      <c r="C23" s="61">
        <v>75</v>
      </c>
    </row>
    <row r="24" spans="1:3" x14ac:dyDescent="0.35">
      <c r="A24" s="61" t="s">
        <v>372</v>
      </c>
      <c r="B24" s="61"/>
      <c r="C24" s="61">
        <f>(B21*C21+B22*C22+B23*C23)/SUM(B21+B22+B23)</f>
        <v>63.072033898305079</v>
      </c>
    </row>
    <row r="25" spans="1:3" x14ac:dyDescent="0.35">
      <c r="A25" s="61"/>
      <c r="B25" s="61"/>
      <c r="C25" s="61"/>
    </row>
    <row r="26" spans="1:3" x14ac:dyDescent="0.35">
      <c r="A26" s="61" t="s">
        <v>354</v>
      </c>
      <c r="B26" s="61"/>
      <c r="C26" s="61"/>
    </row>
    <row r="27" spans="1:3" x14ac:dyDescent="0.35">
      <c r="A27" s="61" t="s">
        <v>355</v>
      </c>
      <c r="B27" s="61">
        <v>0.16</v>
      </c>
      <c r="C27" s="61">
        <v>108</v>
      </c>
    </row>
    <row r="28" spans="1:3" x14ac:dyDescent="0.35">
      <c r="A28" s="61" t="s">
        <v>356</v>
      </c>
      <c r="B28" s="61">
        <v>0.2392963752665245</v>
      </c>
      <c r="C28" s="61">
        <v>86</v>
      </c>
    </row>
    <row r="29" spans="1:3" x14ac:dyDescent="0.35">
      <c r="A29" s="61" t="s">
        <v>357</v>
      </c>
      <c r="B29" s="61">
        <v>5.0703624733475477E-2</v>
      </c>
      <c r="C29" s="61">
        <v>103</v>
      </c>
    </row>
    <row r="30" spans="1:3" x14ac:dyDescent="0.35">
      <c r="A30" s="61" t="s">
        <v>371</v>
      </c>
      <c r="B30" s="61"/>
      <c r="C30" s="61">
        <f>(B27*C27+B28*C28+B29*C29)/SUM(B27+B28+B29)</f>
        <v>95.73769248993132</v>
      </c>
    </row>
    <row r="38" spans="1:3" x14ac:dyDescent="0.35">
      <c r="A38" t="s">
        <v>423</v>
      </c>
    </row>
    <row r="40" spans="1:3" x14ac:dyDescent="0.35">
      <c r="A40" t="s">
        <v>369</v>
      </c>
      <c r="C40" t="s">
        <v>370</v>
      </c>
    </row>
    <row r="41" spans="1:3" x14ac:dyDescent="0.35">
      <c r="A41" t="s">
        <v>351</v>
      </c>
      <c r="B41">
        <v>0.21</v>
      </c>
      <c r="C41">
        <v>12</v>
      </c>
    </row>
    <row r="42" spans="1:3" x14ac:dyDescent="0.35">
      <c r="A42" t="s">
        <v>352</v>
      </c>
      <c r="B42">
        <v>9.8813559322033895E-2</v>
      </c>
      <c r="C42">
        <v>12</v>
      </c>
    </row>
    <row r="43" spans="1:3" x14ac:dyDescent="0.35">
      <c r="A43" t="s">
        <v>367</v>
      </c>
      <c r="B43">
        <v>1.1186440677966102E-2</v>
      </c>
      <c r="C43">
        <v>14</v>
      </c>
    </row>
    <row r="44" spans="1:3" x14ac:dyDescent="0.35">
      <c r="A44" t="s">
        <v>425</v>
      </c>
      <c r="C44">
        <f>(B41*C41+B42*C42+B43*C43)/SUM(B41+B42+B43)</f>
        <v>12.069915254237287</v>
      </c>
    </row>
    <row r="46" spans="1:3" x14ac:dyDescent="0.35">
      <c r="A46" t="s">
        <v>354</v>
      </c>
    </row>
    <row r="47" spans="1:3" x14ac:dyDescent="0.35">
      <c r="A47" t="s">
        <v>355</v>
      </c>
      <c r="B47">
        <v>0.16</v>
      </c>
      <c r="C47">
        <v>20</v>
      </c>
    </row>
    <row r="48" spans="1:3" x14ac:dyDescent="0.35">
      <c r="A48" t="s">
        <v>356</v>
      </c>
      <c r="B48">
        <v>0.2392963752665245</v>
      </c>
      <c r="C48">
        <v>16</v>
      </c>
    </row>
    <row r="49" spans="1:3" x14ac:dyDescent="0.35">
      <c r="A49" t="s">
        <v>357</v>
      </c>
      <c r="B49">
        <v>5.0703624733475477E-2</v>
      </c>
      <c r="C49">
        <v>19</v>
      </c>
    </row>
    <row r="50" spans="1:3" x14ac:dyDescent="0.35">
      <c r="A50" t="s">
        <v>424</v>
      </c>
      <c r="C50">
        <f>(B47*C47+B48*C48+B49*C49)/SUM(B47+B48+B49)</f>
        <v>17.760246387112062</v>
      </c>
    </row>
    <row r="54" spans="1:3" x14ac:dyDescent="0.35">
      <c r="A54" t="str">
        <f>'100 mile vs. 200 miles'!P15</f>
        <v>car %</v>
      </c>
      <c r="B54">
        <f>'100 mile vs. 200 miles'!Q15</f>
        <v>0.8475384904163592</v>
      </c>
    </row>
    <row r="55" spans="1:3" x14ac:dyDescent="0.35">
      <c r="A55" t="str">
        <f>'100 mile vs. 200 miles'!P16</f>
        <v>truck %</v>
      </c>
      <c r="B55">
        <f>'100 mile vs. 200 miles'!Q16</f>
        <v>0.1524615095836408</v>
      </c>
    </row>
    <row r="57" spans="1:3" x14ac:dyDescent="0.35">
      <c r="A57" t="s">
        <v>429</v>
      </c>
      <c r="B57">
        <f>(C44*B54)+B55*C50</f>
        <v>12.937471728786164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15" sqref="A15:XFD15"/>
    </sheetView>
  </sheetViews>
  <sheetFormatPr defaultRowHeight="14.5" x14ac:dyDescent="0.35"/>
  <cols>
    <col min="1" max="1" width="15.453125" bestFit="1" customWidth="1"/>
    <col min="2" max="2" width="18.7265625" bestFit="1" customWidth="1"/>
  </cols>
  <sheetData>
    <row r="1" spans="1:3" s="61" customFormat="1" x14ac:dyDescent="0.35"/>
    <row r="2" spans="1:3" x14ac:dyDescent="0.35">
      <c r="A2" t="s">
        <v>407</v>
      </c>
      <c r="B2" s="91">
        <f>'Battery cost per unit'!$E$5</f>
        <v>208.54812051906282</v>
      </c>
    </row>
    <row r="3" spans="1:3" x14ac:dyDescent="0.35">
      <c r="A3" s="61" t="s">
        <v>340</v>
      </c>
      <c r="B3" s="61"/>
      <c r="C3" s="61"/>
    </row>
    <row r="4" spans="1:3" x14ac:dyDescent="0.35">
      <c r="A4" s="61"/>
      <c r="B4" s="61" t="s">
        <v>388</v>
      </c>
      <c r="C4" s="61" t="s">
        <v>389</v>
      </c>
    </row>
    <row r="5" spans="1:3" x14ac:dyDescent="0.35">
      <c r="A5" s="61" t="s">
        <v>373</v>
      </c>
      <c r="B5" s="61">
        <f>'Battery size across segments'!C9</f>
        <v>30.502913135593218</v>
      </c>
      <c r="C5" s="61">
        <f>B5*'Battery cost per unit'!$E$5</f>
        <v>6361.3252047841988</v>
      </c>
    </row>
    <row r="6" spans="1:3" x14ac:dyDescent="0.35">
      <c r="A6" s="61" t="s">
        <v>371</v>
      </c>
      <c r="B6" s="61">
        <f>'Battery size across segments'!C15</f>
        <v>45.344278606965183</v>
      </c>
      <c r="C6" s="61">
        <f>B6*'Battery cost per unit'!$E$5</f>
        <v>9456.4640797753364</v>
      </c>
    </row>
    <row r="7" spans="1:3" x14ac:dyDescent="0.35">
      <c r="A7" s="61"/>
      <c r="B7" s="61"/>
      <c r="C7" s="61"/>
    </row>
    <row r="8" spans="1:3" x14ac:dyDescent="0.35">
      <c r="A8" s="61"/>
      <c r="B8" s="61"/>
      <c r="C8" s="61"/>
    </row>
    <row r="9" spans="1:3" x14ac:dyDescent="0.35">
      <c r="A9" s="61" t="s">
        <v>339</v>
      </c>
      <c r="B9" s="61" t="s">
        <v>388</v>
      </c>
      <c r="C9" s="61" t="s">
        <v>389</v>
      </c>
    </row>
    <row r="10" spans="1:3" x14ac:dyDescent="0.35">
      <c r="A10" s="61"/>
      <c r="B10" s="61"/>
      <c r="C10" s="61"/>
    </row>
    <row r="11" spans="1:3" x14ac:dyDescent="0.35">
      <c r="A11" s="61" t="s">
        <v>390</v>
      </c>
      <c r="B11" s="61">
        <f>'Battery size across segments'!C24</f>
        <v>63.072033898305079</v>
      </c>
      <c r="C11" s="61">
        <f>B11*'Battery cost per unit'!$E$5</f>
        <v>13153.554126806142</v>
      </c>
    </row>
    <row r="12" spans="1:3" x14ac:dyDescent="0.35">
      <c r="A12" s="61" t="s">
        <v>391</v>
      </c>
      <c r="B12" s="61">
        <f>'Battery size across segments'!C30</f>
        <v>95.73769248993132</v>
      </c>
      <c r="C12" s="61">
        <f>B12*'Battery cost per unit'!$E$5</f>
        <v>19965.915831607173</v>
      </c>
    </row>
    <row r="13" spans="1:3" x14ac:dyDescent="0.35">
      <c r="C13" s="61"/>
    </row>
    <row r="15" spans="1:3" x14ac:dyDescent="0.35">
      <c r="A15" t="s">
        <v>408</v>
      </c>
    </row>
    <row r="16" spans="1:3" s="61" customFormat="1" x14ac:dyDescent="0.35"/>
    <row r="17" spans="1:6" x14ac:dyDescent="0.35">
      <c r="A17" t="str">
        <f>'100 mile vs. 200 miles'!A15</f>
        <v>Cars</v>
      </c>
    </row>
    <row r="18" spans="1:6" x14ac:dyDescent="0.35">
      <c r="A18" t="str">
        <f>'100 mile vs. 200 miles'!A16</f>
        <v xml:space="preserve">   100 Mile Electric Vehicle</v>
      </c>
      <c r="B18">
        <f>'100 mile vs. 200 miles'!$E$17</f>
        <v>0.4237692452081796</v>
      </c>
    </row>
    <row r="19" spans="1:6" x14ac:dyDescent="0.35">
      <c r="A19" t="str">
        <f>'100 mile vs. 200 miles'!A17</f>
        <v xml:space="preserve">   200 Mile Electric Vehicle</v>
      </c>
      <c r="B19">
        <f>'100 mile vs. 200 miles'!$E$17</f>
        <v>0.4237692452081796</v>
      </c>
    </row>
    <row r="20" spans="1:6" x14ac:dyDescent="0.35">
      <c r="A20" t="str">
        <f>'100 mile vs. 200 miles'!A19</f>
        <v>Trucks</v>
      </c>
    </row>
    <row r="21" spans="1:6" x14ac:dyDescent="0.35">
      <c r="A21" t="str">
        <f>'100 mile vs. 200 miles'!A20</f>
        <v xml:space="preserve">   100 Mile Electric Vehicle</v>
      </c>
      <c r="B21">
        <f>'100 mile vs. 200 miles'!B20</f>
        <v>0.10400625993714002</v>
      </c>
      <c r="D21" t="s">
        <v>405</v>
      </c>
      <c r="F21">
        <f>B21+B22</f>
        <v>0.15246150958364071</v>
      </c>
    </row>
    <row r="22" spans="1:6" x14ac:dyDescent="0.35">
      <c r="A22" t="str">
        <f>'100 mile vs. 200 miles'!A21</f>
        <v xml:space="preserve">   200 Mile Electric Vehicle</v>
      </c>
      <c r="B22">
        <f>'100 mile vs. 200 miles'!B21</f>
        <v>4.8455249646500699E-2</v>
      </c>
    </row>
    <row r="25" spans="1:6" x14ac:dyDescent="0.35">
      <c r="A25" t="s">
        <v>392</v>
      </c>
      <c r="B25">
        <f>B18*C5+B19*C11+B21*C6+B22*C12</f>
        <v>10220.790581885631</v>
      </c>
    </row>
    <row r="32" spans="1:6" x14ac:dyDescent="0.35">
      <c r="A32" t="str">
        <f>'100 mile vs. 200 miles'!P15</f>
        <v>car %</v>
      </c>
      <c r="B32">
        <f>'100 mile vs. 200 miles'!Q15</f>
        <v>0.8475384904163592</v>
      </c>
    </row>
    <row r="33" spans="1:2" x14ac:dyDescent="0.35">
      <c r="A33" t="str">
        <f>'100 mile vs. 200 miles'!P16</f>
        <v>truck %</v>
      </c>
      <c r="B33">
        <f>'100 mile vs. 200 miles'!Q16</f>
        <v>0.1524615095836408</v>
      </c>
    </row>
    <row r="38" spans="1:2" x14ac:dyDescent="0.35">
      <c r="A38">
        <f>'Battery size across segments'!$B$57</f>
        <v>12.937471728786164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Q16" sqref="P15:Q16"/>
    </sheetView>
  </sheetViews>
  <sheetFormatPr defaultRowHeight="14.5" x14ac:dyDescent="0.35"/>
  <cols>
    <col min="1" max="1" width="23.08984375" bestFit="1" customWidth="1"/>
    <col min="4" max="5" width="18.1796875" customWidth="1"/>
  </cols>
  <sheetData>
    <row r="1" spans="1:17" x14ac:dyDescent="0.35">
      <c r="A1" t="s">
        <v>383</v>
      </c>
    </row>
    <row r="2" spans="1:17" x14ac:dyDescent="0.35">
      <c r="A2" s="61" t="s">
        <v>379</v>
      </c>
      <c r="B2" s="61">
        <v>2017</v>
      </c>
      <c r="C2" s="61">
        <v>2018</v>
      </c>
      <c r="D2" s="61">
        <v>2019</v>
      </c>
      <c r="E2" s="61">
        <v>2020</v>
      </c>
      <c r="F2" s="61">
        <v>2021</v>
      </c>
      <c r="G2" s="61">
        <v>2022</v>
      </c>
      <c r="H2" s="61">
        <v>2023</v>
      </c>
      <c r="I2" s="61">
        <v>2024</v>
      </c>
      <c r="J2" s="61">
        <v>2025</v>
      </c>
      <c r="K2" s="61">
        <v>2026</v>
      </c>
      <c r="L2" s="61">
        <v>2027</v>
      </c>
      <c r="M2" s="61">
        <v>2028</v>
      </c>
      <c r="N2" s="61">
        <v>2029</v>
      </c>
      <c r="O2" s="61">
        <v>2030</v>
      </c>
    </row>
    <row r="3" spans="1:17" x14ac:dyDescent="0.35">
      <c r="A3" s="61"/>
      <c r="B3" s="61"/>
      <c r="C3" s="61"/>
      <c r="D3" s="61"/>
      <c r="E3" s="61"/>
      <c r="F3" s="61"/>
      <c r="G3" s="61"/>
      <c r="H3" s="61"/>
      <c r="I3" s="61"/>
      <c r="J3" s="61"/>
      <c r="K3" s="61"/>
      <c r="L3" s="61"/>
      <c r="M3" s="61"/>
      <c r="N3" s="61"/>
      <c r="O3" s="61"/>
    </row>
    <row r="4" spans="1:17" x14ac:dyDescent="0.35">
      <c r="A4" s="61" t="s">
        <v>380</v>
      </c>
      <c r="B4" s="61"/>
      <c r="C4" s="61"/>
      <c r="D4" s="61"/>
      <c r="E4" s="61"/>
      <c r="F4" s="61"/>
      <c r="G4" s="61"/>
      <c r="H4" s="61"/>
      <c r="I4" s="61"/>
      <c r="J4" s="61"/>
      <c r="K4" s="61"/>
      <c r="L4" s="61"/>
      <c r="M4" s="61"/>
      <c r="N4" s="61"/>
      <c r="O4" s="61"/>
    </row>
    <row r="5" spans="1:17" x14ac:dyDescent="0.35">
      <c r="A5" s="61" t="s">
        <v>381</v>
      </c>
      <c r="B5" s="90">
        <v>10.664</v>
      </c>
      <c r="C5" s="90">
        <v>2.9652829999999999</v>
      </c>
      <c r="D5" s="90">
        <v>10.500658</v>
      </c>
      <c r="E5" s="90">
        <v>10.842278</v>
      </c>
      <c r="F5" s="90">
        <v>11.665779000000001</v>
      </c>
      <c r="G5" s="90">
        <v>13.152122</v>
      </c>
      <c r="H5" s="90">
        <v>14.169079999999999</v>
      </c>
      <c r="I5" s="90">
        <v>16.073682999999999</v>
      </c>
      <c r="J5" s="90">
        <v>16.821209</v>
      </c>
      <c r="K5" s="90">
        <v>15.762579000000001</v>
      </c>
      <c r="L5" s="90">
        <v>15.840916</v>
      </c>
      <c r="M5" s="90">
        <v>14.990503</v>
      </c>
      <c r="N5" s="90">
        <v>15.626322999999999</v>
      </c>
      <c r="O5" s="90">
        <v>15.115997999999999</v>
      </c>
      <c r="P5" s="90">
        <f>SUM(B5:O5)</f>
        <v>184.19041099999998</v>
      </c>
    </row>
    <row r="6" spans="1:17" x14ac:dyDescent="0.35">
      <c r="A6" s="61" t="s">
        <v>382</v>
      </c>
      <c r="B6" s="90">
        <v>10.582746999999999</v>
      </c>
      <c r="C6" s="90">
        <v>9.3707469999999997</v>
      </c>
      <c r="D6" s="90">
        <v>32.982109000000001</v>
      </c>
      <c r="E6" s="90">
        <v>41.887611</v>
      </c>
      <c r="F6" s="90">
        <v>45.307613000000003</v>
      </c>
      <c r="G6" s="90">
        <v>47.329700000000003</v>
      </c>
      <c r="H6" s="90">
        <v>52.057994999999998</v>
      </c>
      <c r="I6" s="90">
        <v>59.773288999999998</v>
      </c>
      <c r="J6" s="90">
        <v>66.97345</v>
      </c>
      <c r="K6" s="90">
        <v>65.674210000000002</v>
      </c>
      <c r="L6" s="90">
        <v>65.598022</v>
      </c>
      <c r="M6" s="90">
        <v>66.051956000000004</v>
      </c>
      <c r="N6" s="90">
        <v>72.448455999999993</v>
      </c>
      <c r="O6" s="90">
        <v>72.199141999999995</v>
      </c>
      <c r="P6" s="90">
        <f t="shared" ref="P6:P10" si="0">SUM(B6:O6)</f>
        <v>708.23704700000008</v>
      </c>
    </row>
    <row r="7" spans="1:17" x14ac:dyDescent="0.35">
      <c r="P7" s="90"/>
    </row>
    <row r="8" spans="1:17" x14ac:dyDescent="0.35">
      <c r="A8" s="61" t="s">
        <v>384</v>
      </c>
      <c r="B8" s="61"/>
      <c r="C8" s="61"/>
      <c r="D8" s="61"/>
      <c r="E8" s="61"/>
      <c r="F8" s="61"/>
      <c r="G8" s="61"/>
      <c r="H8" s="61"/>
      <c r="I8" s="61"/>
      <c r="J8" s="61"/>
      <c r="K8" s="61"/>
      <c r="L8" s="61"/>
      <c r="M8" s="61"/>
      <c r="N8" s="61"/>
      <c r="O8" s="61"/>
      <c r="P8" s="90"/>
      <c r="Q8" s="61"/>
    </row>
    <row r="9" spans="1:17" x14ac:dyDescent="0.35">
      <c r="A9" s="61" t="s">
        <v>381</v>
      </c>
      <c r="B9" s="90">
        <v>0.67537100000000005</v>
      </c>
      <c r="C9" s="90">
        <v>0.88343499999999997</v>
      </c>
      <c r="D9" s="90">
        <v>3.5462229999999999</v>
      </c>
      <c r="E9" s="90">
        <v>4.9680260000000001</v>
      </c>
      <c r="F9" s="90">
        <v>7.262899</v>
      </c>
      <c r="G9" s="90">
        <v>9.4517480000000003</v>
      </c>
      <c r="H9" s="90">
        <v>9.566891</v>
      </c>
      <c r="I9" s="90">
        <v>10.306713</v>
      </c>
      <c r="J9" s="90">
        <v>10.788817999999999</v>
      </c>
      <c r="K9" s="90">
        <v>10.662231</v>
      </c>
      <c r="L9" s="90">
        <v>10.570973</v>
      </c>
      <c r="M9" s="90">
        <v>10.12626</v>
      </c>
      <c r="N9" s="90">
        <v>10.330000999999999</v>
      </c>
      <c r="O9" s="90">
        <v>10.375251</v>
      </c>
      <c r="P9" s="90">
        <f t="shared" si="0"/>
        <v>109.51484000000001</v>
      </c>
      <c r="Q9" s="90"/>
    </row>
    <row r="10" spans="1:17" x14ac:dyDescent="0.35">
      <c r="A10" s="61" t="s">
        <v>382</v>
      </c>
      <c r="B10" s="90">
        <v>0.405223</v>
      </c>
      <c r="C10" s="90">
        <v>0.50629999999999997</v>
      </c>
      <c r="D10" s="90">
        <v>1.031647</v>
      </c>
      <c r="E10" s="90">
        <v>1.729314</v>
      </c>
      <c r="F10" s="90">
        <v>3.0619749999999999</v>
      </c>
      <c r="G10" s="90">
        <v>4.3944390000000002</v>
      </c>
      <c r="H10" s="90">
        <v>4.5206489999999997</v>
      </c>
      <c r="I10" s="90">
        <v>4.9593980000000002</v>
      </c>
      <c r="J10" s="90">
        <v>5.2749160000000002</v>
      </c>
      <c r="K10" s="90">
        <v>5.2076909999999996</v>
      </c>
      <c r="L10" s="90">
        <v>5.1573169999999999</v>
      </c>
      <c r="M10" s="90">
        <v>4.910895</v>
      </c>
      <c r="N10" s="90">
        <v>4.9418519999999999</v>
      </c>
      <c r="O10" s="90">
        <v>4.9200140000000001</v>
      </c>
      <c r="P10" s="90">
        <f t="shared" si="0"/>
        <v>51.021629999999995</v>
      </c>
      <c r="Q10" s="90"/>
    </row>
    <row r="12" spans="1:17" s="61" customFormat="1" x14ac:dyDescent="0.35">
      <c r="A12" s="61" t="s">
        <v>266</v>
      </c>
      <c r="B12" s="90"/>
      <c r="P12" s="90">
        <f>P5+P6+P9+P10</f>
        <v>1052.9639280000001</v>
      </c>
    </row>
    <row r="14" spans="1:17" x14ac:dyDescent="0.35">
      <c r="A14" s="1" t="s">
        <v>402</v>
      </c>
      <c r="D14" t="s">
        <v>404</v>
      </c>
    </row>
    <row r="15" spans="1:17" s="61" customFormat="1" x14ac:dyDescent="0.35">
      <c r="A15" s="61" t="s">
        <v>387</v>
      </c>
      <c r="D15" s="61" t="s">
        <v>406</v>
      </c>
      <c r="E15" s="61" t="s">
        <v>426</v>
      </c>
      <c r="P15" s="61" t="s">
        <v>427</v>
      </c>
      <c r="Q15" s="61">
        <f>(E16+E17)</f>
        <v>0.8475384904163592</v>
      </c>
    </row>
    <row r="16" spans="1:17" x14ac:dyDescent="0.35">
      <c r="A16" t="str">
        <f>A5</f>
        <v xml:space="preserve">   100 Mile Electric Vehicle</v>
      </c>
      <c r="B16">
        <f>P5/$P$12</f>
        <v>0.17492566089120573</v>
      </c>
      <c r="D16">
        <v>0.5</v>
      </c>
      <c r="E16">
        <f>(B16+B17)*D16</f>
        <v>0.4237692452081796</v>
      </c>
      <c r="P16" t="s">
        <v>428</v>
      </c>
      <c r="Q16">
        <f>1-Q15</f>
        <v>0.1524615095836408</v>
      </c>
    </row>
    <row r="17" spans="1:5" x14ac:dyDescent="0.35">
      <c r="A17" t="str">
        <f>A6</f>
        <v xml:space="preserve">   200 Mile Electric Vehicle</v>
      </c>
      <c r="B17" s="61">
        <f t="shared" ref="B17" si="1">P6/$P$12</f>
        <v>0.67261282952515344</v>
      </c>
      <c r="D17">
        <v>0.5</v>
      </c>
      <c r="E17">
        <f>$E$16</f>
        <v>0.4237692452081796</v>
      </c>
    </row>
    <row r="18" spans="1:5" s="61" customFormat="1" x14ac:dyDescent="0.35"/>
    <row r="19" spans="1:5" x14ac:dyDescent="0.35">
      <c r="A19" t="s">
        <v>385</v>
      </c>
      <c r="B19" s="61"/>
    </row>
    <row r="20" spans="1:5" x14ac:dyDescent="0.35">
      <c r="A20" t="str">
        <f>A9</f>
        <v xml:space="preserve">   100 Mile Electric Vehicle</v>
      </c>
      <c r="B20" s="61">
        <f>P9/$P$12</f>
        <v>0.10400625993714002</v>
      </c>
    </row>
    <row r="21" spans="1:5" x14ac:dyDescent="0.35">
      <c r="A21" t="str">
        <f>A10</f>
        <v xml:space="preserve">   200 Mile Electric Vehicle</v>
      </c>
      <c r="B21" s="61">
        <f>P10/$P$12</f>
        <v>4.8455249646500699E-2</v>
      </c>
    </row>
    <row r="24" spans="1:5" x14ac:dyDescent="0.35">
      <c r="A24" t="s">
        <v>403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7" sqref="A7:B27"/>
    </sheetView>
  </sheetViews>
  <sheetFormatPr defaultRowHeight="14.5" x14ac:dyDescent="0.35"/>
  <cols>
    <col min="1" max="1" width="45.90625" customWidth="1"/>
    <col min="2" max="2" width="45.90625" style="61" customWidth="1"/>
    <col min="3" max="3" width="38.26953125" customWidth="1"/>
    <col min="4" max="4" width="22.6328125" style="61" customWidth="1"/>
    <col min="5" max="5" width="14.7265625" customWidth="1"/>
    <col min="6" max="6" width="16.54296875" customWidth="1"/>
    <col min="7" max="7" width="14.08984375" customWidth="1"/>
    <col min="9" max="9" width="25.6328125" customWidth="1"/>
  </cols>
  <sheetData>
    <row r="1" spans="1:2" x14ac:dyDescent="0.35">
      <c r="A1" t="s">
        <v>326</v>
      </c>
    </row>
    <row r="2" spans="1:2" s="61" customFormat="1" x14ac:dyDescent="0.35"/>
    <row r="3" spans="1:2" x14ac:dyDescent="0.35">
      <c r="A3" s="84">
        <v>1</v>
      </c>
      <c r="B3" s="84"/>
    </row>
    <row r="4" spans="1:2" s="2" customFormat="1" x14ac:dyDescent="0.35"/>
    <row r="5" spans="1:2" s="82" customFormat="1" x14ac:dyDescent="0.35"/>
    <row r="6" spans="1:2" x14ac:dyDescent="0.35">
      <c r="A6" t="s">
        <v>422</v>
      </c>
      <c r="B6" s="61">
        <f>'Weighted average battery cost'!B25</f>
        <v>10220.790581885631</v>
      </c>
    </row>
    <row r="7" spans="1:2" x14ac:dyDescent="0.35">
      <c r="A7" t="s">
        <v>327</v>
      </c>
      <c r="B7" s="93">
        <f>'Weighted average battery cost'!B2*'Battery size across segments'!B57</f>
        <v>2698.0854133068651</v>
      </c>
    </row>
    <row r="8" spans="1:2" s="61" customFormat="1" x14ac:dyDescent="0.35"/>
    <row r="9" spans="1:2" s="88" customFormat="1" x14ac:dyDescent="0.35">
      <c r="A9" s="88" t="s">
        <v>416</v>
      </c>
    </row>
    <row r="11" spans="1:2" s="61" customFormat="1" x14ac:dyDescent="0.35">
      <c r="A11" s="61" t="str">
        <f>'more recent LDV $'!M8</f>
        <v>average price</v>
      </c>
      <c r="B11" s="61">
        <f>'more recent LDV $'!O8</f>
        <v>32856.400642169101</v>
      </c>
    </row>
    <row r="12" spans="1:2" s="61" customFormat="1" x14ac:dyDescent="0.35"/>
    <row r="13" spans="1:2" s="61" customFormat="1" x14ac:dyDescent="0.35"/>
    <row r="14" spans="1:2" s="88" customFormat="1" x14ac:dyDescent="0.35">
      <c r="A14" s="88" t="s">
        <v>417</v>
      </c>
    </row>
    <row r="15" spans="1:2" s="61" customFormat="1" x14ac:dyDescent="0.35"/>
    <row r="16" spans="1:2" s="61" customFormat="1" x14ac:dyDescent="0.35">
      <c r="A16" s="61">
        <v>2017</v>
      </c>
      <c r="B16" s="61">
        <f>B11+B6</f>
        <v>43077.191224054732</v>
      </c>
    </row>
    <row r="17" spans="1:5" s="61" customFormat="1" x14ac:dyDescent="0.35"/>
    <row r="18" spans="1:5" s="61" customFormat="1" x14ac:dyDescent="0.35"/>
    <row r="19" spans="1:5" s="61" customFormat="1" x14ac:dyDescent="0.35">
      <c r="A19" s="61" t="s">
        <v>418</v>
      </c>
      <c r="B19" s="61">
        <f>B6/B16</f>
        <v>0.23726687584445477</v>
      </c>
    </row>
    <row r="20" spans="1:5" s="61" customFormat="1" x14ac:dyDescent="0.35"/>
    <row r="21" spans="1:5" s="61" customFormat="1" x14ac:dyDescent="0.35"/>
    <row r="22" spans="1:5" s="61" customFormat="1" x14ac:dyDescent="0.35"/>
    <row r="23" spans="1:5" s="88" customFormat="1" x14ac:dyDescent="0.35">
      <c r="A23" s="88" t="s">
        <v>239</v>
      </c>
    </row>
    <row r="24" spans="1:5" s="61" customFormat="1" x14ac:dyDescent="0.35"/>
    <row r="25" spans="1:5" s="61" customFormat="1" x14ac:dyDescent="0.35">
      <c r="D25" s="16"/>
      <c r="E25" s="16"/>
    </row>
    <row r="26" spans="1:5" s="61" customFormat="1" x14ac:dyDescent="0.35">
      <c r="A26" s="61" t="str">
        <f>'LDV Account for auto vs truck'!A24</f>
        <v>Reference Gasoline LDV</v>
      </c>
      <c r="B26" s="61">
        <f>$B$11</f>
        <v>32856.400642169101</v>
      </c>
    </row>
    <row r="27" spans="1:5" s="61" customFormat="1" x14ac:dyDescent="0.35">
      <c r="A27" s="61" t="s">
        <v>239</v>
      </c>
      <c r="B27" s="93">
        <f>B11+B7</f>
        <v>35554.486055475965</v>
      </c>
    </row>
    <row r="28" spans="1:5" s="61" customFormat="1" x14ac:dyDescent="0.35"/>
    <row r="29" spans="1:5" s="61" customFormat="1" ht="17" customHeight="1" x14ac:dyDescent="0.35"/>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7"/>
  <sheetViews>
    <sheetView workbookViewId="0">
      <selection activeCell="C30" sqref="C30:AJ30"/>
    </sheetView>
  </sheetViews>
  <sheetFormatPr defaultRowHeight="14.5" x14ac:dyDescent="0.35"/>
  <cols>
    <col min="1" max="1" width="20.81640625" customWidth="1"/>
  </cols>
  <sheetData>
    <row r="2" spans="1:36" ht="14.25" x14ac:dyDescent="0.45">
      <c r="A2" t="s">
        <v>221</v>
      </c>
    </row>
    <row r="4" spans="1:36" ht="14.25" x14ac:dyDescent="0.45">
      <c r="B4">
        <v>2016</v>
      </c>
      <c r="C4">
        <v>2017</v>
      </c>
      <c r="D4">
        <v>2018</v>
      </c>
      <c r="E4">
        <v>2019</v>
      </c>
      <c r="F4">
        <v>2020</v>
      </c>
      <c r="G4">
        <v>2021</v>
      </c>
      <c r="H4">
        <v>2022</v>
      </c>
      <c r="I4">
        <v>2023</v>
      </c>
      <c r="J4">
        <v>2024</v>
      </c>
      <c r="K4">
        <v>2025</v>
      </c>
      <c r="L4">
        <v>2026</v>
      </c>
      <c r="M4">
        <v>2027</v>
      </c>
      <c r="N4">
        <v>2028</v>
      </c>
      <c r="O4">
        <v>2029</v>
      </c>
      <c r="P4">
        <v>2030</v>
      </c>
      <c r="Q4">
        <v>2031</v>
      </c>
      <c r="R4">
        <v>2032</v>
      </c>
      <c r="S4">
        <v>2033</v>
      </c>
      <c r="T4">
        <v>2034</v>
      </c>
      <c r="U4">
        <v>2035</v>
      </c>
      <c r="V4">
        <v>2036</v>
      </c>
      <c r="W4">
        <v>2037</v>
      </c>
      <c r="X4">
        <v>2038</v>
      </c>
      <c r="Y4">
        <v>2039</v>
      </c>
      <c r="Z4">
        <v>2040</v>
      </c>
      <c r="AA4">
        <v>2041</v>
      </c>
      <c r="AB4">
        <v>2042</v>
      </c>
      <c r="AC4">
        <v>2043</v>
      </c>
      <c r="AD4">
        <v>2044</v>
      </c>
      <c r="AE4">
        <v>2045</v>
      </c>
      <c r="AF4">
        <v>2046</v>
      </c>
      <c r="AG4">
        <v>2047</v>
      </c>
      <c r="AH4">
        <v>2048</v>
      </c>
      <c r="AI4">
        <v>2049</v>
      </c>
      <c r="AJ4">
        <v>2050</v>
      </c>
    </row>
    <row r="5" spans="1:36" ht="14.25" x14ac:dyDescent="0.45">
      <c r="A5" t="s">
        <v>169</v>
      </c>
      <c r="B5">
        <v>14292854.421586299</v>
      </c>
      <c r="C5">
        <v>14329659.552050401</v>
      </c>
      <c r="D5">
        <v>14485300.651609199</v>
      </c>
      <c r="E5">
        <v>14759320.2980741</v>
      </c>
      <c r="F5">
        <v>14969025.8089246</v>
      </c>
      <c r="G5">
        <v>15267169.029187201</v>
      </c>
      <c r="H5">
        <v>15615044.735241201</v>
      </c>
      <c r="I5">
        <v>15951880.8380157</v>
      </c>
      <c r="J5">
        <v>16199512.385280199</v>
      </c>
      <c r="K5">
        <v>16457020.9708391</v>
      </c>
      <c r="L5">
        <v>16823582.180816401</v>
      </c>
      <c r="M5">
        <v>17138070.377117202</v>
      </c>
      <c r="N5">
        <v>17445349.978989702</v>
      </c>
      <c r="O5">
        <v>17742480.6938757</v>
      </c>
      <c r="P5">
        <v>18028178.033640601</v>
      </c>
      <c r="Q5">
        <v>18305428.2957347</v>
      </c>
      <c r="R5">
        <v>18542539.2524321</v>
      </c>
      <c r="S5">
        <v>18766036.117913999</v>
      </c>
      <c r="T5">
        <v>18977588.395264801</v>
      </c>
      <c r="U5">
        <v>19185080.227409899</v>
      </c>
      <c r="V5">
        <v>19374597.192598201</v>
      </c>
      <c r="W5">
        <v>19559875.840448398</v>
      </c>
      <c r="X5">
        <v>19740100.637946699</v>
      </c>
      <c r="Y5">
        <v>19916063.880911</v>
      </c>
      <c r="Z5">
        <v>20088232.762705199</v>
      </c>
      <c r="AA5">
        <v>20322949.388914201</v>
      </c>
      <c r="AB5">
        <v>20552194.384760398</v>
      </c>
      <c r="AC5">
        <v>20778045.215225</v>
      </c>
      <c r="AD5">
        <v>21000825.927256402</v>
      </c>
      <c r="AE5">
        <v>21218845.326561701</v>
      </c>
      <c r="AF5">
        <v>21433692.367596999</v>
      </c>
      <c r="AG5">
        <v>21644934.365535699</v>
      </c>
      <c r="AH5">
        <v>21852277.6311724</v>
      </c>
      <c r="AI5">
        <v>22056844.025203899</v>
      </c>
      <c r="AJ5">
        <v>22256347.283033799</v>
      </c>
    </row>
    <row r="6" spans="1:36" ht="14.25" x14ac:dyDescent="0.45">
      <c r="A6" t="s">
        <v>170</v>
      </c>
      <c r="B6">
        <v>10321020.3381839</v>
      </c>
      <c r="C6">
        <v>10163934.5352131</v>
      </c>
      <c r="D6">
        <v>10088380.946840201</v>
      </c>
      <c r="E6">
        <v>10091801.969596401</v>
      </c>
      <c r="F6">
        <v>10057770.2680897</v>
      </c>
      <c r="G6">
        <v>10089458.2528753</v>
      </c>
      <c r="H6">
        <v>10160327.616264099</v>
      </c>
      <c r="I6">
        <v>10233853.939944999</v>
      </c>
      <c r="J6">
        <v>10261426.089428401</v>
      </c>
      <c r="K6">
        <v>10306097.7946134</v>
      </c>
      <c r="L6">
        <v>10428864.444236301</v>
      </c>
      <c r="M6">
        <v>10529484.683411101</v>
      </c>
      <c r="N6">
        <v>10636528.359672301</v>
      </c>
      <c r="O6">
        <v>10746230.8611679</v>
      </c>
      <c r="P6">
        <v>10857784.8024277</v>
      </c>
      <c r="Q6">
        <v>10970380.312697601</v>
      </c>
      <c r="R6">
        <v>11068903.423883799</v>
      </c>
      <c r="S6">
        <v>11166460.4493756</v>
      </c>
      <c r="T6">
        <v>11262953.455523901</v>
      </c>
      <c r="U6">
        <v>11365821.7372499</v>
      </c>
      <c r="V6">
        <v>11462206.2330736</v>
      </c>
      <c r="W6">
        <v>11559254.8512991</v>
      </c>
      <c r="X6">
        <v>11654218.244027499</v>
      </c>
      <c r="Y6">
        <v>11746032.860760501</v>
      </c>
      <c r="Z6">
        <v>11837381.0851763</v>
      </c>
      <c r="AA6">
        <v>11968554.7823133</v>
      </c>
      <c r="AB6">
        <v>12093108.4717071</v>
      </c>
      <c r="AC6">
        <v>12215187.5066834</v>
      </c>
      <c r="AD6">
        <v>12331734.999546099</v>
      </c>
      <c r="AE6">
        <v>12445479.2296528</v>
      </c>
      <c r="AF6">
        <v>12554829.476916101</v>
      </c>
      <c r="AG6">
        <v>12660920.8018988</v>
      </c>
      <c r="AH6">
        <v>12767247.907253001</v>
      </c>
      <c r="AI6">
        <v>12871599.17924</v>
      </c>
      <c r="AJ6">
        <v>12976124.567097301</v>
      </c>
    </row>
    <row r="7" spans="1:36" ht="14.25" x14ac:dyDescent="0.45">
      <c r="A7" t="s">
        <v>171</v>
      </c>
      <c r="B7">
        <f>1-B8</f>
        <v>0.58068282873312793</v>
      </c>
      <c r="C7">
        <v>0.58503703053941447</v>
      </c>
      <c r="D7">
        <v>0.58946400007572419</v>
      </c>
      <c r="E7">
        <v>0.59390960855216191</v>
      </c>
      <c r="F7">
        <v>0.59811994163618909</v>
      </c>
      <c r="G7">
        <v>0.60209778135546166</v>
      </c>
      <c r="H7">
        <v>0.60581257652827936</v>
      </c>
      <c r="I7">
        <v>0.60918209755342234</v>
      </c>
      <c r="J7">
        <v>0.61220475610733582</v>
      </c>
      <c r="K7">
        <v>0.61491417032019624</v>
      </c>
      <c r="L7">
        <v>0.6173237365540154</v>
      </c>
      <c r="M7">
        <v>0.61942843665167557</v>
      </c>
      <c r="N7">
        <v>0.62123159172624309</v>
      </c>
      <c r="O7">
        <v>0.62278986045385398</v>
      </c>
      <c r="P7">
        <v>0.62411553099174566</v>
      </c>
      <c r="Q7">
        <v>0.62527489985237139</v>
      </c>
      <c r="R7">
        <v>0.62619506435810934</v>
      </c>
      <c r="S7">
        <v>0.62694523578168981</v>
      </c>
      <c r="T7">
        <v>0.62755450907272181</v>
      </c>
      <c r="U7">
        <v>0.62797099246374199</v>
      </c>
      <c r="V7">
        <v>0.62829460385860703</v>
      </c>
      <c r="W7">
        <v>0.6285482725786905</v>
      </c>
      <c r="X7">
        <v>0.62877938878555995</v>
      </c>
      <c r="Y7">
        <v>0.62901910898082847</v>
      </c>
      <c r="Z7">
        <v>0.62921993789755126</v>
      </c>
      <c r="AA7">
        <v>0.62935901905190383</v>
      </c>
      <c r="AB7">
        <v>0.62956053662981148</v>
      </c>
      <c r="AC7">
        <v>0.62976687947973697</v>
      </c>
      <c r="AD7">
        <v>0.63003937721358128</v>
      </c>
      <c r="AE7">
        <v>0.63030658141170581</v>
      </c>
      <c r="AF7">
        <v>0.63061560798817506</v>
      </c>
      <c r="AG7">
        <v>0.63093994479643734</v>
      </c>
      <c r="AH7">
        <v>0.6312125106081482</v>
      </c>
      <c r="AI7">
        <v>0.6314866052317395</v>
      </c>
      <c r="AJ7">
        <v>0.63169985284330776</v>
      </c>
    </row>
    <row r="8" spans="1:36" ht="14.25" x14ac:dyDescent="0.45">
      <c r="A8" t="s">
        <v>172</v>
      </c>
      <c r="B8">
        <v>0.41931717126687207</v>
      </c>
      <c r="C8">
        <v>0.41496296946058542</v>
      </c>
      <c r="D8">
        <v>0.41053599992427575</v>
      </c>
      <c r="E8">
        <v>0.40609039144783815</v>
      </c>
      <c r="F8">
        <v>0.40188005836381085</v>
      </c>
      <c r="G8">
        <v>0.3979022186445384</v>
      </c>
      <c r="H8">
        <v>0.39418742347172059</v>
      </c>
      <c r="I8">
        <v>0.3908179024465776</v>
      </c>
      <c r="J8">
        <v>0.38779524389266407</v>
      </c>
      <c r="K8">
        <v>0.3850858296798037</v>
      </c>
      <c r="L8">
        <v>0.3826762634459846</v>
      </c>
      <c r="M8">
        <v>0.38057156334832443</v>
      </c>
      <c r="N8">
        <v>0.37876840827375696</v>
      </c>
      <c r="O8">
        <v>0.37721013954614607</v>
      </c>
      <c r="P8">
        <v>0.37588446900825423</v>
      </c>
      <c r="Q8">
        <v>0.37472510014762855</v>
      </c>
      <c r="R8">
        <v>0.37380493564189066</v>
      </c>
      <c r="S8">
        <v>0.37305476421831019</v>
      </c>
      <c r="T8">
        <v>0.37244549092727824</v>
      </c>
      <c r="U8">
        <v>0.37202900753625801</v>
      </c>
      <c r="V8">
        <v>0.37170539614139292</v>
      </c>
      <c r="W8">
        <v>0.37145172742130955</v>
      </c>
      <c r="X8">
        <v>0.37122061121444011</v>
      </c>
      <c r="Y8">
        <v>0.37098089101917148</v>
      </c>
      <c r="Z8">
        <v>0.37078006210244874</v>
      </c>
      <c r="AA8">
        <v>0.37064098094809617</v>
      </c>
      <c r="AB8">
        <v>0.3704394633701884</v>
      </c>
      <c r="AC8">
        <v>0.37023312052026308</v>
      </c>
      <c r="AD8">
        <v>0.36996062278641872</v>
      </c>
      <c r="AE8">
        <v>0.3696934185882943</v>
      </c>
      <c r="AF8">
        <v>0.36938439201182488</v>
      </c>
      <c r="AG8">
        <v>0.36906005520356261</v>
      </c>
      <c r="AH8">
        <v>0.36878748939185185</v>
      </c>
      <c r="AI8">
        <v>0.36851339476826045</v>
      </c>
      <c r="AJ8">
        <v>0.36830014715669224</v>
      </c>
    </row>
    <row r="10" spans="1:36" ht="14.25" x14ac:dyDescent="0.45">
      <c r="A10" s="30" t="s">
        <v>226</v>
      </c>
    </row>
    <row r="11" spans="1:36" ht="14.25" x14ac:dyDescent="0.45">
      <c r="A11" t="s">
        <v>145</v>
      </c>
      <c r="B11">
        <v>2016</v>
      </c>
      <c r="C11">
        <v>2017</v>
      </c>
      <c r="D11">
        <v>2018</v>
      </c>
      <c r="E11">
        <v>2019</v>
      </c>
      <c r="F11">
        <v>2020</v>
      </c>
      <c r="G11">
        <v>2021</v>
      </c>
      <c r="H11">
        <v>2022</v>
      </c>
      <c r="I11">
        <v>2023</v>
      </c>
      <c r="J11">
        <v>2024</v>
      </c>
      <c r="K11">
        <v>2025</v>
      </c>
      <c r="L11">
        <v>2026</v>
      </c>
      <c r="M11">
        <v>2027</v>
      </c>
      <c r="N11">
        <v>2028</v>
      </c>
      <c r="O11">
        <v>2029</v>
      </c>
      <c r="P11">
        <v>2030</v>
      </c>
      <c r="Q11">
        <v>2031</v>
      </c>
      <c r="R11">
        <v>2032</v>
      </c>
      <c r="S11">
        <v>2033</v>
      </c>
      <c r="T11">
        <v>2034</v>
      </c>
      <c r="U11">
        <v>2035</v>
      </c>
      <c r="V11">
        <v>2036</v>
      </c>
      <c r="W11">
        <v>2037</v>
      </c>
      <c r="X11">
        <v>2038</v>
      </c>
      <c r="Y11">
        <v>2039</v>
      </c>
      <c r="Z11">
        <v>2040</v>
      </c>
      <c r="AA11">
        <v>2041</v>
      </c>
      <c r="AB11">
        <v>2042</v>
      </c>
      <c r="AC11">
        <v>2043</v>
      </c>
      <c r="AD11">
        <v>2044</v>
      </c>
      <c r="AE11">
        <v>2045</v>
      </c>
      <c r="AF11">
        <v>2046</v>
      </c>
      <c r="AG11">
        <v>2047</v>
      </c>
      <c r="AH11">
        <v>2048</v>
      </c>
      <c r="AI11">
        <v>2049</v>
      </c>
      <c r="AJ11">
        <v>2050</v>
      </c>
    </row>
    <row r="12" spans="1:36" ht="14.25" x14ac:dyDescent="0.45">
      <c r="A12" t="s">
        <v>158</v>
      </c>
      <c r="B12" s="16">
        <v>33200</v>
      </c>
      <c r="C12" s="16">
        <v>33200</v>
      </c>
      <c r="D12" s="16">
        <v>33200</v>
      </c>
      <c r="E12" s="16">
        <v>33200</v>
      </c>
      <c r="F12" s="16">
        <v>33200</v>
      </c>
      <c r="G12" s="16">
        <v>33200</v>
      </c>
      <c r="H12" s="16">
        <v>33200</v>
      </c>
      <c r="I12" s="16">
        <v>33200</v>
      </c>
      <c r="J12" s="16">
        <v>33200</v>
      </c>
      <c r="K12" s="16">
        <v>33200</v>
      </c>
      <c r="L12" s="16">
        <v>33200</v>
      </c>
      <c r="M12" s="16">
        <v>33200</v>
      </c>
      <c r="N12" s="16">
        <v>33200</v>
      </c>
      <c r="O12" s="16">
        <v>33200</v>
      </c>
      <c r="P12" s="16">
        <v>33200</v>
      </c>
      <c r="Q12" s="16">
        <v>33200</v>
      </c>
      <c r="R12" s="16">
        <v>33200</v>
      </c>
      <c r="S12" s="16">
        <v>33200</v>
      </c>
      <c r="T12" s="16">
        <v>33200</v>
      </c>
      <c r="U12" s="16">
        <v>33200</v>
      </c>
      <c r="V12" s="16">
        <v>33200</v>
      </c>
      <c r="W12" s="16">
        <v>33200</v>
      </c>
      <c r="X12" s="16">
        <v>33200</v>
      </c>
      <c r="Y12" s="16">
        <v>33200</v>
      </c>
      <c r="Z12" s="16">
        <v>33200</v>
      </c>
      <c r="AA12" s="16">
        <v>33200</v>
      </c>
      <c r="AB12" s="16">
        <v>33200</v>
      </c>
      <c r="AC12" s="16">
        <v>33200</v>
      </c>
      <c r="AD12" s="16">
        <v>33200</v>
      </c>
      <c r="AE12" s="16">
        <v>33200</v>
      </c>
      <c r="AF12" s="16">
        <v>33200</v>
      </c>
      <c r="AG12" s="16">
        <v>33200</v>
      </c>
      <c r="AH12" s="16">
        <v>33200</v>
      </c>
      <c r="AI12" s="16">
        <v>33200</v>
      </c>
      <c r="AJ12" s="16">
        <v>33200</v>
      </c>
    </row>
    <row r="13" spans="1:36" ht="14.25" x14ac:dyDescent="0.45">
      <c r="A13" t="s">
        <v>160</v>
      </c>
      <c r="B13" s="16">
        <f>'E3 LDV car'!C43</f>
        <v>51020</v>
      </c>
      <c r="C13" s="16">
        <f>'E3 LDV car'!D43</f>
        <v>50270</v>
      </c>
      <c r="D13" s="16">
        <f>'E3 LDV car'!E43</f>
        <v>49510</v>
      </c>
      <c r="E13" s="16">
        <f>'E3 LDV car'!F43</f>
        <v>48760</v>
      </c>
      <c r="F13" s="16">
        <f>'E3 LDV car'!G43</f>
        <v>48010</v>
      </c>
      <c r="G13" s="16">
        <f>'E3 LDV car'!H43</f>
        <v>47260</v>
      </c>
      <c r="H13" s="16">
        <f>'E3 LDV car'!I43</f>
        <v>46500</v>
      </c>
      <c r="I13" s="16">
        <f>'E3 LDV car'!J43</f>
        <v>45750</v>
      </c>
      <c r="J13" s="16">
        <f>'E3 LDV car'!K43</f>
        <v>45000</v>
      </c>
      <c r="K13" s="16">
        <f>'E3 LDV car'!L43</f>
        <v>44250</v>
      </c>
      <c r="L13" s="16">
        <f>'E3 LDV car'!M43</f>
        <v>43780</v>
      </c>
      <c r="M13" s="16">
        <f>'E3 LDV car'!N43</f>
        <v>43310</v>
      </c>
      <c r="N13" s="16">
        <f>'E3 LDV car'!O43</f>
        <v>42840</v>
      </c>
      <c r="O13" s="16">
        <f>'E3 LDV car'!P43</f>
        <v>42370</v>
      </c>
      <c r="P13" s="16">
        <f>'E3 LDV car'!Q43</f>
        <v>41900</v>
      </c>
      <c r="Q13" s="16">
        <f>'E3 LDV car'!R43</f>
        <v>41660</v>
      </c>
      <c r="R13" s="16">
        <f>'E3 LDV car'!S43</f>
        <v>41420</v>
      </c>
      <c r="S13" s="16">
        <f>'E3 LDV car'!T43</f>
        <v>41180</v>
      </c>
      <c r="T13" s="16">
        <f>'E3 LDV car'!U43</f>
        <v>40940</v>
      </c>
      <c r="U13" s="16">
        <f>'E3 LDV car'!V43</f>
        <v>40700</v>
      </c>
      <c r="V13" s="16">
        <f>'E3 LDV car'!W43</f>
        <v>40500</v>
      </c>
      <c r="W13" s="16">
        <f>'E3 LDV car'!X43</f>
        <v>40300</v>
      </c>
      <c r="X13" s="16">
        <f>'E3 LDV car'!Y43</f>
        <v>40100</v>
      </c>
      <c r="Y13" s="16">
        <f>'E3 LDV car'!Z43</f>
        <v>39900</v>
      </c>
      <c r="Z13" s="16">
        <f>'E3 LDV car'!AA43</f>
        <v>39700</v>
      </c>
      <c r="AA13" s="16">
        <f>'E3 LDV car'!AB43</f>
        <v>39500</v>
      </c>
      <c r="AB13" s="16">
        <f>'E3 LDV car'!AC43</f>
        <v>39300</v>
      </c>
      <c r="AC13" s="16">
        <f>'E3 LDV car'!AD43</f>
        <v>39100</v>
      </c>
      <c r="AD13" s="16">
        <f>'E3 LDV car'!AE43</f>
        <v>38900</v>
      </c>
      <c r="AE13" s="16">
        <f>'E3 LDV car'!AF43</f>
        <v>38700</v>
      </c>
      <c r="AF13" s="16">
        <f>'E3 LDV car'!AG43</f>
        <v>38700</v>
      </c>
      <c r="AG13" s="16">
        <f>'E3 LDV car'!AH43</f>
        <v>38700</v>
      </c>
      <c r="AH13" s="16">
        <f>'E3 LDV car'!AI43</f>
        <v>38700</v>
      </c>
      <c r="AI13" s="16">
        <f>'E3 LDV car'!AJ43</f>
        <v>38700</v>
      </c>
      <c r="AJ13" s="16">
        <f>'E3 LDV car'!AK43</f>
        <v>38700</v>
      </c>
    </row>
    <row r="14" spans="1:36" s="5" customFormat="1" ht="14.25" x14ac:dyDescent="0.45">
      <c r="A14" s="5" t="s">
        <v>164</v>
      </c>
      <c r="B14" s="5">
        <f>'E3 LDV car'!C45</f>
        <v>29204</v>
      </c>
      <c r="C14" s="5">
        <f>'E3 LDV car'!D45</f>
        <v>29204</v>
      </c>
      <c r="D14" s="5">
        <f>'E3 LDV car'!E45</f>
        <v>29204</v>
      </c>
      <c r="E14" s="5">
        <f>'E3 LDV car'!F45</f>
        <v>29204</v>
      </c>
      <c r="F14" s="5">
        <f>'E3 LDV car'!G45</f>
        <v>29204</v>
      </c>
      <c r="G14" s="5">
        <f>'E3 LDV car'!H45</f>
        <v>29342</v>
      </c>
      <c r="H14" s="5">
        <f>'E3 LDV car'!I45</f>
        <v>29480</v>
      </c>
      <c r="I14" s="5">
        <f>'E3 LDV car'!J45</f>
        <v>29618</v>
      </c>
      <c r="J14" s="5">
        <f>'E3 LDV car'!K45</f>
        <v>29756</v>
      </c>
      <c r="K14" s="5">
        <f>'E3 LDV car'!L45</f>
        <v>29894</v>
      </c>
      <c r="L14" s="5">
        <f>'E3 LDV car'!M45</f>
        <v>30032</v>
      </c>
      <c r="M14" s="5">
        <f>'E3 LDV car'!N45</f>
        <v>30170</v>
      </c>
      <c r="N14" s="5">
        <f>'E3 LDV car'!O45</f>
        <v>30308</v>
      </c>
      <c r="O14" s="5">
        <f>'E3 LDV car'!P45</f>
        <v>30446</v>
      </c>
      <c r="P14" s="5">
        <f>'E3 LDV car'!Q45</f>
        <v>30584</v>
      </c>
      <c r="Q14" s="5">
        <f>'E3 LDV car'!R45</f>
        <v>30632.6</v>
      </c>
      <c r="R14" s="5">
        <f>'E3 LDV car'!S45</f>
        <v>30681.199999999997</v>
      </c>
      <c r="S14" s="5">
        <f>'E3 LDV car'!T45</f>
        <v>30729.799999999996</v>
      </c>
      <c r="T14" s="5">
        <f>'E3 LDV car'!U45</f>
        <v>30778.399999999994</v>
      </c>
      <c r="U14" s="5">
        <f>'E3 LDV car'!V45</f>
        <v>30826.999999999993</v>
      </c>
      <c r="V14" s="5">
        <f>'E3 LDV car'!W45</f>
        <v>30875.599999999991</v>
      </c>
      <c r="W14" s="5">
        <f>'E3 LDV car'!X45</f>
        <v>30924.19999999999</v>
      </c>
      <c r="X14" s="5">
        <f>'E3 LDV car'!Y45</f>
        <v>30972.799999999988</v>
      </c>
      <c r="Y14" s="5">
        <f>'E3 LDV car'!Z45</f>
        <v>31021.399999999987</v>
      </c>
      <c r="Z14" s="5">
        <f>'E3 LDV car'!AA45</f>
        <v>31070</v>
      </c>
      <c r="AA14" s="5">
        <f>'E3 LDV car'!AB45</f>
        <v>31142.3</v>
      </c>
      <c r="AB14" s="5">
        <f>'E3 LDV car'!AC45</f>
        <v>31214.6</v>
      </c>
      <c r="AC14" s="5">
        <f>'E3 LDV car'!AD45</f>
        <v>31286.899999999998</v>
      </c>
      <c r="AD14" s="5">
        <f>'E3 LDV car'!AE45</f>
        <v>31359.199999999997</v>
      </c>
      <c r="AE14" s="5">
        <f>'E3 LDV car'!AF45</f>
        <v>31431.499999999996</v>
      </c>
      <c r="AF14" s="5">
        <f>'E3 LDV car'!AG45</f>
        <v>31503.799999999996</v>
      </c>
      <c r="AG14" s="5">
        <f>'E3 LDV car'!AH45</f>
        <v>31576.099999999995</v>
      </c>
      <c r="AH14" s="5">
        <f>'E3 LDV car'!AI45</f>
        <v>31648.399999999994</v>
      </c>
      <c r="AI14" s="5">
        <f>'E3 LDV car'!AJ45</f>
        <v>31720.699999999993</v>
      </c>
      <c r="AJ14" s="5">
        <f>'E3 LDV car'!AK45</f>
        <v>31793</v>
      </c>
    </row>
    <row r="15" spans="1:36" s="5" customFormat="1" ht="14.25" x14ac:dyDescent="0.45">
      <c r="A15" s="5" t="s">
        <v>161</v>
      </c>
      <c r="B15" s="5">
        <f>'E3 LDV car'!C44</f>
        <v>53990</v>
      </c>
      <c r="C15" s="5">
        <f>'E3 LDV car'!D44</f>
        <v>52960</v>
      </c>
      <c r="D15" s="5">
        <f>'E3 LDV car'!E44</f>
        <v>51940</v>
      </c>
      <c r="E15" s="5">
        <f>'E3 LDV car'!F44</f>
        <v>50910</v>
      </c>
      <c r="F15" s="5">
        <f>'E3 LDV car'!G44</f>
        <v>49880</v>
      </c>
      <c r="G15" s="5">
        <f>'E3 LDV car'!H44</f>
        <v>48860</v>
      </c>
      <c r="H15" s="5">
        <f>'E3 LDV car'!I44</f>
        <v>47830</v>
      </c>
      <c r="I15" s="5">
        <f>'E3 LDV car'!J44</f>
        <v>46810</v>
      </c>
      <c r="J15" s="5">
        <f>'E3 LDV car'!K44</f>
        <v>45780</v>
      </c>
      <c r="K15" s="5">
        <f>'E3 LDV car'!L44</f>
        <v>44750</v>
      </c>
      <c r="L15" s="5">
        <f>'E3 LDV car'!M44</f>
        <v>44180</v>
      </c>
      <c r="M15" s="5">
        <f>'E3 LDV car'!N44</f>
        <v>43610</v>
      </c>
      <c r="N15" s="5">
        <f>'E3 LDV car'!O44</f>
        <v>43040</v>
      </c>
      <c r="O15" s="5">
        <f>'E3 LDV car'!P44</f>
        <v>42470</v>
      </c>
      <c r="P15" s="5">
        <f>'E3 LDV car'!Q44</f>
        <v>41900</v>
      </c>
      <c r="Q15" s="5">
        <f>'E3 LDV car'!R44</f>
        <v>41660</v>
      </c>
      <c r="R15" s="5">
        <f>'E3 LDV car'!S44</f>
        <v>41420</v>
      </c>
      <c r="S15" s="5">
        <f>'E3 LDV car'!T44</f>
        <v>41180</v>
      </c>
      <c r="T15" s="5">
        <f>'E3 LDV car'!U44</f>
        <v>40940</v>
      </c>
      <c r="U15" s="5">
        <f>'E3 LDV car'!V44</f>
        <v>40700</v>
      </c>
      <c r="V15" s="5">
        <f>'E3 LDV car'!W44</f>
        <v>40500</v>
      </c>
      <c r="W15" s="5">
        <f>'E3 LDV car'!X44</f>
        <v>40300</v>
      </c>
      <c r="X15" s="5">
        <f>'E3 LDV car'!Y44</f>
        <v>40100</v>
      </c>
      <c r="Y15" s="5">
        <f>'E3 LDV car'!Z44</f>
        <v>39900</v>
      </c>
      <c r="Z15" s="5">
        <f>'E3 LDV car'!AA44</f>
        <v>39700</v>
      </c>
      <c r="AA15" s="5">
        <f>'E3 LDV car'!AB44</f>
        <v>39500</v>
      </c>
      <c r="AB15" s="5">
        <f>'E3 LDV car'!AC44</f>
        <v>39300</v>
      </c>
      <c r="AC15" s="5">
        <f>'E3 LDV car'!AD44</f>
        <v>39100</v>
      </c>
      <c r="AD15" s="5">
        <f>'E3 LDV car'!AE44</f>
        <v>38900</v>
      </c>
      <c r="AE15" s="5">
        <f>'E3 LDV car'!AF44</f>
        <v>38700</v>
      </c>
      <c r="AF15" s="5">
        <f>'E3 LDV car'!AG44</f>
        <v>38700</v>
      </c>
      <c r="AG15" s="5">
        <f>'E3 LDV car'!AH44</f>
        <v>38700</v>
      </c>
      <c r="AH15" s="5">
        <f>'E3 LDV car'!AI44</f>
        <v>38700</v>
      </c>
      <c r="AI15" s="5">
        <f>'E3 LDV car'!AJ44</f>
        <v>38700</v>
      </c>
      <c r="AJ15" s="5">
        <f>'E3 LDV car'!AK44</f>
        <v>38700</v>
      </c>
    </row>
    <row r="16" spans="1:36" s="5" customFormat="1" ht="14.25" x14ac:dyDescent="0.45"/>
    <row r="17" spans="1:36" ht="14.25" x14ac:dyDescent="0.45">
      <c r="A17" s="30" t="s">
        <v>225</v>
      </c>
    </row>
    <row r="18" spans="1:36" ht="14.25" x14ac:dyDescent="0.45">
      <c r="A18" t="s">
        <v>158</v>
      </c>
      <c r="B18">
        <f>'E3 LD truck'!H49</f>
        <v>33207.400000000009</v>
      </c>
      <c r="C18">
        <f>'E3 LD truck'!I49</f>
        <v>33339.80000000001</v>
      </c>
      <c r="D18">
        <f>'E3 LD truck'!J49</f>
        <v>33472.200000000012</v>
      </c>
      <c r="E18">
        <f>'E3 LD truck'!K49</f>
        <v>33604.600000000013</v>
      </c>
      <c r="F18">
        <f>'E3 LD truck'!L49</f>
        <v>33737</v>
      </c>
      <c r="G18">
        <f>'E3 LD truck'!M49</f>
        <v>33939.1</v>
      </c>
      <c r="H18">
        <f>'E3 LD truck'!N49</f>
        <v>34141.199999999997</v>
      </c>
      <c r="I18">
        <f>'E3 LD truck'!O49</f>
        <v>34343.299999999996</v>
      </c>
      <c r="J18">
        <f>'E3 LD truck'!P49</f>
        <v>34545.399999999994</v>
      </c>
      <c r="K18">
        <f>'E3 LD truck'!Q49</f>
        <v>34747.499999999993</v>
      </c>
      <c r="L18">
        <f>'E3 LD truck'!R49</f>
        <v>34949.599999999991</v>
      </c>
      <c r="M18">
        <f>'E3 LD truck'!S49</f>
        <v>35151.69999999999</v>
      </c>
      <c r="N18">
        <f>'E3 LD truck'!T49</f>
        <v>35353.799999999988</v>
      </c>
      <c r="O18">
        <f>'E3 LD truck'!U49</f>
        <v>35555.899999999987</v>
      </c>
      <c r="P18">
        <f>'E3 LD truck'!V49</f>
        <v>35758</v>
      </c>
      <c r="Q18">
        <f>'E3 LD truck'!W49</f>
        <v>35840</v>
      </c>
      <c r="R18">
        <f>'E3 LD truck'!X49</f>
        <v>35922</v>
      </c>
      <c r="S18">
        <f>'E3 LD truck'!Y49</f>
        <v>36004</v>
      </c>
      <c r="T18">
        <f>'E3 LD truck'!Z49</f>
        <v>36086</v>
      </c>
      <c r="U18">
        <f>'E3 LD truck'!AA49</f>
        <v>36168</v>
      </c>
      <c r="V18">
        <f>'E3 LD truck'!AB49</f>
        <v>36250</v>
      </c>
      <c r="W18">
        <f>'E3 LD truck'!AC49</f>
        <v>36332</v>
      </c>
      <c r="X18">
        <f>'E3 LD truck'!AD49</f>
        <v>36414</v>
      </c>
      <c r="Y18">
        <f>'E3 LD truck'!AE49</f>
        <v>36496</v>
      </c>
      <c r="Z18">
        <f>'E3 LD truck'!AF49</f>
        <v>36578</v>
      </c>
      <c r="AA18">
        <f>'E3 LD truck'!AG49</f>
        <v>36686</v>
      </c>
      <c r="AB18">
        <f>'E3 LD truck'!AH49</f>
        <v>36794</v>
      </c>
      <c r="AC18">
        <f>'E3 LD truck'!AI49</f>
        <v>36902</v>
      </c>
      <c r="AD18">
        <f>'E3 LD truck'!AJ49</f>
        <v>37010</v>
      </c>
      <c r="AE18">
        <f>'E3 LD truck'!AK49</f>
        <v>37118</v>
      </c>
      <c r="AF18">
        <f>'E3 LD truck'!AL49</f>
        <v>37226</v>
      </c>
      <c r="AG18">
        <f>'E3 LD truck'!AM49</f>
        <v>37334</v>
      </c>
      <c r="AH18">
        <f>'E3 LD truck'!AN49</f>
        <v>37442</v>
      </c>
      <c r="AI18">
        <f>'E3 LD truck'!AO49</f>
        <v>37550</v>
      </c>
      <c r="AJ18">
        <f>'E3 LD truck'!AP49</f>
        <v>37658</v>
      </c>
    </row>
    <row r="19" spans="1:36" ht="14.25" x14ac:dyDescent="0.45">
      <c r="A19" t="s">
        <v>160</v>
      </c>
      <c r="B19">
        <f>'E3 LD truck'!H51</f>
        <v>44624.400000000009</v>
      </c>
      <c r="C19">
        <f>'E3 LD truck'!I51</f>
        <v>44230.80000000001</v>
      </c>
      <c r="D19">
        <f>'E3 LD truck'!J51</f>
        <v>43837.200000000012</v>
      </c>
      <c r="E19">
        <f>'E3 LD truck'!K51</f>
        <v>43443.600000000013</v>
      </c>
      <c r="F19">
        <f>'E3 LD truck'!L51</f>
        <v>43050</v>
      </c>
      <c r="G19">
        <f>'E3 LD truck'!M51</f>
        <v>42904</v>
      </c>
      <c r="H19">
        <f>'E3 LD truck'!N51</f>
        <v>42758</v>
      </c>
      <c r="I19">
        <f>'E3 LD truck'!O51</f>
        <v>42612</v>
      </c>
      <c r="J19">
        <f>'E3 LD truck'!P51</f>
        <v>42466</v>
      </c>
      <c r="K19">
        <f>'E3 LD truck'!Q51</f>
        <v>42320</v>
      </c>
      <c r="L19">
        <f>'E3 LD truck'!R51</f>
        <v>42174</v>
      </c>
      <c r="M19">
        <f>'E3 LD truck'!S51</f>
        <v>42028</v>
      </c>
      <c r="N19">
        <f>'E3 LD truck'!T51</f>
        <v>41882</v>
      </c>
      <c r="O19">
        <f>'E3 LD truck'!U51</f>
        <v>41736</v>
      </c>
      <c r="P19">
        <f>'E3 LD truck'!V51</f>
        <v>41590</v>
      </c>
      <c r="Q19">
        <f>'E3 LD truck'!W51</f>
        <v>41520</v>
      </c>
      <c r="R19">
        <f>'E3 LD truck'!X51</f>
        <v>41450</v>
      </c>
      <c r="S19">
        <f>'E3 LD truck'!Y51</f>
        <v>41380</v>
      </c>
      <c r="T19">
        <f>'E3 LD truck'!Z51</f>
        <v>41310</v>
      </c>
      <c r="U19">
        <f>'E3 LD truck'!AA51</f>
        <v>41240</v>
      </c>
      <c r="V19">
        <f>'E3 LD truck'!AB51</f>
        <v>41170</v>
      </c>
      <c r="W19">
        <f>'E3 LD truck'!AC51</f>
        <v>41100</v>
      </c>
      <c r="X19">
        <f>'E3 LD truck'!AD51</f>
        <v>41030</v>
      </c>
      <c r="Y19">
        <f>'E3 LD truck'!AE51</f>
        <v>40960</v>
      </c>
      <c r="Z19">
        <f>'E3 LD truck'!AF51</f>
        <v>40890</v>
      </c>
      <c r="AA19">
        <f>'E3 LD truck'!AG51</f>
        <v>40905</v>
      </c>
      <c r="AB19">
        <f>'E3 LD truck'!AH51</f>
        <v>40920</v>
      </c>
      <c r="AC19">
        <f>'E3 LD truck'!AI51</f>
        <v>40935</v>
      </c>
      <c r="AD19">
        <f>'E3 LD truck'!AJ51</f>
        <v>40950</v>
      </c>
      <c r="AE19">
        <f>'E3 LD truck'!AK51</f>
        <v>40965</v>
      </c>
      <c r="AF19">
        <f>'E3 LD truck'!AL51</f>
        <v>40980</v>
      </c>
      <c r="AG19">
        <f>'E3 LD truck'!AM51</f>
        <v>40995</v>
      </c>
      <c r="AH19">
        <f>'E3 LD truck'!AN51</f>
        <v>41010</v>
      </c>
      <c r="AI19">
        <f>'E3 LD truck'!AO51</f>
        <v>41025</v>
      </c>
      <c r="AJ19">
        <f>'E3 LD truck'!AP51</f>
        <v>41040</v>
      </c>
    </row>
    <row r="20" spans="1:36" ht="15" x14ac:dyDescent="0.25">
      <c r="A20" t="s">
        <v>164</v>
      </c>
      <c r="B20">
        <f>'E3 LD truck'!H55</f>
        <v>34557.199999999983</v>
      </c>
      <c r="C20">
        <f>'E3 LD truck'!I55</f>
        <v>34672.89999999998</v>
      </c>
      <c r="D20">
        <f>'E3 LD truck'!J55</f>
        <v>34788.599999999977</v>
      </c>
      <c r="E20">
        <f>'E3 LD truck'!K55</f>
        <v>34904.299999999974</v>
      </c>
      <c r="F20">
        <f>'E3 LD truck'!L55</f>
        <v>35020</v>
      </c>
      <c r="G20">
        <f>'E3 LD truck'!M55</f>
        <v>35195.9</v>
      </c>
      <c r="H20">
        <f>'E3 LD truck'!N55</f>
        <v>35371.800000000003</v>
      </c>
      <c r="I20">
        <f>'E3 LD truck'!O55</f>
        <v>35547.700000000004</v>
      </c>
      <c r="J20">
        <f>'E3 LD truck'!P55</f>
        <v>35723.600000000006</v>
      </c>
      <c r="K20">
        <f>'E3 LD truck'!Q55</f>
        <v>35899.500000000007</v>
      </c>
      <c r="L20">
        <f>'E3 LD truck'!R55</f>
        <v>36075.400000000009</v>
      </c>
      <c r="M20">
        <f>'E3 LD truck'!S55</f>
        <v>36251.30000000001</v>
      </c>
      <c r="N20">
        <f>'E3 LD truck'!T55</f>
        <v>36427.200000000012</v>
      </c>
      <c r="O20">
        <f>'E3 LD truck'!U55</f>
        <v>36603.100000000013</v>
      </c>
      <c r="P20">
        <f>'E3 LD truck'!V55</f>
        <v>36779</v>
      </c>
      <c r="Q20">
        <f>'E3 LD truck'!W55</f>
        <v>36848.300000000003</v>
      </c>
      <c r="R20">
        <f>'E3 LD truck'!X55</f>
        <v>36917.600000000006</v>
      </c>
      <c r="S20">
        <f>'E3 LD truck'!Y55</f>
        <v>36986.900000000009</v>
      </c>
      <c r="T20">
        <f>'E3 LD truck'!Z55</f>
        <v>37056.200000000012</v>
      </c>
      <c r="U20">
        <f>'E3 LD truck'!AA55</f>
        <v>37125.500000000015</v>
      </c>
      <c r="V20">
        <f>'E3 LD truck'!AB55</f>
        <v>37194.800000000017</v>
      </c>
      <c r="W20">
        <f>'E3 LD truck'!AC55</f>
        <v>37264.10000000002</v>
      </c>
      <c r="X20">
        <f>'E3 LD truck'!AD55</f>
        <v>37333.400000000023</v>
      </c>
      <c r="Y20">
        <f>'E3 LD truck'!AE55</f>
        <v>37402.700000000026</v>
      </c>
      <c r="Z20">
        <f>'E3 LD truck'!AF55</f>
        <v>37472</v>
      </c>
      <c r="AA20">
        <f>'E3 LD truck'!AG55</f>
        <v>37568.800000000003</v>
      </c>
      <c r="AB20">
        <f>'E3 LD truck'!AH55</f>
        <v>37665.600000000006</v>
      </c>
      <c r="AC20">
        <f>'E3 LD truck'!AI55</f>
        <v>37762.400000000009</v>
      </c>
      <c r="AD20">
        <f>'E3 LD truck'!AJ55</f>
        <v>37859.200000000012</v>
      </c>
      <c r="AE20">
        <f>'E3 LD truck'!AK55</f>
        <v>37956.000000000015</v>
      </c>
      <c r="AF20">
        <f>'E3 LD truck'!AL55</f>
        <v>38052.800000000017</v>
      </c>
      <c r="AG20">
        <f>'E3 LD truck'!AM55</f>
        <v>38149.60000000002</v>
      </c>
      <c r="AH20">
        <f>'E3 LD truck'!AN55</f>
        <v>38246.400000000023</v>
      </c>
      <c r="AI20">
        <f>'E3 LD truck'!AO55</f>
        <v>38343.200000000026</v>
      </c>
      <c r="AJ20">
        <f>'E3 LD truck'!AP55</f>
        <v>38440</v>
      </c>
    </row>
    <row r="21" spans="1:36" x14ac:dyDescent="0.35">
      <c r="A21" t="s">
        <v>161</v>
      </c>
      <c r="B21">
        <f>'E3 LD truck'!H52</f>
        <v>53539.199999999983</v>
      </c>
      <c r="C21">
        <f>'E3 LD truck'!I52</f>
        <v>52166.89999999998</v>
      </c>
      <c r="D21">
        <f>'E3 LD truck'!J52</f>
        <v>50794.599999999977</v>
      </c>
      <c r="E21">
        <f>'E3 LD truck'!K52</f>
        <v>49422.299999999974</v>
      </c>
      <c r="F21">
        <f>'E3 LD truck'!L52</f>
        <v>48050</v>
      </c>
      <c r="G21">
        <f>'E3 LD truck'!M52</f>
        <v>47571</v>
      </c>
      <c r="H21">
        <f>'E3 LD truck'!N52</f>
        <v>47092</v>
      </c>
      <c r="I21">
        <f>'E3 LD truck'!O52</f>
        <v>46613</v>
      </c>
      <c r="J21">
        <f>'E3 LD truck'!P52</f>
        <v>46134</v>
      </c>
      <c r="K21">
        <f>'E3 LD truck'!Q52</f>
        <v>45655</v>
      </c>
      <c r="L21">
        <f>'E3 LD truck'!R52</f>
        <v>45176</v>
      </c>
      <c r="M21">
        <f>'E3 LD truck'!S52</f>
        <v>44697</v>
      </c>
      <c r="N21">
        <f>'E3 LD truck'!T52</f>
        <v>44218</v>
      </c>
      <c r="O21">
        <f>'E3 LD truck'!U52</f>
        <v>43739</v>
      </c>
      <c r="P21">
        <f>'E3 LD truck'!V52</f>
        <v>43260</v>
      </c>
      <c r="Q21">
        <f>'E3 LD truck'!W52</f>
        <v>42953</v>
      </c>
      <c r="R21">
        <f>'E3 LD truck'!X52</f>
        <v>42646</v>
      </c>
      <c r="S21">
        <f>'E3 LD truck'!Y52</f>
        <v>42339</v>
      </c>
      <c r="T21">
        <f>'E3 LD truck'!Z52</f>
        <v>42032</v>
      </c>
      <c r="U21">
        <f>'E3 LD truck'!AA52</f>
        <v>41725</v>
      </c>
      <c r="V21">
        <f>'E3 LD truck'!AB52</f>
        <v>41418</v>
      </c>
      <c r="W21">
        <f>'E3 LD truck'!AC52</f>
        <v>41111</v>
      </c>
      <c r="X21">
        <f>'E3 LD truck'!AD52</f>
        <v>40804</v>
      </c>
      <c r="Y21">
        <f>'E3 LD truck'!AE52</f>
        <v>40497</v>
      </c>
      <c r="Z21">
        <f>'E3 LD truck'!AF52</f>
        <v>40190</v>
      </c>
      <c r="AA21">
        <f>'E3 LD truck'!AG52</f>
        <v>40025</v>
      </c>
      <c r="AB21">
        <f>'E3 LD truck'!AH52</f>
        <v>39860</v>
      </c>
      <c r="AC21">
        <f>'E3 LD truck'!AI52</f>
        <v>39695</v>
      </c>
      <c r="AD21">
        <f>'E3 LD truck'!AJ52</f>
        <v>39530</v>
      </c>
      <c r="AE21">
        <f>'E3 LD truck'!AK52</f>
        <v>39365</v>
      </c>
      <c r="AF21">
        <f>'E3 LD truck'!AL52</f>
        <v>39200</v>
      </c>
      <c r="AG21">
        <f>'E3 LD truck'!AM52</f>
        <v>39035</v>
      </c>
      <c r="AH21">
        <f>'E3 LD truck'!AN52</f>
        <v>38870</v>
      </c>
      <c r="AI21">
        <f>'E3 LD truck'!AO52</f>
        <v>38705</v>
      </c>
      <c r="AJ21">
        <f>'E3 LD truck'!AP52</f>
        <v>38540</v>
      </c>
    </row>
    <row r="22" spans="1:36" x14ac:dyDescent="0.35">
      <c r="P22" s="4"/>
    </row>
    <row r="23" spans="1:36" x14ac:dyDescent="0.35">
      <c r="A23" t="s">
        <v>174</v>
      </c>
    </row>
    <row r="24" spans="1:36" x14ac:dyDescent="0.35">
      <c r="A24" t="s">
        <v>158</v>
      </c>
      <c r="B24" s="16">
        <f>(B$7*B12+B$8*B18)*About!$A$103</f>
        <v>35460.913947467969</v>
      </c>
      <c r="C24" s="16">
        <f>(C$7*C12+C$8*C18)*About!$A$103</f>
        <v>35519.55662710347</v>
      </c>
      <c r="D24" s="16">
        <f>(D$7*D12+D$8*D18)*About!$A$103</f>
        <v>35576.946756323588</v>
      </c>
      <c r="E24" s="16">
        <f>(E$7*E12+E$8*E18)*About!$A$103</f>
        <v>35633.07685610163</v>
      </c>
      <c r="F24" s="16">
        <f>(F$7*F12+F$8*F18)*About!$A$103</f>
        <v>35688.084643552582</v>
      </c>
      <c r="G24" s="16">
        <f>(G$7*G12+G$8*G18)*About!$A$103</f>
        <v>35771.687617826588</v>
      </c>
      <c r="H24" s="16">
        <f>(H$7*H12+H$8*H18)*About!$A$103</f>
        <v>35853.837828773649</v>
      </c>
      <c r="I24" s="16">
        <f>(I$7*I12+I$8*I18)*About!$A$103</f>
        <v>35934.806011202141</v>
      </c>
      <c r="J24" s="16">
        <f>(J$7*J12+J$8*J18)*About!$A$103</f>
        <v>36014.818022170242</v>
      </c>
      <c r="K24" s="16">
        <f>(K$7*K12+K$8*K18)*About!$A$103</f>
        <v>36094.042903286696</v>
      </c>
      <c r="L24" s="16">
        <f>(L$7*L12+L$8*L18)*About!$A$103</f>
        <v>36172.658457080797</v>
      </c>
      <c r="M24" s="16">
        <f>(M$7*M12+M$8*M18)*About!$A$103</f>
        <v>36250.86930355963</v>
      </c>
      <c r="N24" s="16">
        <f>(N$7*N12+N$8*N18)*About!$A$103</f>
        <v>36328.865212786339</v>
      </c>
      <c r="O24" s="16">
        <f>(O$7*O12+O$8*O18)*About!$A$103</f>
        <v>36406.698884764228</v>
      </c>
      <c r="P24" s="16">
        <f>(P$7*P12+P$8*P18)*About!$A$103</f>
        <v>36484.495319800284</v>
      </c>
      <c r="Q24" s="16">
        <f>(Q$7*Q12+Q$8*Q18)*About!$A$103</f>
        <v>36514.14491436824</v>
      </c>
      <c r="R24" s="16">
        <f>(R$7*R12+R$8*R18)*About!$A$103</f>
        <v>36544.2868331848</v>
      </c>
      <c r="S24" s="16">
        <f>(S$7*S12+S$8*S18)*About!$A$103</f>
        <v>36574.776656871181</v>
      </c>
      <c r="T24" s="16">
        <f>(T$7*T12+T$8*T18)*About!$A$103</f>
        <v>36605.569369519624</v>
      </c>
      <c r="U24" s="16">
        <f>(U$7*U12+U$8*U18)*About!$A$103</f>
        <v>36636.866476784613</v>
      </c>
      <c r="V24" s="16">
        <f>(V$7*V12+V$8*V18)*About!$A$103</f>
        <v>36668.393157390972</v>
      </c>
      <c r="W24" s="16">
        <f>(W$7*W12+W$8*W18)*About!$A$103</f>
        <v>36700.097113382821</v>
      </c>
      <c r="X24" s="16">
        <f>(X$7*X12+X$8*X18)*About!$A$103</f>
        <v>36731.834051465354</v>
      </c>
      <c r="Y24" s="16">
        <f>(Y$7*Y12+Y$8*Y18)*About!$A$103</f>
        <v>36763.500221941533</v>
      </c>
      <c r="Z24" s="16">
        <f>(Z$7*Z12+Z$8*Z18)*About!$A$103</f>
        <v>36795.264713167249</v>
      </c>
      <c r="AA24" s="16">
        <f>(AA$7*AA12+AA$8*AA18)*About!$A$103</f>
        <v>36837.514162836851</v>
      </c>
      <c r="AB24" s="16">
        <f>(AB$7*AB12+AB$8*AB18)*About!$A$103</f>
        <v>36879.491872684419</v>
      </c>
      <c r="AC24" s="16">
        <f>(AC$7*AC12+AC$8*AC18)*About!$A$103</f>
        <v>36921.404016993307</v>
      </c>
      <c r="AD24" s="16">
        <f>(AD$7*AD12+AD$8*AD18)*About!$A$103</f>
        <v>36962.999370967758</v>
      </c>
      <c r="AE24" s="16">
        <f>(AE$7*AE12+AE$8*AE18)*About!$A$103</f>
        <v>37004.554013382913</v>
      </c>
      <c r="AF24" s="16">
        <f>(AF$7*AF12+AF$8*AF18)*About!$A$103</f>
        <v>37045.867188471893</v>
      </c>
      <c r="AG24" s="16">
        <f>(AG$7*AG12+AG$8*AG18)*About!$A$103</f>
        <v>37087.041478449915</v>
      </c>
      <c r="AH24" s="16">
        <f>(AH$7*AH12+AH$8*AH18)*About!$A$103</f>
        <v>37128.375494040258</v>
      </c>
      <c r="AI24" s="16">
        <f>(AI$7*AI12+AI$8*AI18)*About!$A$103</f>
        <v>37169.639529414388</v>
      </c>
      <c r="AJ24" s="16">
        <f>(AJ$7*AJ12+AJ$8*AJ18)*About!$A$103</f>
        <v>37211.130035834205</v>
      </c>
    </row>
    <row r="25" spans="1:36" s="61" customFormat="1" x14ac:dyDescent="0.35">
      <c r="A25" s="61" t="s">
        <v>421</v>
      </c>
      <c r="B25" s="16"/>
      <c r="C25" s="16"/>
      <c r="D25" s="92">
        <f>D24/C24</f>
        <v>1.0016157332655533</v>
      </c>
      <c r="E25" s="92">
        <f t="shared" ref="E25:AJ25" si="0">E24/D24</f>
        <v>1.0015777098625831</v>
      </c>
      <c r="F25" s="92">
        <f t="shared" si="0"/>
        <v>1.0015437282520701</v>
      </c>
      <c r="G25" s="92">
        <f t="shared" si="0"/>
        <v>1.0023426018826458</v>
      </c>
      <c r="H25" s="92">
        <f t="shared" si="0"/>
        <v>1.0022965148254879</v>
      </c>
      <c r="I25" s="92">
        <f t="shared" si="0"/>
        <v>1.0022582849516743</v>
      </c>
      <c r="J25" s="92">
        <f t="shared" si="0"/>
        <v>1.0022265880868582</v>
      </c>
      <c r="K25" s="92">
        <f t="shared" si="0"/>
        <v>1.0021997856845393</v>
      </c>
      <c r="L25" s="92">
        <f t="shared" si="0"/>
        <v>1.0021780755900564</v>
      </c>
      <c r="M25" s="92">
        <f t="shared" si="0"/>
        <v>1.0021621536766956</v>
      </c>
      <c r="N25" s="92">
        <f t="shared" si="0"/>
        <v>1.002151559692916</v>
      </c>
      <c r="O25" s="92">
        <f t="shared" si="0"/>
        <v>1.0021424746278751</v>
      </c>
      <c r="P25" s="92">
        <f t="shared" si="0"/>
        <v>1.0021368714390255</v>
      </c>
      <c r="Q25" s="92">
        <f t="shared" si="0"/>
        <v>1.0008126628670087</v>
      </c>
      <c r="R25" s="92">
        <f t="shared" si="0"/>
        <v>1.0008254860927799</v>
      </c>
      <c r="S25" s="92">
        <f t="shared" si="0"/>
        <v>1.0008343253167193</v>
      </c>
      <c r="T25" s="92">
        <f t="shared" si="0"/>
        <v>1.0008419111601781</v>
      </c>
      <c r="U25" s="92">
        <f t="shared" si="0"/>
        <v>1.0008549821189519</v>
      </c>
      <c r="V25" s="92">
        <f t="shared" si="0"/>
        <v>1.0008605179328405</v>
      </c>
      <c r="W25" s="92">
        <f t="shared" si="0"/>
        <v>1.000864612633986</v>
      </c>
      <c r="X25" s="92">
        <f t="shared" si="0"/>
        <v>1.0008647644169573</v>
      </c>
      <c r="Y25" s="92">
        <f t="shared" si="0"/>
        <v>1.0008620906440939</v>
      </c>
      <c r="Z25" s="92">
        <f t="shared" si="0"/>
        <v>1.0008640224960614</v>
      </c>
      <c r="AA25" s="92">
        <f t="shared" si="0"/>
        <v>1.0011482306214932</v>
      </c>
      <c r="AB25" s="92">
        <f t="shared" si="0"/>
        <v>1.0011395369856395</v>
      </c>
      <c r="AC25" s="92">
        <f t="shared" si="0"/>
        <v>1.0011364620872103</v>
      </c>
      <c r="AD25" s="92">
        <f t="shared" si="0"/>
        <v>1.0011265918802901</v>
      </c>
      <c r="AE25" s="92">
        <f t="shared" si="0"/>
        <v>1.0011242226854511</v>
      </c>
      <c r="AF25" s="92">
        <f t="shared" si="0"/>
        <v>1.0011164348872854</v>
      </c>
      <c r="AG25" s="92">
        <f t="shared" si="0"/>
        <v>1.00111144084625</v>
      </c>
      <c r="AH25" s="92">
        <f t="shared" si="0"/>
        <v>1.0011145136938022</v>
      </c>
      <c r="AI25" s="92">
        <f t="shared" si="0"/>
        <v>1.0011113881182534</v>
      </c>
      <c r="AJ25" s="92">
        <f t="shared" si="0"/>
        <v>1.0011162472099571</v>
      </c>
    </row>
    <row r="27" spans="1:36" x14ac:dyDescent="0.35">
      <c r="A27" t="s">
        <v>164</v>
      </c>
      <c r="B27" s="16">
        <f>(B$7*B14+B$8*B20)*About!$A$103</f>
        <v>33587.199511549166</v>
      </c>
      <c r="C27" s="16">
        <f>(C$7*C14+C$8*C20)*About!$A$103</f>
        <v>33613.581570573428</v>
      </c>
      <c r="D27" s="16">
        <f>(D$7*D14+D$8*D20)*About!$A$103</f>
        <v>33638.453540649149</v>
      </c>
      <c r="E27" s="16">
        <f>(E$7*E14+E$8*E20)*About!$A$103</f>
        <v>33662.117978339273</v>
      </c>
      <c r="F27" s="16">
        <f>(F$7*F14+F$8*F20)*About!$A$103</f>
        <v>33686.145159966109</v>
      </c>
      <c r="G27" s="16">
        <f>(G$7*G14+G$8*G20)*About!$A$103</f>
        <v>33824.926823968446</v>
      </c>
      <c r="H27" s="16">
        <f>(H$7*H14+H$8*H20)*About!$A$103</f>
        <v>33965.041657000213</v>
      </c>
      <c r="I27" s="16">
        <f>(I$7*I14+I$8*I20)*About!$A$103</f>
        <v>34107.042354434823</v>
      </c>
      <c r="J27" s="16">
        <f>(J$7*J14+J$8*J20)*About!$A$103</f>
        <v>34250.980966480725</v>
      </c>
      <c r="K27" s="16">
        <f>(K$7*K14+K$8*K20)*About!$A$103</f>
        <v>34396.683990751728</v>
      </c>
      <c r="L27" s="16">
        <f>(L$7*L14+L$8*L20)*About!$A$103</f>
        <v>34544.103000184114</v>
      </c>
      <c r="M27" s="16">
        <f>(M$7*M14+M$8*M20)*About!$A$103</f>
        <v>34693.306997867097</v>
      </c>
      <c r="N27" s="16">
        <f>(N$7*N14+N$8*N20)*About!$A$103</f>
        <v>34844.311299694578</v>
      </c>
      <c r="O27" s="16">
        <f>(O$7*O14+O$8*O20)*About!$A$103</f>
        <v>34996.779947613155</v>
      </c>
      <c r="P27" s="16">
        <f>(P$7*P14+P$8*P20)*About!$A$103</f>
        <v>35150.661376920551</v>
      </c>
      <c r="Q27" s="16">
        <f>(Q$7*Q14+Q$8*Q20)*About!$A$103</f>
        <v>35203.179763726774</v>
      </c>
      <c r="R27" s="16">
        <f>(R$7*R14+R$8*R20)*About!$A$103</f>
        <v>35257.240103480406</v>
      </c>
      <c r="S27" s="16">
        <f>(S$7*S14+S$8*S20)*About!$A$103</f>
        <v>35312.395750823336</v>
      </c>
      <c r="T27" s="16">
        <f>(T$7*T14+T$8*T20)*About!$A$103</f>
        <v>35368.462907543413</v>
      </c>
      <c r="U27" s="16">
        <f>(U$7*U14+U$8*U20)*About!$A$103</f>
        <v>35425.799983836885</v>
      </c>
      <c r="V27" s="16">
        <f>(V$7*V14+V$8*V20)*About!$A$103</f>
        <v>35483.745429568866</v>
      </c>
      <c r="W27" s="16">
        <f>(W$7*W14+W$8*W20)*About!$A$103</f>
        <v>35542.150149532492</v>
      </c>
      <c r="X27" s="16">
        <f>(X$7*X14+X$8*X20)*About!$A$103</f>
        <v>35600.696855429531</v>
      </c>
      <c r="Y27" s="16">
        <f>(Y$7*Y14+Y$8*Y20)*About!$A$103</f>
        <v>35659.174704331163</v>
      </c>
      <c r="Z27" s="16">
        <f>(Z$7*Z14+Z$8*Z20)*About!$A$103</f>
        <v>35717.907866695306</v>
      </c>
      <c r="AA27" s="16">
        <f>(AA$7*AA14+AA$8*AA20)*About!$A$103</f>
        <v>35803.871514019222</v>
      </c>
      <c r="AB27" s="16">
        <f>(AB$7*AB14+AB$8*AB20)*About!$A$103</f>
        <v>35889.397716718755</v>
      </c>
      <c r="AC27" s="16">
        <f>(AC$7*AC14+AC$8*AC20)*About!$A$103</f>
        <v>35974.880002820137</v>
      </c>
      <c r="AD27" s="16">
        <f>(AD$7*AD14+AD$8*AD20)*About!$A$103</f>
        <v>36059.892243383321</v>
      </c>
      <c r="AE27" s="16">
        <f>(AE$7*AE14+AE$8*AE20)*About!$A$103</f>
        <v>36144.927109830729</v>
      </c>
      <c r="AF27" s="16">
        <f>(AF$7*AF14+AF$8*AF20)*About!$A$103</f>
        <v>36229.655473348852</v>
      </c>
      <c r="AG27" s="16">
        <f>(AG$7*AG14+AG$8*AG20)*About!$A$103</f>
        <v>36314.260179436511</v>
      </c>
      <c r="AH27" s="16">
        <f>(AH$7*AH14+AH$8*AH20)*About!$A$103</f>
        <v>36399.212725147954</v>
      </c>
      <c r="AI27" s="16">
        <f>(AI$7*AI14+AI$8*AI20)*About!$A$103</f>
        <v>36484.1401939188</v>
      </c>
      <c r="AJ27" s="16">
        <f>(AJ$7*AJ14+AJ$8*AJ20)*About!$A$103</f>
        <v>36569.485271464779</v>
      </c>
    </row>
    <row r="29" spans="1:36" x14ac:dyDescent="0.35">
      <c r="A29" t="s">
        <v>419</v>
      </c>
    </row>
    <row r="30" spans="1:36" s="61" customFormat="1" x14ac:dyDescent="0.35">
      <c r="A30" s="61" t="s">
        <v>420</v>
      </c>
      <c r="C30" s="61">
        <f>'more recent LDV $'!$O$8</f>
        <v>32856.400642169101</v>
      </c>
      <c r="D30" s="16">
        <f>C30*(D24/C24)</f>
        <v>32909.487821672999</v>
      </c>
      <c r="E30" s="16">
        <f t="shared" ref="E30:AJ30" si="1">D30*(E24/D24)</f>
        <v>32961.409445181809</v>
      </c>
      <c r="F30" s="16">
        <f t="shared" si="1"/>
        <v>33012.292904170383</v>
      </c>
      <c r="G30" s="16">
        <f t="shared" si="1"/>
        <v>33089.62756367815</v>
      </c>
      <c r="H30" s="16">
        <f t="shared" si="1"/>
        <v>33165.618383948007</v>
      </c>
      <c r="I30" s="16">
        <f t="shared" si="1"/>
        <v>33240.515800857451</v>
      </c>
      <c r="J30" s="16">
        <f t="shared" si="1"/>
        <v>33314.528737340661</v>
      </c>
      <c r="K30" s="16">
        <f t="shared" si="1"/>
        <v>33387.813560744238</v>
      </c>
      <c r="L30" s="16">
        <f t="shared" si="1"/>
        <v>33460.534742466254</v>
      </c>
      <c r="M30" s="16">
        <f t="shared" si="1"/>
        <v>33532.881560683876</v>
      </c>
      <c r="N30" s="16">
        <f t="shared" si="1"/>
        <v>33605.029557037167</v>
      </c>
      <c r="O30" s="16">
        <f t="shared" si="1"/>
        <v>33677.027480232115</v>
      </c>
      <c r="P30" s="16">
        <f t="shared" si="1"/>
        <v>33748.990958405899</v>
      </c>
      <c r="Q30" s="16">
        <f t="shared" si="1"/>
        <v>33776.417510156803</v>
      </c>
      <c r="R30" s="16">
        <f t="shared" si="1"/>
        <v>33804.299473075363</v>
      </c>
      <c r="S30" s="16">
        <f t="shared" si="1"/>
        <v>33832.503255939715</v>
      </c>
      <c r="T30" s="16">
        <f t="shared" si="1"/>
        <v>33860.987218007649</v>
      </c>
      <c r="U30" s="16">
        <f t="shared" si="1"/>
        <v>33889.937756609106</v>
      </c>
      <c r="V30" s="16">
        <f t="shared" si="1"/>
        <v>33919.100655791517</v>
      </c>
      <c r="W30" s="16">
        <f t="shared" si="1"/>
        <v>33948.427538751959</v>
      </c>
      <c r="X30" s="16">
        <f t="shared" si="1"/>
        <v>33977.784930899121</v>
      </c>
      <c r="Y30" s="16">
        <f t="shared" si="1"/>
        <v>34007.076861395086</v>
      </c>
      <c r="Z30" s="16">
        <f t="shared" si="1"/>
        <v>34036.459740828621</v>
      </c>
      <c r="AA30" s="16">
        <f t="shared" si="1"/>
        <v>34075.541446150259</v>
      </c>
      <c r="AB30" s="16">
        <f t="shared" si="1"/>
        <v>34114.371785933836</v>
      </c>
      <c r="AC30" s="16">
        <f t="shared" si="1"/>
        <v>34153.141476097546</v>
      </c>
      <c r="AD30" s="16">
        <f t="shared" si="1"/>
        <v>34191.618127970913</v>
      </c>
      <c r="AE30" s="16">
        <f t="shared" si="1"/>
        <v>34230.05712072266</v>
      </c>
      <c r="AF30" s="16">
        <f t="shared" si="1"/>
        <v>34268.27275068601</v>
      </c>
      <c r="AG30" s="16">
        <f t="shared" si="1"/>
        <v>34306.359908751561</v>
      </c>
      <c r="AH30" s="16">
        <f t="shared" si="1"/>
        <v>34344.594816654375</v>
      </c>
      <c r="AI30" s="16">
        <f t="shared" si="1"/>
        <v>34382.764991259835</v>
      </c>
      <c r="AJ30" s="16">
        <f t="shared" si="1"/>
        <v>34421.144656751938</v>
      </c>
    </row>
    <row r="31" spans="1:36" s="61" customFormat="1" x14ac:dyDescent="0.35"/>
    <row r="32" spans="1:36" x14ac:dyDescent="0.3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5">
      <c r="A33" t="s">
        <v>249</v>
      </c>
    </row>
    <row r="35" spans="1:36" x14ac:dyDescent="0.35">
      <c r="A35" t="s">
        <v>160</v>
      </c>
      <c r="B35" s="16">
        <f>(B$7*B13+B$8*B19)*About!$A$103</f>
        <v>51625.213726207905</v>
      </c>
      <c r="C35" s="16">
        <f>(C$7*C13+C$8*C19)*About!$A$103</f>
        <v>51011.904618002322</v>
      </c>
      <c r="D35" s="16">
        <f>(D$7*D13+D$8*D19)*About!$A$103</f>
        <v>50389.426953444381</v>
      </c>
      <c r="E35" s="16">
        <f>(E$7*E13+E$8*E19)*About!$A$103</f>
        <v>49769.933193824378</v>
      </c>
      <c r="F35" s="16">
        <f>(F$7*F13+F$8*F19)*About!$A$103</f>
        <v>49145.808804430555</v>
      </c>
      <c r="G35" s="16">
        <f>(G$7*G13+G$8*G19)*About!$A$103</f>
        <v>48622.556115204126</v>
      </c>
      <c r="H35" s="16">
        <f>(H$7*H13+H$8*H19)*About!$A$103</f>
        <v>48086.647306341896</v>
      </c>
      <c r="I35" s="16">
        <f>(I$7*I13+I$8*I19)*About!$A$103</f>
        <v>47551.219134826977</v>
      </c>
      <c r="J35" s="16">
        <f>(J$7*J13+J$8*J19)*About!$A$103</f>
        <v>47010.505077910355</v>
      </c>
      <c r="K35" s="16">
        <f>(K$7*K13+K$8*K19)*About!$A$103</f>
        <v>46465.245684430804</v>
      </c>
      <c r="L35" s="16">
        <f>(L$7*L13+L$8*L19)*About!$A$103</f>
        <v>46100.670611527341</v>
      </c>
      <c r="M35" s="16">
        <f>(M$7*M13+M$8*M19)*About!$A$103</f>
        <v>45734.010549180995</v>
      </c>
      <c r="N35" s="16">
        <f>(N$7*N13+N$8*N19)*About!$A$103</f>
        <v>45365.585375685165</v>
      </c>
      <c r="O35" s="16">
        <f>(O$7*O13+O$8*O19)*About!$A$103</f>
        <v>44995.746487991637</v>
      </c>
      <c r="P35" s="16">
        <f>(P$7*P13+P$8*P19)*About!$A$103</f>
        <v>44624.752170000742</v>
      </c>
      <c r="Q35" s="16">
        <f>(Q$7*Q13+Q$8*Q19)*About!$A$103</f>
        <v>44436.851103025925</v>
      </c>
      <c r="R35" s="16">
        <f>(R$7*R13+R$8*R19)*About!$A$103</f>
        <v>44248.536710137974</v>
      </c>
      <c r="S35" s="16">
        <f>(S$7*S13+S$8*S19)*About!$A$103</f>
        <v>44059.924497637039</v>
      </c>
      <c r="T35" s="16">
        <f>(T$7*T13+T$8*T19)*About!$A$103</f>
        <v>43871.09556019483</v>
      </c>
      <c r="U35" s="16">
        <f>(U$7*U13+U$8*U19)*About!$A$103</f>
        <v>43682.156569226318</v>
      </c>
      <c r="V35" s="16">
        <f>(V$7*V13+V$8*V19)*About!$A$103</f>
        <v>43519.977513262929</v>
      </c>
      <c r="W35" s="16">
        <f>(W$7*W13+W$8*W19)*About!$A$103</f>
        <v>43357.768355908775</v>
      </c>
      <c r="X35" s="16">
        <f>(X$7*X13+X$8*X19)*About!$A$103</f>
        <v>43195.511159882641</v>
      </c>
      <c r="Y35" s="16">
        <f>(Y$7*Y13+Y$8*Y19)*About!$A$103</f>
        <v>43033.180047104986</v>
      </c>
      <c r="Z35" s="16">
        <f>(Z$7*Z13+Z$8*Z19)*About!$A$103</f>
        <v>42870.831796527244</v>
      </c>
      <c r="AA35" s="16">
        <f>(AA$7*AA13+AA$8*AA19)*About!$A$103</f>
        <v>42742.161617551865</v>
      </c>
      <c r="AB35" s="16">
        <f>(AB$7*AB13+AB$8*AB19)*About!$A$103</f>
        <v>42613.319541944562</v>
      </c>
      <c r="AC35" s="16">
        <f>(AC$7*AC13+AC$8*AC19)*About!$A$103</f>
        <v>42484.375464933204</v>
      </c>
      <c r="AD35" s="16">
        <f>(AD$7*AD13+AD$8*AD19)*About!$A$103</f>
        <v>42355.191787528587</v>
      </c>
      <c r="AE35" s="16">
        <f>(AE$7*AE13+AE$8*AE19)*About!$A$103</f>
        <v>42225.895773433462</v>
      </c>
      <c r="AF35" s="16">
        <f>(AF$7*AF13+AF$8*AF19)*About!$A$103</f>
        <v>42231.065769924477</v>
      </c>
      <c r="AG35" s="16">
        <f>(AG$7*AG13+AG$8*AG19)*About!$A$103</f>
        <v>42236.188338907246</v>
      </c>
      <c r="AH35" s="16">
        <f>(AH$7*AH13+AH$8*AH19)*About!$A$103</f>
        <v>42241.428239328859</v>
      </c>
      <c r="AI35" s="16">
        <f>(AI$7*AI13+AI$8*AI19)*About!$A$103</f>
        <v>42246.655610549067</v>
      </c>
      <c r="AJ35" s="16">
        <f>(AJ$7*AJ13+AJ$8*AJ19)*About!$A$103</f>
        <v>42252.026263762229</v>
      </c>
    </row>
    <row r="37" spans="1:36" x14ac:dyDescent="0.35">
      <c r="A37" t="s">
        <v>161</v>
      </c>
      <c r="B37" s="16">
        <f>(B$7*B15+B$8*B21)*About!$A$103</f>
        <v>57459.437902898004</v>
      </c>
      <c r="C37" s="16">
        <f>(C$7*C15+C$8*C21)*About!$A$103</f>
        <v>56209.793584007413</v>
      </c>
      <c r="D37" s="16">
        <f>(D$7*D15+D$8*D21)*About!$A$103</f>
        <v>54969.716566153424</v>
      </c>
      <c r="E37" s="16">
        <f>(E$7*E15+E$8*E21)*About!$A$103</f>
        <v>53726.657758718778</v>
      </c>
      <c r="F37" s="16">
        <f>(F$7*F15+F$8*F21)*About!$A$103</f>
        <v>52486.389538731433</v>
      </c>
      <c r="G37" s="16">
        <f>(G$7*G15+G$8*G21)*About!$A$103</f>
        <v>51634.707114898563</v>
      </c>
      <c r="H37" s="16">
        <f>(H$7*H15+H$8*H21)*About!$A$103</f>
        <v>50771.747779818368</v>
      </c>
      <c r="I37" s="16">
        <f>(I$7*I15+I$8*I21)*About!$A$103</f>
        <v>49910.853476596851</v>
      </c>
      <c r="J37" s="16">
        <f>(J$7*J15+J$8*J21)*About!$A$103</f>
        <v>49039.654523448982</v>
      </c>
      <c r="K37" s="16">
        <f>(K$7*K15+K$8*K21)*About!$A$103</f>
        <v>48165.200857818716</v>
      </c>
      <c r="L37" s="16">
        <f>(L$7*L15+L$8*L21)*About!$A$103</f>
        <v>47591.303456362875</v>
      </c>
      <c r="M37" s="16">
        <f>(M$7*M15+M$8*M21)*About!$A$103</f>
        <v>47017.291617036084</v>
      </c>
      <c r="N37" s="16">
        <f>(N$7*N15+N$8*N21)*About!$A$103</f>
        <v>46443.250049522852</v>
      </c>
      <c r="O37" s="16">
        <f>(O$7*O15+O$8*O21)*About!$A$103</f>
        <v>45869.189884445783</v>
      </c>
      <c r="P37" s="16">
        <f>(P$7*P15+P$8*P21)*About!$A$103</f>
        <v>45295.1646735451</v>
      </c>
      <c r="Q37" s="16">
        <f>(Q$7*Q15+Q$8*Q21)*About!$A$103</f>
        <v>45010.34688419626</v>
      </c>
      <c r="R37" s="16">
        <f>(R$7*R15+R$8*R21)*About!$A$103</f>
        <v>44726.008220971555</v>
      </c>
      <c r="S37" s="16">
        <f>(S$7*S15+S$8*S21)*About!$A$103</f>
        <v>44442.011663806603</v>
      </c>
      <c r="T37" s="16">
        <f>(T$7*T15+T$8*T21)*About!$A$103</f>
        <v>44158.286788466896</v>
      </c>
      <c r="U37" s="16">
        <f>(U$7*U15+U$8*U21)*About!$A$103</f>
        <v>43874.860154549948</v>
      </c>
      <c r="V37" s="16">
        <f>(V$7*V15+V$8*V21)*About!$A$103</f>
        <v>43618.428891306532</v>
      </c>
      <c r="W37" s="16">
        <f>(W$7*W15+W$8*W21)*About!$A$103</f>
        <v>43362.132170802513</v>
      </c>
      <c r="X37" s="16">
        <f>(X$7*X15+X$8*X21)*About!$A$103</f>
        <v>43105.910383395028</v>
      </c>
      <c r="Y37" s="16">
        <f>(Y$7*Y15+Y$8*Y21)*About!$A$103</f>
        <v>42849.735932190255</v>
      </c>
      <c r="Z37" s="16">
        <f>(Z$7*Z15+Z$8*Z21)*About!$A$103</f>
        <v>42593.636622099453</v>
      </c>
      <c r="AA37" s="16">
        <f>(AA$7*AA15+AA$8*AA21)*About!$A$103</f>
        <v>42393.818398017604</v>
      </c>
      <c r="AB37" s="16">
        <f>(AB$7*AB15+AB$8*AB21)*About!$A$103</f>
        <v>42193.952434252438</v>
      </c>
      <c r="AC37" s="16">
        <f>(AC$7*AC15+AC$8*AC21)*About!$A$103</f>
        <v>41994.068338765814</v>
      </c>
      <c r="AD37" s="16">
        <f>(AD$7*AD15+AD$8*AD21)*About!$A$103</f>
        <v>41794.124305435624</v>
      </c>
      <c r="AE37" s="16">
        <f>(AE$7*AE15+AE$8*AE21)*About!$A$103</f>
        <v>41594.163659749785</v>
      </c>
      <c r="AF37" s="16">
        <f>(AF$7*AF15+AF$8*AF21)*About!$A$103</f>
        <v>41528.851265334313</v>
      </c>
      <c r="AG37" s="16">
        <f>(AG$7*AG15+AG$8*AG21)*About!$A$103</f>
        <v>41463.642306550733</v>
      </c>
      <c r="AH37" s="16">
        <f>(AH$7*AH15+AH$8*AH21)*About!$A$103</f>
        <v>41398.557056573984</v>
      </c>
      <c r="AI37" s="16">
        <f>(AI$7*AI15+AI$8*AI21)*About!$A$103</f>
        <v>41333.567861528063</v>
      </c>
      <c r="AJ37" s="16">
        <f>(AJ$7*AJ15+AJ$8*AJ21)*About!$A$103</f>
        <v>41268.664870853863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O47"/>
  <sheetViews>
    <sheetView workbookViewId="0">
      <selection activeCell="K32" sqref="K32"/>
    </sheetView>
  </sheetViews>
  <sheetFormatPr defaultRowHeight="14.5" x14ac:dyDescent="0.35"/>
  <sheetData>
    <row r="3" spans="13:15" x14ac:dyDescent="0.35">
      <c r="N3" t="str">
        <f t="shared" ref="N3:O4" si="0">L46</f>
        <v>trucks</v>
      </c>
      <c r="O3">
        <f t="shared" si="0"/>
        <v>10738</v>
      </c>
    </row>
    <row r="4" spans="13:15" x14ac:dyDescent="0.35">
      <c r="N4" t="str">
        <f t="shared" si="0"/>
        <v>cars</v>
      </c>
      <c r="O4">
        <f t="shared" si="0"/>
        <v>6080</v>
      </c>
    </row>
    <row r="5" spans="13:15" x14ac:dyDescent="0.35">
      <c r="N5" t="s">
        <v>415</v>
      </c>
      <c r="O5">
        <f>SUM(O3:O4)</f>
        <v>16818</v>
      </c>
    </row>
    <row r="8" spans="13:15" x14ac:dyDescent="0.35">
      <c r="M8" t="s">
        <v>414</v>
      </c>
      <c r="O8">
        <f>25367*O4/O5+37097*O3/O5</f>
        <v>32856.400642169101</v>
      </c>
    </row>
    <row r="46" spans="12:13" x14ac:dyDescent="0.35">
      <c r="L46" t="s">
        <v>413</v>
      </c>
      <c r="M46">
        <v>10738</v>
      </c>
    </row>
    <row r="47" spans="12:13" x14ac:dyDescent="0.35">
      <c r="L47" t="s">
        <v>386</v>
      </c>
      <c r="M47">
        <v>6080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RowHeight="14.5" x14ac:dyDescent="0.35"/>
  <cols>
    <col min="1" max="1" width="31.1796875" customWidth="1"/>
    <col min="2" max="2" width="20.54296875" customWidth="1"/>
    <col min="3" max="3" width="21.54296875" customWidth="1"/>
  </cols>
  <sheetData>
    <row r="1" spans="1:3" x14ac:dyDescent="0.45">
      <c r="A1" t="s">
        <v>17</v>
      </c>
    </row>
    <row r="2" spans="1:3" x14ac:dyDescent="0.45">
      <c r="A2" t="s">
        <v>18</v>
      </c>
    </row>
    <row r="4" spans="1:3" x14ac:dyDescent="0.45">
      <c r="A4" s="2" t="s">
        <v>19</v>
      </c>
      <c r="B4" s="8" t="s">
        <v>20</v>
      </c>
      <c r="C4" s="8" t="s">
        <v>21</v>
      </c>
    </row>
    <row r="5" spans="1:3" x14ac:dyDescent="0.45">
      <c r="A5" t="s">
        <v>22</v>
      </c>
      <c r="B5" s="7">
        <v>84000000</v>
      </c>
      <c r="C5" s="7">
        <v>41000000</v>
      </c>
    </row>
    <row r="6" spans="1:3" x14ac:dyDescent="0.45">
      <c r="A6" t="s">
        <v>23</v>
      </c>
      <c r="B6" s="7">
        <v>90000000</v>
      </c>
      <c r="C6" s="7">
        <v>45000000</v>
      </c>
    </row>
    <row r="7" spans="1:3" x14ac:dyDescent="0.45">
      <c r="A7" t="s">
        <v>24</v>
      </c>
      <c r="B7" s="7">
        <v>298000000</v>
      </c>
      <c r="C7" s="7">
        <v>149000000</v>
      </c>
    </row>
    <row r="8" spans="1:3" x14ac:dyDescent="0.45">
      <c r="A8" t="s">
        <v>25</v>
      </c>
      <c r="B8" s="7">
        <v>81000000</v>
      </c>
      <c r="C8" s="7">
        <v>30000000</v>
      </c>
    </row>
    <row r="9" spans="1:3" x14ac:dyDescent="0.45">
      <c r="A9" t="s">
        <v>26</v>
      </c>
      <c r="B9" s="7">
        <v>88000000</v>
      </c>
      <c r="C9" s="7">
        <v>40000000</v>
      </c>
    </row>
    <row r="10" spans="1:3" x14ac:dyDescent="0.45">
      <c r="A10" t="s">
        <v>27</v>
      </c>
      <c r="B10" s="7">
        <v>209000000</v>
      </c>
      <c r="C10" s="7">
        <v>84000000</v>
      </c>
    </row>
    <row r="12" spans="1:3" x14ac:dyDescent="0.45">
      <c r="A12" t="s">
        <v>28</v>
      </c>
    </row>
    <row r="13" spans="1:3" x14ac:dyDescent="0.45">
      <c r="A13" t="s">
        <v>29</v>
      </c>
    </row>
    <row r="14" spans="1:3" x14ac:dyDescent="0.45">
      <c r="A14"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
  <sheetViews>
    <sheetView workbookViewId="0">
      <selection activeCell="B14" sqref="B14:AI14"/>
    </sheetView>
  </sheetViews>
  <sheetFormatPr defaultRowHeight="14.5" x14ac:dyDescent="0.35"/>
  <cols>
    <col min="1" max="1" width="28.90625" customWidth="1"/>
  </cols>
  <sheetData>
    <row r="1" spans="1:35" x14ac:dyDescent="0.35">
      <c r="A1" s="61" t="s">
        <v>328</v>
      </c>
    </row>
    <row r="2" spans="1:35" x14ac:dyDescent="0.35">
      <c r="A2" s="61" t="s">
        <v>333</v>
      </c>
    </row>
    <row r="3" spans="1:35" x14ac:dyDescent="0.35">
      <c r="A3" s="61"/>
    </row>
    <row r="5" spans="1:35" x14ac:dyDescent="0.35">
      <c r="A5" t="s">
        <v>329</v>
      </c>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35">
      <c r="A6" t="s">
        <v>330</v>
      </c>
      <c r="B6" t="s">
        <v>331</v>
      </c>
    </row>
    <row r="7" spans="1:35" x14ac:dyDescent="0.35">
      <c r="A7" t="s">
        <v>332</v>
      </c>
      <c r="B7">
        <v>1</v>
      </c>
      <c r="C7">
        <v>0.86482000000000003</v>
      </c>
      <c r="D7">
        <v>0.76475000000000004</v>
      </c>
      <c r="E7">
        <v>0.69362999999999997</v>
      </c>
      <c r="F7">
        <v>0.63615999999999995</v>
      </c>
      <c r="G7">
        <v>0.58640000000000003</v>
      </c>
      <c r="H7">
        <v>0.54063000000000005</v>
      </c>
      <c r="I7">
        <v>0.49933</v>
      </c>
      <c r="J7">
        <v>0.46272999999999997</v>
      </c>
      <c r="K7">
        <v>0.42991000000000001</v>
      </c>
      <c r="L7">
        <v>0.39973999999999998</v>
      </c>
      <c r="M7">
        <v>0.37240000000000001</v>
      </c>
      <c r="N7">
        <v>0.34721000000000002</v>
      </c>
      <c r="O7">
        <v>0.32417000000000001</v>
      </c>
      <c r="P7">
        <v>0.30388999999999999</v>
      </c>
      <c r="Q7">
        <v>0.28613</v>
      </c>
      <c r="R7">
        <v>0.27035999999999999</v>
      </c>
      <c r="S7">
        <v>0.25646000000000002</v>
      </c>
      <c r="T7">
        <v>0.24429999999999999</v>
      </c>
      <c r="U7">
        <v>0.23369000000000001</v>
      </c>
      <c r="V7">
        <v>0.22428999999999999</v>
      </c>
      <c r="W7">
        <v>0.21590000000000001</v>
      </c>
      <c r="X7">
        <v>0.20843</v>
      </c>
      <c r="Y7">
        <v>0.20180999999999999</v>
      </c>
      <c r="Z7">
        <v>0.19589999999999999</v>
      </c>
      <c r="AA7">
        <v>0.19061</v>
      </c>
      <c r="AB7">
        <v>0.18583</v>
      </c>
      <c r="AC7">
        <v>0.18149000000000001</v>
      </c>
      <c r="AD7">
        <v>0.17754</v>
      </c>
      <c r="AE7">
        <v>0.17393</v>
      </c>
      <c r="AF7">
        <v>0.17061000000000001</v>
      </c>
      <c r="AG7">
        <v>0.16753999999999999</v>
      </c>
      <c r="AH7">
        <v>0.16470000000000001</v>
      </c>
      <c r="AI7">
        <v>0.16205</v>
      </c>
    </row>
    <row r="8" spans="1:35" x14ac:dyDescent="0.35">
      <c r="A8" t="s">
        <v>430</v>
      </c>
      <c r="B8">
        <f>'LDV EV calculations'!B7</f>
        <v>2698.0854133068651</v>
      </c>
      <c r="C8">
        <f>B8*C7</f>
        <v>2333.3582271360433</v>
      </c>
      <c r="D8" s="61">
        <f t="shared" ref="D8:AI8" si="0">C8*D7</f>
        <v>1784.4357042022891</v>
      </c>
      <c r="E8" s="61">
        <f t="shared" si="0"/>
        <v>1237.7381375058337</v>
      </c>
      <c r="F8" s="61">
        <f t="shared" si="0"/>
        <v>787.39949355571116</v>
      </c>
      <c r="G8" s="61">
        <f t="shared" si="0"/>
        <v>461.73106302106908</v>
      </c>
      <c r="H8" s="61">
        <f t="shared" si="0"/>
        <v>249.62566460108059</v>
      </c>
      <c r="I8" s="61">
        <f t="shared" si="0"/>
        <v>124.64558310525757</v>
      </c>
      <c r="J8" s="61">
        <f t="shared" si="0"/>
        <v>57.677250670295834</v>
      </c>
      <c r="K8" s="61">
        <f t="shared" si="0"/>
        <v>24.796026835666883</v>
      </c>
      <c r="L8" s="61">
        <f t="shared" si="0"/>
        <v>9.91196376728948</v>
      </c>
      <c r="M8" s="61">
        <f t="shared" si="0"/>
        <v>3.6912153069386027</v>
      </c>
      <c r="N8" s="61">
        <f t="shared" si="0"/>
        <v>1.2816268667221522</v>
      </c>
      <c r="O8" s="61">
        <f t="shared" si="0"/>
        <v>0.41546498138532012</v>
      </c>
      <c r="P8" s="61">
        <f t="shared" si="0"/>
        <v>0.12625565319318494</v>
      </c>
      <c r="Q8" s="61">
        <f t="shared" si="0"/>
        <v>3.6125530048166002E-2</v>
      </c>
      <c r="R8" s="61">
        <f t="shared" si="0"/>
        <v>9.7668983038221597E-3</v>
      </c>
      <c r="S8" s="61">
        <f t="shared" si="0"/>
        <v>2.5048187389982313E-3</v>
      </c>
      <c r="T8" s="61">
        <f t="shared" si="0"/>
        <v>6.1192721793726791E-4</v>
      </c>
      <c r="U8" s="61">
        <f t="shared" si="0"/>
        <v>1.4300127155976013E-4</v>
      </c>
      <c r="V8" s="61">
        <f t="shared" si="0"/>
        <v>3.2073755198138599E-5</v>
      </c>
      <c r="W8" s="61">
        <f t="shared" si="0"/>
        <v>6.9247237472781239E-6</v>
      </c>
      <c r="X8" s="61">
        <f t="shared" si="0"/>
        <v>1.4433201706451794E-6</v>
      </c>
      <c r="Y8" s="61">
        <f t="shared" si="0"/>
        <v>2.9127644363790365E-7</v>
      </c>
      <c r="Z8" s="61">
        <f t="shared" si="0"/>
        <v>5.7061055308665322E-8</v>
      </c>
      <c r="AA8" s="61">
        <f t="shared" si="0"/>
        <v>1.0876407752384697E-8</v>
      </c>
      <c r="AB8" s="61">
        <f t="shared" si="0"/>
        <v>2.021162852625648E-9</v>
      </c>
      <c r="AC8" s="61">
        <f t="shared" si="0"/>
        <v>3.6682084612302886E-10</v>
      </c>
      <c r="AD8" s="61">
        <f t="shared" si="0"/>
        <v>6.512537302068255E-11</v>
      </c>
      <c r="AE8" s="61">
        <f t="shared" si="0"/>
        <v>1.1327256129487316E-11</v>
      </c>
      <c r="AF8" s="61">
        <f t="shared" si="0"/>
        <v>1.9325431682518311E-12</v>
      </c>
      <c r="AG8" s="61">
        <f t="shared" si="0"/>
        <v>3.2377828240891177E-13</v>
      </c>
      <c r="AH8" s="61">
        <f t="shared" si="0"/>
        <v>5.3326283112747773E-14</v>
      </c>
      <c r="AI8" s="61">
        <f t="shared" si="0"/>
        <v>8.6415241784207763E-15</v>
      </c>
    </row>
    <row r="9" spans="1:35" x14ac:dyDescent="0.35">
      <c r="A9" s="61"/>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row>
    <row r="10" spans="1:35" x14ac:dyDescent="0.3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row>
    <row r="11" spans="1:35" x14ac:dyDescent="0.35">
      <c r="B11">
        <f>'LDV Account for auto vs truck'!C30</f>
        <v>32856.400642169101</v>
      </c>
      <c r="C11">
        <f>'LDV Account for auto vs truck'!D30</f>
        <v>32909.487821672999</v>
      </c>
      <c r="D11">
        <f>'LDV Account for auto vs truck'!E30</f>
        <v>32961.409445181809</v>
      </c>
      <c r="E11">
        <f>'LDV Account for auto vs truck'!F30</f>
        <v>33012.292904170383</v>
      </c>
      <c r="F11">
        <f>'LDV Account for auto vs truck'!G30</f>
        <v>33089.62756367815</v>
      </c>
      <c r="G11">
        <f>'LDV Account for auto vs truck'!H30</f>
        <v>33165.618383948007</v>
      </c>
      <c r="H11">
        <f>'LDV Account for auto vs truck'!I30</f>
        <v>33240.515800857451</v>
      </c>
      <c r="I11">
        <f>'LDV Account for auto vs truck'!J30</f>
        <v>33314.528737340661</v>
      </c>
      <c r="J11">
        <f>'LDV Account for auto vs truck'!K30</f>
        <v>33387.813560744238</v>
      </c>
      <c r="K11">
        <f>'LDV Account for auto vs truck'!L30</f>
        <v>33460.534742466254</v>
      </c>
      <c r="L11">
        <f>'LDV Account for auto vs truck'!M30</f>
        <v>33532.881560683876</v>
      </c>
      <c r="M11">
        <f>'LDV Account for auto vs truck'!N30</f>
        <v>33605.029557037167</v>
      </c>
      <c r="N11">
        <f>'LDV Account for auto vs truck'!O30</f>
        <v>33677.027480232115</v>
      </c>
      <c r="O11">
        <f>'LDV Account for auto vs truck'!P30</f>
        <v>33748.990958405899</v>
      </c>
      <c r="P11">
        <f>'LDV Account for auto vs truck'!Q30</f>
        <v>33776.417510156803</v>
      </c>
      <c r="Q11">
        <f>'LDV Account for auto vs truck'!R30</f>
        <v>33804.299473075363</v>
      </c>
      <c r="R11">
        <f>'LDV Account for auto vs truck'!S30</f>
        <v>33832.503255939715</v>
      </c>
      <c r="S11">
        <f>'LDV Account for auto vs truck'!T30</f>
        <v>33860.987218007649</v>
      </c>
      <c r="T11">
        <f>'LDV Account for auto vs truck'!U30</f>
        <v>33889.937756609106</v>
      </c>
      <c r="U11">
        <f>'LDV Account for auto vs truck'!V30</f>
        <v>33919.100655791517</v>
      </c>
      <c r="V11">
        <f>'LDV Account for auto vs truck'!W30</f>
        <v>33948.427538751959</v>
      </c>
      <c r="W11">
        <f>'LDV Account for auto vs truck'!X30</f>
        <v>33977.784930899121</v>
      </c>
      <c r="X11">
        <f>'LDV Account for auto vs truck'!Y30</f>
        <v>34007.076861395086</v>
      </c>
      <c r="Y11">
        <f>'LDV Account for auto vs truck'!Z30</f>
        <v>34036.459740828621</v>
      </c>
      <c r="Z11">
        <f>'LDV Account for auto vs truck'!AA30</f>
        <v>34075.541446150259</v>
      </c>
      <c r="AA11">
        <f>'LDV Account for auto vs truck'!AB30</f>
        <v>34114.371785933836</v>
      </c>
      <c r="AB11">
        <f>'LDV Account for auto vs truck'!AC30</f>
        <v>34153.141476097546</v>
      </c>
      <c r="AC11">
        <f>'LDV Account for auto vs truck'!AD30</f>
        <v>34191.618127970913</v>
      </c>
      <c r="AD11">
        <f>'LDV Account for auto vs truck'!AE30</f>
        <v>34230.05712072266</v>
      </c>
      <c r="AE11">
        <f>'LDV Account for auto vs truck'!AF30</f>
        <v>34268.27275068601</v>
      </c>
      <c r="AF11">
        <f>'LDV Account for auto vs truck'!AG30</f>
        <v>34306.359908751561</v>
      </c>
      <c r="AG11">
        <f>'LDV Account for auto vs truck'!AH30</f>
        <v>34344.594816654375</v>
      </c>
      <c r="AH11">
        <f>'LDV Account for auto vs truck'!AI30</f>
        <v>34382.764991259835</v>
      </c>
      <c r="AI11">
        <f>'LDV Account for auto vs truck'!AJ30</f>
        <v>34421.144656751938</v>
      </c>
    </row>
    <row r="14" spans="1:35" x14ac:dyDescent="0.35">
      <c r="A14" t="s">
        <v>334</v>
      </c>
      <c r="B14">
        <f>B11+B8</f>
        <v>35554.486055475965</v>
      </c>
      <c r="C14" s="61">
        <f t="shared" ref="C14:AI14" si="1">C11+C8</f>
        <v>35242.846048809042</v>
      </c>
      <c r="D14" s="61">
        <f t="shared" si="1"/>
        <v>34745.845149384098</v>
      </c>
      <c r="E14" s="61">
        <f t="shared" si="1"/>
        <v>34250.031041676215</v>
      </c>
      <c r="F14" s="61">
        <f t="shared" si="1"/>
        <v>33877.027057233863</v>
      </c>
      <c r="G14" s="61">
        <f t="shared" si="1"/>
        <v>33627.349446969078</v>
      </c>
      <c r="H14" s="61">
        <f t="shared" si="1"/>
        <v>33490.141465458531</v>
      </c>
      <c r="I14" s="61">
        <f t="shared" si="1"/>
        <v>33439.17432044592</v>
      </c>
      <c r="J14" s="61">
        <f t="shared" si="1"/>
        <v>33445.490811414536</v>
      </c>
      <c r="K14" s="61">
        <f t="shared" si="1"/>
        <v>33485.330769301923</v>
      </c>
      <c r="L14" s="61">
        <f t="shared" si="1"/>
        <v>33542.793524451168</v>
      </c>
      <c r="M14" s="61">
        <f t="shared" si="1"/>
        <v>33608.720772344102</v>
      </c>
      <c r="N14" s="61">
        <f t="shared" si="1"/>
        <v>33678.309107098838</v>
      </c>
      <c r="O14" s="61">
        <f t="shared" si="1"/>
        <v>33749.406423387285</v>
      </c>
      <c r="P14" s="61">
        <f t="shared" si="1"/>
        <v>33776.543765809998</v>
      </c>
      <c r="Q14" s="61">
        <f t="shared" si="1"/>
        <v>33804.335598605408</v>
      </c>
      <c r="R14" s="61">
        <f t="shared" si="1"/>
        <v>33832.513022838022</v>
      </c>
      <c r="S14" s="61">
        <f t="shared" si="1"/>
        <v>33860.989722826387</v>
      </c>
      <c r="T14" s="61">
        <f t="shared" si="1"/>
        <v>33889.938368536321</v>
      </c>
      <c r="U14" s="61">
        <f t="shared" si="1"/>
        <v>33919.100798792788</v>
      </c>
      <c r="V14" s="61">
        <f t="shared" si="1"/>
        <v>33948.427570825712</v>
      </c>
      <c r="W14" s="61">
        <f t="shared" si="1"/>
        <v>33977.784937823846</v>
      </c>
      <c r="X14" s="61">
        <f t="shared" si="1"/>
        <v>34007.076862838403</v>
      </c>
      <c r="Y14" s="61">
        <f t="shared" si="1"/>
        <v>34036.459741119899</v>
      </c>
      <c r="Z14" s="61">
        <f t="shared" si="1"/>
        <v>34075.541446207317</v>
      </c>
      <c r="AA14" s="61">
        <f t="shared" si="1"/>
        <v>34114.371785944713</v>
      </c>
      <c r="AB14" s="61">
        <f t="shared" si="1"/>
        <v>34153.141476099569</v>
      </c>
      <c r="AC14" s="61">
        <f t="shared" si="1"/>
        <v>34191.618127971276</v>
      </c>
      <c r="AD14" s="61">
        <f t="shared" si="1"/>
        <v>34230.057120722726</v>
      </c>
      <c r="AE14" s="61">
        <f t="shared" si="1"/>
        <v>34268.272750686025</v>
      </c>
      <c r="AF14" s="61">
        <f t="shared" si="1"/>
        <v>34306.359908751561</v>
      </c>
      <c r="AG14" s="61">
        <f t="shared" si="1"/>
        <v>34344.594816654375</v>
      </c>
      <c r="AH14" s="61">
        <f t="shared" si="1"/>
        <v>34382.764991259835</v>
      </c>
      <c r="AI14" s="61">
        <f t="shared" si="1"/>
        <v>34421.144656751938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27" sqref="F27"/>
    </sheetView>
  </sheetViews>
  <sheetFormatPr defaultRowHeight="14.5" x14ac:dyDescent="0.35"/>
  <cols>
    <col min="1" max="1" width="16.54296875" customWidth="1"/>
    <col min="2" max="2" width="12.7265625" customWidth="1"/>
  </cols>
  <sheetData>
    <row r="1" spans="1:3" x14ac:dyDescent="0.45">
      <c r="A1" s="1" t="s">
        <v>31</v>
      </c>
    </row>
    <row r="2" spans="1:3" x14ac:dyDescent="0.45">
      <c r="A2" s="2" t="s">
        <v>32</v>
      </c>
      <c r="B2" s="2" t="s">
        <v>19</v>
      </c>
      <c r="C2" s="2" t="s">
        <v>33</v>
      </c>
    </row>
    <row r="3" spans="1:3" x14ac:dyDescent="0.45">
      <c r="A3" t="s">
        <v>34</v>
      </c>
      <c r="B3" t="s">
        <v>35</v>
      </c>
      <c r="C3">
        <v>8700</v>
      </c>
    </row>
    <row r="4" spans="1:3" x14ac:dyDescent="0.45">
      <c r="A4" t="s">
        <v>36</v>
      </c>
      <c r="B4" t="s">
        <v>37</v>
      </c>
      <c r="C4">
        <v>4600</v>
      </c>
    </row>
    <row r="5" spans="1:3" x14ac:dyDescent="0.45">
      <c r="A5" t="s">
        <v>38</v>
      </c>
      <c r="B5" t="s">
        <v>39</v>
      </c>
      <c r="C5">
        <v>10500</v>
      </c>
    </row>
    <row r="6" spans="1:3" x14ac:dyDescent="0.45">
      <c r="A6" t="s">
        <v>40</v>
      </c>
      <c r="B6" t="s">
        <v>41</v>
      </c>
      <c r="C6">
        <v>6500</v>
      </c>
    </row>
    <row r="7" spans="1:3" x14ac:dyDescent="0.45">
      <c r="A7" t="s">
        <v>42</v>
      </c>
      <c r="B7" t="s">
        <v>43</v>
      </c>
      <c r="C7">
        <v>3000</v>
      </c>
    </row>
    <row r="8" spans="1:3" x14ac:dyDescent="0.45">
      <c r="A8" t="s">
        <v>44</v>
      </c>
      <c r="B8" t="s">
        <v>45</v>
      </c>
      <c r="C8">
        <v>10000</v>
      </c>
    </row>
    <row r="9" spans="1:3" x14ac:dyDescent="0.45">
      <c r="A9" t="s">
        <v>46</v>
      </c>
      <c r="B9" t="s">
        <v>47</v>
      </c>
      <c r="C9">
        <v>13000</v>
      </c>
    </row>
    <row r="10" spans="1:3" x14ac:dyDescent="0.45">
      <c r="A10" t="s">
        <v>48</v>
      </c>
      <c r="B10" t="s">
        <v>49</v>
      </c>
      <c r="C10">
        <v>9000</v>
      </c>
    </row>
    <row r="11" spans="1:3" x14ac:dyDescent="0.45">
      <c r="A11" t="s">
        <v>50</v>
      </c>
      <c r="B11" t="s">
        <v>51</v>
      </c>
      <c r="C11">
        <v>19000</v>
      </c>
    </row>
    <row r="12" spans="1:3" x14ac:dyDescent="0.45">
      <c r="A12" t="s">
        <v>52</v>
      </c>
      <c r="B12" t="s">
        <v>53</v>
      </c>
      <c r="C12">
        <v>5500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tabSelected="1" workbookViewId="0">
      <selection activeCell="A9" sqref="A9"/>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s="83" customFormat="1" x14ac:dyDescent="0.45">
      <c r="A2" s="83" t="s">
        <v>0</v>
      </c>
      <c r="B2" s="86">
        <f>'LDV EV calculations'!$B$16</f>
        <v>43077.191224054732</v>
      </c>
      <c r="C2" s="86">
        <f>B2</f>
        <v>43077.191224054732</v>
      </c>
      <c r="D2" s="86">
        <f t="shared" ref="D2:AI2" si="0">C2</f>
        <v>43077.191224054732</v>
      </c>
      <c r="E2" s="86">
        <f t="shared" si="0"/>
        <v>43077.191224054732</v>
      </c>
      <c r="F2" s="86">
        <f t="shared" si="0"/>
        <v>43077.191224054732</v>
      </c>
      <c r="G2" s="86">
        <f t="shared" si="0"/>
        <v>43077.191224054732</v>
      </c>
      <c r="H2" s="86">
        <f t="shared" si="0"/>
        <v>43077.191224054732</v>
      </c>
      <c r="I2" s="86">
        <f t="shared" si="0"/>
        <v>43077.191224054732</v>
      </c>
      <c r="J2" s="86">
        <f t="shared" si="0"/>
        <v>43077.191224054732</v>
      </c>
      <c r="K2" s="86">
        <f t="shared" si="0"/>
        <v>43077.191224054732</v>
      </c>
      <c r="L2" s="86">
        <f t="shared" si="0"/>
        <v>43077.191224054732</v>
      </c>
      <c r="M2" s="86">
        <f t="shared" si="0"/>
        <v>43077.191224054732</v>
      </c>
      <c r="N2" s="86">
        <f t="shared" si="0"/>
        <v>43077.191224054732</v>
      </c>
      <c r="O2" s="86">
        <f t="shared" si="0"/>
        <v>43077.191224054732</v>
      </c>
      <c r="P2" s="86">
        <f t="shared" si="0"/>
        <v>43077.191224054732</v>
      </c>
      <c r="Q2" s="86">
        <f t="shared" si="0"/>
        <v>43077.191224054732</v>
      </c>
      <c r="R2" s="86">
        <f t="shared" si="0"/>
        <v>43077.191224054732</v>
      </c>
      <c r="S2" s="86">
        <f t="shared" si="0"/>
        <v>43077.191224054732</v>
      </c>
      <c r="T2" s="86">
        <f t="shared" si="0"/>
        <v>43077.191224054732</v>
      </c>
      <c r="U2" s="86">
        <f t="shared" si="0"/>
        <v>43077.191224054732</v>
      </c>
      <c r="V2" s="86">
        <f t="shared" si="0"/>
        <v>43077.191224054732</v>
      </c>
      <c r="W2" s="86">
        <f t="shared" si="0"/>
        <v>43077.191224054732</v>
      </c>
      <c r="X2" s="86">
        <f t="shared" si="0"/>
        <v>43077.191224054732</v>
      </c>
      <c r="Y2" s="86">
        <f t="shared" si="0"/>
        <v>43077.191224054732</v>
      </c>
      <c r="Z2" s="86">
        <f t="shared" si="0"/>
        <v>43077.191224054732</v>
      </c>
      <c r="AA2" s="86">
        <f t="shared" si="0"/>
        <v>43077.191224054732</v>
      </c>
      <c r="AB2" s="86">
        <f t="shared" si="0"/>
        <v>43077.191224054732</v>
      </c>
      <c r="AC2" s="86">
        <f t="shared" si="0"/>
        <v>43077.191224054732</v>
      </c>
      <c r="AD2" s="86">
        <f t="shared" si="0"/>
        <v>43077.191224054732</v>
      </c>
      <c r="AE2" s="86">
        <f t="shared" si="0"/>
        <v>43077.191224054732</v>
      </c>
      <c r="AF2" s="86">
        <f t="shared" si="0"/>
        <v>43077.191224054732</v>
      </c>
      <c r="AG2" s="86">
        <f t="shared" si="0"/>
        <v>43077.191224054732</v>
      </c>
      <c r="AH2" s="86">
        <f t="shared" si="0"/>
        <v>43077.191224054732</v>
      </c>
      <c r="AI2" s="86">
        <f t="shared" si="0"/>
        <v>43077.191224054732</v>
      </c>
    </row>
    <row r="3" spans="1:35" x14ac:dyDescent="0.45">
      <c r="A3" t="s">
        <v>1</v>
      </c>
      <c r="B3" s="16">
        <f>'LDV Account for auto vs truck'!C27</f>
        <v>33613.581570573428</v>
      </c>
      <c r="C3" s="16">
        <f>'LDV Account for auto vs truck'!D27</f>
        <v>33638.453540649149</v>
      </c>
      <c r="D3" s="16">
        <f>'LDV Account for auto vs truck'!E27</f>
        <v>33662.117978339273</v>
      </c>
      <c r="E3" s="16">
        <f>'LDV Account for auto vs truck'!F27</f>
        <v>33686.145159966109</v>
      </c>
      <c r="F3" s="16">
        <f>'LDV Account for auto vs truck'!G27</f>
        <v>33824.926823968446</v>
      </c>
      <c r="G3" s="16">
        <f>'LDV Account for auto vs truck'!H27</f>
        <v>33965.041657000213</v>
      </c>
      <c r="H3" s="16">
        <f>'LDV Account for auto vs truck'!I27</f>
        <v>34107.042354434823</v>
      </c>
      <c r="I3" s="16">
        <f>'LDV Account for auto vs truck'!J27</f>
        <v>34250.980966480725</v>
      </c>
      <c r="J3" s="16">
        <f>'LDV Account for auto vs truck'!K27</f>
        <v>34396.683990751728</v>
      </c>
      <c r="K3" s="16">
        <f>'LDV Account for auto vs truck'!L27</f>
        <v>34544.103000184114</v>
      </c>
      <c r="L3" s="16">
        <f>'LDV Account for auto vs truck'!M27</f>
        <v>34693.306997867097</v>
      </c>
      <c r="M3" s="16">
        <f>'LDV Account for auto vs truck'!N27</f>
        <v>34844.311299694578</v>
      </c>
      <c r="N3" s="16">
        <f>'LDV Account for auto vs truck'!O27</f>
        <v>34996.779947613155</v>
      </c>
      <c r="O3" s="16">
        <f>'LDV Account for auto vs truck'!P27</f>
        <v>35150.661376920551</v>
      </c>
      <c r="P3" s="16">
        <f>'LDV Account for auto vs truck'!Q27</f>
        <v>35203.179763726774</v>
      </c>
      <c r="Q3" s="16">
        <f>'LDV Account for auto vs truck'!R27</f>
        <v>35257.240103480406</v>
      </c>
      <c r="R3" s="16">
        <f>'LDV Account for auto vs truck'!S27</f>
        <v>35312.395750823336</v>
      </c>
      <c r="S3" s="16">
        <f>'LDV Account for auto vs truck'!T27</f>
        <v>35368.462907543413</v>
      </c>
      <c r="T3" s="16">
        <f>'LDV Account for auto vs truck'!U27</f>
        <v>35425.799983836885</v>
      </c>
      <c r="U3" s="16">
        <f>'LDV Account for auto vs truck'!V27</f>
        <v>35483.745429568866</v>
      </c>
      <c r="V3" s="16">
        <f>'LDV Account for auto vs truck'!W27</f>
        <v>35542.150149532492</v>
      </c>
      <c r="W3" s="16">
        <f>'LDV Account for auto vs truck'!X27</f>
        <v>35600.696855429531</v>
      </c>
      <c r="X3" s="16">
        <f>'LDV Account for auto vs truck'!Y27</f>
        <v>35659.174704331163</v>
      </c>
      <c r="Y3" s="16">
        <f>'LDV Account for auto vs truck'!Z27</f>
        <v>35717.907866695306</v>
      </c>
      <c r="Z3" s="16">
        <f>'LDV Account for auto vs truck'!AA27</f>
        <v>35803.871514019222</v>
      </c>
      <c r="AA3" s="16">
        <f>'LDV Account for auto vs truck'!AB27</f>
        <v>35889.397716718755</v>
      </c>
      <c r="AB3" s="16">
        <f>'LDV Account for auto vs truck'!AC27</f>
        <v>35974.880002820137</v>
      </c>
      <c r="AC3" s="16">
        <f>'LDV Account for auto vs truck'!AD27</f>
        <v>36059.892243383321</v>
      </c>
      <c r="AD3" s="16">
        <f>'LDV Account for auto vs truck'!AE27</f>
        <v>36144.927109830729</v>
      </c>
      <c r="AE3" s="16">
        <f>'LDV Account for auto vs truck'!AF27</f>
        <v>36229.655473348852</v>
      </c>
      <c r="AF3" s="16">
        <f>'LDV Account for auto vs truck'!AG27</f>
        <v>36314.260179436511</v>
      </c>
      <c r="AG3" s="16">
        <f>'LDV Account for auto vs truck'!AH27</f>
        <v>36399.212725147954</v>
      </c>
      <c r="AH3" s="16">
        <f>'LDV Account for auto vs truck'!AI27</f>
        <v>36484.1401939188</v>
      </c>
      <c r="AI3" s="16">
        <f>'LDV Account for auto vs truck'!AJ27</f>
        <v>36569.485271464779</v>
      </c>
    </row>
    <row r="4" spans="1:35" x14ac:dyDescent="0.45">
      <c r="A4" t="s">
        <v>2</v>
      </c>
      <c r="B4" s="16">
        <f>'LDV Account for auto vs truck'!C30</f>
        <v>32856.400642169101</v>
      </c>
      <c r="C4" s="16">
        <f>'LDV Account for auto vs truck'!D30</f>
        <v>32909.487821672999</v>
      </c>
      <c r="D4" s="16">
        <f>'LDV Account for auto vs truck'!E30</f>
        <v>32961.409445181809</v>
      </c>
      <c r="E4" s="16">
        <f>'LDV Account for auto vs truck'!F30</f>
        <v>33012.292904170383</v>
      </c>
      <c r="F4" s="16">
        <f>'LDV Account for auto vs truck'!G30</f>
        <v>33089.62756367815</v>
      </c>
      <c r="G4" s="16">
        <f>'LDV Account for auto vs truck'!H30</f>
        <v>33165.618383948007</v>
      </c>
      <c r="H4" s="16">
        <f>'LDV Account for auto vs truck'!I30</f>
        <v>33240.515800857451</v>
      </c>
      <c r="I4" s="16">
        <f>'LDV Account for auto vs truck'!J30</f>
        <v>33314.528737340661</v>
      </c>
      <c r="J4" s="16">
        <f>'LDV Account for auto vs truck'!K30</f>
        <v>33387.813560744238</v>
      </c>
      <c r="K4" s="16">
        <f>'LDV Account for auto vs truck'!L30</f>
        <v>33460.534742466254</v>
      </c>
      <c r="L4" s="16">
        <f>'LDV Account for auto vs truck'!M30</f>
        <v>33532.881560683876</v>
      </c>
      <c r="M4" s="16">
        <f>'LDV Account for auto vs truck'!N30</f>
        <v>33605.029557037167</v>
      </c>
      <c r="N4" s="16">
        <f>'LDV Account for auto vs truck'!O30</f>
        <v>33677.027480232115</v>
      </c>
      <c r="O4" s="16">
        <f>'LDV Account for auto vs truck'!P30</f>
        <v>33748.990958405899</v>
      </c>
      <c r="P4" s="16">
        <f>'LDV Account for auto vs truck'!Q30</f>
        <v>33776.417510156803</v>
      </c>
      <c r="Q4" s="16">
        <f>'LDV Account for auto vs truck'!R30</f>
        <v>33804.299473075363</v>
      </c>
      <c r="R4" s="16">
        <f>'LDV Account for auto vs truck'!S30</f>
        <v>33832.503255939715</v>
      </c>
      <c r="S4" s="32">
        <f>'LDV Account for auto vs truck'!T30</f>
        <v>33860.987218007649</v>
      </c>
      <c r="T4" s="16">
        <f>'LDV Account for auto vs truck'!U30</f>
        <v>33889.937756609106</v>
      </c>
      <c r="U4" s="16">
        <f>'LDV Account for auto vs truck'!V30</f>
        <v>33919.100655791517</v>
      </c>
      <c r="V4" s="16">
        <f>'LDV Account for auto vs truck'!W30</f>
        <v>33948.427538751959</v>
      </c>
      <c r="W4" s="16">
        <f>'LDV Account for auto vs truck'!X30</f>
        <v>33977.784930899121</v>
      </c>
      <c r="X4" s="16">
        <f>'LDV Account for auto vs truck'!Y30</f>
        <v>34007.076861395086</v>
      </c>
      <c r="Y4" s="16">
        <f>'LDV Account for auto vs truck'!Z30</f>
        <v>34036.459740828621</v>
      </c>
      <c r="Z4" s="16">
        <f>'LDV Account for auto vs truck'!AA30</f>
        <v>34075.541446150259</v>
      </c>
      <c r="AA4" s="16">
        <f>'LDV Account for auto vs truck'!AB30</f>
        <v>34114.371785933836</v>
      </c>
      <c r="AB4" s="16">
        <f>'LDV Account for auto vs truck'!AC30</f>
        <v>34153.141476097546</v>
      </c>
      <c r="AC4" s="16">
        <f>'LDV Account for auto vs truck'!AD30</f>
        <v>34191.618127970913</v>
      </c>
      <c r="AD4" s="16">
        <f>'LDV Account for auto vs truck'!AE30</f>
        <v>34230.05712072266</v>
      </c>
      <c r="AE4" s="16">
        <f>'LDV Account for auto vs truck'!AF30</f>
        <v>34268.27275068601</v>
      </c>
      <c r="AF4" s="16">
        <f>'LDV Account for auto vs truck'!AG30</f>
        <v>34306.359908751561</v>
      </c>
      <c r="AG4" s="16">
        <f>'LDV Account for auto vs truck'!AH30</f>
        <v>34344.594816654375</v>
      </c>
      <c r="AH4" s="16">
        <f>'LDV Account for auto vs truck'!AI30</f>
        <v>34382.764991259835</v>
      </c>
      <c r="AI4" s="16">
        <f>'LDV Account for auto vs truck'!AJ30</f>
        <v>34421.144656751938</v>
      </c>
    </row>
    <row r="5" spans="1:35" x14ac:dyDescent="0.45">
      <c r="A5" t="s">
        <v>3</v>
      </c>
      <c r="B5" s="16">
        <f t="shared" ref="B5:AI5" si="1">B4</f>
        <v>32856.400642169101</v>
      </c>
      <c r="C5" s="16">
        <f t="shared" si="1"/>
        <v>32909.487821672999</v>
      </c>
      <c r="D5" s="16">
        <f t="shared" si="1"/>
        <v>32961.409445181809</v>
      </c>
      <c r="E5" s="16">
        <f t="shared" si="1"/>
        <v>33012.292904170383</v>
      </c>
      <c r="F5" s="16">
        <f t="shared" si="1"/>
        <v>33089.62756367815</v>
      </c>
      <c r="G5" s="16">
        <f t="shared" si="1"/>
        <v>33165.618383948007</v>
      </c>
      <c r="H5" s="16">
        <f t="shared" si="1"/>
        <v>33240.515800857451</v>
      </c>
      <c r="I5" s="16">
        <f t="shared" si="1"/>
        <v>33314.528737340661</v>
      </c>
      <c r="J5" s="16">
        <f t="shared" si="1"/>
        <v>33387.813560744238</v>
      </c>
      <c r="K5" s="16">
        <f t="shared" si="1"/>
        <v>33460.534742466254</v>
      </c>
      <c r="L5" s="16">
        <f t="shared" si="1"/>
        <v>33532.881560683876</v>
      </c>
      <c r="M5" s="16">
        <f t="shared" si="1"/>
        <v>33605.029557037167</v>
      </c>
      <c r="N5" s="16">
        <f t="shared" si="1"/>
        <v>33677.027480232115</v>
      </c>
      <c r="O5" s="16">
        <f t="shared" si="1"/>
        <v>33748.990958405899</v>
      </c>
      <c r="P5" s="16">
        <f t="shared" si="1"/>
        <v>33776.417510156803</v>
      </c>
      <c r="Q5" s="16">
        <f t="shared" si="1"/>
        <v>33804.299473075363</v>
      </c>
      <c r="R5" s="16">
        <f t="shared" si="1"/>
        <v>33832.503255939715</v>
      </c>
      <c r="S5" s="16">
        <f t="shared" si="1"/>
        <v>33860.987218007649</v>
      </c>
      <c r="T5" s="16">
        <f t="shared" si="1"/>
        <v>33889.937756609106</v>
      </c>
      <c r="U5" s="16">
        <f t="shared" si="1"/>
        <v>33919.100655791517</v>
      </c>
      <c r="V5" s="16">
        <f t="shared" si="1"/>
        <v>33948.427538751959</v>
      </c>
      <c r="W5" s="16">
        <f t="shared" si="1"/>
        <v>33977.784930899121</v>
      </c>
      <c r="X5" s="16">
        <f t="shared" si="1"/>
        <v>34007.076861395086</v>
      </c>
      <c r="Y5" s="16">
        <f t="shared" si="1"/>
        <v>34036.459740828621</v>
      </c>
      <c r="Z5" s="16">
        <f t="shared" si="1"/>
        <v>34075.541446150259</v>
      </c>
      <c r="AA5" s="16">
        <f t="shared" si="1"/>
        <v>34114.371785933836</v>
      </c>
      <c r="AB5" s="16">
        <f t="shared" si="1"/>
        <v>34153.141476097546</v>
      </c>
      <c r="AC5" s="16">
        <f t="shared" si="1"/>
        <v>34191.618127970913</v>
      </c>
      <c r="AD5" s="16">
        <f t="shared" si="1"/>
        <v>34230.05712072266</v>
      </c>
      <c r="AE5" s="16">
        <f t="shared" si="1"/>
        <v>34268.27275068601</v>
      </c>
      <c r="AF5" s="16">
        <f t="shared" si="1"/>
        <v>34306.359908751561</v>
      </c>
      <c r="AG5" s="16">
        <f t="shared" si="1"/>
        <v>34344.594816654375</v>
      </c>
      <c r="AH5" s="16">
        <f t="shared" si="1"/>
        <v>34382.764991259835</v>
      </c>
      <c r="AI5" s="16">
        <f t="shared" si="1"/>
        <v>34421.144656751938</v>
      </c>
    </row>
    <row r="6" spans="1:35" x14ac:dyDescent="0.45">
      <c r="A6" t="s">
        <v>4</v>
      </c>
      <c r="B6" s="16">
        <f>'LDV PHEV addendum'!B14</f>
        <v>35554.486055475965</v>
      </c>
      <c r="C6" s="16">
        <f>'LDV PHEV addendum'!C14</f>
        <v>35242.846048809042</v>
      </c>
      <c r="D6" s="16">
        <f>'LDV PHEV addendum'!D14</f>
        <v>34745.845149384098</v>
      </c>
      <c r="E6" s="16">
        <f>'LDV PHEV addendum'!E14</f>
        <v>34250.031041676215</v>
      </c>
      <c r="F6" s="16">
        <f>'LDV PHEV addendum'!F14</f>
        <v>33877.027057233863</v>
      </c>
      <c r="G6" s="16">
        <f>'LDV PHEV addendum'!G14</f>
        <v>33627.349446969078</v>
      </c>
      <c r="H6" s="16">
        <f>'LDV PHEV addendum'!H14</f>
        <v>33490.141465458531</v>
      </c>
      <c r="I6" s="16">
        <f>'LDV PHEV addendum'!I14</f>
        <v>33439.17432044592</v>
      </c>
      <c r="J6" s="16">
        <f>'LDV PHEV addendum'!J14</f>
        <v>33445.490811414536</v>
      </c>
      <c r="K6" s="16">
        <f>'LDV PHEV addendum'!K14</f>
        <v>33485.330769301923</v>
      </c>
      <c r="L6" s="16">
        <f>'LDV PHEV addendum'!L14</f>
        <v>33542.793524451168</v>
      </c>
      <c r="M6" s="16">
        <f>'LDV PHEV addendum'!M14</f>
        <v>33608.720772344102</v>
      </c>
      <c r="N6" s="16">
        <f>'LDV PHEV addendum'!N14</f>
        <v>33678.309107098838</v>
      </c>
      <c r="O6" s="16">
        <f>'LDV PHEV addendum'!O14</f>
        <v>33749.406423387285</v>
      </c>
      <c r="P6" s="16">
        <f>'LDV PHEV addendum'!P14</f>
        <v>33776.543765809998</v>
      </c>
      <c r="Q6" s="16">
        <f>'LDV PHEV addendum'!Q14</f>
        <v>33804.335598605408</v>
      </c>
      <c r="R6" s="16">
        <f>'LDV PHEV addendum'!R14</f>
        <v>33832.513022838022</v>
      </c>
      <c r="S6" s="16">
        <f>'LDV PHEV addendum'!S14</f>
        <v>33860.989722826387</v>
      </c>
      <c r="T6" s="16">
        <f>'LDV PHEV addendum'!T14</f>
        <v>33889.938368536321</v>
      </c>
      <c r="U6" s="16">
        <f>'LDV PHEV addendum'!U14</f>
        <v>33919.100798792788</v>
      </c>
      <c r="V6" s="16">
        <f>'LDV PHEV addendum'!V14</f>
        <v>33948.427570825712</v>
      </c>
      <c r="W6" s="16">
        <f>'LDV PHEV addendum'!W14</f>
        <v>33977.784937823846</v>
      </c>
      <c r="X6" s="16">
        <f>'LDV PHEV addendum'!X14</f>
        <v>34007.076862838403</v>
      </c>
      <c r="Y6" s="16">
        <f>'LDV PHEV addendum'!Y14</f>
        <v>34036.459741119899</v>
      </c>
      <c r="Z6" s="16">
        <f>'LDV PHEV addendum'!Z14</f>
        <v>34075.541446207317</v>
      </c>
      <c r="AA6" s="16">
        <f>'LDV PHEV addendum'!AA14</f>
        <v>34114.371785944713</v>
      </c>
      <c r="AB6" s="16">
        <f>'LDV PHEV addendum'!AB14</f>
        <v>34153.141476099569</v>
      </c>
      <c r="AC6" s="16">
        <f>'LDV PHEV addendum'!AC14</f>
        <v>34191.618127971276</v>
      </c>
      <c r="AD6" s="16">
        <f>'LDV PHEV addendum'!AD14</f>
        <v>34230.057120722726</v>
      </c>
      <c r="AE6" s="16">
        <f>'LDV PHEV addendum'!AE14</f>
        <v>34268.272750686025</v>
      </c>
      <c r="AF6" s="16">
        <f>'LDV PHEV addendum'!AF14</f>
        <v>34306.359908751561</v>
      </c>
      <c r="AG6" s="16">
        <f>'LDV PHEV addendum'!AG14</f>
        <v>34344.594816654375</v>
      </c>
      <c r="AH6" s="16">
        <f>'LDV PHEV addendum'!AH14</f>
        <v>34382.764991259835</v>
      </c>
      <c r="AI6" s="16">
        <f>'LDV PHEV addendum'!AI14</f>
        <v>34421.144656751938</v>
      </c>
    </row>
    <row r="7" spans="1:35" x14ac:dyDescent="0.4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2" sqref="B2"/>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f>'LDV freight = MD costs'!K23</f>
        <v>193414.80000000002</v>
      </c>
      <c r="C2">
        <f>'LDV freight = MD costs'!L23</f>
        <v>193414.80000000002</v>
      </c>
      <c r="D2">
        <f>'LDV freight = MD costs'!M23</f>
        <v>193414.80000000002</v>
      </c>
      <c r="E2">
        <f>'LDV freight = MD costs'!N23</f>
        <v>193414.80000000002</v>
      </c>
      <c r="F2">
        <f>'LDV freight = MD costs'!O23</f>
        <v>193414.80000000002</v>
      </c>
      <c r="G2">
        <f>'LDV freight = MD costs'!P23</f>
        <v>193414.80000000002</v>
      </c>
      <c r="H2">
        <f>'LDV freight = MD costs'!Q23</f>
        <v>193414.80000000002</v>
      </c>
      <c r="I2">
        <f>'LDV freight = MD costs'!R23</f>
        <v>193414.80000000002</v>
      </c>
      <c r="J2">
        <f>'LDV freight = MD costs'!S23</f>
        <v>193414.80000000002</v>
      </c>
      <c r="K2">
        <f>'LDV freight = MD costs'!T23</f>
        <v>193414.80000000002</v>
      </c>
      <c r="L2">
        <f>'LDV freight = MD costs'!U23</f>
        <v>193414.80000000002</v>
      </c>
      <c r="M2">
        <f>'LDV freight = MD costs'!V23</f>
        <v>193414.80000000002</v>
      </c>
      <c r="N2">
        <f>'LDV freight = MD costs'!W23</f>
        <v>193414.80000000002</v>
      </c>
      <c r="O2">
        <f>'LDV freight = MD costs'!X23</f>
        <v>193414.80000000002</v>
      </c>
      <c r="P2">
        <f>'LDV freight = MD costs'!Y23</f>
        <v>193414.80000000002</v>
      </c>
      <c r="Q2">
        <f>'LDV freight = MD costs'!Z23</f>
        <v>193414.80000000002</v>
      </c>
      <c r="R2">
        <f>'LDV freight = MD costs'!AA23</f>
        <v>193414.80000000002</v>
      </c>
      <c r="S2">
        <f>'LDV freight = MD costs'!AB23</f>
        <v>193414.80000000002</v>
      </c>
      <c r="T2">
        <f>'LDV freight = MD costs'!AC23</f>
        <v>193414.80000000002</v>
      </c>
      <c r="U2">
        <f>'LDV freight = MD costs'!AD23</f>
        <v>193414.80000000002</v>
      </c>
      <c r="V2">
        <f>'LDV freight = MD costs'!AE23</f>
        <v>193414.80000000002</v>
      </c>
      <c r="W2">
        <f>'LDV freight = MD costs'!AF23</f>
        <v>193414.80000000002</v>
      </c>
      <c r="X2">
        <f>'LDV freight = MD costs'!AG23</f>
        <v>193414.80000000002</v>
      </c>
      <c r="Y2">
        <f>'LDV freight = MD costs'!AH23</f>
        <v>193414.80000000002</v>
      </c>
      <c r="Z2">
        <f>'LDV freight = MD costs'!AI23</f>
        <v>193414.80000000002</v>
      </c>
      <c r="AA2">
        <f>'LDV freight = MD costs'!AJ23</f>
        <v>193414.80000000002</v>
      </c>
      <c r="AB2">
        <f>'LDV freight = MD costs'!AK23</f>
        <v>193414.80000000002</v>
      </c>
      <c r="AC2">
        <f>'LDV freight = MD costs'!AL23</f>
        <v>193414.80000000002</v>
      </c>
      <c r="AD2">
        <f>'LDV freight = MD costs'!AM23</f>
        <v>193414.80000000002</v>
      </c>
      <c r="AE2">
        <f>'LDV freight = MD costs'!AN23</f>
        <v>193414.80000000002</v>
      </c>
      <c r="AF2">
        <f>'LDV freight = MD costs'!AO23</f>
        <v>193414.80000000002</v>
      </c>
      <c r="AG2">
        <f>'LDV freight = MD costs'!AP23</f>
        <v>193414.80000000002</v>
      </c>
      <c r="AH2">
        <f>'LDV freight = MD costs'!AQ23</f>
        <v>193414.80000000002</v>
      </c>
      <c r="AI2">
        <f>'LDV freight = MD costs'!AR23</f>
        <v>193414.80000000002</v>
      </c>
    </row>
    <row r="3" spans="1:35" x14ac:dyDescent="0.45">
      <c r="A3" t="s">
        <v>1</v>
      </c>
      <c r="B3">
        <f>'LDV freight = MD costs'!K25</f>
        <v>84597.347999999998</v>
      </c>
      <c r="C3">
        <f>'LDV freight = MD costs'!L25</f>
        <v>84597.347999999998</v>
      </c>
      <c r="D3">
        <f>'LDV freight = MD costs'!M25</f>
        <v>84597.347999999998</v>
      </c>
      <c r="E3">
        <f>'LDV freight = MD costs'!N25</f>
        <v>84597.347999999998</v>
      </c>
      <c r="F3">
        <f>'LDV freight = MD costs'!O25</f>
        <v>84597.347999999998</v>
      </c>
      <c r="G3">
        <f>'LDV freight = MD costs'!P25</f>
        <v>84597.347999999998</v>
      </c>
      <c r="H3">
        <f>'LDV freight = MD costs'!Q25</f>
        <v>84597.347999999998</v>
      </c>
      <c r="I3">
        <f>'LDV freight = MD costs'!R25</f>
        <v>84597.347999999998</v>
      </c>
      <c r="J3">
        <f>'LDV freight = MD costs'!S25</f>
        <v>84597.347999999998</v>
      </c>
      <c r="K3">
        <f>'LDV freight = MD costs'!T25</f>
        <v>84597.347999999998</v>
      </c>
      <c r="L3">
        <f>'LDV freight = MD costs'!U25</f>
        <v>84597.347999999998</v>
      </c>
      <c r="M3">
        <f>'LDV freight = MD costs'!V25</f>
        <v>84597.347999999998</v>
      </c>
      <c r="N3">
        <f>'LDV freight = MD costs'!W25</f>
        <v>84597.347999999998</v>
      </c>
      <c r="O3">
        <f>'LDV freight = MD costs'!X25</f>
        <v>84597.347999999998</v>
      </c>
      <c r="P3">
        <f>'LDV freight = MD costs'!Y25</f>
        <v>84597.347999999998</v>
      </c>
      <c r="Q3">
        <f>'LDV freight = MD costs'!Z25</f>
        <v>84597.347999999998</v>
      </c>
      <c r="R3">
        <f>'LDV freight = MD costs'!AA25</f>
        <v>84597.347999999998</v>
      </c>
      <c r="S3">
        <f>'LDV freight = MD costs'!AB25</f>
        <v>84597.347999999998</v>
      </c>
      <c r="T3">
        <f>'LDV freight = MD costs'!AC25</f>
        <v>84597.347999999998</v>
      </c>
      <c r="U3">
        <f>'LDV freight = MD costs'!AD25</f>
        <v>84597.347999999998</v>
      </c>
      <c r="V3">
        <f>'LDV freight = MD costs'!AE25</f>
        <v>84597.347999999998</v>
      </c>
      <c r="W3">
        <f>'LDV freight = MD costs'!AF25</f>
        <v>84597.347999999998</v>
      </c>
      <c r="X3">
        <f>'LDV freight = MD costs'!AG25</f>
        <v>84597.347999999998</v>
      </c>
      <c r="Y3">
        <f>'LDV freight = MD costs'!AH25</f>
        <v>84597.347999999998</v>
      </c>
      <c r="Z3">
        <f>'LDV freight = MD costs'!AI25</f>
        <v>84597.347999999998</v>
      </c>
      <c r="AA3">
        <f>'LDV freight = MD costs'!AJ25</f>
        <v>84597.347999999998</v>
      </c>
      <c r="AB3">
        <f>'LDV freight = MD costs'!AK25</f>
        <v>84597.347999999998</v>
      </c>
      <c r="AC3">
        <f>'LDV freight = MD costs'!AL25</f>
        <v>84597.347999999998</v>
      </c>
      <c r="AD3">
        <f>'LDV freight = MD costs'!AM25</f>
        <v>84597.347999999998</v>
      </c>
      <c r="AE3">
        <f>'LDV freight = MD costs'!AN25</f>
        <v>84597.347999999998</v>
      </c>
      <c r="AF3">
        <f>'LDV freight = MD costs'!AO25</f>
        <v>84597.347999999998</v>
      </c>
      <c r="AG3">
        <f>'LDV freight = MD costs'!AP25</f>
        <v>84597.347999999998</v>
      </c>
      <c r="AH3">
        <f>'LDV freight = MD costs'!AQ25</f>
        <v>84597.347999999998</v>
      </c>
      <c r="AI3">
        <f>'LDV freight = MD costs'!AR25</f>
        <v>84597.347999999998</v>
      </c>
    </row>
    <row r="4" spans="1:35" x14ac:dyDescent="0.45">
      <c r="A4" t="s">
        <v>2</v>
      </c>
      <c r="B4">
        <f>'LDV freight = MD costs'!K21</f>
        <v>62169.348000000005</v>
      </c>
      <c r="C4">
        <f>'LDV freight = MD costs'!L21</f>
        <v>62169.348000000005</v>
      </c>
      <c r="D4">
        <f>'LDV freight = MD costs'!M21</f>
        <v>62169.348000000005</v>
      </c>
      <c r="E4">
        <f>'LDV freight = MD costs'!N21</f>
        <v>62169.348000000005</v>
      </c>
      <c r="F4">
        <f>'LDV freight = MD costs'!O21</f>
        <v>62169.348000000005</v>
      </c>
      <c r="G4">
        <f>'LDV freight = MD costs'!P21</f>
        <v>62169.348000000005</v>
      </c>
      <c r="H4">
        <f>'LDV freight = MD costs'!Q21</f>
        <v>62169.348000000005</v>
      </c>
      <c r="I4">
        <f>'LDV freight = MD costs'!R21</f>
        <v>62169.348000000005</v>
      </c>
      <c r="J4">
        <f>'LDV freight = MD costs'!S21</f>
        <v>62169.348000000005</v>
      </c>
      <c r="K4">
        <f>'LDV freight = MD costs'!T21</f>
        <v>62169.348000000005</v>
      </c>
      <c r="L4">
        <f>'LDV freight = MD costs'!U21</f>
        <v>62169.348000000005</v>
      </c>
      <c r="M4">
        <f>'LDV freight = MD costs'!V21</f>
        <v>62169.348000000005</v>
      </c>
      <c r="N4">
        <f>'LDV freight = MD costs'!W21</f>
        <v>62169.348000000005</v>
      </c>
      <c r="O4">
        <f>'LDV freight = MD costs'!X21</f>
        <v>62169.348000000005</v>
      </c>
      <c r="P4">
        <f>'LDV freight = MD costs'!Y21</f>
        <v>62169.348000000005</v>
      </c>
      <c r="Q4">
        <f>'LDV freight = MD costs'!Z21</f>
        <v>62169.348000000005</v>
      </c>
      <c r="R4">
        <f>'LDV freight = MD costs'!AA21</f>
        <v>62169.348000000005</v>
      </c>
      <c r="S4">
        <f>'LDV freight = MD costs'!AB21</f>
        <v>62169.348000000005</v>
      </c>
      <c r="T4">
        <f>'LDV freight = MD costs'!AC21</f>
        <v>62169.348000000005</v>
      </c>
      <c r="U4">
        <f>'LDV freight = MD costs'!AD21</f>
        <v>62169.348000000005</v>
      </c>
      <c r="V4">
        <f>'LDV freight = MD costs'!AE21</f>
        <v>62169.348000000005</v>
      </c>
      <c r="W4">
        <f>'LDV freight = MD costs'!AF21</f>
        <v>62169.348000000005</v>
      </c>
      <c r="X4">
        <f>'LDV freight = MD costs'!AG21</f>
        <v>62169.348000000005</v>
      </c>
      <c r="Y4">
        <f>'LDV freight = MD costs'!AH21</f>
        <v>62169.348000000005</v>
      </c>
      <c r="Z4">
        <f>'LDV freight = MD costs'!AI21</f>
        <v>62169.348000000005</v>
      </c>
      <c r="AA4">
        <f>'LDV freight = MD costs'!AJ21</f>
        <v>62169.348000000005</v>
      </c>
      <c r="AB4">
        <f>'LDV freight = MD costs'!AK21</f>
        <v>62169.348000000005</v>
      </c>
      <c r="AC4">
        <f>'LDV freight = MD costs'!AL21</f>
        <v>62169.348000000005</v>
      </c>
      <c r="AD4">
        <f>'LDV freight = MD costs'!AM21</f>
        <v>62169.348000000005</v>
      </c>
      <c r="AE4">
        <f>'LDV freight = MD costs'!AN21</f>
        <v>62169.348000000005</v>
      </c>
      <c r="AF4">
        <f>'LDV freight = MD costs'!AO21</f>
        <v>62169.348000000005</v>
      </c>
      <c r="AG4">
        <f>'LDV freight = MD costs'!AP21</f>
        <v>62169.348000000005</v>
      </c>
      <c r="AH4">
        <f>'LDV freight = MD costs'!AQ21</f>
        <v>62169.348000000005</v>
      </c>
      <c r="AI4">
        <f>'LDV freight = MD costs'!AR21</f>
        <v>62169.348000000005</v>
      </c>
    </row>
    <row r="5" spans="1:35" x14ac:dyDescent="0.45">
      <c r="A5" t="s">
        <v>3</v>
      </c>
      <c r="B5">
        <f>'LDV freight = MD costs'!K22</f>
        <v>71407.54800000001</v>
      </c>
      <c r="C5">
        <f>'LDV freight = MD costs'!L22</f>
        <v>71407.54800000001</v>
      </c>
      <c r="D5">
        <f>'LDV freight = MD costs'!M22</f>
        <v>71407.54800000001</v>
      </c>
      <c r="E5">
        <f>'LDV freight = MD costs'!N22</f>
        <v>71407.54800000001</v>
      </c>
      <c r="F5">
        <f>'LDV freight = MD costs'!O22</f>
        <v>71407.54800000001</v>
      </c>
      <c r="G5">
        <f>'LDV freight = MD costs'!P22</f>
        <v>71407.54800000001</v>
      </c>
      <c r="H5">
        <f>'LDV freight = MD costs'!Q22</f>
        <v>71407.54800000001</v>
      </c>
      <c r="I5">
        <f>'LDV freight = MD costs'!R22</f>
        <v>71407.54800000001</v>
      </c>
      <c r="J5">
        <f>'LDV freight = MD costs'!S22</f>
        <v>71407.54800000001</v>
      </c>
      <c r="K5">
        <f>'LDV freight = MD costs'!T22</f>
        <v>71407.54800000001</v>
      </c>
      <c r="L5">
        <f>'LDV freight = MD costs'!U22</f>
        <v>71407.54800000001</v>
      </c>
      <c r="M5">
        <f>'LDV freight = MD costs'!V22</f>
        <v>71407.54800000001</v>
      </c>
      <c r="N5">
        <f>'LDV freight = MD costs'!W22</f>
        <v>71407.54800000001</v>
      </c>
      <c r="O5">
        <f>'LDV freight = MD costs'!X22</f>
        <v>71407.54800000001</v>
      </c>
      <c r="P5">
        <f>'LDV freight = MD costs'!Y22</f>
        <v>71407.54800000001</v>
      </c>
      <c r="Q5">
        <f>'LDV freight = MD costs'!Z22</f>
        <v>71407.54800000001</v>
      </c>
      <c r="R5">
        <f>'LDV freight = MD costs'!AA22</f>
        <v>71407.54800000001</v>
      </c>
      <c r="S5">
        <f>'LDV freight = MD costs'!AB22</f>
        <v>71407.54800000001</v>
      </c>
      <c r="T5">
        <f>'LDV freight = MD costs'!AC22</f>
        <v>71407.54800000001</v>
      </c>
      <c r="U5">
        <f>'LDV freight = MD costs'!AD22</f>
        <v>71407.54800000001</v>
      </c>
      <c r="V5">
        <f>'LDV freight = MD costs'!AE22</f>
        <v>71407.54800000001</v>
      </c>
      <c r="W5">
        <f>'LDV freight = MD costs'!AF22</f>
        <v>71407.54800000001</v>
      </c>
      <c r="X5">
        <f>'LDV freight = MD costs'!AG22</f>
        <v>71407.54800000001</v>
      </c>
      <c r="Y5">
        <f>'LDV freight = MD costs'!AH22</f>
        <v>71407.54800000001</v>
      </c>
      <c r="Z5">
        <f>'LDV freight = MD costs'!AI22</f>
        <v>71407.54800000001</v>
      </c>
      <c r="AA5">
        <f>'LDV freight = MD costs'!AJ22</f>
        <v>71407.54800000001</v>
      </c>
      <c r="AB5">
        <f>'LDV freight = MD costs'!AK22</f>
        <v>71407.54800000001</v>
      </c>
      <c r="AC5">
        <f>'LDV freight = MD costs'!AL22</f>
        <v>71407.54800000001</v>
      </c>
      <c r="AD5">
        <f>'LDV freight = MD costs'!AM22</f>
        <v>71407.54800000001</v>
      </c>
      <c r="AE5">
        <f>'LDV freight = MD costs'!AN22</f>
        <v>71407.54800000001</v>
      </c>
      <c r="AF5">
        <f>'LDV freight = MD costs'!AO22</f>
        <v>71407.54800000001</v>
      </c>
      <c r="AG5">
        <f>'LDV freight = MD costs'!AP22</f>
        <v>71407.54800000001</v>
      </c>
      <c r="AH5">
        <f>'LDV freight = MD costs'!AQ22</f>
        <v>71407.54800000001</v>
      </c>
      <c r="AI5">
        <f>'LDV freight = MD costs'!AR22</f>
        <v>71407.54800000001</v>
      </c>
    </row>
    <row r="6" spans="1:35" x14ac:dyDescent="0.45">
      <c r="A6" t="s">
        <v>4</v>
      </c>
      <c r="B6">
        <f>'LDV freight = MD costs'!K26</f>
        <v>89029.54800000001</v>
      </c>
      <c r="C6">
        <f>'LDV freight = MD costs'!L26</f>
        <v>89029.54800000001</v>
      </c>
      <c r="D6">
        <f>'LDV freight = MD costs'!M26</f>
        <v>89029.54800000001</v>
      </c>
      <c r="E6">
        <f>'LDV freight = MD costs'!N26</f>
        <v>89029.54800000001</v>
      </c>
      <c r="F6">
        <f>'LDV freight = MD costs'!O26</f>
        <v>89029.54800000001</v>
      </c>
      <c r="G6">
        <f>'LDV freight = MD costs'!P26</f>
        <v>89029.54800000001</v>
      </c>
      <c r="H6">
        <f>'LDV freight = MD costs'!Q26</f>
        <v>89029.54800000001</v>
      </c>
      <c r="I6">
        <f>'LDV freight = MD costs'!R26</f>
        <v>89029.54800000001</v>
      </c>
      <c r="J6">
        <f>'LDV freight = MD costs'!S26</f>
        <v>89029.54800000001</v>
      </c>
      <c r="K6">
        <f>'LDV freight = MD costs'!T26</f>
        <v>89029.54800000001</v>
      </c>
      <c r="L6">
        <f>'LDV freight = MD costs'!U26</f>
        <v>89029.54800000001</v>
      </c>
      <c r="M6">
        <f>'LDV freight = MD costs'!V26</f>
        <v>89029.54800000001</v>
      </c>
      <c r="N6">
        <f>'LDV freight = MD costs'!W26</f>
        <v>89029.54800000001</v>
      </c>
      <c r="O6">
        <f>'LDV freight = MD costs'!X26</f>
        <v>89029.54800000001</v>
      </c>
      <c r="P6">
        <f>'LDV freight = MD costs'!Y26</f>
        <v>89029.54800000001</v>
      </c>
      <c r="Q6">
        <f>'LDV freight = MD costs'!Z26</f>
        <v>89029.54800000001</v>
      </c>
      <c r="R6">
        <f>'LDV freight = MD costs'!AA26</f>
        <v>89029.54800000001</v>
      </c>
      <c r="S6">
        <f>'LDV freight = MD costs'!AB26</f>
        <v>89029.54800000001</v>
      </c>
      <c r="T6">
        <f>'LDV freight = MD costs'!AC26</f>
        <v>89029.54800000001</v>
      </c>
      <c r="U6">
        <f>'LDV freight = MD costs'!AD26</f>
        <v>89029.54800000001</v>
      </c>
      <c r="V6">
        <f>'LDV freight = MD costs'!AE26</f>
        <v>89029.54800000001</v>
      </c>
      <c r="W6">
        <f>'LDV freight = MD costs'!AF26</f>
        <v>89029.54800000001</v>
      </c>
      <c r="X6">
        <f>'LDV freight = MD costs'!AG26</f>
        <v>89029.54800000001</v>
      </c>
      <c r="Y6">
        <f>'LDV freight = MD costs'!AH26</f>
        <v>89029.54800000001</v>
      </c>
      <c r="Z6">
        <f>'LDV freight = MD costs'!AI26</f>
        <v>89029.54800000001</v>
      </c>
      <c r="AA6">
        <f>'LDV freight = MD costs'!AJ26</f>
        <v>89029.54800000001</v>
      </c>
      <c r="AB6">
        <f>'LDV freight = MD costs'!AK26</f>
        <v>89029.54800000001</v>
      </c>
      <c r="AC6">
        <f>'LDV freight = MD costs'!AL26</f>
        <v>89029.54800000001</v>
      </c>
      <c r="AD6">
        <f>'LDV freight = MD costs'!AM26</f>
        <v>89029.54800000001</v>
      </c>
      <c r="AE6">
        <f>'LDV freight = MD costs'!AN26</f>
        <v>89029.54800000001</v>
      </c>
      <c r="AF6">
        <f>'LDV freight = MD costs'!AO26</f>
        <v>89029.54800000001</v>
      </c>
      <c r="AG6">
        <f>'LDV freight = MD costs'!AP26</f>
        <v>89029.54800000001</v>
      </c>
      <c r="AH6">
        <f>'LDV freight = MD costs'!AQ26</f>
        <v>89029.54800000001</v>
      </c>
      <c r="AI6">
        <f>'LDV freight = MD costs'!AR26</f>
        <v>89029.54800000001</v>
      </c>
    </row>
    <row r="7" spans="1:35" x14ac:dyDescent="0.4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5" sqref="B5"/>
    </sheetView>
  </sheetViews>
  <sheetFormatPr defaultRowHeight="14.5" x14ac:dyDescent="0.35"/>
  <cols>
    <col min="1" max="1" width="24.453125" customWidth="1"/>
  </cols>
  <sheetData>
    <row r="1" spans="1:35" x14ac:dyDescent="0.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0</v>
      </c>
      <c r="B2" s="4">
        <f>'E3 Bus Price Data'!R21*About!$A$103</f>
        <v>798626.9040000001</v>
      </c>
      <c r="C2" s="4">
        <f>'E3 Bus Price Data'!S21*About!$A$103</f>
        <v>785170.10400000005</v>
      </c>
      <c r="D2" s="4">
        <f>'E3 Bus Price Data'!T21*About!$A$103</f>
        <v>771914.08799999999</v>
      </c>
      <c r="E2" s="4">
        <f>'E3 Bus Price Data'!U21*About!$A$103</f>
        <v>743871.61200000008</v>
      </c>
      <c r="F2" s="4">
        <f>'E3 Bus Price Data'!V21*About!$A$103</f>
        <v>721527.98400000005</v>
      </c>
      <c r="G2" s="4">
        <f>'E3 Bus Price Data'!W21*About!$A$103</f>
        <v>702191.84400000004</v>
      </c>
      <c r="H2" s="4">
        <f>'E3 Bus Price Data'!X21*About!$A$103</f>
        <v>684876.36</v>
      </c>
      <c r="I2" s="4">
        <f>'E3 Bus Price Data'!Y21*About!$A$103</f>
        <v>675992.73600000003</v>
      </c>
      <c r="J2" s="4">
        <f>'E3 Bus Price Data'!Z21*About!$A$103</f>
        <v>668151.48</v>
      </c>
      <c r="K2" s="4">
        <f>'E3 Bus Price Data'!AA21*About!$A$103</f>
        <v>661451.91600000008</v>
      </c>
      <c r="L2" s="4">
        <f>'E3 Bus Price Data'!AB21*About!$A$103</f>
        <v>655303.44000000006</v>
      </c>
      <c r="M2" s="4">
        <f>'E3 Bus Price Data'!AC21*About!$A$103</f>
        <v>649588.57200000004</v>
      </c>
      <c r="N2" s="4">
        <f>'E3 Bus Price Data'!AD21*About!$A$103</f>
        <v>644221.87200000009</v>
      </c>
      <c r="O2" s="4">
        <f>'E3 Bus Price Data'!AE21*About!$A$103</f>
        <v>639139.26</v>
      </c>
      <c r="P2" s="4">
        <f>'E3 Bus Price Data'!AF21*About!$A$103</f>
        <v>639139.26</v>
      </c>
      <c r="Q2" s="4">
        <f>'E3 Bus Price Data'!AG21*About!$A$103</f>
        <v>639139.26</v>
      </c>
      <c r="R2" s="4">
        <f>'E3 Bus Price Data'!AH21*About!$A$103</f>
        <v>639139.26</v>
      </c>
      <c r="S2" s="4">
        <f>'E3 Bus Price Data'!AI21*About!$A$103</f>
        <v>639139.26</v>
      </c>
      <c r="T2" s="4">
        <f>'E3 Bus Price Data'!AJ21*About!$A$103</f>
        <v>639139.26</v>
      </c>
      <c r="U2" s="4">
        <f>'E3 Bus Price Data'!AK21*About!$A$103</f>
        <v>639139.26</v>
      </c>
      <c r="V2" s="4">
        <f>'E3 Bus Price Data'!AL21*About!$A$103</f>
        <v>639139.26</v>
      </c>
      <c r="W2" s="4">
        <f>'E3 Bus Price Data'!AM21*About!$A$103</f>
        <v>639139.26</v>
      </c>
      <c r="X2" s="4">
        <f>'E3 Bus Price Data'!AN21*About!$A$103</f>
        <v>639139.26</v>
      </c>
      <c r="Y2" s="4">
        <f>'E3 Bus Price Data'!AO21*About!$A$103</f>
        <v>639139.26</v>
      </c>
      <c r="Z2" s="4">
        <f>'E3 Bus Price Data'!AP21*About!$A$103</f>
        <v>639139.26</v>
      </c>
      <c r="AA2" s="4">
        <f>'E3 Bus Price Data'!AQ21*About!$A$103</f>
        <v>639139.26</v>
      </c>
      <c r="AB2" s="4">
        <f>'E3 Bus Price Data'!AR21*About!$A$103</f>
        <v>639139.26</v>
      </c>
      <c r="AC2" s="4">
        <f>'E3 Bus Price Data'!AS21*About!$A$103</f>
        <v>639139.26</v>
      </c>
      <c r="AD2" s="4">
        <f>'E3 Bus Price Data'!AT21*About!$A$103</f>
        <v>639139.26</v>
      </c>
      <c r="AE2" s="4">
        <f>'E3 Bus Price Data'!AU21*About!$A$103</f>
        <v>639139.26</v>
      </c>
      <c r="AF2" s="4">
        <f>'E3 Bus Price Data'!AV21*About!$A$103</f>
        <v>639139.26</v>
      </c>
      <c r="AG2" s="4">
        <f>'E3 Bus Price Data'!AW21*About!$A$103</f>
        <v>639139.26</v>
      </c>
      <c r="AH2" s="4">
        <f>'E3 Bus Price Data'!AX21*About!$A$103</f>
        <v>639139.26</v>
      </c>
      <c r="AI2" s="4">
        <f>'E3 Bus Price Data'!AY21*About!$A$103</f>
        <v>639139.26</v>
      </c>
    </row>
    <row r="3" spans="1:35" x14ac:dyDescent="0.35">
      <c r="A3" t="s">
        <v>1</v>
      </c>
      <c r="B3" s="4">
        <f>'E3 Bus Price Data'!R19*About!$A$103</f>
        <v>619440</v>
      </c>
      <c r="C3" s="4">
        <f>'E3 Bus Price Data'!S19*About!$A$103</f>
        <v>619440</v>
      </c>
      <c r="D3" s="4">
        <f>'E3 Bus Price Data'!T19*About!$A$103</f>
        <v>619440</v>
      </c>
      <c r="E3" s="4">
        <f>'E3 Bus Price Data'!U19*About!$A$103</f>
        <v>619440</v>
      </c>
      <c r="F3" s="4">
        <f>'E3 Bus Price Data'!V19*About!$A$103</f>
        <v>619440</v>
      </c>
      <c r="G3" s="4">
        <f>'E3 Bus Price Data'!W19*About!$A$103</f>
        <v>619440</v>
      </c>
      <c r="H3" s="4">
        <f>'E3 Bus Price Data'!X19*About!$A$103</f>
        <v>619440</v>
      </c>
      <c r="I3" s="4">
        <f>'E3 Bus Price Data'!Y19*About!$A$103</f>
        <v>619440</v>
      </c>
      <c r="J3" s="4">
        <f>'E3 Bus Price Data'!Z19*About!$A$103</f>
        <v>619440</v>
      </c>
      <c r="K3" s="4">
        <f>'E3 Bus Price Data'!AA19*About!$A$103</f>
        <v>619440</v>
      </c>
      <c r="L3" s="4">
        <f>'E3 Bus Price Data'!AB19*About!$A$103</f>
        <v>619440</v>
      </c>
      <c r="M3" s="4">
        <f>'E3 Bus Price Data'!AC19*About!$A$103</f>
        <v>619440</v>
      </c>
      <c r="N3" s="4">
        <f>'E3 Bus Price Data'!AD19*About!$A$103</f>
        <v>619440</v>
      </c>
      <c r="O3" s="4">
        <f>'E3 Bus Price Data'!AE19*About!$A$103</f>
        <v>619440</v>
      </c>
      <c r="P3" s="4">
        <f>'E3 Bus Price Data'!AF19*About!$A$103</f>
        <v>619440</v>
      </c>
      <c r="Q3" s="4">
        <f>'E3 Bus Price Data'!AG19*About!$A$103</f>
        <v>619440</v>
      </c>
      <c r="R3" s="4">
        <f>'E3 Bus Price Data'!AH19*About!$A$103</f>
        <v>619440</v>
      </c>
      <c r="S3" s="4">
        <f>'E3 Bus Price Data'!AI19*About!$A$103</f>
        <v>619440</v>
      </c>
      <c r="T3" s="4">
        <f>'E3 Bus Price Data'!AJ19*About!$A$103</f>
        <v>619440</v>
      </c>
      <c r="U3" s="4">
        <f>'E3 Bus Price Data'!AK19*About!$A$103</f>
        <v>619440</v>
      </c>
      <c r="V3" s="4">
        <f>'E3 Bus Price Data'!AL19*About!$A$103</f>
        <v>619440</v>
      </c>
      <c r="W3" s="4">
        <f>'E3 Bus Price Data'!AM19*About!$A$103</f>
        <v>619440</v>
      </c>
      <c r="X3" s="4">
        <f>'E3 Bus Price Data'!AN19*About!$A$103</f>
        <v>619440</v>
      </c>
      <c r="Y3" s="4">
        <f>'E3 Bus Price Data'!AO19*About!$A$103</f>
        <v>619440</v>
      </c>
      <c r="Z3" s="4">
        <f>'E3 Bus Price Data'!AP19*About!$A$103</f>
        <v>619440</v>
      </c>
      <c r="AA3" s="4">
        <f>'E3 Bus Price Data'!AQ19*About!$A$103</f>
        <v>619440</v>
      </c>
      <c r="AB3" s="4">
        <f>'E3 Bus Price Data'!AR19*About!$A$103</f>
        <v>619440</v>
      </c>
      <c r="AC3" s="4">
        <f>'E3 Bus Price Data'!AS19*About!$A$103</f>
        <v>619440</v>
      </c>
      <c r="AD3" s="4">
        <f>'E3 Bus Price Data'!AT19*About!$A$103</f>
        <v>619440</v>
      </c>
      <c r="AE3" s="4">
        <f>'E3 Bus Price Data'!AU19*About!$A$103</f>
        <v>619440</v>
      </c>
      <c r="AF3" s="4">
        <f>'E3 Bus Price Data'!AV19*About!$A$103</f>
        <v>619440</v>
      </c>
      <c r="AG3" s="4">
        <f>'E3 Bus Price Data'!AW19*About!$A$103</f>
        <v>619440</v>
      </c>
      <c r="AH3" s="4">
        <f>'E3 Bus Price Data'!AX19*About!$A$103</f>
        <v>619440</v>
      </c>
      <c r="AI3" s="4">
        <f>'E3 Bus Price Data'!AY19*About!$A$103</f>
        <v>619440</v>
      </c>
    </row>
    <row r="4" spans="1:35" x14ac:dyDescent="0.35">
      <c r="A4" t="s">
        <v>2</v>
      </c>
      <c r="B4" s="4">
        <f t="shared" ref="B4:AI4" si="0">B5</f>
        <v>534000</v>
      </c>
      <c r="C4" s="4">
        <f t="shared" si="0"/>
        <v>534000</v>
      </c>
      <c r="D4" s="4">
        <f t="shared" si="0"/>
        <v>534000</v>
      </c>
      <c r="E4" s="4">
        <f t="shared" si="0"/>
        <v>534000</v>
      </c>
      <c r="F4" s="4">
        <f t="shared" si="0"/>
        <v>534000</v>
      </c>
      <c r="G4" s="4">
        <f t="shared" si="0"/>
        <v>534000</v>
      </c>
      <c r="H4" s="4">
        <f t="shared" si="0"/>
        <v>534000</v>
      </c>
      <c r="I4" s="4">
        <f t="shared" si="0"/>
        <v>534000</v>
      </c>
      <c r="J4" s="4">
        <f t="shared" si="0"/>
        <v>534000</v>
      </c>
      <c r="K4" s="4">
        <f t="shared" si="0"/>
        <v>534000</v>
      </c>
      <c r="L4" s="4">
        <f t="shared" si="0"/>
        <v>534000</v>
      </c>
      <c r="M4" s="4">
        <f t="shared" si="0"/>
        <v>534000</v>
      </c>
      <c r="N4" s="4">
        <f t="shared" si="0"/>
        <v>534000</v>
      </c>
      <c r="O4" s="4">
        <f t="shared" si="0"/>
        <v>534000</v>
      </c>
      <c r="P4" s="4">
        <f t="shared" si="0"/>
        <v>534000</v>
      </c>
      <c r="Q4" s="4">
        <f t="shared" si="0"/>
        <v>534000</v>
      </c>
      <c r="R4" s="4">
        <f t="shared" si="0"/>
        <v>534000</v>
      </c>
      <c r="S4" s="4">
        <f t="shared" si="0"/>
        <v>534000</v>
      </c>
      <c r="T4" s="4">
        <f t="shared" si="0"/>
        <v>534000</v>
      </c>
      <c r="U4" s="4">
        <f t="shared" si="0"/>
        <v>534000</v>
      </c>
      <c r="V4" s="4">
        <f t="shared" si="0"/>
        <v>534000</v>
      </c>
      <c r="W4" s="4">
        <f t="shared" si="0"/>
        <v>534000</v>
      </c>
      <c r="X4" s="4">
        <f t="shared" si="0"/>
        <v>534000</v>
      </c>
      <c r="Y4" s="4">
        <f t="shared" si="0"/>
        <v>534000</v>
      </c>
      <c r="Z4" s="4">
        <f t="shared" si="0"/>
        <v>534000</v>
      </c>
      <c r="AA4" s="4">
        <f t="shared" si="0"/>
        <v>534000</v>
      </c>
      <c r="AB4" s="4">
        <f t="shared" si="0"/>
        <v>534000</v>
      </c>
      <c r="AC4" s="4">
        <f t="shared" si="0"/>
        <v>534000</v>
      </c>
      <c r="AD4" s="4">
        <f t="shared" si="0"/>
        <v>534000</v>
      </c>
      <c r="AE4" s="4">
        <f t="shared" si="0"/>
        <v>534000</v>
      </c>
      <c r="AF4" s="4">
        <f t="shared" si="0"/>
        <v>534000</v>
      </c>
      <c r="AG4" s="4">
        <f t="shared" si="0"/>
        <v>534000</v>
      </c>
      <c r="AH4" s="4">
        <f t="shared" si="0"/>
        <v>534000</v>
      </c>
      <c r="AI4" s="4">
        <f t="shared" si="0"/>
        <v>534000</v>
      </c>
    </row>
    <row r="5" spans="1:35" x14ac:dyDescent="0.35">
      <c r="A5" t="s">
        <v>3</v>
      </c>
      <c r="B5" s="31">
        <f>'E3 Bus Price Data'!R18*About!$A$103</f>
        <v>534000</v>
      </c>
      <c r="C5" s="31">
        <f>'E3 Bus Price Data'!S18*About!$A$103</f>
        <v>534000</v>
      </c>
      <c r="D5" s="31">
        <f>'E3 Bus Price Data'!T18*About!$A$103</f>
        <v>534000</v>
      </c>
      <c r="E5" s="31">
        <f>'E3 Bus Price Data'!U18*About!$A$103</f>
        <v>534000</v>
      </c>
      <c r="F5" s="31">
        <f>'E3 Bus Price Data'!V18*About!$A$103</f>
        <v>534000</v>
      </c>
      <c r="G5" s="31">
        <f>'E3 Bus Price Data'!W18*About!$A$103</f>
        <v>534000</v>
      </c>
      <c r="H5" s="31">
        <f>'E3 Bus Price Data'!X18*About!$A$103</f>
        <v>534000</v>
      </c>
      <c r="I5" s="31">
        <f>'E3 Bus Price Data'!Y18*About!$A$103</f>
        <v>534000</v>
      </c>
      <c r="J5" s="31">
        <f>'E3 Bus Price Data'!Z18*About!$A$103</f>
        <v>534000</v>
      </c>
      <c r="K5" s="31">
        <f>'E3 Bus Price Data'!AA18*About!$A$103</f>
        <v>534000</v>
      </c>
      <c r="L5" s="31">
        <f>'E3 Bus Price Data'!AB18*About!$A$103</f>
        <v>534000</v>
      </c>
      <c r="M5" s="31">
        <f>'E3 Bus Price Data'!AC18*About!$A$103</f>
        <v>534000</v>
      </c>
      <c r="N5" s="31">
        <f>'E3 Bus Price Data'!AD18*About!$A$103</f>
        <v>534000</v>
      </c>
      <c r="O5" s="31">
        <f>'E3 Bus Price Data'!AE18*About!$A$103</f>
        <v>534000</v>
      </c>
      <c r="P5" s="31">
        <f>'E3 Bus Price Data'!AF18*About!$A$103</f>
        <v>534000</v>
      </c>
      <c r="Q5" s="31">
        <f>'E3 Bus Price Data'!AG18*About!$A$103</f>
        <v>534000</v>
      </c>
      <c r="R5" s="31">
        <f>'E3 Bus Price Data'!AH18*About!$A$103</f>
        <v>534000</v>
      </c>
      <c r="S5" s="31">
        <f>'E3 Bus Price Data'!AI18*About!$A$103</f>
        <v>534000</v>
      </c>
      <c r="T5" s="31">
        <f>'E3 Bus Price Data'!AJ18*About!$A$103</f>
        <v>534000</v>
      </c>
      <c r="U5" s="31">
        <f>'E3 Bus Price Data'!AK18*About!$A$103</f>
        <v>534000</v>
      </c>
      <c r="V5" s="31">
        <f>'E3 Bus Price Data'!AL18*About!$A$103</f>
        <v>534000</v>
      </c>
      <c r="W5" s="31">
        <f>'E3 Bus Price Data'!AM18*About!$A$103</f>
        <v>534000</v>
      </c>
      <c r="X5" s="31">
        <f>'E3 Bus Price Data'!AN18*About!$A$103</f>
        <v>534000</v>
      </c>
      <c r="Y5" s="31">
        <f>'E3 Bus Price Data'!AO18*About!$A$103</f>
        <v>534000</v>
      </c>
      <c r="Z5" s="31">
        <f>'E3 Bus Price Data'!AP18*About!$A$103</f>
        <v>534000</v>
      </c>
      <c r="AA5" s="31">
        <f>'E3 Bus Price Data'!AQ18*About!$A$103</f>
        <v>534000</v>
      </c>
      <c r="AB5" s="31">
        <f>'E3 Bus Price Data'!AR18*About!$A$103</f>
        <v>534000</v>
      </c>
      <c r="AC5" s="31">
        <f>'E3 Bus Price Data'!AS18*About!$A$103</f>
        <v>534000</v>
      </c>
      <c r="AD5" s="31">
        <f>'E3 Bus Price Data'!AT18*About!$A$103</f>
        <v>534000</v>
      </c>
      <c r="AE5" s="31">
        <f>'E3 Bus Price Data'!AU18*About!$A$103</f>
        <v>534000</v>
      </c>
      <c r="AF5" s="31">
        <f>'E3 Bus Price Data'!AV18*About!$A$103</f>
        <v>534000</v>
      </c>
      <c r="AG5" s="31">
        <f>'E3 Bus Price Data'!AW18*About!$A$103</f>
        <v>534000</v>
      </c>
      <c r="AH5" s="31">
        <f>'E3 Bus Price Data'!AX18*About!$A$103</f>
        <v>534000</v>
      </c>
      <c r="AI5" s="31">
        <f>'E3 Bus Price Data'!AY18*About!$A$103</f>
        <v>534000</v>
      </c>
    </row>
    <row r="6" spans="1:35" x14ac:dyDescent="0.35">
      <c r="A6" t="s">
        <v>4</v>
      </c>
      <c r="B6" s="4">
        <f>'E3 Bus Price Data'!R22*About!$A$103</f>
        <v>605831.54399999999</v>
      </c>
      <c r="C6" s="4">
        <f>'E3 Bus Price Data'!S22*About!$A$103</f>
        <v>605831.54399999999</v>
      </c>
      <c r="D6" s="4">
        <f>'E3 Bus Price Data'!T22*About!$A$103</f>
        <v>605831.54399999999</v>
      </c>
      <c r="E6" s="4">
        <f>'E3 Bus Price Data'!U22*About!$A$103</f>
        <v>605831.54399999999</v>
      </c>
      <c r="F6" s="4">
        <f>'E3 Bus Price Data'!V22*About!$A$103</f>
        <v>605831.54399999999</v>
      </c>
      <c r="G6" s="4">
        <f>'E3 Bus Price Data'!W22*About!$A$103</f>
        <v>605831.54399999999</v>
      </c>
      <c r="H6" s="4">
        <f>'E3 Bus Price Data'!X22*About!$A$103</f>
        <v>605831.54399999999</v>
      </c>
      <c r="I6" s="4">
        <f>'E3 Bus Price Data'!Y22*About!$A$103</f>
        <v>605831.54399999999</v>
      </c>
      <c r="J6" s="4">
        <f>'E3 Bus Price Data'!Z22*About!$A$103</f>
        <v>605831.54399999999</v>
      </c>
      <c r="K6" s="4">
        <f>'E3 Bus Price Data'!AA22*About!$A$103</f>
        <v>605831.54399999999</v>
      </c>
      <c r="L6" s="4">
        <f>'E3 Bus Price Data'!AB22*About!$A$103</f>
        <v>605831.54399999999</v>
      </c>
      <c r="M6" s="4">
        <f>'E3 Bus Price Data'!AC22*About!$A$103</f>
        <v>605831.54399999999</v>
      </c>
      <c r="N6" s="4">
        <f>'E3 Bus Price Data'!AD22*About!$A$103</f>
        <v>605831.54399999999</v>
      </c>
      <c r="O6" s="4">
        <f>'E3 Bus Price Data'!AE22*About!$A$103</f>
        <v>605831.54399999999</v>
      </c>
      <c r="P6" s="4">
        <f>'E3 Bus Price Data'!AF22*About!$A$103</f>
        <v>605831.54399999999</v>
      </c>
      <c r="Q6" s="4">
        <f>'E3 Bus Price Data'!AG22*About!$A$103</f>
        <v>605831.54399999999</v>
      </c>
      <c r="R6" s="4">
        <f>'E3 Bus Price Data'!AH22*About!$A$103</f>
        <v>605831.54399999999</v>
      </c>
      <c r="S6" s="4">
        <f>'E3 Bus Price Data'!AI22*About!$A$103</f>
        <v>605831.54399999999</v>
      </c>
      <c r="T6" s="4">
        <f>'E3 Bus Price Data'!AJ22*About!$A$103</f>
        <v>605831.54399999999</v>
      </c>
      <c r="U6" s="4">
        <f>'E3 Bus Price Data'!AK22*About!$A$103</f>
        <v>605831.54399999999</v>
      </c>
      <c r="V6" s="4">
        <f>'E3 Bus Price Data'!AL22*About!$A$103</f>
        <v>605831.54399999999</v>
      </c>
      <c r="W6" s="4">
        <f>'E3 Bus Price Data'!AM22*About!$A$103</f>
        <v>605831.54399999999</v>
      </c>
      <c r="X6" s="4">
        <f>'E3 Bus Price Data'!AN22*About!$A$103</f>
        <v>605831.54399999999</v>
      </c>
      <c r="Y6" s="4">
        <f>'E3 Bus Price Data'!AO22*About!$A$103</f>
        <v>605831.54399999999</v>
      </c>
      <c r="Z6" s="4">
        <f>'E3 Bus Price Data'!AP22*About!$A$103</f>
        <v>605831.54399999999</v>
      </c>
      <c r="AA6" s="4">
        <f>'E3 Bus Price Data'!AQ22*About!$A$103</f>
        <v>605831.54399999999</v>
      </c>
      <c r="AB6" s="4">
        <f>'E3 Bus Price Data'!AR22*About!$A$103</f>
        <v>605831.54399999999</v>
      </c>
      <c r="AC6" s="4">
        <f>'E3 Bus Price Data'!AS22*About!$A$103</f>
        <v>605831.54399999999</v>
      </c>
      <c r="AD6" s="4">
        <f>'E3 Bus Price Data'!AT22*About!$A$103</f>
        <v>605831.54399999999</v>
      </c>
      <c r="AE6" s="4">
        <f>'E3 Bus Price Data'!AU22*About!$A$103</f>
        <v>605831.54399999999</v>
      </c>
      <c r="AF6" s="4">
        <f>'E3 Bus Price Data'!AV22*About!$A$103</f>
        <v>605831.54399999999</v>
      </c>
      <c r="AG6" s="4">
        <f>'E3 Bus Price Data'!AW22*About!$A$103</f>
        <v>605831.54399999999</v>
      </c>
      <c r="AH6" s="4">
        <f>'E3 Bus Price Data'!AX22*About!$A$103</f>
        <v>605831.54399999999</v>
      </c>
      <c r="AI6" s="4">
        <f>'E3 Bus Price Data'!AY22*About!$A$103</f>
        <v>605831.54399999999</v>
      </c>
    </row>
    <row r="7" spans="1:35" x14ac:dyDescent="0.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0</v>
      </c>
      <c r="B2">
        <f>'HDV costs'!K19*About!$A$103</f>
        <v>329050.80000000005</v>
      </c>
      <c r="C2">
        <f>'HDV costs'!L19*About!$A$103</f>
        <v>329050.80000000005</v>
      </c>
      <c r="D2">
        <f>'HDV costs'!M19*About!$A$103</f>
        <v>329050.80000000005</v>
      </c>
      <c r="E2">
        <f>'HDV costs'!N19*About!$A$103</f>
        <v>329050.80000000005</v>
      </c>
      <c r="F2">
        <f>'HDV costs'!O19*About!$A$103</f>
        <v>329050.80000000005</v>
      </c>
      <c r="G2">
        <f>'HDV costs'!P19*About!$A$103</f>
        <v>329050.80000000005</v>
      </c>
      <c r="H2">
        <f>'HDV costs'!Q19*About!$A$103</f>
        <v>329050.80000000005</v>
      </c>
      <c r="I2">
        <f>'HDV costs'!R19*About!$A$103</f>
        <v>329050.80000000005</v>
      </c>
      <c r="J2">
        <f>'HDV costs'!S19*About!$A$103</f>
        <v>329050.80000000005</v>
      </c>
      <c r="K2">
        <f>'HDV costs'!T19*About!$A$103</f>
        <v>329050.80000000005</v>
      </c>
      <c r="L2">
        <f>'HDV costs'!U19*About!$A$103</f>
        <v>329050.80000000005</v>
      </c>
      <c r="M2">
        <f>'HDV costs'!V19*About!$A$103</f>
        <v>329050.80000000005</v>
      </c>
      <c r="N2">
        <f>'HDV costs'!W19*About!$A$103</f>
        <v>329050.80000000005</v>
      </c>
      <c r="O2">
        <f>'HDV costs'!X19*About!$A$103</f>
        <v>329050.80000000005</v>
      </c>
      <c r="P2">
        <f>'HDV costs'!Y19*About!$A$103</f>
        <v>329050.80000000005</v>
      </c>
      <c r="Q2">
        <f>'HDV costs'!Z19*About!$A$103</f>
        <v>329050.80000000005</v>
      </c>
      <c r="R2">
        <f>'HDV costs'!AA19*About!$A$103</f>
        <v>329050.80000000005</v>
      </c>
      <c r="S2">
        <f>'HDV costs'!AB19*About!$A$103</f>
        <v>329050.80000000005</v>
      </c>
      <c r="T2">
        <f>'HDV costs'!AC19*About!$A$103</f>
        <v>329050.80000000005</v>
      </c>
      <c r="U2">
        <f>'HDV costs'!AD19*About!$A$103</f>
        <v>329050.80000000005</v>
      </c>
      <c r="V2">
        <f>'HDV costs'!AE19*About!$A$103</f>
        <v>329050.80000000005</v>
      </c>
      <c r="W2">
        <f>'HDV costs'!AF19*About!$A$103</f>
        <v>329050.80000000005</v>
      </c>
      <c r="X2">
        <f>'HDV costs'!AG19*About!$A$103</f>
        <v>329050.80000000005</v>
      </c>
      <c r="Y2">
        <f>'HDV costs'!AH19*About!$A$103</f>
        <v>329050.80000000005</v>
      </c>
      <c r="Z2">
        <f>'HDV costs'!AI19*About!$A$103</f>
        <v>329050.80000000005</v>
      </c>
      <c r="AA2">
        <f>'HDV costs'!AJ19*About!$A$103</f>
        <v>329050.80000000005</v>
      </c>
      <c r="AB2">
        <f>'HDV costs'!AK19*About!$A$103</f>
        <v>329050.80000000005</v>
      </c>
      <c r="AC2">
        <f>'HDV costs'!AL19*About!$A$103</f>
        <v>329050.80000000005</v>
      </c>
      <c r="AD2">
        <f>'HDV costs'!AM19*About!$A$103</f>
        <v>329050.80000000005</v>
      </c>
      <c r="AE2">
        <f>'HDV costs'!AN19*About!$A$103</f>
        <v>329050.80000000005</v>
      </c>
      <c r="AF2">
        <f>'HDV costs'!AO19*About!$A$103</f>
        <v>329050.80000000005</v>
      </c>
      <c r="AG2">
        <f>'HDV costs'!AP19*About!$A$103</f>
        <v>329050.80000000005</v>
      </c>
      <c r="AH2">
        <f>'HDV costs'!AQ19*About!$A$103</f>
        <v>329050.80000000005</v>
      </c>
      <c r="AI2">
        <f>'HDV costs'!AR19*About!$A$103</f>
        <v>329050.80000000005</v>
      </c>
    </row>
    <row r="3" spans="1:35" x14ac:dyDescent="0.35">
      <c r="A3" t="s">
        <v>1</v>
      </c>
      <c r="B3">
        <f>'HDV costs'!K18*About!$A$103</f>
        <v>228284.75727272651</v>
      </c>
      <c r="C3">
        <f>'HDV costs'!L18*About!$A$103</f>
        <v>227696.14363636327</v>
      </c>
      <c r="D3">
        <f>'HDV costs'!M18*About!$A$103</f>
        <v>227107.53</v>
      </c>
      <c r="E3">
        <f>'HDV costs'!N18*About!$A$103</f>
        <v>226518.91636363571</v>
      </c>
      <c r="F3">
        <f>'HDV costs'!O18*About!$A$103</f>
        <v>225930.30272727244</v>
      </c>
      <c r="G3">
        <f>'HDV costs'!P18*About!$A$103</f>
        <v>225341.68909090816</v>
      </c>
      <c r="H3">
        <f>'HDV costs'!Q18*About!$A$103</f>
        <v>224753.07545454489</v>
      </c>
      <c r="I3">
        <f>'HDV costs'!R18*About!$A$103</f>
        <v>224164.46181818165</v>
      </c>
      <c r="J3">
        <f>'HDV costs'!S18*About!$A$103</f>
        <v>223575.84818181733</v>
      </c>
      <c r="K3">
        <f>'HDV costs'!T18*About!$A$103</f>
        <v>222987.23454545409</v>
      </c>
      <c r="L3">
        <f>'HDV costs'!U18*About!$A$103</f>
        <v>222398.62090909082</v>
      </c>
      <c r="M3">
        <f>'HDV costs'!V18*About!$A$103</f>
        <v>221810.00727272651</v>
      </c>
      <c r="N3">
        <f>'HDV costs'!W18*About!$A$103</f>
        <v>221221.39363636327</v>
      </c>
      <c r="O3">
        <f>'HDV costs'!X18*About!$A$103</f>
        <v>220632.78</v>
      </c>
      <c r="P3">
        <f>'HDV costs'!Y18*About!$A$103</f>
        <v>220632.78</v>
      </c>
      <c r="Q3">
        <f>'HDV costs'!Z18*About!$A$103</f>
        <v>220632.78</v>
      </c>
      <c r="R3">
        <f>'HDV costs'!AA18*About!$A$103</f>
        <v>220632.78</v>
      </c>
      <c r="S3">
        <f>'HDV costs'!AB18*About!$A$103</f>
        <v>220632.78</v>
      </c>
      <c r="T3">
        <f>'HDV costs'!AC18*About!$A$103</f>
        <v>220632.78</v>
      </c>
      <c r="U3">
        <f>'HDV costs'!AD18*About!$A$103</f>
        <v>220632.78</v>
      </c>
      <c r="V3">
        <f>'HDV costs'!AE18*About!$A$103</f>
        <v>220632.78</v>
      </c>
      <c r="W3">
        <f>'HDV costs'!AF18*About!$A$103</f>
        <v>220632.78</v>
      </c>
      <c r="X3">
        <f>'HDV costs'!AG18*About!$A$103</f>
        <v>220632.78</v>
      </c>
      <c r="Y3">
        <f>'HDV costs'!AH18*About!$A$103</f>
        <v>220632.78</v>
      </c>
      <c r="Z3">
        <f>'HDV costs'!AI18*About!$A$103</f>
        <v>220632.78</v>
      </c>
      <c r="AA3">
        <f>'HDV costs'!AJ18*About!$A$103</f>
        <v>220632.78</v>
      </c>
      <c r="AB3">
        <f>'HDV costs'!AK18*About!$A$103</f>
        <v>220632.78</v>
      </c>
      <c r="AC3">
        <f>'HDV costs'!AL18*About!$A$103</f>
        <v>220632.78</v>
      </c>
      <c r="AD3">
        <f>'HDV costs'!AM18*About!$A$103</f>
        <v>220632.78</v>
      </c>
      <c r="AE3">
        <f>'HDV costs'!AN18*About!$A$103</f>
        <v>220632.78</v>
      </c>
      <c r="AF3">
        <f>'HDV costs'!AO18*About!$A$103</f>
        <v>220632.78</v>
      </c>
      <c r="AG3">
        <f>'HDV costs'!AP18*About!$A$103</f>
        <v>220632.78</v>
      </c>
      <c r="AH3">
        <f>'HDV costs'!AQ18*About!$A$103</f>
        <v>220632.78</v>
      </c>
      <c r="AI3">
        <f>'HDV costs'!AR18*About!$A$103</f>
        <v>220632.78</v>
      </c>
    </row>
    <row r="4" spans="1:35" x14ac:dyDescent="0.35">
      <c r="A4" t="s">
        <v>2</v>
      </c>
      <c r="B4" s="4">
        <f t="shared" ref="B4:AI4" si="0">B5</f>
        <v>207010.68272727245</v>
      </c>
      <c r="C4" s="4">
        <f t="shared" si="0"/>
        <v>208058.53636363571</v>
      </c>
      <c r="D4" s="4">
        <f t="shared" si="0"/>
        <v>209106.39</v>
      </c>
      <c r="E4" s="4">
        <f t="shared" si="0"/>
        <v>210154.24363636327</v>
      </c>
      <c r="F4" s="4">
        <f t="shared" si="0"/>
        <v>211202.0972727265</v>
      </c>
      <c r="G4" s="4">
        <f t="shared" si="0"/>
        <v>212249.95090909084</v>
      </c>
      <c r="H4" s="4">
        <f t="shared" si="0"/>
        <v>213297.80454545407</v>
      </c>
      <c r="I4" s="4">
        <f t="shared" si="0"/>
        <v>214345.65818181733</v>
      </c>
      <c r="J4" s="4">
        <f t="shared" si="0"/>
        <v>215393.51181818164</v>
      </c>
      <c r="K4" s="4">
        <f t="shared" si="0"/>
        <v>216441.3654545449</v>
      </c>
      <c r="L4" s="4">
        <f t="shared" si="0"/>
        <v>217489.21909090815</v>
      </c>
      <c r="M4" s="4">
        <f t="shared" si="0"/>
        <v>218537.07272727246</v>
      </c>
      <c r="N4" s="4">
        <f t="shared" si="0"/>
        <v>219584.92636363569</v>
      </c>
      <c r="O4" s="4">
        <f t="shared" si="0"/>
        <v>220632.78</v>
      </c>
      <c r="P4" s="4">
        <f t="shared" si="0"/>
        <v>220632.78</v>
      </c>
      <c r="Q4" s="4">
        <f t="shared" si="0"/>
        <v>220632.78</v>
      </c>
      <c r="R4" s="4">
        <f t="shared" si="0"/>
        <v>220632.78</v>
      </c>
      <c r="S4" s="4">
        <f t="shared" si="0"/>
        <v>220632.78</v>
      </c>
      <c r="T4" s="4">
        <f t="shared" si="0"/>
        <v>220632.78</v>
      </c>
      <c r="U4" s="4">
        <f t="shared" si="0"/>
        <v>220632.78</v>
      </c>
      <c r="V4" s="4">
        <f t="shared" si="0"/>
        <v>220632.78</v>
      </c>
      <c r="W4" s="4">
        <f t="shared" si="0"/>
        <v>220632.78</v>
      </c>
      <c r="X4" s="4">
        <f t="shared" si="0"/>
        <v>220632.78</v>
      </c>
      <c r="Y4" s="4">
        <f t="shared" si="0"/>
        <v>220632.78</v>
      </c>
      <c r="Z4" s="4">
        <f t="shared" si="0"/>
        <v>220632.78</v>
      </c>
      <c r="AA4" s="4">
        <f t="shared" si="0"/>
        <v>220632.78</v>
      </c>
      <c r="AB4" s="4">
        <f t="shared" si="0"/>
        <v>220632.78</v>
      </c>
      <c r="AC4" s="4">
        <f t="shared" si="0"/>
        <v>220632.78</v>
      </c>
      <c r="AD4" s="4">
        <f t="shared" si="0"/>
        <v>220632.78</v>
      </c>
      <c r="AE4" s="4">
        <f t="shared" si="0"/>
        <v>220632.78</v>
      </c>
      <c r="AF4" s="4">
        <f t="shared" si="0"/>
        <v>220632.78</v>
      </c>
      <c r="AG4" s="4">
        <f t="shared" si="0"/>
        <v>220632.78</v>
      </c>
      <c r="AH4" s="4">
        <f t="shared" si="0"/>
        <v>220632.78</v>
      </c>
      <c r="AI4" s="4">
        <f t="shared" si="0"/>
        <v>220632.78</v>
      </c>
    </row>
    <row r="5" spans="1:35" x14ac:dyDescent="0.35">
      <c r="A5" t="s">
        <v>3</v>
      </c>
      <c r="B5" s="18">
        <f>'HDV costs'!K17*About!$A$103</f>
        <v>207010.68272727245</v>
      </c>
      <c r="C5" s="18">
        <f>'HDV costs'!L17*About!$A$103</f>
        <v>208058.53636363571</v>
      </c>
      <c r="D5" s="18">
        <f>'HDV costs'!M17*About!$A$103</f>
        <v>209106.39</v>
      </c>
      <c r="E5" s="18">
        <f>'HDV costs'!N17*About!$A$103</f>
        <v>210154.24363636327</v>
      </c>
      <c r="F5" s="18">
        <f>'HDV costs'!O17*About!$A$103</f>
        <v>211202.0972727265</v>
      </c>
      <c r="G5" s="18">
        <f>'HDV costs'!P17*About!$A$103</f>
        <v>212249.95090909084</v>
      </c>
      <c r="H5" s="18">
        <f>'HDV costs'!Q17*About!$A$103</f>
        <v>213297.80454545407</v>
      </c>
      <c r="I5" s="18">
        <f>'HDV costs'!R17*About!$A$103</f>
        <v>214345.65818181733</v>
      </c>
      <c r="J5" s="18">
        <f>'HDV costs'!S17*About!$A$103</f>
        <v>215393.51181818164</v>
      </c>
      <c r="K5" s="18">
        <f>'HDV costs'!T17*About!$A$103</f>
        <v>216441.3654545449</v>
      </c>
      <c r="L5" s="18">
        <f>'HDV costs'!U17*About!$A$103</f>
        <v>217489.21909090815</v>
      </c>
      <c r="M5" s="18">
        <f>'HDV costs'!V17*About!$A$103</f>
        <v>218537.07272727246</v>
      </c>
      <c r="N5" s="18">
        <f>'HDV costs'!W17*About!$A$103</f>
        <v>219584.92636363569</v>
      </c>
      <c r="O5" s="18">
        <f>'HDV costs'!X17*About!$A$103</f>
        <v>220632.78</v>
      </c>
      <c r="P5" s="18">
        <f>'HDV costs'!Y17*About!$A$103</f>
        <v>220632.78</v>
      </c>
      <c r="Q5" s="18">
        <f>'HDV costs'!Z17*About!$A$103</f>
        <v>220632.78</v>
      </c>
      <c r="R5" s="18">
        <f>'HDV costs'!AA17*About!$A$103</f>
        <v>220632.78</v>
      </c>
      <c r="S5" s="18">
        <f>'HDV costs'!AB17*About!$A$103</f>
        <v>220632.78</v>
      </c>
      <c r="T5" s="18">
        <f>'HDV costs'!AC17*About!$A$103</f>
        <v>220632.78</v>
      </c>
      <c r="U5" s="18">
        <f>'HDV costs'!AD17*About!$A$103</f>
        <v>220632.78</v>
      </c>
      <c r="V5" s="18">
        <f>'HDV costs'!AE17*About!$A$103</f>
        <v>220632.78</v>
      </c>
      <c r="W5" s="18">
        <f>'HDV costs'!AF17*About!$A$103</f>
        <v>220632.78</v>
      </c>
      <c r="X5" s="18">
        <f>'HDV costs'!AG17*About!$A$103</f>
        <v>220632.78</v>
      </c>
      <c r="Y5" s="18">
        <f>'HDV costs'!AH17*About!$A$103</f>
        <v>220632.78</v>
      </c>
      <c r="Z5" s="18">
        <f>'HDV costs'!AI17*About!$A$103</f>
        <v>220632.78</v>
      </c>
      <c r="AA5" s="18">
        <f>'HDV costs'!AJ17*About!$A$103</f>
        <v>220632.78</v>
      </c>
      <c r="AB5" s="18">
        <f>'HDV costs'!AK17*About!$A$103</f>
        <v>220632.78</v>
      </c>
      <c r="AC5" s="18">
        <f>'HDV costs'!AL17*About!$A$103</f>
        <v>220632.78</v>
      </c>
      <c r="AD5" s="18">
        <f>'HDV costs'!AM17*About!$A$103</f>
        <v>220632.78</v>
      </c>
      <c r="AE5" s="18">
        <f>'HDV costs'!AN17*About!$A$103</f>
        <v>220632.78</v>
      </c>
      <c r="AF5" s="18">
        <f>'HDV costs'!AO17*About!$A$103</f>
        <v>220632.78</v>
      </c>
      <c r="AG5" s="18">
        <f>'HDV costs'!AP17*About!$A$103</f>
        <v>220632.78</v>
      </c>
      <c r="AH5" s="18">
        <f>'HDV costs'!AQ17*About!$A$103</f>
        <v>220632.78</v>
      </c>
      <c r="AI5" s="18">
        <f>'HDV costs'!AR17*About!$A$103</f>
        <v>220632.78</v>
      </c>
    </row>
    <row r="6" spans="1:35" x14ac:dyDescent="0.35">
      <c r="A6" t="s">
        <v>4</v>
      </c>
      <c r="B6">
        <f>'HDV costs'!K20*About!$A$103</f>
        <v>235842.16800000001</v>
      </c>
      <c r="C6">
        <f>'HDV costs'!L20*About!$A$103</f>
        <v>235842.16800000001</v>
      </c>
      <c r="D6">
        <f>'HDV costs'!M20*About!$A$103</f>
        <v>235842.16800000001</v>
      </c>
      <c r="E6">
        <f>'HDV costs'!N20*About!$A$103</f>
        <v>235842.16800000001</v>
      </c>
      <c r="F6">
        <f>'HDV costs'!O20*About!$A$103</f>
        <v>235842.16800000001</v>
      </c>
      <c r="G6">
        <f>'HDV costs'!P20*About!$A$103</f>
        <v>235842.16800000001</v>
      </c>
      <c r="H6">
        <f>'HDV costs'!Q20*About!$A$103</f>
        <v>235842.16800000001</v>
      </c>
      <c r="I6">
        <f>'HDV costs'!R20*About!$A$103</f>
        <v>235842.16800000001</v>
      </c>
      <c r="J6">
        <f>'HDV costs'!S20*About!$A$103</f>
        <v>235842.16800000001</v>
      </c>
      <c r="K6">
        <f>'HDV costs'!T20*About!$A$103</f>
        <v>235842.16800000001</v>
      </c>
      <c r="L6">
        <f>'HDV costs'!U20*About!$A$103</f>
        <v>235842.16800000001</v>
      </c>
      <c r="M6">
        <f>'HDV costs'!V20*About!$A$103</f>
        <v>235842.16800000001</v>
      </c>
      <c r="N6">
        <f>'HDV costs'!W20*About!$A$103</f>
        <v>235842.16800000001</v>
      </c>
      <c r="O6">
        <f>'HDV costs'!X20*About!$A$103</f>
        <v>235842.16800000001</v>
      </c>
      <c r="P6">
        <f>'HDV costs'!Y20*About!$A$103</f>
        <v>235842.16800000001</v>
      </c>
      <c r="Q6">
        <f>'HDV costs'!Z20*About!$A$103</f>
        <v>235842.16800000001</v>
      </c>
      <c r="R6">
        <f>'HDV costs'!AA20*About!$A$103</f>
        <v>235842.16800000001</v>
      </c>
      <c r="S6">
        <f>'HDV costs'!AB20*About!$A$103</f>
        <v>235842.16800000001</v>
      </c>
      <c r="T6">
        <f>'HDV costs'!AC20*About!$A$103</f>
        <v>235842.16800000001</v>
      </c>
      <c r="U6">
        <f>'HDV costs'!AD20*About!$A$103</f>
        <v>235842.16800000001</v>
      </c>
      <c r="V6">
        <f>'HDV costs'!AE20*About!$A$103</f>
        <v>235842.16800000001</v>
      </c>
      <c r="W6">
        <f>'HDV costs'!AF20*About!$A$103</f>
        <v>235842.16800000001</v>
      </c>
      <c r="X6">
        <f>'HDV costs'!AG20*About!$A$103</f>
        <v>235842.16800000001</v>
      </c>
      <c r="Y6">
        <f>'HDV costs'!AH20*About!$A$103</f>
        <v>235842.16800000001</v>
      </c>
      <c r="Z6">
        <f>'HDV costs'!AI20*About!$A$103</f>
        <v>235842.16800000001</v>
      </c>
      <c r="AA6">
        <f>'HDV costs'!AJ20*About!$A$103</f>
        <v>235842.16800000001</v>
      </c>
      <c r="AB6">
        <f>'HDV costs'!AK20*About!$A$103</f>
        <v>235842.16800000001</v>
      </c>
      <c r="AC6">
        <f>'HDV costs'!AL20*About!$A$103</f>
        <v>235842.16800000001</v>
      </c>
      <c r="AD6">
        <f>'HDV costs'!AM20*About!$A$103</f>
        <v>235842.16800000001</v>
      </c>
      <c r="AE6">
        <f>'HDV costs'!AN20*About!$A$103</f>
        <v>235842.16800000001</v>
      </c>
      <c r="AF6">
        <f>'HDV costs'!AO20*About!$A$103</f>
        <v>235842.16800000001</v>
      </c>
      <c r="AG6">
        <f>'HDV costs'!AP20*About!$A$103</f>
        <v>235842.16800000001</v>
      </c>
      <c r="AH6">
        <f>'HDV costs'!AQ20*About!$A$103</f>
        <v>235842.16800000001</v>
      </c>
      <c r="AI6">
        <f>'HDV costs'!AR20*About!$A$103</f>
        <v>235842.16800000001</v>
      </c>
    </row>
    <row r="7" spans="1:35" x14ac:dyDescent="0.3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AVERAGE('Passenger Aircraft'!C5:C10)*About!$A$103</f>
        <v>69242000</v>
      </c>
      <c r="C7">
        <f t="shared" ref="C7:AI7" si="0">$B7</f>
        <v>69242000</v>
      </c>
      <c r="D7">
        <f t="shared" si="0"/>
        <v>69242000</v>
      </c>
      <c r="E7">
        <f t="shared" si="0"/>
        <v>69242000</v>
      </c>
      <c r="F7">
        <f t="shared" si="0"/>
        <v>69242000</v>
      </c>
      <c r="G7">
        <f t="shared" si="0"/>
        <v>69242000</v>
      </c>
      <c r="H7">
        <f t="shared" si="0"/>
        <v>69242000</v>
      </c>
      <c r="I7">
        <f t="shared" si="0"/>
        <v>69242000</v>
      </c>
      <c r="J7">
        <f t="shared" si="0"/>
        <v>69242000</v>
      </c>
      <c r="K7">
        <f t="shared" si="0"/>
        <v>69242000</v>
      </c>
      <c r="L7">
        <f t="shared" si="0"/>
        <v>69242000</v>
      </c>
      <c r="M7">
        <f t="shared" si="0"/>
        <v>69242000</v>
      </c>
      <c r="N7">
        <f t="shared" si="0"/>
        <v>69242000</v>
      </c>
      <c r="O7">
        <f t="shared" si="0"/>
        <v>69242000</v>
      </c>
      <c r="P7">
        <f t="shared" si="0"/>
        <v>69242000</v>
      </c>
      <c r="Q7">
        <f t="shared" si="0"/>
        <v>69242000</v>
      </c>
      <c r="R7">
        <f t="shared" si="0"/>
        <v>69242000</v>
      </c>
      <c r="S7">
        <f t="shared" si="0"/>
        <v>69242000</v>
      </c>
      <c r="T7">
        <f t="shared" si="0"/>
        <v>69242000</v>
      </c>
      <c r="U7">
        <f t="shared" si="0"/>
        <v>69242000</v>
      </c>
      <c r="V7">
        <f t="shared" si="0"/>
        <v>69242000</v>
      </c>
      <c r="W7">
        <f t="shared" si="0"/>
        <v>69242000</v>
      </c>
      <c r="X7">
        <f t="shared" si="0"/>
        <v>69242000</v>
      </c>
      <c r="Y7">
        <f t="shared" si="0"/>
        <v>69242000</v>
      </c>
      <c r="Z7">
        <f t="shared" si="0"/>
        <v>69242000</v>
      </c>
      <c r="AA7">
        <f t="shared" si="0"/>
        <v>69242000</v>
      </c>
      <c r="AB7">
        <f t="shared" si="0"/>
        <v>69242000</v>
      </c>
      <c r="AC7">
        <f t="shared" si="0"/>
        <v>69242000</v>
      </c>
      <c r="AD7">
        <f t="shared" si="0"/>
        <v>69242000</v>
      </c>
      <c r="AE7">
        <f t="shared" si="0"/>
        <v>69242000</v>
      </c>
      <c r="AF7">
        <f t="shared" si="0"/>
        <v>69242000</v>
      </c>
      <c r="AG7">
        <f t="shared" si="0"/>
        <v>69242000</v>
      </c>
      <c r="AH7">
        <f t="shared" si="0"/>
        <v>69242000</v>
      </c>
      <c r="AI7">
        <f t="shared" si="0"/>
        <v>69242000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AVERAGE('Passenger Aircraft'!C5:C10)*About!$A$103</f>
        <v>69242000</v>
      </c>
      <c r="C7">
        <f t="shared" ref="C7:AI7" si="0">$B7</f>
        <v>69242000</v>
      </c>
      <c r="D7">
        <f t="shared" si="0"/>
        <v>69242000</v>
      </c>
      <c r="E7">
        <f t="shared" si="0"/>
        <v>69242000</v>
      </c>
      <c r="F7">
        <f t="shared" si="0"/>
        <v>69242000</v>
      </c>
      <c r="G7">
        <f t="shared" si="0"/>
        <v>69242000</v>
      </c>
      <c r="H7">
        <f t="shared" si="0"/>
        <v>69242000</v>
      </c>
      <c r="I7">
        <f t="shared" si="0"/>
        <v>69242000</v>
      </c>
      <c r="J7">
        <f t="shared" si="0"/>
        <v>69242000</v>
      </c>
      <c r="K7">
        <f t="shared" si="0"/>
        <v>69242000</v>
      </c>
      <c r="L7">
        <f t="shared" si="0"/>
        <v>69242000</v>
      </c>
      <c r="M7">
        <f t="shared" si="0"/>
        <v>69242000</v>
      </c>
      <c r="N7">
        <f t="shared" si="0"/>
        <v>69242000</v>
      </c>
      <c r="O7">
        <f t="shared" si="0"/>
        <v>69242000</v>
      </c>
      <c r="P7">
        <f t="shared" si="0"/>
        <v>69242000</v>
      </c>
      <c r="Q7">
        <f t="shared" si="0"/>
        <v>69242000</v>
      </c>
      <c r="R7">
        <f t="shared" si="0"/>
        <v>69242000</v>
      </c>
      <c r="S7">
        <f t="shared" si="0"/>
        <v>69242000</v>
      </c>
      <c r="T7">
        <f t="shared" si="0"/>
        <v>69242000</v>
      </c>
      <c r="U7">
        <f t="shared" si="0"/>
        <v>69242000</v>
      </c>
      <c r="V7">
        <f t="shared" si="0"/>
        <v>69242000</v>
      </c>
      <c r="W7">
        <f t="shared" si="0"/>
        <v>69242000</v>
      </c>
      <c r="X7">
        <f t="shared" si="0"/>
        <v>69242000</v>
      </c>
      <c r="Y7">
        <f t="shared" si="0"/>
        <v>69242000</v>
      </c>
      <c r="Z7">
        <f t="shared" si="0"/>
        <v>69242000</v>
      </c>
      <c r="AA7">
        <f t="shared" si="0"/>
        <v>69242000</v>
      </c>
      <c r="AB7">
        <f t="shared" si="0"/>
        <v>69242000</v>
      </c>
      <c r="AC7">
        <f t="shared" si="0"/>
        <v>69242000</v>
      </c>
      <c r="AD7">
        <f t="shared" si="0"/>
        <v>69242000</v>
      </c>
      <c r="AE7">
        <f t="shared" si="0"/>
        <v>69242000</v>
      </c>
      <c r="AF7">
        <f t="shared" si="0"/>
        <v>69242000</v>
      </c>
      <c r="AG7">
        <f t="shared" si="0"/>
        <v>69242000</v>
      </c>
      <c r="AH7">
        <f t="shared" si="0"/>
        <v>69242000</v>
      </c>
      <c r="AI7">
        <f t="shared" si="0"/>
        <v>69242000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2500000*About!$A$103</f>
        <v>2670000</v>
      </c>
      <c r="C7">
        <f t="shared" ref="C7:AI7" si="0">$B7</f>
        <v>2670000</v>
      </c>
      <c r="D7">
        <f t="shared" si="0"/>
        <v>2670000</v>
      </c>
      <c r="E7">
        <f t="shared" si="0"/>
        <v>2670000</v>
      </c>
      <c r="F7">
        <f t="shared" si="0"/>
        <v>2670000</v>
      </c>
      <c r="G7">
        <f t="shared" si="0"/>
        <v>2670000</v>
      </c>
      <c r="H7">
        <f t="shared" si="0"/>
        <v>2670000</v>
      </c>
      <c r="I7">
        <f t="shared" si="0"/>
        <v>2670000</v>
      </c>
      <c r="J7">
        <f t="shared" si="0"/>
        <v>2670000</v>
      </c>
      <c r="K7">
        <f t="shared" si="0"/>
        <v>2670000</v>
      </c>
      <c r="L7">
        <f t="shared" si="0"/>
        <v>2670000</v>
      </c>
      <c r="M7">
        <f t="shared" si="0"/>
        <v>2670000</v>
      </c>
      <c r="N7">
        <f t="shared" si="0"/>
        <v>2670000</v>
      </c>
      <c r="O7">
        <f t="shared" si="0"/>
        <v>2670000</v>
      </c>
      <c r="P7">
        <f t="shared" si="0"/>
        <v>2670000</v>
      </c>
      <c r="Q7">
        <f t="shared" si="0"/>
        <v>2670000</v>
      </c>
      <c r="R7">
        <f t="shared" si="0"/>
        <v>2670000</v>
      </c>
      <c r="S7">
        <f t="shared" si="0"/>
        <v>2670000</v>
      </c>
      <c r="T7">
        <f t="shared" si="0"/>
        <v>2670000</v>
      </c>
      <c r="U7">
        <f t="shared" si="0"/>
        <v>2670000</v>
      </c>
      <c r="V7">
        <f t="shared" si="0"/>
        <v>2670000</v>
      </c>
      <c r="W7">
        <f t="shared" si="0"/>
        <v>2670000</v>
      </c>
      <c r="X7">
        <f t="shared" si="0"/>
        <v>2670000</v>
      </c>
      <c r="Y7">
        <f t="shared" si="0"/>
        <v>2670000</v>
      </c>
      <c r="Z7">
        <f t="shared" si="0"/>
        <v>2670000</v>
      </c>
      <c r="AA7">
        <f t="shared" si="0"/>
        <v>2670000</v>
      </c>
      <c r="AB7">
        <f t="shared" si="0"/>
        <v>2670000</v>
      </c>
      <c r="AC7">
        <f t="shared" si="0"/>
        <v>2670000</v>
      </c>
      <c r="AD7">
        <f t="shared" si="0"/>
        <v>2670000</v>
      </c>
      <c r="AE7">
        <f t="shared" si="0"/>
        <v>2670000</v>
      </c>
      <c r="AF7">
        <f t="shared" si="0"/>
        <v>2670000</v>
      </c>
      <c r="AG7">
        <f t="shared" si="0"/>
        <v>2670000</v>
      </c>
      <c r="AH7">
        <f t="shared" si="0"/>
        <v>2670000</v>
      </c>
      <c r="AI7">
        <f t="shared" si="0"/>
        <v>2670000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2500000*About!$A$103</f>
        <v>2670000</v>
      </c>
      <c r="C7">
        <f t="shared" ref="C7:AI7" si="0">$B7</f>
        <v>2670000</v>
      </c>
      <c r="D7">
        <f t="shared" si="0"/>
        <v>2670000</v>
      </c>
      <c r="E7">
        <f t="shared" si="0"/>
        <v>2670000</v>
      </c>
      <c r="F7">
        <f t="shared" si="0"/>
        <v>2670000</v>
      </c>
      <c r="G7">
        <f t="shared" si="0"/>
        <v>2670000</v>
      </c>
      <c r="H7">
        <f t="shared" si="0"/>
        <v>2670000</v>
      </c>
      <c r="I7">
        <f t="shared" si="0"/>
        <v>2670000</v>
      </c>
      <c r="J7">
        <f t="shared" si="0"/>
        <v>2670000</v>
      </c>
      <c r="K7">
        <f t="shared" si="0"/>
        <v>2670000</v>
      </c>
      <c r="L7">
        <f t="shared" si="0"/>
        <v>2670000</v>
      </c>
      <c r="M7">
        <f t="shared" si="0"/>
        <v>2670000</v>
      </c>
      <c r="N7">
        <f t="shared" si="0"/>
        <v>2670000</v>
      </c>
      <c r="O7">
        <f t="shared" si="0"/>
        <v>2670000</v>
      </c>
      <c r="P7">
        <f t="shared" si="0"/>
        <v>2670000</v>
      </c>
      <c r="Q7">
        <f t="shared" si="0"/>
        <v>2670000</v>
      </c>
      <c r="R7">
        <f t="shared" si="0"/>
        <v>2670000</v>
      </c>
      <c r="S7">
        <f t="shared" si="0"/>
        <v>2670000</v>
      </c>
      <c r="T7">
        <f t="shared" si="0"/>
        <v>2670000</v>
      </c>
      <c r="U7">
        <f t="shared" si="0"/>
        <v>2670000</v>
      </c>
      <c r="V7">
        <f t="shared" si="0"/>
        <v>2670000</v>
      </c>
      <c r="W7">
        <f t="shared" si="0"/>
        <v>2670000</v>
      </c>
      <c r="X7">
        <f t="shared" si="0"/>
        <v>2670000</v>
      </c>
      <c r="Y7">
        <f t="shared" si="0"/>
        <v>2670000</v>
      </c>
      <c r="Z7">
        <f t="shared" si="0"/>
        <v>2670000</v>
      </c>
      <c r="AA7">
        <f t="shared" si="0"/>
        <v>2670000</v>
      </c>
      <c r="AB7">
        <f t="shared" si="0"/>
        <v>2670000</v>
      </c>
      <c r="AC7">
        <f t="shared" si="0"/>
        <v>2670000</v>
      </c>
      <c r="AD7">
        <f t="shared" si="0"/>
        <v>2670000</v>
      </c>
      <c r="AE7">
        <f t="shared" si="0"/>
        <v>2670000</v>
      </c>
      <c r="AF7">
        <f t="shared" si="0"/>
        <v>2670000</v>
      </c>
      <c r="AG7">
        <f t="shared" si="0"/>
        <v>2670000</v>
      </c>
      <c r="AH7">
        <f t="shared" si="0"/>
        <v>2670000</v>
      </c>
      <c r="AI7">
        <f t="shared" si="0"/>
        <v>2670000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RowHeight="14.5" x14ac:dyDescent="0.35"/>
  <cols>
    <col min="2" max="2" width="52.1796875" customWidth="1"/>
    <col min="3" max="3" width="17.453125" customWidth="1"/>
    <col min="4" max="4" width="22.7265625" customWidth="1"/>
    <col min="5" max="5" width="47.7265625" customWidth="1"/>
  </cols>
  <sheetData>
    <row r="1" spans="1:5" ht="14.25" x14ac:dyDescent="0.45">
      <c r="A1" t="s">
        <v>79</v>
      </c>
      <c r="E1" s="2" t="s">
        <v>81</v>
      </c>
    </row>
    <row r="2" spans="1:5" ht="14.25" x14ac:dyDescent="0.45">
      <c r="A2" t="s">
        <v>86</v>
      </c>
      <c r="E2" t="s">
        <v>82</v>
      </c>
    </row>
    <row r="3" spans="1:5" ht="14.25" x14ac:dyDescent="0.45">
      <c r="A3" t="s">
        <v>120</v>
      </c>
      <c r="E3" t="s">
        <v>83</v>
      </c>
    </row>
    <row r="4" spans="1:5" ht="14.25" x14ac:dyDescent="0.45">
      <c r="A4" t="s">
        <v>121</v>
      </c>
      <c r="E4" t="s">
        <v>84</v>
      </c>
    </row>
    <row r="5" spans="1:5" ht="14.25" x14ac:dyDescent="0.45">
      <c r="E5" t="s">
        <v>85</v>
      </c>
    </row>
    <row r="6" spans="1:5" ht="14.25" x14ac:dyDescent="0.45">
      <c r="A6" t="s">
        <v>87</v>
      </c>
    </row>
    <row r="7" spans="1:5" ht="14.25" x14ac:dyDescent="0.45">
      <c r="A7" t="s">
        <v>88</v>
      </c>
    </row>
    <row r="8" spans="1:5" ht="14.25" x14ac:dyDescent="0.45">
      <c r="A8" t="s">
        <v>89</v>
      </c>
    </row>
    <row r="9" spans="1:5" ht="14.25" x14ac:dyDescent="0.45">
      <c r="A9" t="s">
        <v>91</v>
      </c>
    </row>
    <row r="10" spans="1:5" ht="14.25" x14ac:dyDescent="0.45">
      <c r="A10" t="s">
        <v>92</v>
      </c>
    </row>
    <row r="11" spans="1:5" ht="14.25" x14ac:dyDescent="0.45">
      <c r="A11" t="s">
        <v>93</v>
      </c>
    </row>
    <row r="13" spans="1:5" ht="14.25" x14ac:dyDescent="0.45">
      <c r="A13" t="s">
        <v>94</v>
      </c>
      <c r="E13" s="2" t="s">
        <v>113</v>
      </c>
    </row>
    <row r="14" spans="1:5" ht="14.25" x14ac:dyDescent="0.45">
      <c r="A14" t="s">
        <v>95</v>
      </c>
      <c r="E14" t="s">
        <v>90</v>
      </c>
    </row>
    <row r="15" spans="1:5" ht="14.25" x14ac:dyDescent="0.45">
      <c r="A15" t="s">
        <v>96</v>
      </c>
    </row>
    <row r="16" spans="1:5" ht="14.25" x14ac:dyDescent="0.45">
      <c r="E16" s="2" t="s">
        <v>114</v>
      </c>
    </row>
    <row r="17" spans="1:5" ht="14.25" x14ac:dyDescent="0.45">
      <c r="A17" t="s">
        <v>102</v>
      </c>
      <c r="E17" t="s">
        <v>115</v>
      </c>
    </row>
    <row r="18" spans="1:5" ht="14.25" x14ac:dyDescent="0.45">
      <c r="A18" t="s">
        <v>97</v>
      </c>
    </row>
    <row r="19" spans="1:5" ht="14.25" x14ac:dyDescent="0.45">
      <c r="A19" t="s">
        <v>103</v>
      </c>
      <c r="E19" s="2" t="s">
        <v>116</v>
      </c>
    </row>
    <row r="20" spans="1:5" ht="14.25" x14ac:dyDescent="0.45">
      <c r="A20" t="s">
        <v>105</v>
      </c>
      <c r="E20" t="s">
        <v>117</v>
      </c>
    </row>
    <row r="21" spans="1:5" x14ac:dyDescent="0.35">
      <c r="A21" t="s">
        <v>124</v>
      </c>
    </row>
    <row r="22" spans="1:5" x14ac:dyDescent="0.35">
      <c r="A22" t="s">
        <v>106</v>
      </c>
    </row>
    <row r="23" spans="1:5" x14ac:dyDescent="0.35">
      <c r="A23" t="s">
        <v>107</v>
      </c>
    </row>
    <row r="25" spans="1:5" ht="29" x14ac:dyDescent="0.35">
      <c r="B25" s="11" t="s">
        <v>98</v>
      </c>
      <c r="C25" s="3" t="s">
        <v>100</v>
      </c>
      <c r="D25" s="3" t="s">
        <v>33</v>
      </c>
      <c r="E25" s="3" t="s">
        <v>110</v>
      </c>
    </row>
    <row r="26" spans="1:5" x14ac:dyDescent="0.35">
      <c r="B26" t="s">
        <v>99</v>
      </c>
      <c r="C26">
        <v>500</v>
      </c>
      <c r="D26">
        <v>5900000</v>
      </c>
      <c r="E26">
        <v>1984</v>
      </c>
    </row>
    <row r="27" spans="1:5" x14ac:dyDescent="0.35">
      <c r="B27" t="s">
        <v>101</v>
      </c>
      <c r="C27">
        <v>500</v>
      </c>
      <c r="D27">
        <v>7050000</v>
      </c>
      <c r="E27">
        <v>1984</v>
      </c>
    </row>
    <row r="28" spans="1:5" x14ac:dyDescent="0.35">
      <c r="B28" t="s">
        <v>104</v>
      </c>
      <c r="C28">
        <v>500</v>
      </c>
      <c r="D28">
        <v>7050000</v>
      </c>
      <c r="E28">
        <v>1983</v>
      </c>
    </row>
    <row r="29" spans="1:5" x14ac:dyDescent="0.35">
      <c r="B29" t="s">
        <v>111</v>
      </c>
      <c r="C29">
        <v>1030</v>
      </c>
      <c r="D29">
        <v>6000000</v>
      </c>
      <c r="E29">
        <v>1999</v>
      </c>
    </row>
    <row r="30" spans="1:5" x14ac:dyDescent="0.35">
      <c r="B30" t="s">
        <v>108</v>
      </c>
      <c r="C30">
        <v>1800</v>
      </c>
      <c r="D30">
        <v>6000000</v>
      </c>
      <c r="E30">
        <v>2009</v>
      </c>
    </row>
    <row r="31" spans="1:5" x14ac:dyDescent="0.35">
      <c r="B31" t="s">
        <v>109</v>
      </c>
      <c r="C31">
        <v>2800</v>
      </c>
      <c r="D31">
        <v>22000000</v>
      </c>
      <c r="E31">
        <v>2014</v>
      </c>
    </row>
    <row r="33" spans="1:5" x14ac:dyDescent="0.35">
      <c r="A33" t="s">
        <v>112</v>
      </c>
    </row>
    <row r="34" spans="1:5" x14ac:dyDescent="0.35">
      <c r="A34" t="s">
        <v>125</v>
      </c>
    </row>
    <row r="35" spans="1:5" x14ac:dyDescent="0.35">
      <c r="A35" s="9">
        <v>10000000</v>
      </c>
    </row>
    <row r="37" spans="1:5" x14ac:dyDescent="0.35">
      <c r="A37" t="s">
        <v>123</v>
      </c>
    </row>
    <row r="42" spans="1:5" x14ac:dyDescent="0.35">
      <c r="A42" s="2" t="s">
        <v>126</v>
      </c>
      <c r="B42" s="14"/>
      <c r="E42" s="2" t="s">
        <v>128</v>
      </c>
    </row>
    <row r="43" spans="1:5" x14ac:dyDescent="0.35">
      <c r="A43" t="s">
        <v>127</v>
      </c>
      <c r="E43" t="s">
        <v>129</v>
      </c>
    </row>
    <row r="44" spans="1:5" x14ac:dyDescent="0.35">
      <c r="A44" t="s">
        <v>130</v>
      </c>
    </row>
    <row r="45" spans="1:5" x14ac:dyDescent="0.35">
      <c r="E45" s="2" t="s">
        <v>133</v>
      </c>
    </row>
    <row r="46" spans="1:5" x14ac:dyDescent="0.35">
      <c r="A46" t="s">
        <v>131</v>
      </c>
      <c r="E46" t="s">
        <v>134</v>
      </c>
    </row>
    <row r="47" spans="1:5" x14ac:dyDescent="0.35">
      <c r="A47" t="s">
        <v>132</v>
      </c>
      <c r="E47" t="s">
        <v>135</v>
      </c>
    </row>
    <row r="48" spans="1:5" x14ac:dyDescent="0.35">
      <c r="A48" t="s">
        <v>137</v>
      </c>
      <c r="E48" t="s">
        <v>136</v>
      </c>
    </row>
    <row r="49" spans="1:1" x14ac:dyDescent="0.35">
      <c r="A49" s="9">
        <v>30000</v>
      </c>
    </row>
    <row r="51" spans="1:1" x14ac:dyDescent="0.35">
      <c r="A51" t="s">
        <v>123</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Ships!A49*About!$A$103</f>
        <v>32040</v>
      </c>
      <c r="C7">
        <f t="shared" ref="C7:AI7" si="0">$B7</f>
        <v>32040</v>
      </c>
      <c r="D7">
        <f t="shared" si="0"/>
        <v>32040</v>
      </c>
      <c r="E7">
        <f t="shared" si="0"/>
        <v>32040</v>
      </c>
      <c r="F7">
        <f t="shared" si="0"/>
        <v>32040</v>
      </c>
      <c r="G7">
        <f t="shared" si="0"/>
        <v>32040</v>
      </c>
      <c r="H7">
        <f t="shared" si="0"/>
        <v>32040</v>
      </c>
      <c r="I7">
        <f t="shared" si="0"/>
        <v>32040</v>
      </c>
      <c r="J7">
        <f t="shared" si="0"/>
        <v>32040</v>
      </c>
      <c r="K7">
        <f t="shared" si="0"/>
        <v>32040</v>
      </c>
      <c r="L7">
        <f t="shared" si="0"/>
        <v>32040</v>
      </c>
      <c r="M7">
        <f t="shared" si="0"/>
        <v>32040</v>
      </c>
      <c r="N7">
        <f t="shared" si="0"/>
        <v>32040</v>
      </c>
      <c r="O7">
        <f t="shared" si="0"/>
        <v>32040</v>
      </c>
      <c r="P7">
        <f t="shared" si="0"/>
        <v>32040</v>
      </c>
      <c r="Q7">
        <f t="shared" si="0"/>
        <v>32040</v>
      </c>
      <c r="R7">
        <f t="shared" si="0"/>
        <v>32040</v>
      </c>
      <c r="S7">
        <f t="shared" si="0"/>
        <v>32040</v>
      </c>
      <c r="T7">
        <f t="shared" si="0"/>
        <v>32040</v>
      </c>
      <c r="U7">
        <f t="shared" si="0"/>
        <v>32040</v>
      </c>
      <c r="V7">
        <f t="shared" si="0"/>
        <v>32040</v>
      </c>
      <c r="W7">
        <f t="shared" si="0"/>
        <v>32040</v>
      </c>
      <c r="X7">
        <f t="shared" si="0"/>
        <v>32040</v>
      </c>
      <c r="Y7">
        <f t="shared" si="0"/>
        <v>32040</v>
      </c>
      <c r="Z7">
        <f t="shared" si="0"/>
        <v>32040</v>
      </c>
      <c r="AA7">
        <f t="shared" si="0"/>
        <v>32040</v>
      </c>
      <c r="AB7">
        <f t="shared" si="0"/>
        <v>32040</v>
      </c>
      <c r="AC7">
        <f t="shared" si="0"/>
        <v>32040</v>
      </c>
      <c r="AD7">
        <f t="shared" si="0"/>
        <v>32040</v>
      </c>
      <c r="AE7">
        <f t="shared" si="0"/>
        <v>32040</v>
      </c>
      <c r="AF7">
        <f t="shared" si="0"/>
        <v>32040</v>
      </c>
      <c r="AG7">
        <f t="shared" si="0"/>
        <v>32040</v>
      </c>
      <c r="AH7">
        <f t="shared" si="0"/>
        <v>32040</v>
      </c>
      <c r="AI7">
        <f t="shared" si="0"/>
        <v>32040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s="9">
        <f>Ships!A35*About!$A$103</f>
        <v>10680000</v>
      </c>
      <c r="C7">
        <f t="shared" ref="C7:AI7" si="0">$B7</f>
        <v>10680000</v>
      </c>
      <c r="D7">
        <f t="shared" si="0"/>
        <v>10680000</v>
      </c>
      <c r="E7">
        <f t="shared" si="0"/>
        <v>10680000</v>
      </c>
      <c r="F7">
        <f t="shared" si="0"/>
        <v>10680000</v>
      </c>
      <c r="G7">
        <f t="shared" si="0"/>
        <v>10680000</v>
      </c>
      <c r="H7">
        <f t="shared" si="0"/>
        <v>10680000</v>
      </c>
      <c r="I7">
        <f t="shared" si="0"/>
        <v>10680000</v>
      </c>
      <c r="J7">
        <f t="shared" si="0"/>
        <v>10680000</v>
      </c>
      <c r="K7">
        <f t="shared" si="0"/>
        <v>10680000</v>
      </c>
      <c r="L7">
        <f t="shared" si="0"/>
        <v>10680000</v>
      </c>
      <c r="M7">
        <f t="shared" si="0"/>
        <v>10680000</v>
      </c>
      <c r="N7">
        <f t="shared" si="0"/>
        <v>10680000</v>
      </c>
      <c r="O7">
        <f t="shared" si="0"/>
        <v>10680000</v>
      </c>
      <c r="P7">
        <f t="shared" si="0"/>
        <v>10680000</v>
      </c>
      <c r="Q7">
        <f t="shared" si="0"/>
        <v>10680000</v>
      </c>
      <c r="R7">
        <f t="shared" si="0"/>
        <v>10680000</v>
      </c>
      <c r="S7">
        <f t="shared" si="0"/>
        <v>10680000</v>
      </c>
      <c r="T7">
        <f t="shared" si="0"/>
        <v>10680000</v>
      </c>
      <c r="U7">
        <f t="shared" si="0"/>
        <v>10680000</v>
      </c>
      <c r="V7">
        <f t="shared" si="0"/>
        <v>10680000</v>
      </c>
      <c r="W7">
        <f t="shared" si="0"/>
        <v>10680000</v>
      </c>
      <c r="X7">
        <f t="shared" si="0"/>
        <v>10680000</v>
      </c>
      <c r="Y7">
        <f t="shared" si="0"/>
        <v>10680000</v>
      </c>
      <c r="Z7">
        <f t="shared" si="0"/>
        <v>10680000</v>
      </c>
      <c r="AA7">
        <f t="shared" si="0"/>
        <v>10680000</v>
      </c>
      <c r="AB7">
        <f t="shared" si="0"/>
        <v>10680000</v>
      </c>
      <c r="AC7">
        <f t="shared" si="0"/>
        <v>10680000</v>
      </c>
      <c r="AD7">
        <f t="shared" si="0"/>
        <v>10680000</v>
      </c>
      <c r="AE7">
        <f t="shared" si="0"/>
        <v>10680000</v>
      </c>
      <c r="AF7">
        <f t="shared" si="0"/>
        <v>10680000</v>
      </c>
      <c r="AG7">
        <f t="shared" si="0"/>
        <v>10680000</v>
      </c>
      <c r="AH7">
        <f t="shared" si="0"/>
        <v>10680000</v>
      </c>
      <c r="AI7">
        <f t="shared" si="0"/>
        <v>10680000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1" sqref="B1:B1048576"/>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s="4" t="e">
        <f>'BNVP-LDVs-psgr'!#REF!/'BNVP-LDVs-psgr'!B4*B4</f>
        <v>#REF!</v>
      </c>
      <c r="C2" s="4">
        <f>'BNVP-LDVs-psgr'!C2/'BNVP-LDVs-psgr'!C4*C4</f>
        <v>13407.416374644457</v>
      </c>
      <c r="D2" s="4">
        <f>'BNVP-LDVs-psgr'!D2/'BNVP-LDVs-psgr'!D4*D4</f>
        <v>13386.296682345259</v>
      </c>
      <c r="E2" s="4">
        <f>'BNVP-LDVs-psgr'!E2/'BNVP-LDVs-psgr'!E4*E4</f>
        <v>13365.663729638152</v>
      </c>
      <c r="F2" s="4">
        <f>'BNVP-LDVs-psgr'!F2/'BNVP-LDVs-psgr'!F4*F4</f>
        <v>13334.426477068964</v>
      </c>
      <c r="G2" s="4">
        <f>'BNVP-LDVs-psgr'!G2/'BNVP-LDVs-psgr'!G4*G4</f>
        <v>13303.873933344619</v>
      </c>
      <c r="H2" s="4">
        <f>'BNVP-LDVs-psgr'!H2/'BNVP-LDVs-psgr'!H4*H4</f>
        <v>13273.897689941359</v>
      </c>
      <c r="I2" s="4">
        <f>'BNVP-LDVs-psgr'!I2/'BNVP-LDVs-psgr'!I4*I4</f>
        <v>13244.407849206824</v>
      </c>
      <c r="J2" s="4">
        <f>'BNVP-LDVs-psgr'!J2/'BNVP-LDVs-psgr'!J4*J4</f>
        <v>13215.336940189432</v>
      </c>
      <c r="K2" s="4">
        <f>'BNVP-LDVs-psgr'!K2/'BNVP-LDVs-psgr'!K4*K4</f>
        <v>13186.615494864605</v>
      </c>
      <c r="L2" s="4">
        <f>'BNVP-LDVs-psgr'!L2/'BNVP-LDVs-psgr'!L4*L4</f>
        <v>13158.165518909329</v>
      </c>
      <c r="M2" s="4">
        <f>'BNVP-LDVs-psgr'!M2/'BNVP-LDVs-psgr'!M4*M4</f>
        <v>13129.915721471627</v>
      </c>
      <c r="N2" s="4">
        <f>'BNVP-LDVs-psgr'!N2/'BNVP-LDVs-psgr'!N4*N4</f>
        <v>13101.845350230413</v>
      </c>
      <c r="O2" s="4">
        <f>'BNVP-LDVs-psgr'!O2/'BNVP-LDVs-psgr'!O4*O4</f>
        <v>13073.908089437649</v>
      </c>
      <c r="P2" s="4">
        <f>'BNVP-LDVs-psgr'!P2/'BNVP-LDVs-psgr'!P4*P4</f>
        <v>13063.292037078227</v>
      </c>
      <c r="Q2" s="4">
        <f>'BNVP-LDVs-psgr'!Q2/'BNVP-LDVs-psgr'!Q4*Q4</f>
        <v>13052.517365517226</v>
      </c>
      <c r="R2" s="4">
        <f>'BNVP-LDVs-psgr'!R2/'BNVP-LDVs-psgr'!R4*R4</f>
        <v>13041.636398098841</v>
      </c>
      <c r="S2" s="4">
        <f>'BNVP-LDVs-psgr'!S2/'BNVP-LDVs-psgr'!S4*S4</f>
        <v>13030.665735191835</v>
      </c>
      <c r="T2" s="4">
        <f>'BNVP-LDVs-psgr'!T2/'BNVP-LDVs-psgr'!T4*T4</f>
        <v>13019.534266197154</v>
      </c>
      <c r="U2" s="4">
        <f>'BNVP-LDVs-psgr'!U2/'BNVP-LDVs-psgr'!U4*U4</f>
        <v>13008.340356044286</v>
      </c>
      <c r="V2" s="4">
        <f>'BNVP-LDVs-psgr'!V2/'BNVP-LDVs-psgr'!V4*V4</f>
        <v>12997.102896674603</v>
      </c>
      <c r="W2" s="4">
        <f>'BNVP-LDVs-psgr'!W2/'BNVP-LDVs-psgr'!W4*W4</f>
        <v>12985.873175629202</v>
      </c>
      <c r="X2" s="4">
        <f>'BNVP-LDVs-psgr'!X2/'BNVP-LDVs-psgr'!X4*X4</f>
        <v>12974.687818650702</v>
      </c>
      <c r="Y2" s="4">
        <f>'BNVP-LDVs-psgr'!Y2/'BNVP-LDVs-psgr'!Y4*Y4</f>
        <v>12963.4870741912</v>
      </c>
      <c r="Z2" s="4">
        <f>'BNVP-LDVs-psgr'!Z2/'BNVP-LDVs-psgr'!Z4*Z4</f>
        <v>12948.619073265227</v>
      </c>
      <c r="AA2" s="4">
        <f>'BNVP-LDVs-psgr'!AA2/'BNVP-LDVs-psgr'!AA4*AA4</f>
        <v>12933.880438138131</v>
      </c>
      <c r="AB2" s="4">
        <f>'BNVP-LDVs-psgr'!AB2/'BNVP-LDVs-psgr'!AB4*AB4</f>
        <v>12919.198259119488</v>
      </c>
      <c r="AC2" s="4">
        <f>'BNVP-LDVs-psgr'!AC2/'BNVP-LDVs-psgr'!AC4*AC4</f>
        <v>12904.659973974904</v>
      </c>
      <c r="AD2" s="4">
        <f>'BNVP-LDVs-psgr'!AD2/'BNVP-LDVs-psgr'!AD4*AD4</f>
        <v>12890.168554067133</v>
      </c>
      <c r="AE2" s="4">
        <f>'BNVP-LDVs-psgr'!AE2/'BNVP-LDVs-psgr'!AE4*AE4</f>
        <v>12875.793568925297</v>
      </c>
      <c r="AF2" s="4">
        <f>'BNVP-LDVs-psgr'!AF2/'BNVP-LDVs-psgr'!AF4*AF4</f>
        <v>12861.498773844052</v>
      </c>
      <c r="AG2" s="4">
        <f>'BNVP-LDVs-psgr'!AG2/'BNVP-LDVs-psgr'!AG4*AG4</f>
        <v>12847.180415344403</v>
      </c>
      <c r="AH2" s="4">
        <f>'BNVP-LDVs-psgr'!AH2/'BNVP-LDVs-psgr'!AH4*AH4</f>
        <v>12832.918062687011</v>
      </c>
      <c r="AI2" s="4">
        <f>'BNVP-LDVs-psgr'!AI2/'BNVP-LDVs-psgr'!AI4*AI4</f>
        <v>12818.609325791567</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s="9">
        <f>AVERAGE(Motorcycles!C3:C12)*About!$A$103*About!$A$103</f>
        <v>10242.803520000001</v>
      </c>
      <c r="C4" s="9">
        <f>B4</f>
        <v>10242.803520000001</v>
      </c>
      <c r="D4" s="9">
        <f t="shared" ref="D4:AI4" si="0">C4</f>
        <v>10242.803520000001</v>
      </c>
      <c r="E4" s="9">
        <f t="shared" si="0"/>
        <v>10242.803520000001</v>
      </c>
      <c r="F4" s="9">
        <f t="shared" si="0"/>
        <v>10242.803520000001</v>
      </c>
      <c r="G4" s="9">
        <f t="shared" si="0"/>
        <v>10242.803520000001</v>
      </c>
      <c r="H4" s="9">
        <f t="shared" si="0"/>
        <v>10242.803520000001</v>
      </c>
      <c r="I4" s="9">
        <f t="shared" si="0"/>
        <v>10242.803520000001</v>
      </c>
      <c r="J4" s="9">
        <f t="shared" si="0"/>
        <v>10242.803520000001</v>
      </c>
      <c r="K4" s="9">
        <f t="shared" si="0"/>
        <v>10242.803520000001</v>
      </c>
      <c r="L4" s="9">
        <f t="shared" si="0"/>
        <v>10242.803520000001</v>
      </c>
      <c r="M4" s="9">
        <f t="shared" si="0"/>
        <v>10242.803520000001</v>
      </c>
      <c r="N4" s="9">
        <f t="shared" si="0"/>
        <v>10242.803520000001</v>
      </c>
      <c r="O4" s="9">
        <f t="shared" si="0"/>
        <v>10242.803520000001</v>
      </c>
      <c r="P4" s="9">
        <f t="shared" si="0"/>
        <v>10242.803520000001</v>
      </c>
      <c r="Q4" s="9">
        <f t="shared" si="0"/>
        <v>10242.803520000001</v>
      </c>
      <c r="R4" s="9">
        <f t="shared" si="0"/>
        <v>10242.803520000001</v>
      </c>
      <c r="S4" s="9">
        <f t="shared" si="0"/>
        <v>10242.803520000001</v>
      </c>
      <c r="T4" s="9">
        <f t="shared" si="0"/>
        <v>10242.803520000001</v>
      </c>
      <c r="U4" s="9">
        <f t="shared" si="0"/>
        <v>10242.803520000001</v>
      </c>
      <c r="V4" s="9">
        <f t="shared" si="0"/>
        <v>10242.803520000001</v>
      </c>
      <c r="W4" s="9">
        <f t="shared" si="0"/>
        <v>10242.803520000001</v>
      </c>
      <c r="X4" s="9">
        <f t="shared" si="0"/>
        <v>10242.803520000001</v>
      </c>
      <c r="Y4" s="9">
        <f t="shared" si="0"/>
        <v>10242.803520000001</v>
      </c>
      <c r="Z4" s="9">
        <f t="shared" si="0"/>
        <v>10242.803520000001</v>
      </c>
      <c r="AA4" s="9">
        <f t="shared" si="0"/>
        <v>10242.803520000001</v>
      </c>
      <c r="AB4" s="9">
        <f t="shared" si="0"/>
        <v>10242.803520000001</v>
      </c>
      <c r="AC4" s="9">
        <f t="shared" si="0"/>
        <v>10242.803520000001</v>
      </c>
      <c r="AD4" s="9">
        <f t="shared" si="0"/>
        <v>10242.803520000001</v>
      </c>
      <c r="AE4" s="9">
        <f t="shared" si="0"/>
        <v>10242.803520000001</v>
      </c>
      <c r="AF4" s="9">
        <f t="shared" si="0"/>
        <v>10242.803520000001</v>
      </c>
      <c r="AG4" s="9">
        <f t="shared" si="0"/>
        <v>10242.803520000001</v>
      </c>
      <c r="AH4" s="9">
        <f t="shared" si="0"/>
        <v>10242.803520000001</v>
      </c>
      <c r="AI4" s="9">
        <f t="shared" si="0"/>
        <v>10242.803520000001</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C13" sqref="C13"/>
    </sheetView>
  </sheetViews>
  <sheetFormatPr defaultRowHeight="14.5" x14ac:dyDescent="0.35"/>
  <cols>
    <col min="1" max="1" width="24.453125"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0</v>
      </c>
      <c r="B2" s="4" t="e">
        <f>'BNVP-motorbikes-psgr'!B2</f>
        <v>#REF!</v>
      </c>
      <c r="C2" s="4">
        <f>'BNVP-motorbikes-psgr'!C2</f>
        <v>13407.416374644457</v>
      </c>
      <c r="D2" s="4">
        <f>'BNVP-motorbikes-psgr'!D2</f>
        <v>13386.296682345259</v>
      </c>
      <c r="E2" s="4">
        <f>'BNVP-motorbikes-psgr'!E2</f>
        <v>13365.663729638152</v>
      </c>
      <c r="F2" s="4">
        <f>'BNVP-motorbikes-psgr'!F2</f>
        <v>13334.426477068964</v>
      </c>
      <c r="G2" s="4">
        <f>'BNVP-motorbikes-psgr'!G2</f>
        <v>13303.873933344619</v>
      </c>
      <c r="H2" s="4">
        <f>'BNVP-motorbikes-psgr'!H2</f>
        <v>13273.897689941359</v>
      </c>
      <c r="I2" s="4">
        <f>'BNVP-motorbikes-psgr'!I2</f>
        <v>13244.407849206824</v>
      </c>
      <c r="J2" s="4">
        <f>'BNVP-motorbikes-psgr'!J2</f>
        <v>13215.336940189432</v>
      </c>
      <c r="K2" s="4">
        <f>'BNVP-motorbikes-psgr'!K2</f>
        <v>13186.615494864605</v>
      </c>
      <c r="L2" s="4">
        <f>'BNVP-motorbikes-psgr'!L2</f>
        <v>13158.165518909329</v>
      </c>
      <c r="M2" s="4">
        <f>'BNVP-motorbikes-psgr'!M2</f>
        <v>13129.915721471627</v>
      </c>
      <c r="N2" s="4">
        <f>'BNVP-motorbikes-psgr'!N2</f>
        <v>13101.845350230413</v>
      </c>
      <c r="O2" s="4">
        <f>'BNVP-motorbikes-psgr'!O2</f>
        <v>13073.908089437649</v>
      </c>
      <c r="P2" s="4">
        <f>'BNVP-motorbikes-psgr'!P2</f>
        <v>13063.292037078227</v>
      </c>
      <c r="Q2" s="4">
        <f>'BNVP-motorbikes-psgr'!Q2</f>
        <v>13052.517365517226</v>
      </c>
      <c r="R2" s="4">
        <f>'BNVP-motorbikes-psgr'!R2</f>
        <v>13041.636398098841</v>
      </c>
      <c r="S2" s="4">
        <f>'BNVP-motorbikes-psgr'!S2</f>
        <v>13030.665735191835</v>
      </c>
      <c r="T2" s="4">
        <f>'BNVP-motorbikes-psgr'!T2</f>
        <v>13019.534266197154</v>
      </c>
      <c r="U2" s="4">
        <f>'BNVP-motorbikes-psgr'!U2</f>
        <v>13008.340356044286</v>
      </c>
      <c r="V2" s="4">
        <f>'BNVP-motorbikes-psgr'!V2</f>
        <v>12997.102896674603</v>
      </c>
      <c r="W2" s="4">
        <f>'BNVP-motorbikes-psgr'!W2</f>
        <v>12985.873175629202</v>
      </c>
      <c r="X2" s="4">
        <f>'BNVP-motorbikes-psgr'!X2</f>
        <v>12974.687818650702</v>
      </c>
      <c r="Y2" s="4">
        <f>'BNVP-motorbikes-psgr'!Y2</f>
        <v>12963.4870741912</v>
      </c>
      <c r="Z2" s="4">
        <f>'BNVP-motorbikes-psgr'!Z2</f>
        <v>12948.619073265227</v>
      </c>
      <c r="AA2" s="4">
        <f>'BNVP-motorbikes-psgr'!AA2</f>
        <v>12933.880438138131</v>
      </c>
      <c r="AB2" s="4">
        <f>'BNVP-motorbikes-psgr'!AB2</f>
        <v>12919.198259119488</v>
      </c>
      <c r="AC2" s="4">
        <f>'BNVP-motorbikes-psgr'!AC2</f>
        <v>12904.659973974904</v>
      </c>
      <c r="AD2" s="4">
        <f>'BNVP-motorbikes-psgr'!AD2</f>
        <v>12890.168554067133</v>
      </c>
      <c r="AE2" s="4">
        <f>'BNVP-motorbikes-psgr'!AE2</f>
        <v>12875.793568925297</v>
      </c>
      <c r="AF2" s="4">
        <f>'BNVP-motorbikes-psgr'!AF2</f>
        <v>12861.498773844052</v>
      </c>
      <c r="AG2" s="4">
        <f>'BNVP-motorbikes-psgr'!AG2</f>
        <v>12847.180415344403</v>
      </c>
      <c r="AH2" s="4">
        <f>'BNVP-motorbikes-psgr'!AH2</f>
        <v>12832.918062687011</v>
      </c>
      <c r="AI2" s="4">
        <f>'BNVP-motorbikes-psgr'!AI2</f>
        <v>12818.609325791567</v>
      </c>
    </row>
    <row r="3" spans="1:35"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45">
      <c r="A4" t="s">
        <v>2</v>
      </c>
      <c r="B4">
        <f>'BNVP-motorbikes-psgr'!B4</f>
        <v>10242.803520000001</v>
      </c>
      <c r="C4">
        <f>'BNVP-motorbikes-psgr'!C4</f>
        <v>10242.803520000001</v>
      </c>
      <c r="D4">
        <f>'BNVP-motorbikes-psgr'!D4</f>
        <v>10242.803520000001</v>
      </c>
      <c r="E4">
        <f>'BNVP-motorbikes-psgr'!E4</f>
        <v>10242.803520000001</v>
      </c>
      <c r="F4">
        <f>'BNVP-motorbikes-psgr'!F4</f>
        <v>10242.803520000001</v>
      </c>
      <c r="G4">
        <f>'BNVP-motorbikes-psgr'!G4</f>
        <v>10242.803520000001</v>
      </c>
      <c r="H4">
        <f>'BNVP-motorbikes-psgr'!H4</f>
        <v>10242.803520000001</v>
      </c>
      <c r="I4">
        <f>'BNVP-motorbikes-psgr'!I4</f>
        <v>10242.803520000001</v>
      </c>
      <c r="J4">
        <f>'BNVP-motorbikes-psgr'!J4</f>
        <v>10242.803520000001</v>
      </c>
      <c r="K4">
        <f>'BNVP-motorbikes-psgr'!K4</f>
        <v>10242.803520000001</v>
      </c>
      <c r="L4">
        <f>'BNVP-motorbikes-psgr'!L4</f>
        <v>10242.803520000001</v>
      </c>
      <c r="M4">
        <f>'BNVP-motorbikes-psgr'!M4</f>
        <v>10242.803520000001</v>
      </c>
      <c r="N4">
        <f>'BNVP-motorbikes-psgr'!N4</f>
        <v>10242.803520000001</v>
      </c>
      <c r="O4">
        <f>'BNVP-motorbikes-psgr'!O4</f>
        <v>10242.803520000001</v>
      </c>
      <c r="P4">
        <f>'BNVP-motorbikes-psgr'!P4</f>
        <v>10242.803520000001</v>
      </c>
      <c r="Q4">
        <f>'BNVP-motorbikes-psgr'!Q4</f>
        <v>10242.803520000001</v>
      </c>
      <c r="R4">
        <f>'BNVP-motorbikes-psgr'!R4</f>
        <v>10242.803520000001</v>
      </c>
      <c r="S4">
        <f>'BNVP-motorbikes-psgr'!S4</f>
        <v>10242.803520000001</v>
      </c>
      <c r="T4">
        <f>'BNVP-motorbikes-psgr'!T4</f>
        <v>10242.803520000001</v>
      </c>
      <c r="U4">
        <f>'BNVP-motorbikes-psgr'!U4</f>
        <v>10242.803520000001</v>
      </c>
      <c r="V4">
        <f>'BNVP-motorbikes-psgr'!V4</f>
        <v>10242.803520000001</v>
      </c>
      <c r="W4">
        <f>'BNVP-motorbikes-psgr'!W4</f>
        <v>10242.803520000001</v>
      </c>
      <c r="X4">
        <f>'BNVP-motorbikes-psgr'!X4</f>
        <v>10242.803520000001</v>
      </c>
      <c r="Y4">
        <f>'BNVP-motorbikes-psgr'!Y4</f>
        <v>10242.803520000001</v>
      </c>
      <c r="Z4">
        <f>'BNVP-motorbikes-psgr'!Z4</f>
        <v>10242.803520000001</v>
      </c>
      <c r="AA4">
        <f>'BNVP-motorbikes-psgr'!AA4</f>
        <v>10242.803520000001</v>
      </c>
      <c r="AB4">
        <f>'BNVP-motorbikes-psgr'!AB4</f>
        <v>10242.803520000001</v>
      </c>
      <c r="AC4">
        <f>'BNVP-motorbikes-psgr'!AC4</f>
        <v>10242.803520000001</v>
      </c>
      <c r="AD4">
        <f>'BNVP-motorbikes-psgr'!AD4</f>
        <v>10242.803520000001</v>
      </c>
      <c r="AE4">
        <f>'BNVP-motorbikes-psgr'!AE4</f>
        <v>10242.803520000001</v>
      </c>
      <c r="AF4">
        <f>'BNVP-motorbikes-psgr'!AF4</f>
        <v>10242.803520000001</v>
      </c>
      <c r="AG4">
        <f>'BNVP-motorbikes-psgr'!AG4</f>
        <v>10242.803520000001</v>
      </c>
      <c r="AH4">
        <f>'BNVP-motorbikes-psgr'!AH4</f>
        <v>10242.803520000001</v>
      </c>
      <c r="AI4">
        <f>'BNVP-motorbikes-psgr'!AI4</f>
        <v>10242.803520000001</v>
      </c>
    </row>
    <row r="5" spans="1:35"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4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
  <sheetViews>
    <sheetView workbookViewId="0">
      <selection activeCell="E26" sqref="E26"/>
    </sheetView>
  </sheetViews>
  <sheetFormatPr defaultRowHeight="14.5" x14ac:dyDescent="0.35"/>
  <cols>
    <col min="1" max="1" width="24" customWidth="1"/>
  </cols>
  <sheetData>
    <row r="1" spans="1:44" ht="14.25" x14ac:dyDescent="0.45">
      <c r="A1" t="s">
        <v>191</v>
      </c>
    </row>
    <row r="2" spans="1:44" ht="14.25" x14ac:dyDescent="0.45">
      <c r="A2" t="s">
        <v>145</v>
      </c>
      <c r="B2">
        <v>2008</v>
      </c>
      <c r="C2">
        <v>2009</v>
      </c>
      <c r="D2">
        <v>2010</v>
      </c>
      <c r="E2">
        <v>2011</v>
      </c>
      <c r="F2">
        <v>2012</v>
      </c>
      <c r="G2">
        <v>2013</v>
      </c>
      <c r="H2">
        <v>2014</v>
      </c>
      <c r="I2" s="19">
        <v>2015</v>
      </c>
      <c r="J2">
        <v>2016</v>
      </c>
      <c r="K2">
        <v>2017</v>
      </c>
      <c r="L2">
        <v>2018</v>
      </c>
      <c r="M2">
        <v>2019</v>
      </c>
      <c r="N2">
        <v>2020</v>
      </c>
      <c r="O2">
        <v>2021</v>
      </c>
      <c r="P2">
        <v>2022</v>
      </c>
      <c r="Q2">
        <v>2023</v>
      </c>
      <c r="R2">
        <v>2024</v>
      </c>
      <c r="S2">
        <v>2025</v>
      </c>
      <c r="T2">
        <v>2026</v>
      </c>
      <c r="U2">
        <v>2027</v>
      </c>
      <c r="V2">
        <v>2028</v>
      </c>
      <c r="W2">
        <v>2029</v>
      </c>
      <c r="X2">
        <v>2030</v>
      </c>
      <c r="Y2">
        <v>2031</v>
      </c>
      <c r="Z2">
        <v>2032</v>
      </c>
      <c r="AA2">
        <v>2033</v>
      </c>
      <c r="AB2">
        <v>2034</v>
      </c>
      <c r="AC2">
        <v>2035</v>
      </c>
      <c r="AD2">
        <v>2036</v>
      </c>
      <c r="AE2">
        <v>2037</v>
      </c>
      <c r="AF2">
        <v>2038</v>
      </c>
      <c r="AG2">
        <v>2039</v>
      </c>
      <c r="AH2">
        <v>2040</v>
      </c>
      <c r="AI2">
        <v>2041</v>
      </c>
      <c r="AJ2">
        <v>2042</v>
      </c>
      <c r="AK2">
        <v>2043</v>
      </c>
      <c r="AL2">
        <v>2044</v>
      </c>
      <c r="AM2">
        <v>2045</v>
      </c>
      <c r="AN2">
        <v>2046</v>
      </c>
      <c r="AO2">
        <v>2047</v>
      </c>
      <c r="AP2">
        <v>2048</v>
      </c>
      <c r="AQ2">
        <v>2049</v>
      </c>
      <c r="AR2">
        <v>2050</v>
      </c>
    </row>
    <row r="3" spans="1:44" ht="14.25" x14ac:dyDescent="0.45">
      <c r="A3" t="s">
        <v>146</v>
      </c>
      <c r="B3">
        <v>185000</v>
      </c>
      <c r="C3">
        <v>0</v>
      </c>
      <c r="D3">
        <v>0</v>
      </c>
      <c r="E3">
        <v>0</v>
      </c>
      <c r="F3">
        <v>0</v>
      </c>
      <c r="G3">
        <v>0</v>
      </c>
      <c r="H3">
        <v>0</v>
      </c>
      <c r="I3" s="19">
        <v>0</v>
      </c>
      <c r="J3">
        <v>0</v>
      </c>
      <c r="K3">
        <v>0</v>
      </c>
      <c r="L3">
        <v>0</v>
      </c>
      <c r="M3">
        <v>0</v>
      </c>
      <c r="N3">
        <v>0</v>
      </c>
      <c r="O3">
        <v>0</v>
      </c>
      <c r="P3">
        <v>0</v>
      </c>
      <c r="Q3">
        <v>0</v>
      </c>
      <c r="R3">
        <v>0</v>
      </c>
      <c r="S3">
        <v>0</v>
      </c>
      <c r="T3">
        <v>0</v>
      </c>
      <c r="U3">
        <v>0</v>
      </c>
      <c r="V3">
        <v>0</v>
      </c>
      <c r="W3">
        <v>0</v>
      </c>
      <c r="X3">
        <v>206585</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ht="14.25" x14ac:dyDescent="0.45">
      <c r="A4" t="s">
        <v>181</v>
      </c>
      <c r="B4">
        <v>185000</v>
      </c>
      <c r="C4">
        <v>0</v>
      </c>
      <c r="D4">
        <v>0</v>
      </c>
      <c r="E4">
        <v>0</v>
      </c>
      <c r="F4">
        <v>0</v>
      </c>
      <c r="G4">
        <v>0</v>
      </c>
      <c r="H4">
        <v>0</v>
      </c>
      <c r="I4" s="19">
        <v>0</v>
      </c>
      <c r="J4">
        <v>0</v>
      </c>
      <c r="K4">
        <v>0</v>
      </c>
      <c r="L4">
        <v>0</v>
      </c>
      <c r="M4">
        <v>0</v>
      </c>
      <c r="N4">
        <v>0</v>
      </c>
      <c r="O4">
        <v>0</v>
      </c>
      <c r="P4">
        <v>0</v>
      </c>
      <c r="Q4">
        <v>0</v>
      </c>
      <c r="R4">
        <v>0</v>
      </c>
      <c r="S4">
        <v>0</v>
      </c>
      <c r="T4">
        <v>0</v>
      </c>
      <c r="U4">
        <v>0</v>
      </c>
      <c r="V4">
        <v>0</v>
      </c>
      <c r="W4">
        <v>0</v>
      </c>
      <c r="X4">
        <v>185000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ht="14.25" x14ac:dyDescent="0.45">
      <c r="A5" t="s">
        <v>182</v>
      </c>
      <c r="B5">
        <v>218710</v>
      </c>
      <c r="C5">
        <v>0</v>
      </c>
      <c r="D5">
        <v>0</v>
      </c>
      <c r="E5">
        <v>0</v>
      </c>
      <c r="F5">
        <v>0</v>
      </c>
      <c r="G5">
        <v>0</v>
      </c>
      <c r="H5">
        <v>0</v>
      </c>
      <c r="I5" s="19">
        <v>0</v>
      </c>
      <c r="J5">
        <v>0</v>
      </c>
      <c r="K5">
        <v>0</v>
      </c>
      <c r="L5">
        <v>0</v>
      </c>
      <c r="M5">
        <v>0</v>
      </c>
      <c r="N5">
        <v>0</v>
      </c>
      <c r="O5">
        <v>0</v>
      </c>
      <c r="P5">
        <v>0</v>
      </c>
      <c r="Q5">
        <v>0</v>
      </c>
      <c r="R5">
        <v>0</v>
      </c>
      <c r="S5">
        <v>0</v>
      </c>
      <c r="T5">
        <v>0</v>
      </c>
      <c r="U5">
        <v>0</v>
      </c>
      <c r="V5">
        <v>0</v>
      </c>
      <c r="W5">
        <v>0</v>
      </c>
      <c r="X5">
        <v>206585</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ht="14.25" x14ac:dyDescent="0.45">
      <c r="A6" t="s">
        <v>147</v>
      </c>
      <c r="B6">
        <v>218710</v>
      </c>
      <c r="C6">
        <v>0</v>
      </c>
      <c r="D6">
        <v>0</v>
      </c>
      <c r="E6">
        <v>0</v>
      </c>
      <c r="F6">
        <v>0</v>
      </c>
      <c r="G6">
        <v>0</v>
      </c>
      <c r="H6">
        <v>0</v>
      </c>
      <c r="I6" s="19">
        <v>0</v>
      </c>
      <c r="J6">
        <v>0</v>
      </c>
      <c r="K6">
        <v>0</v>
      </c>
      <c r="L6">
        <v>0</v>
      </c>
      <c r="M6">
        <v>0</v>
      </c>
      <c r="N6">
        <v>0</v>
      </c>
      <c r="O6">
        <v>0</v>
      </c>
      <c r="P6">
        <v>0</v>
      </c>
      <c r="Q6">
        <v>0</v>
      </c>
      <c r="R6">
        <v>0</v>
      </c>
      <c r="S6">
        <v>0</v>
      </c>
      <c r="T6">
        <v>0</v>
      </c>
      <c r="U6">
        <v>0</v>
      </c>
      <c r="V6">
        <v>0</v>
      </c>
      <c r="W6">
        <v>0</v>
      </c>
      <c r="X6">
        <v>206585</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ht="14.25" x14ac:dyDescent="0.45">
      <c r="A7" t="s">
        <v>183</v>
      </c>
      <c r="B7">
        <v>212400</v>
      </c>
      <c r="C7" s="24">
        <f>$X$7</f>
        <v>220826</v>
      </c>
      <c r="D7" s="24">
        <f t="shared" ref="D7:W7" si="0">$X$7</f>
        <v>220826</v>
      </c>
      <c r="E7" s="24">
        <f t="shared" si="0"/>
        <v>220826</v>
      </c>
      <c r="F7" s="24">
        <f t="shared" si="0"/>
        <v>220826</v>
      </c>
      <c r="G7" s="24">
        <f t="shared" si="0"/>
        <v>220826</v>
      </c>
      <c r="H7" s="24">
        <f t="shared" si="0"/>
        <v>220826</v>
      </c>
      <c r="I7" s="24">
        <f t="shared" si="0"/>
        <v>220826</v>
      </c>
      <c r="J7" s="24">
        <f t="shared" si="0"/>
        <v>220826</v>
      </c>
      <c r="K7" s="24">
        <f t="shared" si="0"/>
        <v>220826</v>
      </c>
      <c r="L7" s="24">
        <f t="shared" si="0"/>
        <v>220826</v>
      </c>
      <c r="M7" s="24">
        <f t="shared" si="0"/>
        <v>220826</v>
      </c>
      <c r="N7" s="24">
        <f t="shared" si="0"/>
        <v>220826</v>
      </c>
      <c r="O7" s="24">
        <f t="shared" si="0"/>
        <v>220826</v>
      </c>
      <c r="P7" s="24">
        <f t="shared" si="0"/>
        <v>220826</v>
      </c>
      <c r="Q7" s="24">
        <f t="shared" si="0"/>
        <v>220826</v>
      </c>
      <c r="R7" s="24">
        <f t="shared" si="0"/>
        <v>220826</v>
      </c>
      <c r="S7" s="24">
        <f t="shared" si="0"/>
        <v>220826</v>
      </c>
      <c r="T7" s="24">
        <f t="shared" si="0"/>
        <v>220826</v>
      </c>
      <c r="U7" s="24">
        <f t="shared" si="0"/>
        <v>220826</v>
      </c>
      <c r="V7" s="24">
        <f t="shared" si="0"/>
        <v>220826</v>
      </c>
      <c r="W7" s="24">
        <f t="shared" si="0"/>
        <v>220826</v>
      </c>
      <c r="X7">
        <v>220826</v>
      </c>
      <c r="Y7" s="24">
        <v>220826</v>
      </c>
      <c r="Z7" s="24">
        <v>220826</v>
      </c>
      <c r="AA7" s="24">
        <v>220826</v>
      </c>
      <c r="AB7" s="24">
        <v>220826</v>
      </c>
      <c r="AC7" s="24">
        <v>220826</v>
      </c>
      <c r="AD7" s="24">
        <v>220826</v>
      </c>
      <c r="AE7" s="24">
        <v>220826</v>
      </c>
      <c r="AF7" s="24">
        <v>220826</v>
      </c>
      <c r="AG7" s="24">
        <v>220826</v>
      </c>
      <c r="AH7" s="24">
        <v>220826</v>
      </c>
      <c r="AI7" s="24">
        <v>220826</v>
      </c>
      <c r="AJ7" s="24">
        <v>220826</v>
      </c>
      <c r="AK7" s="24">
        <v>220826</v>
      </c>
      <c r="AL7" s="24">
        <v>220826</v>
      </c>
      <c r="AM7" s="24">
        <v>220826</v>
      </c>
      <c r="AN7" s="24">
        <v>220826</v>
      </c>
      <c r="AO7" s="24">
        <v>220826</v>
      </c>
      <c r="AP7" s="24">
        <v>220826</v>
      </c>
      <c r="AQ7" s="24">
        <v>220826</v>
      </c>
      <c r="AR7">
        <v>220826</v>
      </c>
    </row>
    <row r="8" spans="1:44" ht="14.25" x14ac:dyDescent="0.45">
      <c r="A8" t="s">
        <v>184</v>
      </c>
      <c r="B8">
        <v>0</v>
      </c>
      <c r="C8">
        <v>0</v>
      </c>
      <c r="D8">
        <v>1200650</v>
      </c>
      <c r="E8">
        <v>0</v>
      </c>
      <c r="F8">
        <v>0</v>
      </c>
      <c r="G8">
        <v>0</v>
      </c>
      <c r="H8">
        <v>0</v>
      </c>
      <c r="I8" s="19">
        <v>0</v>
      </c>
      <c r="J8">
        <v>0</v>
      </c>
      <c r="K8">
        <v>0</v>
      </c>
      <c r="L8">
        <v>0</v>
      </c>
      <c r="M8">
        <v>0</v>
      </c>
      <c r="N8">
        <v>0</v>
      </c>
      <c r="O8">
        <v>0</v>
      </c>
      <c r="P8">
        <v>0</v>
      </c>
      <c r="Q8">
        <v>0</v>
      </c>
      <c r="R8">
        <v>0</v>
      </c>
      <c r="S8">
        <v>0</v>
      </c>
      <c r="T8">
        <v>0</v>
      </c>
      <c r="U8">
        <v>0</v>
      </c>
      <c r="V8">
        <v>0</v>
      </c>
      <c r="W8">
        <v>0</v>
      </c>
      <c r="X8">
        <v>308100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ht="14.25" x14ac:dyDescent="0.45">
      <c r="A9" t="s">
        <v>185</v>
      </c>
      <c r="B9">
        <v>246110</v>
      </c>
      <c r="C9">
        <v>0</v>
      </c>
      <c r="D9">
        <v>0</v>
      </c>
      <c r="E9">
        <v>0</v>
      </c>
      <c r="F9">
        <v>0</v>
      </c>
      <c r="G9">
        <v>0</v>
      </c>
      <c r="H9">
        <v>0</v>
      </c>
      <c r="I9" s="19">
        <v>0</v>
      </c>
      <c r="J9">
        <v>0</v>
      </c>
      <c r="K9">
        <v>0</v>
      </c>
      <c r="L9">
        <v>0</v>
      </c>
      <c r="M9">
        <v>0</v>
      </c>
      <c r="N9">
        <v>0</v>
      </c>
      <c r="O9">
        <v>0</v>
      </c>
      <c r="P9">
        <v>0</v>
      </c>
      <c r="Q9">
        <v>0</v>
      </c>
      <c r="R9">
        <v>0</v>
      </c>
      <c r="S9">
        <v>0</v>
      </c>
      <c r="T9">
        <v>0</v>
      </c>
      <c r="U9">
        <v>0</v>
      </c>
      <c r="V9">
        <v>0</v>
      </c>
      <c r="W9">
        <v>0</v>
      </c>
      <c r="X9">
        <v>233610</v>
      </c>
      <c r="Y9">
        <v>0</v>
      </c>
      <c r="Z9">
        <v>0</v>
      </c>
      <c r="AA9">
        <v>0</v>
      </c>
      <c r="AB9">
        <v>0</v>
      </c>
      <c r="AC9">
        <v>0</v>
      </c>
      <c r="AD9">
        <v>0</v>
      </c>
      <c r="AE9">
        <v>0</v>
      </c>
      <c r="AF9">
        <v>0</v>
      </c>
      <c r="AG9">
        <v>0</v>
      </c>
      <c r="AH9">
        <v>0</v>
      </c>
      <c r="AI9">
        <v>0</v>
      </c>
      <c r="AJ9">
        <v>0</v>
      </c>
      <c r="AK9">
        <v>0</v>
      </c>
      <c r="AL9">
        <v>0</v>
      </c>
      <c r="AM9">
        <v>0</v>
      </c>
      <c r="AN9">
        <v>0</v>
      </c>
      <c r="AO9">
        <v>0</v>
      </c>
      <c r="AP9">
        <v>0</v>
      </c>
      <c r="AQ9">
        <v>0</v>
      </c>
      <c r="AR9">
        <v>231100</v>
      </c>
    </row>
    <row r="10" spans="1:44" ht="14.25" x14ac:dyDescent="0.45">
      <c r="A10" t="s">
        <v>186</v>
      </c>
      <c r="B10" s="17">
        <v>185000</v>
      </c>
      <c r="C10" s="17">
        <v>0</v>
      </c>
      <c r="D10" s="18">
        <v>0</v>
      </c>
      <c r="E10" s="17">
        <v>0</v>
      </c>
      <c r="F10" s="17">
        <v>0</v>
      </c>
      <c r="G10" s="17">
        <v>0</v>
      </c>
      <c r="H10" s="17">
        <v>0</v>
      </c>
      <c r="I10" s="20">
        <v>0</v>
      </c>
      <c r="J10" s="17">
        <v>0</v>
      </c>
      <c r="K10" s="17">
        <v>0</v>
      </c>
      <c r="L10" s="17">
        <v>0</v>
      </c>
      <c r="M10" s="17">
        <v>0</v>
      </c>
      <c r="N10" s="17">
        <v>0</v>
      </c>
      <c r="O10" s="17">
        <v>0</v>
      </c>
      <c r="P10" s="17">
        <v>0</v>
      </c>
      <c r="Q10" s="17">
        <v>0</v>
      </c>
      <c r="R10" s="17">
        <v>0</v>
      </c>
      <c r="S10" s="17">
        <v>0</v>
      </c>
      <c r="T10" s="17">
        <v>0</v>
      </c>
      <c r="U10" s="17">
        <v>0</v>
      </c>
      <c r="V10" s="17">
        <v>0</v>
      </c>
      <c r="W10" s="17">
        <v>0</v>
      </c>
      <c r="X10" s="17">
        <v>206585</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0</v>
      </c>
      <c r="AQ10" s="17">
        <v>0</v>
      </c>
      <c r="AR10" s="17">
        <v>0</v>
      </c>
    </row>
    <row r="11" spans="1:44" ht="14.25" x14ac:dyDescent="0.45">
      <c r="A11" t="s">
        <v>187</v>
      </c>
      <c r="B11" s="17">
        <v>218710</v>
      </c>
      <c r="C11" s="18">
        <v>0</v>
      </c>
      <c r="D11" s="18">
        <v>0</v>
      </c>
      <c r="E11" s="18">
        <v>0</v>
      </c>
      <c r="F11" s="18">
        <v>0</v>
      </c>
      <c r="G11" s="18">
        <v>0</v>
      </c>
      <c r="H11" s="18">
        <v>0</v>
      </c>
      <c r="I11" s="21">
        <v>0</v>
      </c>
      <c r="J11" s="18">
        <v>0</v>
      </c>
      <c r="K11" s="18">
        <v>0</v>
      </c>
      <c r="L11" s="18">
        <v>0</v>
      </c>
      <c r="M11" s="18">
        <v>0</v>
      </c>
      <c r="N11" s="18">
        <v>0</v>
      </c>
      <c r="O11" s="18">
        <v>0</v>
      </c>
      <c r="P11" s="18">
        <v>0</v>
      </c>
      <c r="Q11" s="18">
        <v>0</v>
      </c>
      <c r="R11" s="18">
        <v>0</v>
      </c>
      <c r="S11" s="18">
        <v>0</v>
      </c>
      <c r="T11" s="18">
        <v>0</v>
      </c>
      <c r="U11" s="18">
        <v>0</v>
      </c>
      <c r="V11" s="18">
        <v>0</v>
      </c>
      <c r="W11" s="18">
        <v>0</v>
      </c>
      <c r="X11" s="17">
        <v>206585</v>
      </c>
      <c r="Y11" s="17">
        <v>0</v>
      </c>
      <c r="Z11" s="17">
        <v>0</v>
      </c>
      <c r="AA11" s="17">
        <v>0</v>
      </c>
      <c r="AB11" s="17">
        <v>0</v>
      </c>
      <c r="AC11" s="17">
        <v>0</v>
      </c>
      <c r="AD11" s="17">
        <v>0</v>
      </c>
      <c r="AE11" s="17">
        <v>0</v>
      </c>
      <c r="AF11" s="17">
        <v>0</v>
      </c>
      <c r="AG11" s="17">
        <v>0</v>
      </c>
      <c r="AH11" s="17">
        <v>0</v>
      </c>
      <c r="AI11" s="17">
        <v>0</v>
      </c>
      <c r="AJ11" s="17">
        <v>0</v>
      </c>
      <c r="AK11" s="17">
        <v>0</v>
      </c>
      <c r="AL11" s="17">
        <v>0</v>
      </c>
      <c r="AM11" s="17">
        <v>0</v>
      </c>
      <c r="AN11" s="17">
        <v>0</v>
      </c>
      <c r="AO11" s="17">
        <v>0</v>
      </c>
      <c r="AP11" s="17">
        <v>0</v>
      </c>
      <c r="AQ11" s="17">
        <v>0</v>
      </c>
      <c r="AR11" s="17">
        <v>0</v>
      </c>
    </row>
    <row r="12" spans="1:44" ht="14.25" x14ac:dyDescent="0.45">
      <c r="A12" t="s">
        <v>188</v>
      </c>
      <c r="B12" s="17">
        <v>0</v>
      </c>
      <c r="C12" s="18">
        <v>0</v>
      </c>
      <c r="D12" s="18">
        <v>1200650</v>
      </c>
      <c r="E12" s="18">
        <v>0</v>
      </c>
      <c r="F12" s="18">
        <v>0</v>
      </c>
      <c r="G12" s="18">
        <v>0</v>
      </c>
      <c r="H12" s="18">
        <v>0</v>
      </c>
      <c r="I12" s="21">
        <v>0</v>
      </c>
      <c r="J12" s="18">
        <v>0</v>
      </c>
      <c r="K12" s="18">
        <v>0</v>
      </c>
      <c r="L12" s="18">
        <v>0</v>
      </c>
      <c r="M12" s="17">
        <v>0</v>
      </c>
      <c r="N12" s="18">
        <v>0</v>
      </c>
      <c r="O12" s="18">
        <v>0</v>
      </c>
      <c r="P12" s="18">
        <v>0</v>
      </c>
      <c r="Q12" s="18">
        <v>0</v>
      </c>
      <c r="R12" s="18">
        <v>0</v>
      </c>
      <c r="S12" s="18">
        <v>0</v>
      </c>
      <c r="T12" s="18">
        <v>0</v>
      </c>
      <c r="U12" s="18">
        <v>0</v>
      </c>
      <c r="V12" s="18">
        <v>0</v>
      </c>
      <c r="W12" s="18">
        <v>0</v>
      </c>
      <c r="X12" s="17">
        <v>308100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0</v>
      </c>
      <c r="AQ12" s="17">
        <v>0</v>
      </c>
      <c r="AR12" s="17">
        <v>0</v>
      </c>
    </row>
    <row r="13" spans="1:44" ht="14.25" x14ac:dyDescent="0.45">
      <c r="A13" t="s">
        <v>189</v>
      </c>
      <c r="B13" s="26">
        <v>308100</v>
      </c>
      <c r="C13" s="26">
        <v>308100</v>
      </c>
      <c r="D13" s="26">
        <v>308100</v>
      </c>
      <c r="E13" s="26">
        <v>308100</v>
      </c>
      <c r="F13" s="26">
        <v>308100</v>
      </c>
      <c r="G13" s="26">
        <v>308100</v>
      </c>
      <c r="H13" s="26">
        <v>308100</v>
      </c>
      <c r="I13" s="26">
        <v>308100</v>
      </c>
      <c r="J13" s="26">
        <v>308100</v>
      </c>
      <c r="K13" s="26">
        <v>308100</v>
      </c>
      <c r="L13" s="26">
        <v>308100</v>
      </c>
      <c r="M13" s="26">
        <v>308100</v>
      </c>
      <c r="N13" s="26">
        <v>308100</v>
      </c>
      <c r="O13" s="26">
        <v>308100</v>
      </c>
      <c r="P13" s="26">
        <v>308100</v>
      </c>
      <c r="Q13" s="26">
        <v>308100</v>
      </c>
      <c r="R13" s="26">
        <v>308100</v>
      </c>
      <c r="S13" s="26">
        <v>308100</v>
      </c>
      <c r="T13" s="26">
        <v>308100</v>
      </c>
      <c r="U13" s="26">
        <v>308100</v>
      </c>
      <c r="V13" s="26">
        <v>308100</v>
      </c>
      <c r="W13" s="26">
        <v>308100</v>
      </c>
      <c r="X13" s="17">
        <v>308100</v>
      </c>
      <c r="Y13" s="26">
        <v>308100</v>
      </c>
      <c r="Z13" s="26">
        <v>308100</v>
      </c>
      <c r="AA13" s="26">
        <v>308100</v>
      </c>
      <c r="AB13" s="26">
        <v>308100</v>
      </c>
      <c r="AC13" s="26">
        <v>308100</v>
      </c>
      <c r="AD13" s="26">
        <v>308100</v>
      </c>
      <c r="AE13" s="26">
        <v>308100</v>
      </c>
      <c r="AF13" s="26">
        <v>308100</v>
      </c>
      <c r="AG13" s="26">
        <v>308100</v>
      </c>
      <c r="AH13" s="26">
        <v>308100</v>
      </c>
      <c r="AI13" s="26">
        <v>308100</v>
      </c>
      <c r="AJ13" s="26">
        <v>308100</v>
      </c>
      <c r="AK13" s="26">
        <v>308100</v>
      </c>
      <c r="AL13" s="26">
        <v>308100</v>
      </c>
      <c r="AM13" s="26">
        <v>308100</v>
      </c>
      <c r="AN13" s="26">
        <v>308100</v>
      </c>
      <c r="AO13" s="26">
        <v>308100</v>
      </c>
      <c r="AP13" s="26">
        <v>308100</v>
      </c>
      <c r="AQ13" s="26">
        <v>308100</v>
      </c>
      <c r="AR13" s="26">
        <v>308100</v>
      </c>
    </row>
    <row r="14" spans="1:44" ht="14.25" x14ac:dyDescent="0.45">
      <c r="B14" s="17"/>
      <c r="C14" s="18"/>
      <c r="D14" s="18"/>
      <c r="E14" s="18"/>
      <c r="F14" s="18"/>
      <c r="G14" s="18"/>
      <c r="H14" s="18"/>
      <c r="I14" s="21"/>
      <c r="J14" s="18"/>
      <c r="K14" s="18"/>
      <c r="L14" s="18"/>
      <c r="M14" s="18"/>
      <c r="N14" s="18"/>
      <c r="O14" s="18"/>
      <c r="P14" s="18"/>
      <c r="Q14" s="18"/>
      <c r="R14" s="18"/>
      <c r="S14" s="18"/>
      <c r="T14" s="18"/>
      <c r="U14" s="18"/>
      <c r="V14" s="18"/>
      <c r="W14" s="18"/>
      <c r="X14" s="17"/>
      <c r="Y14" s="17"/>
      <c r="Z14" s="17"/>
      <c r="AA14" s="17"/>
      <c r="AB14" s="17"/>
      <c r="AC14" s="17"/>
      <c r="AD14" s="17"/>
      <c r="AE14" s="17"/>
      <c r="AF14" s="17"/>
      <c r="AG14" s="17"/>
      <c r="AH14" s="17"/>
      <c r="AI14" s="17"/>
      <c r="AJ14" s="17"/>
      <c r="AK14" s="17"/>
      <c r="AL14" s="17"/>
      <c r="AM14" s="17"/>
      <c r="AN14" s="17"/>
      <c r="AO14" s="17"/>
      <c r="AP14" s="17"/>
      <c r="AQ14" s="17"/>
      <c r="AR14" s="17"/>
    </row>
    <row r="15" spans="1:44" ht="14.25" x14ac:dyDescent="0.45">
      <c r="A15" t="s">
        <v>190</v>
      </c>
      <c r="I15" s="19"/>
    </row>
    <row r="16" spans="1:44" ht="14.25" x14ac:dyDescent="0.45">
      <c r="A16" t="s">
        <v>145</v>
      </c>
      <c r="B16">
        <v>2008</v>
      </c>
      <c r="C16">
        <v>2009</v>
      </c>
      <c r="D16">
        <v>2010</v>
      </c>
      <c r="E16">
        <v>2011</v>
      </c>
      <c r="F16">
        <v>2012</v>
      </c>
      <c r="G16">
        <v>2013</v>
      </c>
      <c r="H16">
        <v>2014</v>
      </c>
      <c r="I16" s="19">
        <v>2015</v>
      </c>
      <c r="J16">
        <v>2016</v>
      </c>
      <c r="K16">
        <v>2017</v>
      </c>
      <c r="L16">
        <v>2018</v>
      </c>
      <c r="M16">
        <v>2019</v>
      </c>
      <c r="N16">
        <v>2020</v>
      </c>
      <c r="O16">
        <v>2021</v>
      </c>
      <c r="P16">
        <v>2022</v>
      </c>
      <c r="Q16">
        <v>2023</v>
      </c>
      <c r="R16">
        <v>2024</v>
      </c>
      <c r="S16">
        <v>2025</v>
      </c>
      <c r="T16">
        <v>2026</v>
      </c>
      <c r="U16">
        <v>2027</v>
      </c>
      <c r="V16">
        <v>2028</v>
      </c>
      <c r="W16">
        <v>2029</v>
      </c>
      <c r="X16">
        <v>2030</v>
      </c>
      <c r="Y16">
        <v>2031</v>
      </c>
      <c r="Z16">
        <v>2032</v>
      </c>
      <c r="AA16">
        <v>2033</v>
      </c>
      <c r="AB16">
        <v>2034</v>
      </c>
      <c r="AC16">
        <v>2035</v>
      </c>
      <c r="AD16">
        <v>2036</v>
      </c>
      <c r="AE16">
        <v>2037</v>
      </c>
      <c r="AF16">
        <v>2038</v>
      </c>
      <c r="AG16">
        <v>2039</v>
      </c>
      <c r="AH16">
        <v>2040</v>
      </c>
      <c r="AI16">
        <v>2041</v>
      </c>
      <c r="AJ16">
        <v>2042</v>
      </c>
      <c r="AK16">
        <v>2043</v>
      </c>
      <c r="AL16">
        <v>2044</v>
      </c>
      <c r="AM16">
        <v>2045</v>
      </c>
      <c r="AN16">
        <v>2046</v>
      </c>
      <c r="AO16">
        <v>2047</v>
      </c>
      <c r="AP16">
        <v>2048</v>
      </c>
      <c r="AQ16">
        <v>2049</v>
      </c>
      <c r="AR16">
        <v>2050</v>
      </c>
    </row>
    <row r="17" spans="1:44" ht="14.25" x14ac:dyDescent="0.45">
      <c r="A17" t="s">
        <v>146</v>
      </c>
      <c r="B17" s="17">
        <v>185000</v>
      </c>
      <c r="C17" s="18">
        <v>185981.136363636</v>
      </c>
      <c r="D17" s="18">
        <v>186962.27272727201</v>
      </c>
      <c r="E17" s="18">
        <v>187943.409090909</v>
      </c>
      <c r="F17" s="18">
        <v>188924.545454545</v>
      </c>
      <c r="G17" s="18">
        <v>189905.68181818101</v>
      </c>
      <c r="H17" s="18">
        <v>190886.818181818</v>
      </c>
      <c r="I17" s="21">
        <v>191867.95454545401</v>
      </c>
      <c r="J17" s="18">
        <v>192849.09090909001</v>
      </c>
      <c r="K17" s="18">
        <v>193830.227272727</v>
      </c>
      <c r="L17" s="18">
        <v>194811.36363636301</v>
      </c>
      <c r="M17" s="18">
        <v>195792.5</v>
      </c>
      <c r="N17" s="18">
        <v>196773.636363636</v>
      </c>
      <c r="O17" s="18">
        <v>197754.77272727201</v>
      </c>
      <c r="P17" s="18">
        <v>198735.909090909</v>
      </c>
      <c r="Q17" s="18">
        <v>199717.045454545</v>
      </c>
      <c r="R17" s="18">
        <v>200698.18181818101</v>
      </c>
      <c r="S17" s="18">
        <v>201679.318181818</v>
      </c>
      <c r="T17" s="18">
        <v>202660.45454545401</v>
      </c>
      <c r="U17" s="18">
        <v>203641.59090909001</v>
      </c>
      <c r="V17" s="18">
        <v>204622.727272727</v>
      </c>
      <c r="W17" s="18">
        <v>205603.86363636301</v>
      </c>
      <c r="X17" s="17">
        <v>206585</v>
      </c>
      <c r="Y17" s="17">
        <v>206585</v>
      </c>
      <c r="Z17" s="17">
        <v>206585</v>
      </c>
      <c r="AA17" s="17">
        <v>206585</v>
      </c>
      <c r="AB17" s="17">
        <v>206585</v>
      </c>
      <c r="AC17" s="17">
        <v>206585</v>
      </c>
      <c r="AD17" s="17">
        <v>206585</v>
      </c>
      <c r="AE17" s="17">
        <v>206585</v>
      </c>
      <c r="AF17" s="17">
        <v>206585</v>
      </c>
      <c r="AG17" s="17">
        <v>206585</v>
      </c>
      <c r="AH17" s="17">
        <v>206585</v>
      </c>
      <c r="AI17" s="17">
        <v>206585</v>
      </c>
      <c r="AJ17" s="17">
        <v>206585</v>
      </c>
      <c r="AK17" s="17">
        <v>206585</v>
      </c>
      <c r="AL17" s="17">
        <v>206585</v>
      </c>
      <c r="AM17" s="17">
        <v>206585</v>
      </c>
      <c r="AN17" s="17">
        <v>206585</v>
      </c>
      <c r="AO17" s="17">
        <v>206585</v>
      </c>
      <c r="AP17" s="17">
        <v>206585</v>
      </c>
      <c r="AQ17" s="17">
        <v>206585</v>
      </c>
      <c r="AR17" s="17">
        <v>206585</v>
      </c>
    </row>
    <row r="18" spans="1:44" ht="14.25" x14ac:dyDescent="0.45">
      <c r="A18" t="s">
        <v>147</v>
      </c>
      <c r="B18" s="17">
        <v>218710</v>
      </c>
      <c r="C18" s="25">
        <v>218158.86363636301</v>
      </c>
      <c r="D18" s="22">
        <v>217607.727272727</v>
      </c>
      <c r="E18" s="22">
        <v>217056.59090909001</v>
      </c>
      <c r="F18" s="22">
        <v>216505.45454545401</v>
      </c>
      <c r="G18" s="22">
        <v>215954.318181818</v>
      </c>
      <c r="H18" s="22">
        <v>215403.18181818101</v>
      </c>
      <c r="I18" s="22">
        <v>214852.045454545</v>
      </c>
      <c r="J18" s="22">
        <v>214300.909090909</v>
      </c>
      <c r="K18" s="22">
        <v>213749.77272727201</v>
      </c>
      <c r="L18" s="22">
        <v>213198.636363636</v>
      </c>
      <c r="M18" s="22">
        <v>212647.5</v>
      </c>
      <c r="N18" s="22">
        <v>212096.36363636301</v>
      </c>
      <c r="O18" s="22">
        <v>211545.227272727</v>
      </c>
      <c r="P18" s="22">
        <v>210994.09090909001</v>
      </c>
      <c r="Q18" s="22">
        <v>210442.95454545401</v>
      </c>
      <c r="R18" s="22">
        <v>209891.818181818</v>
      </c>
      <c r="S18" s="22">
        <v>209340.68181818101</v>
      </c>
      <c r="T18" s="22">
        <v>208789.545454545</v>
      </c>
      <c r="U18" s="22">
        <v>208238.409090909</v>
      </c>
      <c r="V18" s="22">
        <v>207687.27272727201</v>
      </c>
      <c r="W18" s="22">
        <v>207136.136363636</v>
      </c>
      <c r="X18" s="22">
        <v>206585</v>
      </c>
      <c r="Y18" s="22">
        <v>206585</v>
      </c>
      <c r="Z18" s="22">
        <v>206585</v>
      </c>
      <c r="AA18" s="22">
        <v>206585</v>
      </c>
      <c r="AB18" s="22">
        <v>206585</v>
      </c>
      <c r="AC18" s="22">
        <v>206585</v>
      </c>
      <c r="AD18" s="22">
        <v>206585</v>
      </c>
      <c r="AE18" s="22">
        <v>206585</v>
      </c>
      <c r="AF18" s="22">
        <v>206585</v>
      </c>
      <c r="AG18" s="22">
        <v>206585</v>
      </c>
      <c r="AH18" s="22">
        <v>206585</v>
      </c>
      <c r="AI18" s="22">
        <v>206585</v>
      </c>
      <c r="AJ18" s="22">
        <v>206585</v>
      </c>
      <c r="AK18" s="22">
        <v>206585</v>
      </c>
      <c r="AL18" s="22">
        <v>206585</v>
      </c>
      <c r="AM18" s="22">
        <v>206585</v>
      </c>
      <c r="AN18" s="22">
        <v>206585</v>
      </c>
      <c r="AO18" s="22">
        <v>206585</v>
      </c>
      <c r="AP18" s="22">
        <v>206585</v>
      </c>
      <c r="AQ18" s="22">
        <v>206585</v>
      </c>
      <c r="AR18" s="22">
        <v>206585</v>
      </c>
    </row>
    <row r="19" spans="1:44" ht="14.25" x14ac:dyDescent="0.45">
      <c r="A19" t="str">
        <f t="shared" ref="A19:AR19" si="1">A13</f>
        <v>SP HDV Battery Electric</v>
      </c>
      <c r="B19">
        <f t="shared" si="1"/>
        <v>308100</v>
      </c>
      <c r="C19">
        <f t="shared" si="1"/>
        <v>308100</v>
      </c>
      <c r="D19">
        <f t="shared" si="1"/>
        <v>308100</v>
      </c>
      <c r="E19">
        <f t="shared" si="1"/>
        <v>308100</v>
      </c>
      <c r="F19">
        <f t="shared" si="1"/>
        <v>308100</v>
      </c>
      <c r="G19">
        <f t="shared" si="1"/>
        <v>308100</v>
      </c>
      <c r="H19">
        <f t="shared" si="1"/>
        <v>308100</v>
      </c>
      <c r="I19">
        <f t="shared" si="1"/>
        <v>308100</v>
      </c>
      <c r="J19">
        <f t="shared" si="1"/>
        <v>308100</v>
      </c>
      <c r="K19">
        <f t="shared" si="1"/>
        <v>308100</v>
      </c>
      <c r="L19">
        <f t="shared" si="1"/>
        <v>308100</v>
      </c>
      <c r="M19">
        <f t="shared" si="1"/>
        <v>308100</v>
      </c>
      <c r="N19">
        <f t="shared" si="1"/>
        <v>308100</v>
      </c>
      <c r="O19">
        <f t="shared" si="1"/>
        <v>308100</v>
      </c>
      <c r="P19">
        <f t="shared" si="1"/>
        <v>308100</v>
      </c>
      <c r="Q19">
        <f t="shared" si="1"/>
        <v>308100</v>
      </c>
      <c r="R19">
        <f t="shared" si="1"/>
        <v>308100</v>
      </c>
      <c r="S19">
        <f t="shared" si="1"/>
        <v>308100</v>
      </c>
      <c r="T19">
        <f t="shared" si="1"/>
        <v>308100</v>
      </c>
      <c r="U19">
        <f t="shared" si="1"/>
        <v>308100</v>
      </c>
      <c r="V19">
        <f t="shared" si="1"/>
        <v>308100</v>
      </c>
      <c r="W19">
        <f t="shared" si="1"/>
        <v>308100</v>
      </c>
      <c r="X19">
        <f t="shared" si="1"/>
        <v>308100</v>
      </c>
      <c r="Y19">
        <f t="shared" si="1"/>
        <v>308100</v>
      </c>
      <c r="Z19">
        <f t="shared" si="1"/>
        <v>308100</v>
      </c>
      <c r="AA19">
        <f t="shared" si="1"/>
        <v>308100</v>
      </c>
      <c r="AB19">
        <f t="shared" si="1"/>
        <v>308100</v>
      </c>
      <c r="AC19">
        <f t="shared" si="1"/>
        <v>308100</v>
      </c>
      <c r="AD19">
        <f t="shared" si="1"/>
        <v>308100</v>
      </c>
      <c r="AE19">
        <f t="shared" si="1"/>
        <v>308100</v>
      </c>
      <c r="AF19">
        <f t="shared" si="1"/>
        <v>308100</v>
      </c>
      <c r="AG19">
        <f t="shared" si="1"/>
        <v>308100</v>
      </c>
      <c r="AH19">
        <f t="shared" si="1"/>
        <v>308100</v>
      </c>
      <c r="AI19">
        <f t="shared" si="1"/>
        <v>308100</v>
      </c>
      <c r="AJ19">
        <f t="shared" si="1"/>
        <v>308100</v>
      </c>
      <c r="AK19">
        <f t="shared" si="1"/>
        <v>308100</v>
      </c>
      <c r="AL19">
        <f t="shared" si="1"/>
        <v>308100</v>
      </c>
      <c r="AM19">
        <f t="shared" si="1"/>
        <v>308100</v>
      </c>
      <c r="AN19">
        <f t="shared" si="1"/>
        <v>308100</v>
      </c>
      <c r="AO19">
        <f t="shared" si="1"/>
        <v>308100</v>
      </c>
      <c r="AP19">
        <f t="shared" si="1"/>
        <v>308100</v>
      </c>
      <c r="AQ19">
        <f t="shared" si="1"/>
        <v>308100</v>
      </c>
      <c r="AR19">
        <f t="shared" si="1"/>
        <v>308100</v>
      </c>
    </row>
    <row r="20" spans="1:44" ht="15" x14ac:dyDescent="0.25">
      <c r="A20" t="s">
        <v>183</v>
      </c>
      <c r="B20">
        <v>212400</v>
      </c>
      <c r="C20" s="24">
        <f>$X$7</f>
        <v>220826</v>
      </c>
      <c r="D20" s="24">
        <f t="shared" ref="D20:W20" si="2">$X$7</f>
        <v>220826</v>
      </c>
      <c r="E20" s="24">
        <f t="shared" si="2"/>
        <v>220826</v>
      </c>
      <c r="F20" s="24">
        <f t="shared" si="2"/>
        <v>220826</v>
      </c>
      <c r="G20" s="24">
        <f t="shared" si="2"/>
        <v>220826</v>
      </c>
      <c r="H20" s="24">
        <f t="shared" si="2"/>
        <v>220826</v>
      </c>
      <c r="I20" s="24">
        <f t="shared" si="2"/>
        <v>220826</v>
      </c>
      <c r="J20" s="24">
        <f t="shared" si="2"/>
        <v>220826</v>
      </c>
      <c r="K20" s="24">
        <f t="shared" si="2"/>
        <v>220826</v>
      </c>
      <c r="L20" s="24">
        <f t="shared" si="2"/>
        <v>220826</v>
      </c>
      <c r="M20" s="24">
        <f t="shared" si="2"/>
        <v>220826</v>
      </c>
      <c r="N20" s="24">
        <f t="shared" si="2"/>
        <v>220826</v>
      </c>
      <c r="O20" s="24">
        <f t="shared" si="2"/>
        <v>220826</v>
      </c>
      <c r="P20" s="24">
        <f t="shared" si="2"/>
        <v>220826</v>
      </c>
      <c r="Q20" s="24">
        <f t="shared" si="2"/>
        <v>220826</v>
      </c>
      <c r="R20" s="24">
        <f t="shared" si="2"/>
        <v>220826</v>
      </c>
      <c r="S20" s="24">
        <f t="shared" si="2"/>
        <v>220826</v>
      </c>
      <c r="T20" s="24">
        <f t="shared" si="2"/>
        <v>220826</v>
      </c>
      <c r="U20" s="24">
        <f t="shared" si="2"/>
        <v>220826</v>
      </c>
      <c r="V20" s="24">
        <f t="shared" si="2"/>
        <v>220826</v>
      </c>
      <c r="W20" s="24">
        <f t="shared" si="2"/>
        <v>220826</v>
      </c>
      <c r="X20">
        <v>220826</v>
      </c>
      <c r="Y20" s="24">
        <v>220826</v>
      </c>
      <c r="Z20" s="24">
        <v>220826</v>
      </c>
      <c r="AA20" s="24">
        <v>220826</v>
      </c>
      <c r="AB20" s="24">
        <v>220826</v>
      </c>
      <c r="AC20" s="24">
        <v>220826</v>
      </c>
      <c r="AD20" s="24">
        <v>220826</v>
      </c>
      <c r="AE20" s="24">
        <v>220826</v>
      </c>
      <c r="AF20" s="24">
        <v>220826</v>
      </c>
      <c r="AG20" s="24">
        <v>220826</v>
      </c>
      <c r="AH20" s="24">
        <v>220826</v>
      </c>
      <c r="AI20" s="24">
        <v>220826</v>
      </c>
      <c r="AJ20" s="24">
        <v>220826</v>
      </c>
      <c r="AK20" s="24">
        <v>220826</v>
      </c>
      <c r="AL20" s="24">
        <v>220826</v>
      </c>
      <c r="AM20" s="24">
        <v>220826</v>
      </c>
      <c r="AN20" s="24">
        <v>220826</v>
      </c>
      <c r="AO20" s="24">
        <v>220826</v>
      </c>
      <c r="AP20" s="24">
        <v>220826</v>
      </c>
      <c r="AQ20" s="24">
        <v>220826</v>
      </c>
      <c r="AR20">
        <v>220826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
  <sheetViews>
    <sheetView workbookViewId="0">
      <selection activeCell="A23" sqref="A23:B23"/>
    </sheetView>
  </sheetViews>
  <sheetFormatPr defaultRowHeight="14.5" x14ac:dyDescent="0.35"/>
  <cols>
    <col min="1" max="1" width="27" customWidth="1"/>
    <col min="2" max="2" width="8.90625" bestFit="1" customWidth="1"/>
    <col min="10" max="12" width="10.26953125" bestFit="1" customWidth="1"/>
  </cols>
  <sheetData>
    <row r="1" spans="1:44" ht="14.25" x14ac:dyDescent="0.45">
      <c r="D1" s="23" t="s">
        <v>173</v>
      </c>
      <c r="E1" s="23"/>
      <c r="F1" s="23"/>
      <c r="G1" s="23"/>
      <c r="H1" s="23"/>
      <c r="I1" s="23"/>
    </row>
    <row r="2" spans="1:44" ht="14.25" x14ac:dyDescent="0.45">
      <c r="A2" t="s">
        <v>175</v>
      </c>
    </row>
    <row r="3" spans="1:44" ht="14.25" x14ac:dyDescent="0.45">
      <c r="A3" t="s">
        <v>145</v>
      </c>
      <c r="B3">
        <v>2008</v>
      </c>
      <c r="C3">
        <v>2009</v>
      </c>
      <c r="D3">
        <v>2010</v>
      </c>
      <c r="E3">
        <v>2011</v>
      </c>
      <c r="F3">
        <v>2012</v>
      </c>
      <c r="G3">
        <v>2013</v>
      </c>
      <c r="H3">
        <v>2014</v>
      </c>
      <c r="I3">
        <v>2015</v>
      </c>
      <c r="J3">
        <v>2016</v>
      </c>
      <c r="K3">
        <v>2017</v>
      </c>
      <c r="L3">
        <v>2018</v>
      </c>
      <c r="M3">
        <v>2019</v>
      </c>
      <c r="N3">
        <v>2020</v>
      </c>
      <c r="O3">
        <v>2021</v>
      </c>
      <c r="P3">
        <v>2022</v>
      </c>
      <c r="Q3">
        <v>2023</v>
      </c>
      <c r="R3">
        <v>2024</v>
      </c>
      <c r="S3">
        <v>2025</v>
      </c>
      <c r="T3">
        <v>2026</v>
      </c>
      <c r="U3">
        <v>2027</v>
      </c>
      <c r="V3">
        <v>2028</v>
      </c>
      <c r="W3">
        <v>2029</v>
      </c>
      <c r="X3">
        <v>2030</v>
      </c>
      <c r="Y3">
        <v>2031</v>
      </c>
      <c r="Z3">
        <v>2032</v>
      </c>
      <c r="AA3">
        <v>2033</v>
      </c>
      <c r="AB3">
        <v>2034</v>
      </c>
      <c r="AC3">
        <v>2035</v>
      </c>
      <c r="AD3">
        <v>2036</v>
      </c>
      <c r="AE3">
        <v>2037</v>
      </c>
      <c r="AF3">
        <v>2038</v>
      </c>
      <c r="AG3">
        <v>2039</v>
      </c>
      <c r="AH3">
        <v>2040</v>
      </c>
      <c r="AI3">
        <v>2041</v>
      </c>
      <c r="AJ3">
        <v>2042</v>
      </c>
      <c r="AK3">
        <v>2043</v>
      </c>
      <c r="AL3">
        <v>2044</v>
      </c>
      <c r="AM3">
        <v>2045</v>
      </c>
      <c r="AN3">
        <v>2046</v>
      </c>
      <c r="AO3">
        <v>2047</v>
      </c>
      <c r="AP3">
        <v>2048</v>
      </c>
      <c r="AQ3">
        <v>2049</v>
      </c>
      <c r="AR3">
        <v>2050</v>
      </c>
    </row>
    <row r="4" spans="1:44" ht="14.25" x14ac:dyDescent="0.45">
      <c r="A4" t="s">
        <v>141</v>
      </c>
      <c r="B4">
        <v>58211</v>
      </c>
      <c r="C4">
        <v>0</v>
      </c>
      <c r="D4">
        <v>0</v>
      </c>
      <c r="E4">
        <v>0</v>
      </c>
      <c r="F4">
        <v>0</v>
      </c>
      <c r="G4">
        <v>0</v>
      </c>
      <c r="H4">
        <v>0</v>
      </c>
      <c r="I4">
        <v>0</v>
      </c>
      <c r="J4">
        <v>0</v>
      </c>
      <c r="K4">
        <v>0</v>
      </c>
      <c r="L4">
        <v>0</v>
      </c>
      <c r="M4">
        <v>0</v>
      </c>
      <c r="N4">
        <v>0</v>
      </c>
      <c r="O4">
        <v>0</v>
      </c>
      <c r="P4">
        <v>0</v>
      </c>
      <c r="Q4">
        <v>0</v>
      </c>
      <c r="R4">
        <v>0</v>
      </c>
      <c r="S4">
        <v>0</v>
      </c>
      <c r="T4">
        <v>0</v>
      </c>
      <c r="U4">
        <v>0</v>
      </c>
      <c r="V4">
        <v>0</v>
      </c>
      <c r="W4">
        <v>0</v>
      </c>
      <c r="X4">
        <v>58211</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ht="14.25" x14ac:dyDescent="0.45">
      <c r="A5" t="s">
        <v>148</v>
      </c>
      <c r="B5">
        <v>66861</v>
      </c>
      <c r="C5">
        <v>0</v>
      </c>
      <c r="D5">
        <v>0</v>
      </c>
      <c r="E5">
        <v>0</v>
      </c>
      <c r="F5">
        <v>0</v>
      </c>
      <c r="G5">
        <v>0</v>
      </c>
      <c r="H5">
        <v>0</v>
      </c>
      <c r="I5">
        <v>0</v>
      </c>
      <c r="J5">
        <v>0</v>
      </c>
      <c r="K5">
        <v>0</v>
      </c>
      <c r="L5">
        <v>0</v>
      </c>
      <c r="M5">
        <v>0</v>
      </c>
      <c r="N5">
        <v>0</v>
      </c>
      <c r="O5">
        <v>0</v>
      </c>
      <c r="P5">
        <v>0</v>
      </c>
      <c r="Q5">
        <v>0</v>
      </c>
      <c r="R5">
        <v>0</v>
      </c>
      <c r="S5">
        <v>0</v>
      </c>
      <c r="T5">
        <v>0</v>
      </c>
      <c r="U5">
        <v>0</v>
      </c>
      <c r="V5">
        <v>0</v>
      </c>
      <c r="W5">
        <v>0</v>
      </c>
      <c r="X5">
        <v>66861</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ht="14.25" x14ac:dyDescent="0.45">
      <c r="A6" t="s">
        <v>142</v>
      </c>
      <c r="B6">
        <v>58211</v>
      </c>
      <c r="C6">
        <v>0</v>
      </c>
      <c r="D6">
        <v>0</v>
      </c>
      <c r="E6">
        <v>0</v>
      </c>
      <c r="F6">
        <v>0</v>
      </c>
      <c r="G6">
        <v>0</v>
      </c>
      <c r="H6">
        <v>0</v>
      </c>
      <c r="I6">
        <v>0</v>
      </c>
      <c r="J6">
        <v>0</v>
      </c>
      <c r="K6">
        <v>0</v>
      </c>
      <c r="L6">
        <v>0</v>
      </c>
      <c r="M6">
        <v>0</v>
      </c>
      <c r="N6">
        <v>0</v>
      </c>
      <c r="O6">
        <v>0</v>
      </c>
      <c r="P6">
        <v>0</v>
      </c>
      <c r="Q6">
        <v>0</v>
      </c>
      <c r="R6">
        <v>0</v>
      </c>
      <c r="S6">
        <v>0</v>
      </c>
      <c r="T6">
        <v>0</v>
      </c>
      <c r="U6">
        <v>0</v>
      </c>
      <c r="V6">
        <v>0</v>
      </c>
      <c r="W6">
        <v>0</v>
      </c>
      <c r="X6">
        <v>64794</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ht="14.25" x14ac:dyDescent="0.45">
      <c r="A7" t="s">
        <v>143</v>
      </c>
      <c r="B7">
        <v>66861</v>
      </c>
      <c r="C7">
        <v>0</v>
      </c>
      <c r="D7">
        <v>0</v>
      </c>
      <c r="E7">
        <v>0</v>
      </c>
      <c r="F7">
        <v>0</v>
      </c>
      <c r="G7">
        <v>0</v>
      </c>
      <c r="H7">
        <v>0</v>
      </c>
      <c r="I7">
        <v>0</v>
      </c>
      <c r="J7">
        <v>0</v>
      </c>
      <c r="K7">
        <v>0</v>
      </c>
      <c r="L7">
        <v>0</v>
      </c>
      <c r="M7">
        <v>0</v>
      </c>
      <c r="N7">
        <v>0</v>
      </c>
      <c r="O7">
        <v>0</v>
      </c>
      <c r="P7">
        <v>0</v>
      </c>
      <c r="Q7">
        <v>0</v>
      </c>
      <c r="R7">
        <v>0</v>
      </c>
      <c r="S7">
        <v>0</v>
      </c>
      <c r="T7">
        <v>0</v>
      </c>
      <c r="U7">
        <v>0</v>
      </c>
      <c r="V7">
        <v>0</v>
      </c>
      <c r="W7">
        <v>0</v>
      </c>
      <c r="X7">
        <v>74723</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ht="14.25" x14ac:dyDescent="0.45">
      <c r="A8" t="s">
        <v>149</v>
      </c>
      <c r="B8">
        <v>79211</v>
      </c>
      <c r="C8">
        <v>0</v>
      </c>
      <c r="D8">
        <v>0</v>
      </c>
      <c r="E8">
        <v>0</v>
      </c>
      <c r="F8">
        <v>0</v>
      </c>
      <c r="G8">
        <v>0</v>
      </c>
      <c r="H8">
        <v>0</v>
      </c>
      <c r="I8">
        <v>0</v>
      </c>
      <c r="J8">
        <v>0</v>
      </c>
      <c r="K8">
        <v>0</v>
      </c>
      <c r="L8">
        <v>0</v>
      </c>
      <c r="M8">
        <v>0</v>
      </c>
      <c r="N8">
        <v>0</v>
      </c>
      <c r="O8">
        <v>0</v>
      </c>
      <c r="P8">
        <v>0</v>
      </c>
      <c r="Q8">
        <v>0</v>
      </c>
      <c r="R8">
        <v>0</v>
      </c>
      <c r="S8">
        <v>0</v>
      </c>
      <c r="T8">
        <v>0</v>
      </c>
      <c r="U8">
        <v>0</v>
      </c>
      <c r="V8">
        <v>0</v>
      </c>
      <c r="W8">
        <v>0</v>
      </c>
      <c r="X8">
        <v>76936</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ht="14.25" x14ac:dyDescent="0.45">
      <c r="A9" t="s">
        <v>150</v>
      </c>
      <c r="B9">
        <v>79211</v>
      </c>
      <c r="C9" s="24">
        <v>76936</v>
      </c>
      <c r="D9" s="24">
        <v>76936</v>
      </c>
      <c r="E9" s="24">
        <v>76936</v>
      </c>
      <c r="F9" s="24">
        <v>76936</v>
      </c>
      <c r="G9" s="24">
        <v>76936</v>
      </c>
      <c r="H9" s="24">
        <v>76936</v>
      </c>
      <c r="I9" s="24">
        <v>76936</v>
      </c>
      <c r="J9" s="24">
        <v>76936</v>
      </c>
      <c r="K9" s="24">
        <v>76936</v>
      </c>
      <c r="L9" s="24">
        <v>76936</v>
      </c>
      <c r="M9" s="24">
        <v>76936</v>
      </c>
      <c r="N9" s="24">
        <v>76936</v>
      </c>
      <c r="O9" s="24">
        <v>76936</v>
      </c>
      <c r="P9" s="24">
        <v>76936</v>
      </c>
      <c r="Q9" s="24">
        <v>76936</v>
      </c>
      <c r="R9" s="24">
        <v>76936</v>
      </c>
      <c r="S9" s="24">
        <v>76936</v>
      </c>
      <c r="T9" s="24">
        <v>76936</v>
      </c>
      <c r="U9" s="24">
        <v>76936</v>
      </c>
      <c r="V9" s="24">
        <v>76936</v>
      </c>
      <c r="W9" s="24">
        <v>76936</v>
      </c>
      <c r="X9">
        <v>76936</v>
      </c>
      <c r="Y9" s="24">
        <v>76936</v>
      </c>
      <c r="Z9" s="24">
        <v>76936</v>
      </c>
      <c r="AA9" s="24">
        <v>76936</v>
      </c>
      <c r="AB9" s="24">
        <v>76936</v>
      </c>
      <c r="AC9" s="24">
        <v>76936</v>
      </c>
      <c r="AD9" s="24">
        <v>76936</v>
      </c>
      <c r="AE9" s="24">
        <v>76936</v>
      </c>
      <c r="AF9" s="24">
        <v>76936</v>
      </c>
      <c r="AG9" s="24">
        <v>76936</v>
      </c>
      <c r="AH9" s="24">
        <v>76936</v>
      </c>
      <c r="AI9" s="24">
        <v>76936</v>
      </c>
      <c r="AJ9" s="24">
        <v>76936</v>
      </c>
      <c r="AK9" s="24">
        <v>76936</v>
      </c>
      <c r="AL9" s="24">
        <v>76936</v>
      </c>
      <c r="AM9" s="24">
        <v>76936</v>
      </c>
      <c r="AN9" s="24">
        <v>76936</v>
      </c>
      <c r="AO9" s="24">
        <v>76936</v>
      </c>
      <c r="AP9" s="24">
        <v>76936</v>
      </c>
      <c r="AQ9" s="24">
        <v>76936</v>
      </c>
      <c r="AR9" s="24">
        <v>76936</v>
      </c>
    </row>
    <row r="10" spans="1:44" ht="14.25" x14ac:dyDescent="0.45">
      <c r="A10" t="s">
        <v>151</v>
      </c>
      <c r="B10">
        <v>83361</v>
      </c>
      <c r="C10" s="24">
        <v>88604</v>
      </c>
      <c r="D10" s="24">
        <v>88604</v>
      </c>
      <c r="E10" s="24">
        <v>88604</v>
      </c>
      <c r="F10" s="24">
        <v>88604</v>
      </c>
      <c r="G10" s="24">
        <v>88604</v>
      </c>
      <c r="H10" s="24">
        <v>88604</v>
      </c>
      <c r="I10" s="24">
        <v>88604</v>
      </c>
      <c r="J10" s="24">
        <v>88604</v>
      </c>
      <c r="K10" s="24">
        <v>88604</v>
      </c>
      <c r="L10" s="24">
        <v>88604</v>
      </c>
      <c r="M10" s="24">
        <v>88604</v>
      </c>
      <c r="N10" s="24">
        <v>88604</v>
      </c>
      <c r="O10" s="24">
        <v>88604</v>
      </c>
      <c r="P10" s="24">
        <v>88604</v>
      </c>
      <c r="Q10" s="24">
        <v>88604</v>
      </c>
      <c r="R10" s="24">
        <v>88604</v>
      </c>
      <c r="S10" s="24">
        <v>88604</v>
      </c>
      <c r="T10" s="24">
        <v>88604</v>
      </c>
      <c r="U10" s="24">
        <v>88604</v>
      </c>
      <c r="V10" s="24">
        <v>88604</v>
      </c>
      <c r="W10" s="24">
        <v>88604</v>
      </c>
      <c r="X10">
        <v>88604</v>
      </c>
      <c r="Y10" s="24">
        <v>88604</v>
      </c>
      <c r="Z10" s="24">
        <v>88604</v>
      </c>
      <c r="AA10" s="24">
        <v>88604</v>
      </c>
      <c r="AB10" s="24">
        <v>88604</v>
      </c>
      <c r="AC10" s="24">
        <v>88604</v>
      </c>
      <c r="AD10" s="24">
        <v>88604</v>
      </c>
      <c r="AE10" s="24">
        <v>88604</v>
      </c>
      <c r="AF10" s="24">
        <v>88604</v>
      </c>
      <c r="AG10" s="24">
        <v>88604</v>
      </c>
      <c r="AH10" s="24">
        <v>88604</v>
      </c>
      <c r="AI10" s="24">
        <v>88604</v>
      </c>
      <c r="AJ10" s="24">
        <v>88604</v>
      </c>
      <c r="AK10" s="24">
        <v>88604</v>
      </c>
      <c r="AL10" s="24">
        <v>88604</v>
      </c>
      <c r="AM10" s="24">
        <v>88604</v>
      </c>
      <c r="AN10" s="24">
        <v>88604</v>
      </c>
      <c r="AO10" s="24">
        <v>88604</v>
      </c>
      <c r="AP10" s="24">
        <v>88604</v>
      </c>
      <c r="AQ10" s="24">
        <v>88604</v>
      </c>
      <c r="AR10" s="24">
        <v>88604</v>
      </c>
    </row>
    <row r="11" spans="1:44" ht="14.25" x14ac:dyDescent="0.45">
      <c r="A11" t="s">
        <v>144</v>
      </c>
      <c r="B11">
        <v>0</v>
      </c>
      <c r="C11">
        <v>0</v>
      </c>
      <c r="D11">
        <v>181100</v>
      </c>
      <c r="E11">
        <v>0</v>
      </c>
      <c r="F11">
        <v>0</v>
      </c>
      <c r="G11">
        <v>0</v>
      </c>
      <c r="H11">
        <v>0</v>
      </c>
      <c r="I11">
        <v>0</v>
      </c>
      <c r="J11">
        <v>0</v>
      </c>
      <c r="K11">
        <v>0</v>
      </c>
      <c r="L11">
        <v>0</v>
      </c>
      <c r="M11">
        <v>0</v>
      </c>
      <c r="N11">
        <v>0</v>
      </c>
      <c r="O11">
        <v>0</v>
      </c>
      <c r="P11">
        <v>0</v>
      </c>
      <c r="Q11">
        <v>0</v>
      </c>
      <c r="R11">
        <v>0</v>
      </c>
      <c r="S11">
        <v>0</v>
      </c>
      <c r="T11">
        <v>0</v>
      </c>
      <c r="U11">
        <v>0</v>
      </c>
      <c r="V11">
        <v>0</v>
      </c>
      <c r="W11">
        <v>0</v>
      </c>
      <c r="X11">
        <v>97820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ht="14.25" x14ac:dyDescent="0.45">
      <c r="A12" t="s">
        <v>152</v>
      </c>
      <c r="B12">
        <v>0</v>
      </c>
      <c r="C12">
        <v>0</v>
      </c>
      <c r="D12">
        <v>227500</v>
      </c>
      <c r="E12">
        <v>0</v>
      </c>
      <c r="F12">
        <v>0</v>
      </c>
      <c r="G12">
        <v>0</v>
      </c>
      <c r="H12">
        <v>0</v>
      </c>
      <c r="I12">
        <v>0</v>
      </c>
      <c r="J12">
        <v>0</v>
      </c>
      <c r="K12">
        <v>0</v>
      </c>
      <c r="L12">
        <v>0</v>
      </c>
      <c r="M12">
        <v>0</v>
      </c>
      <c r="N12">
        <v>0</v>
      </c>
      <c r="O12">
        <v>0</v>
      </c>
      <c r="P12">
        <v>0</v>
      </c>
      <c r="Q12">
        <v>0</v>
      </c>
      <c r="R12">
        <v>0</v>
      </c>
      <c r="S12">
        <v>0</v>
      </c>
      <c r="T12">
        <v>0</v>
      </c>
      <c r="U12">
        <v>0</v>
      </c>
      <c r="V12">
        <v>0</v>
      </c>
      <c r="W12">
        <v>0</v>
      </c>
      <c r="X12">
        <v>78860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ht="14.25" x14ac:dyDescent="0.45">
      <c r="A13" t="s">
        <v>153</v>
      </c>
      <c r="B13">
        <v>58211</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64794</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ht="14.25" x14ac:dyDescent="0.45">
      <c r="A14" t="s">
        <v>154</v>
      </c>
      <c r="B14">
        <v>66861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74723</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ht="14.25" x14ac:dyDescent="0.45">
      <c r="A15" t="s">
        <v>155</v>
      </c>
      <c r="B15">
        <v>79211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76936</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ht="14.25" x14ac:dyDescent="0.45">
      <c r="A16" t="s">
        <v>156</v>
      </c>
      <c r="B16">
        <v>0</v>
      </c>
      <c r="C16">
        <v>0</v>
      </c>
      <c r="D16">
        <v>227500</v>
      </c>
      <c r="E16">
        <v>0</v>
      </c>
      <c r="F16">
        <v>0</v>
      </c>
      <c r="G16">
        <v>0</v>
      </c>
      <c r="H16">
        <v>0</v>
      </c>
      <c r="I16">
        <v>0</v>
      </c>
      <c r="J16">
        <v>0</v>
      </c>
      <c r="K16">
        <v>0</v>
      </c>
      <c r="L16">
        <v>0</v>
      </c>
      <c r="M16">
        <v>0</v>
      </c>
      <c r="N16">
        <v>0</v>
      </c>
      <c r="O16">
        <v>0</v>
      </c>
      <c r="P16">
        <v>0</v>
      </c>
      <c r="Q16">
        <v>0</v>
      </c>
      <c r="R16">
        <v>0</v>
      </c>
      <c r="S16">
        <v>0</v>
      </c>
      <c r="T16">
        <v>0</v>
      </c>
      <c r="U16">
        <v>0</v>
      </c>
      <c r="V16">
        <v>0</v>
      </c>
      <c r="W16">
        <v>0</v>
      </c>
      <c r="X16">
        <v>78860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ht="14.25" x14ac:dyDescent="0.45">
      <c r="A17" t="s">
        <v>157</v>
      </c>
      <c r="B17">
        <v>0</v>
      </c>
      <c r="C17">
        <v>0</v>
      </c>
      <c r="D17">
        <v>181100</v>
      </c>
      <c r="E17">
        <v>0</v>
      </c>
      <c r="F17">
        <v>0</v>
      </c>
      <c r="G17">
        <v>0</v>
      </c>
      <c r="H17">
        <v>0</v>
      </c>
      <c r="I17">
        <v>0</v>
      </c>
      <c r="J17">
        <v>0</v>
      </c>
      <c r="K17">
        <v>0</v>
      </c>
      <c r="L17">
        <v>0</v>
      </c>
      <c r="M17">
        <v>0</v>
      </c>
      <c r="N17">
        <v>0</v>
      </c>
      <c r="O17">
        <v>0</v>
      </c>
      <c r="P17">
        <v>0</v>
      </c>
      <c r="Q17">
        <v>0</v>
      </c>
      <c r="R17">
        <v>0</v>
      </c>
      <c r="S17">
        <v>0</v>
      </c>
      <c r="T17">
        <v>0</v>
      </c>
      <c r="U17">
        <v>0</v>
      </c>
      <c r="V17">
        <v>0</v>
      </c>
      <c r="W17">
        <v>0</v>
      </c>
      <c r="X17">
        <v>97820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9" spans="1:44" ht="14.25" x14ac:dyDescent="0.45">
      <c r="A19" t="s">
        <v>176</v>
      </c>
    </row>
    <row r="20" spans="1:44" ht="15" x14ac:dyDescent="0.25">
      <c r="A20" t="s">
        <v>145</v>
      </c>
      <c r="B20">
        <v>2008</v>
      </c>
      <c r="C20">
        <v>2009</v>
      </c>
      <c r="D20">
        <v>2010</v>
      </c>
      <c r="E20">
        <v>2011</v>
      </c>
      <c r="F20">
        <v>2012</v>
      </c>
      <c r="G20">
        <v>2013</v>
      </c>
      <c r="H20">
        <v>2014</v>
      </c>
      <c r="I20">
        <v>2015</v>
      </c>
      <c r="J20">
        <v>2016</v>
      </c>
      <c r="K20">
        <v>2017</v>
      </c>
      <c r="L20">
        <v>2018</v>
      </c>
      <c r="M20">
        <v>2019</v>
      </c>
      <c r="N20">
        <v>2020</v>
      </c>
      <c r="O20">
        <v>2021</v>
      </c>
      <c r="P20">
        <v>2022</v>
      </c>
      <c r="Q20">
        <v>2023</v>
      </c>
      <c r="R20">
        <v>2024</v>
      </c>
      <c r="S20">
        <v>2025</v>
      </c>
      <c r="T20">
        <v>2026</v>
      </c>
      <c r="U20">
        <v>2027</v>
      </c>
      <c r="V20">
        <v>2028</v>
      </c>
      <c r="W20">
        <v>2029</v>
      </c>
      <c r="X20">
        <v>2030</v>
      </c>
      <c r="Y20">
        <v>2031</v>
      </c>
      <c r="Z20">
        <v>2032</v>
      </c>
      <c r="AA20">
        <v>2033</v>
      </c>
      <c r="AB20">
        <v>2034</v>
      </c>
      <c r="AC20">
        <v>2035</v>
      </c>
      <c r="AD20">
        <v>2036</v>
      </c>
      <c r="AE20">
        <v>2037</v>
      </c>
      <c r="AF20">
        <v>2038</v>
      </c>
      <c r="AG20">
        <v>2039</v>
      </c>
      <c r="AH20">
        <v>2040</v>
      </c>
      <c r="AI20">
        <v>2041</v>
      </c>
      <c r="AJ20">
        <v>2042</v>
      </c>
      <c r="AK20">
        <v>2043</v>
      </c>
      <c r="AL20">
        <v>2044</v>
      </c>
      <c r="AM20">
        <v>2045</v>
      </c>
      <c r="AN20">
        <v>2046</v>
      </c>
      <c r="AO20">
        <v>2047</v>
      </c>
      <c r="AP20">
        <v>2048</v>
      </c>
      <c r="AQ20">
        <v>2049</v>
      </c>
      <c r="AR20">
        <v>2050</v>
      </c>
    </row>
    <row r="21" spans="1:44" x14ac:dyDescent="0.35">
      <c r="A21" t="s">
        <v>142</v>
      </c>
      <c r="B21" s="17">
        <f>58211*About!$A$103</f>
        <v>62169.348000000005</v>
      </c>
      <c r="C21" s="17">
        <f>58211*About!$A$103</f>
        <v>62169.348000000005</v>
      </c>
      <c r="D21" s="17">
        <f>58211*About!$A$103</f>
        <v>62169.348000000005</v>
      </c>
      <c r="E21" s="17">
        <f>58211*About!$A$103</f>
        <v>62169.348000000005</v>
      </c>
      <c r="F21" s="17">
        <f>58211*About!$A$103</f>
        <v>62169.348000000005</v>
      </c>
      <c r="G21" s="17">
        <f>58211*About!$A$103</f>
        <v>62169.348000000005</v>
      </c>
      <c r="H21" s="17">
        <f>58211*About!$A$103</f>
        <v>62169.348000000005</v>
      </c>
      <c r="I21" s="17">
        <f>58211*About!$A$103</f>
        <v>62169.348000000005</v>
      </c>
      <c r="J21" s="17">
        <f>58211*About!$A$103</f>
        <v>62169.348000000005</v>
      </c>
      <c r="K21" s="17">
        <f>58211*About!$A$103</f>
        <v>62169.348000000005</v>
      </c>
      <c r="L21" s="17">
        <f>58211*About!$A$103</f>
        <v>62169.348000000005</v>
      </c>
      <c r="M21" s="17">
        <f>58211*About!$A$103</f>
        <v>62169.348000000005</v>
      </c>
      <c r="N21" s="17">
        <f>58211*About!$A$103</f>
        <v>62169.348000000005</v>
      </c>
      <c r="O21" s="17">
        <f>58211*About!$A$103</f>
        <v>62169.348000000005</v>
      </c>
      <c r="P21" s="17">
        <f>58211*About!$A$103</f>
        <v>62169.348000000005</v>
      </c>
      <c r="Q21" s="17">
        <f>58211*About!$A$103</f>
        <v>62169.348000000005</v>
      </c>
      <c r="R21" s="17">
        <f>58211*About!$A$103</f>
        <v>62169.348000000005</v>
      </c>
      <c r="S21" s="17">
        <f>58211*About!$A$103</f>
        <v>62169.348000000005</v>
      </c>
      <c r="T21" s="17">
        <f>58211*About!$A$103</f>
        <v>62169.348000000005</v>
      </c>
      <c r="U21" s="17">
        <f>58211*About!$A$103</f>
        <v>62169.348000000005</v>
      </c>
      <c r="V21" s="17">
        <f>58211*About!$A$103</f>
        <v>62169.348000000005</v>
      </c>
      <c r="W21" s="17">
        <f>58211*About!$A$103</f>
        <v>62169.348000000005</v>
      </c>
      <c r="X21" s="17">
        <f>58211*About!$A$103</f>
        <v>62169.348000000005</v>
      </c>
      <c r="Y21" s="17">
        <f>58211*About!$A$103</f>
        <v>62169.348000000005</v>
      </c>
      <c r="Z21" s="17">
        <f>58211*About!$A$103</f>
        <v>62169.348000000005</v>
      </c>
      <c r="AA21" s="17">
        <f>58211*About!$A$103</f>
        <v>62169.348000000005</v>
      </c>
      <c r="AB21" s="17">
        <f>58211*About!$A$103</f>
        <v>62169.348000000005</v>
      </c>
      <c r="AC21" s="17">
        <f>58211*About!$A$103</f>
        <v>62169.348000000005</v>
      </c>
      <c r="AD21" s="17">
        <f>58211*About!$A$103</f>
        <v>62169.348000000005</v>
      </c>
      <c r="AE21" s="17">
        <f>58211*About!$A$103</f>
        <v>62169.348000000005</v>
      </c>
      <c r="AF21" s="17">
        <f>58211*About!$A$103</f>
        <v>62169.348000000005</v>
      </c>
      <c r="AG21" s="17">
        <f>58211*About!$A$103</f>
        <v>62169.348000000005</v>
      </c>
      <c r="AH21" s="17">
        <f>58211*About!$A$103</f>
        <v>62169.348000000005</v>
      </c>
      <c r="AI21" s="17">
        <f>58211*About!$A$103</f>
        <v>62169.348000000005</v>
      </c>
      <c r="AJ21" s="17">
        <f>58211*About!$A$103</f>
        <v>62169.348000000005</v>
      </c>
      <c r="AK21" s="17">
        <f>58211*About!$A$103</f>
        <v>62169.348000000005</v>
      </c>
      <c r="AL21" s="17">
        <f>58211*About!$A$103</f>
        <v>62169.348000000005</v>
      </c>
      <c r="AM21" s="17">
        <f>58211*About!$A$103</f>
        <v>62169.348000000005</v>
      </c>
      <c r="AN21" s="17">
        <f>58211*About!$A$103</f>
        <v>62169.348000000005</v>
      </c>
      <c r="AO21" s="17">
        <f>58211*About!$A$103</f>
        <v>62169.348000000005</v>
      </c>
      <c r="AP21" s="17">
        <f>58211*About!$A$103</f>
        <v>62169.348000000005</v>
      </c>
      <c r="AQ21" s="17">
        <f>58211*About!$A$103</f>
        <v>62169.348000000005</v>
      </c>
      <c r="AR21" s="17">
        <f>58211*About!$A$103</f>
        <v>62169.348000000005</v>
      </c>
    </row>
    <row r="22" spans="1:44" x14ac:dyDescent="0.35">
      <c r="A22" t="s">
        <v>143</v>
      </c>
      <c r="B22" s="17">
        <f>66861*About!$A$103</f>
        <v>71407.54800000001</v>
      </c>
      <c r="C22" s="17">
        <f>66861*About!$A$103</f>
        <v>71407.54800000001</v>
      </c>
      <c r="D22" s="17">
        <f>66861*About!$A$103</f>
        <v>71407.54800000001</v>
      </c>
      <c r="E22" s="17">
        <f>66861*About!$A$103</f>
        <v>71407.54800000001</v>
      </c>
      <c r="F22" s="17">
        <f>66861*About!$A$103</f>
        <v>71407.54800000001</v>
      </c>
      <c r="G22" s="17">
        <f>66861*About!$A$103</f>
        <v>71407.54800000001</v>
      </c>
      <c r="H22" s="17">
        <f>66861*About!$A$103</f>
        <v>71407.54800000001</v>
      </c>
      <c r="I22" s="17">
        <f>66861*About!$A$103</f>
        <v>71407.54800000001</v>
      </c>
      <c r="J22" s="17">
        <f>66861*About!$A$103</f>
        <v>71407.54800000001</v>
      </c>
      <c r="K22" s="17">
        <f>66861*About!$A$103</f>
        <v>71407.54800000001</v>
      </c>
      <c r="L22" s="17">
        <f>66861*About!$A$103</f>
        <v>71407.54800000001</v>
      </c>
      <c r="M22" s="17">
        <f>66861*About!$A$103</f>
        <v>71407.54800000001</v>
      </c>
      <c r="N22" s="17">
        <f>66861*About!$A$103</f>
        <v>71407.54800000001</v>
      </c>
      <c r="O22" s="17">
        <f>66861*About!$A$103</f>
        <v>71407.54800000001</v>
      </c>
      <c r="P22" s="17">
        <f>66861*About!$A$103</f>
        <v>71407.54800000001</v>
      </c>
      <c r="Q22" s="17">
        <f>66861*About!$A$103</f>
        <v>71407.54800000001</v>
      </c>
      <c r="R22" s="17">
        <f>66861*About!$A$103</f>
        <v>71407.54800000001</v>
      </c>
      <c r="S22" s="17">
        <f>66861*About!$A$103</f>
        <v>71407.54800000001</v>
      </c>
      <c r="T22" s="17">
        <f>66861*About!$A$103</f>
        <v>71407.54800000001</v>
      </c>
      <c r="U22" s="17">
        <f>66861*About!$A$103</f>
        <v>71407.54800000001</v>
      </c>
      <c r="V22" s="17">
        <f>66861*About!$A$103</f>
        <v>71407.54800000001</v>
      </c>
      <c r="W22" s="17">
        <f>66861*About!$A$103</f>
        <v>71407.54800000001</v>
      </c>
      <c r="X22" s="17">
        <f>66861*About!$A$103</f>
        <v>71407.54800000001</v>
      </c>
      <c r="Y22" s="17">
        <f>66861*About!$A$103</f>
        <v>71407.54800000001</v>
      </c>
      <c r="Z22" s="17">
        <f>66861*About!$A$103</f>
        <v>71407.54800000001</v>
      </c>
      <c r="AA22" s="17">
        <f>66861*About!$A$103</f>
        <v>71407.54800000001</v>
      </c>
      <c r="AB22" s="17">
        <f>66861*About!$A$103</f>
        <v>71407.54800000001</v>
      </c>
      <c r="AC22" s="17">
        <f>66861*About!$A$103</f>
        <v>71407.54800000001</v>
      </c>
      <c r="AD22" s="17">
        <f>66861*About!$A$103</f>
        <v>71407.54800000001</v>
      </c>
      <c r="AE22" s="17">
        <f>66861*About!$A$103</f>
        <v>71407.54800000001</v>
      </c>
      <c r="AF22" s="17">
        <f>66861*About!$A$103</f>
        <v>71407.54800000001</v>
      </c>
      <c r="AG22" s="17">
        <f>66861*About!$A$103</f>
        <v>71407.54800000001</v>
      </c>
      <c r="AH22" s="17">
        <f>66861*About!$A$103</f>
        <v>71407.54800000001</v>
      </c>
      <c r="AI22" s="17">
        <f>66861*About!$A$103</f>
        <v>71407.54800000001</v>
      </c>
      <c r="AJ22" s="17">
        <f>66861*About!$A$103</f>
        <v>71407.54800000001</v>
      </c>
      <c r="AK22" s="17">
        <f>66861*About!$A$103</f>
        <v>71407.54800000001</v>
      </c>
      <c r="AL22" s="17">
        <f>66861*About!$A$103</f>
        <v>71407.54800000001</v>
      </c>
      <c r="AM22" s="17">
        <f>66861*About!$A$103</f>
        <v>71407.54800000001</v>
      </c>
      <c r="AN22" s="17">
        <f>66861*About!$A$103</f>
        <v>71407.54800000001</v>
      </c>
      <c r="AO22" s="17">
        <f>66861*About!$A$103</f>
        <v>71407.54800000001</v>
      </c>
      <c r="AP22" s="17">
        <f>66861*About!$A$103</f>
        <v>71407.54800000001</v>
      </c>
      <c r="AQ22" s="17">
        <f>66861*About!$A$103</f>
        <v>71407.54800000001</v>
      </c>
      <c r="AR22" s="17">
        <f>66861*About!$A$103</f>
        <v>71407.54800000001</v>
      </c>
    </row>
    <row r="23" spans="1:44" x14ac:dyDescent="0.35">
      <c r="A23" t="s">
        <v>144</v>
      </c>
      <c r="B23" s="17">
        <f>181100*About!$A$103</f>
        <v>193414.80000000002</v>
      </c>
      <c r="C23" s="17">
        <f>181100*About!$A$103</f>
        <v>193414.80000000002</v>
      </c>
      <c r="D23" s="17">
        <f>181100*About!$A$103</f>
        <v>193414.80000000002</v>
      </c>
      <c r="E23" s="17">
        <f>181100*About!$A$103</f>
        <v>193414.80000000002</v>
      </c>
      <c r="F23" s="17">
        <f>181100*About!$A$103</f>
        <v>193414.80000000002</v>
      </c>
      <c r="G23" s="17">
        <f>181100*About!$A$103</f>
        <v>193414.80000000002</v>
      </c>
      <c r="H23" s="17">
        <f>181100*About!$A$103</f>
        <v>193414.80000000002</v>
      </c>
      <c r="I23" s="17">
        <f>181100*About!$A$103</f>
        <v>193414.80000000002</v>
      </c>
      <c r="J23" s="17">
        <f>181100*About!$A$103</f>
        <v>193414.80000000002</v>
      </c>
      <c r="K23" s="17">
        <f>181100*About!$A$103</f>
        <v>193414.80000000002</v>
      </c>
      <c r="L23" s="17">
        <f>181100*About!$A$103</f>
        <v>193414.80000000002</v>
      </c>
      <c r="M23" s="17">
        <f>181100*About!$A$103</f>
        <v>193414.80000000002</v>
      </c>
      <c r="N23" s="17">
        <f>181100*About!$A$103</f>
        <v>193414.80000000002</v>
      </c>
      <c r="O23" s="17">
        <f>181100*About!$A$103</f>
        <v>193414.80000000002</v>
      </c>
      <c r="P23" s="17">
        <f>181100*About!$A$103</f>
        <v>193414.80000000002</v>
      </c>
      <c r="Q23" s="17">
        <f>181100*About!$A$103</f>
        <v>193414.80000000002</v>
      </c>
      <c r="R23" s="17">
        <f>181100*About!$A$103</f>
        <v>193414.80000000002</v>
      </c>
      <c r="S23" s="17">
        <f>181100*About!$A$103</f>
        <v>193414.80000000002</v>
      </c>
      <c r="T23" s="17">
        <f>181100*About!$A$103</f>
        <v>193414.80000000002</v>
      </c>
      <c r="U23" s="17">
        <f>181100*About!$A$103</f>
        <v>193414.80000000002</v>
      </c>
      <c r="V23" s="17">
        <f>181100*About!$A$103</f>
        <v>193414.80000000002</v>
      </c>
      <c r="W23" s="17">
        <f>181100*About!$A$103</f>
        <v>193414.80000000002</v>
      </c>
      <c r="X23" s="17">
        <f>181100*About!$A$103</f>
        <v>193414.80000000002</v>
      </c>
      <c r="Y23" s="17">
        <f>181100*About!$A$103</f>
        <v>193414.80000000002</v>
      </c>
      <c r="Z23" s="17">
        <f>181100*About!$A$103</f>
        <v>193414.80000000002</v>
      </c>
      <c r="AA23" s="17">
        <f>181100*About!$A$103</f>
        <v>193414.80000000002</v>
      </c>
      <c r="AB23" s="17">
        <f>181100*About!$A$103</f>
        <v>193414.80000000002</v>
      </c>
      <c r="AC23" s="17">
        <f>181100*About!$A$103</f>
        <v>193414.80000000002</v>
      </c>
      <c r="AD23" s="17">
        <f>181100*About!$A$103</f>
        <v>193414.80000000002</v>
      </c>
      <c r="AE23" s="17">
        <f>181100*About!$A$103</f>
        <v>193414.80000000002</v>
      </c>
      <c r="AF23" s="17">
        <f>181100*About!$A$103</f>
        <v>193414.80000000002</v>
      </c>
      <c r="AG23" s="17">
        <f>181100*About!$A$103</f>
        <v>193414.80000000002</v>
      </c>
      <c r="AH23" s="17">
        <f>181100*About!$A$103</f>
        <v>193414.80000000002</v>
      </c>
      <c r="AI23" s="17">
        <f>181100*About!$A$103</f>
        <v>193414.80000000002</v>
      </c>
      <c r="AJ23" s="17">
        <f>181100*About!$A$103</f>
        <v>193414.80000000002</v>
      </c>
      <c r="AK23" s="17">
        <f>181100*About!$A$103</f>
        <v>193414.80000000002</v>
      </c>
      <c r="AL23" s="17">
        <f>181100*About!$A$103</f>
        <v>193414.80000000002</v>
      </c>
      <c r="AM23" s="17">
        <f>181100*About!$A$103</f>
        <v>193414.80000000002</v>
      </c>
      <c r="AN23" s="17">
        <f>181100*About!$A$103</f>
        <v>193414.80000000002</v>
      </c>
      <c r="AO23" s="17">
        <f>181100*About!$A$103</f>
        <v>193414.80000000002</v>
      </c>
      <c r="AP23" s="17">
        <f>181100*About!$A$103</f>
        <v>193414.80000000002</v>
      </c>
      <c r="AQ23" s="17">
        <f>181100*About!$A$103</f>
        <v>193414.80000000002</v>
      </c>
      <c r="AR23" s="17">
        <f>181100*About!$A$103</f>
        <v>193414.80000000002</v>
      </c>
    </row>
    <row r="24" spans="1:44" x14ac:dyDescent="0.35">
      <c r="A24" t="s">
        <v>180</v>
      </c>
    </row>
    <row r="25" spans="1:44" x14ac:dyDescent="0.35">
      <c r="A25" t="s">
        <v>150</v>
      </c>
      <c r="B25">
        <f>79211*About!$A$103</f>
        <v>84597.347999999998</v>
      </c>
      <c r="C25">
        <f>79211*About!$A$103</f>
        <v>84597.347999999998</v>
      </c>
      <c r="D25">
        <f>79211*About!$A$103</f>
        <v>84597.347999999998</v>
      </c>
      <c r="E25">
        <f>79211*About!$A$103</f>
        <v>84597.347999999998</v>
      </c>
      <c r="F25">
        <f>79211*About!$A$103</f>
        <v>84597.347999999998</v>
      </c>
      <c r="G25">
        <f>79211*About!$A$103</f>
        <v>84597.347999999998</v>
      </c>
      <c r="H25">
        <f>79211*About!$A$103</f>
        <v>84597.347999999998</v>
      </c>
      <c r="I25">
        <f>79211*About!$A$103</f>
        <v>84597.347999999998</v>
      </c>
      <c r="J25">
        <f>79211*About!$A$103</f>
        <v>84597.347999999998</v>
      </c>
      <c r="K25">
        <f>79211*About!$A$103</f>
        <v>84597.347999999998</v>
      </c>
      <c r="L25">
        <f>79211*About!$A$103</f>
        <v>84597.347999999998</v>
      </c>
      <c r="M25">
        <f>79211*About!$A$103</f>
        <v>84597.347999999998</v>
      </c>
      <c r="N25">
        <f>79211*About!$A$103</f>
        <v>84597.347999999998</v>
      </c>
      <c r="O25">
        <f>79211*About!$A$103</f>
        <v>84597.347999999998</v>
      </c>
      <c r="P25">
        <f>79211*About!$A$103</f>
        <v>84597.347999999998</v>
      </c>
      <c r="Q25">
        <f>79211*About!$A$103</f>
        <v>84597.347999999998</v>
      </c>
      <c r="R25">
        <f>79211*About!$A$103</f>
        <v>84597.347999999998</v>
      </c>
      <c r="S25">
        <f>79211*About!$A$103</f>
        <v>84597.347999999998</v>
      </c>
      <c r="T25">
        <f>79211*About!$A$103</f>
        <v>84597.347999999998</v>
      </c>
      <c r="U25">
        <f>79211*About!$A$103</f>
        <v>84597.347999999998</v>
      </c>
      <c r="V25">
        <f>79211*About!$A$103</f>
        <v>84597.347999999998</v>
      </c>
      <c r="W25">
        <f>79211*About!$A$103</f>
        <v>84597.347999999998</v>
      </c>
      <c r="X25">
        <f>79211*About!$A$103</f>
        <v>84597.347999999998</v>
      </c>
      <c r="Y25">
        <f>79211*About!$A$103</f>
        <v>84597.347999999998</v>
      </c>
      <c r="Z25">
        <f>79211*About!$A$103</f>
        <v>84597.347999999998</v>
      </c>
      <c r="AA25">
        <f>79211*About!$A$103</f>
        <v>84597.347999999998</v>
      </c>
      <c r="AB25">
        <f>79211*About!$A$103</f>
        <v>84597.347999999998</v>
      </c>
      <c r="AC25">
        <f>79211*About!$A$103</f>
        <v>84597.347999999998</v>
      </c>
      <c r="AD25">
        <f>79211*About!$A$103</f>
        <v>84597.347999999998</v>
      </c>
      <c r="AE25">
        <f>79211*About!$A$103</f>
        <v>84597.347999999998</v>
      </c>
      <c r="AF25">
        <f>79211*About!$A$103</f>
        <v>84597.347999999998</v>
      </c>
      <c r="AG25">
        <f>79211*About!$A$103</f>
        <v>84597.347999999998</v>
      </c>
      <c r="AH25">
        <f>79211*About!$A$103</f>
        <v>84597.347999999998</v>
      </c>
      <c r="AI25">
        <f>79211*About!$A$103</f>
        <v>84597.347999999998</v>
      </c>
      <c r="AJ25">
        <f>79211*About!$A$103</f>
        <v>84597.347999999998</v>
      </c>
      <c r="AK25">
        <f>79211*About!$A$103</f>
        <v>84597.347999999998</v>
      </c>
      <c r="AL25">
        <f>79211*About!$A$103</f>
        <v>84597.347999999998</v>
      </c>
      <c r="AM25">
        <f>79211*About!$A$103</f>
        <v>84597.347999999998</v>
      </c>
      <c r="AN25">
        <f>79211*About!$A$103</f>
        <v>84597.347999999998</v>
      </c>
      <c r="AO25">
        <f>79211*About!$A$103</f>
        <v>84597.347999999998</v>
      </c>
      <c r="AP25">
        <f>79211*About!$A$103</f>
        <v>84597.347999999998</v>
      </c>
      <c r="AQ25">
        <f>79211*About!$A$103</f>
        <v>84597.347999999998</v>
      </c>
      <c r="AR25">
        <f>79211*About!$A$103</f>
        <v>84597.347999999998</v>
      </c>
    </row>
    <row r="26" spans="1:44" x14ac:dyDescent="0.35">
      <c r="A26" t="s">
        <v>151</v>
      </c>
      <c r="B26">
        <f>83361*About!$A$103</f>
        <v>89029.54800000001</v>
      </c>
      <c r="C26">
        <f>83361*About!$A$103</f>
        <v>89029.54800000001</v>
      </c>
      <c r="D26">
        <f>83361*About!$A$103</f>
        <v>89029.54800000001</v>
      </c>
      <c r="E26">
        <f>83361*About!$A$103</f>
        <v>89029.54800000001</v>
      </c>
      <c r="F26">
        <f>83361*About!$A$103</f>
        <v>89029.54800000001</v>
      </c>
      <c r="G26">
        <f>83361*About!$A$103</f>
        <v>89029.54800000001</v>
      </c>
      <c r="H26">
        <f>83361*About!$A$103</f>
        <v>89029.54800000001</v>
      </c>
      <c r="I26">
        <f>83361*About!$A$103</f>
        <v>89029.54800000001</v>
      </c>
      <c r="J26">
        <f>83361*About!$A$103</f>
        <v>89029.54800000001</v>
      </c>
      <c r="K26">
        <f>83361*About!$A$103</f>
        <v>89029.54800000001</v>
      </c>
      <c r="L26">
        <f>83361*About!$A$103</f>
        <v>89029.54800000001</v>
      </c>
      <c r="M26">
        <f>83361*About!$A$103</f>
        <v>89029.54800000001</v>
      </c>
      <c r="N26">
        <f>83361*About!$A$103</f>
        <v>89029.54800000001</v>
      </c>
      <c r="O26">
        <f>83361*About!$A$103</f>
        <v>89029.54800000001</v>
      </c>
      <c r="P26">
        <f>83361*About!$A$103</f>
        <v>89029.54800000001</v>
      </c>
      <c r="Q26">
        <f>83361*About!$A$103</f>
        <v>89029.54800000001</v>
      </c>
      <c r="R26">
        <f>83361*About!$A$103</f>
        <v>89029.54800000001</v>
      </c>
      <c r="S26">
        <f>83361*About!$A$103</f>
        <v>89029.54800000001</v>
      </c>
      <c r="T26">
        <f>83361*About!$A$103</f>
        <v>89029.54800000001</v>
      </c>
      <c r="U26">
        <f>83361*About!$A$103</f>
        <v>89029.54800000001</v>
      </c>
      <c r="V26">
        <f>83361*About!$A$103</f>
        <v>89029.54800000001</v>
      </c>
      <c r="W26">
        <f>83361*About!$A$103</f>
        <v>89029.54800000001</v>
      </c>
      <c r="X26">
        <f>83361*About!$A$103</f>
        <v>89029.54800000001</v>
      </c>
      <c r="Y26">
        <f>83361*About!$A$103</f>
        <v>89029.54800000001</v>
      </c>
      <c r="Z26">
        <f>83361*About!$A$103</f>
        <v>89029.54800000001</v>
      </c>
      <c r="AA26">
        <f>83361*About!$A$103</f>
        <v>89029.54800000001</v>
      </c>
      <c r="AB26">
        <f>83361*About!$A$103</f>
        <v>89029.54800000001</v>
      </c>
      <c r="AC26">
        <f>83361*About!$A$103</f>
        <v>89029.54800000001</v>
      </c>
      <c r="AD26">
        <f>83361*About!$A$103</f>
        <v>89029.54800000001</v>
      </c>
      <c r="AE26">
        <f>83361*About!$A$103</f>
        <v>89029.54800000001</v>
      </c>
      <c r="AF26">
        <f>83361*About!$A$103</f>
        <v>89029.54800000001</v>
      </c>
      <c r="AG26">
        <f>83361*About!$A$103</f>
        <v>89029.54800000001</v>
      </c>
      <c r="AH26">
        <f>83361*About!$A$103</f>
        <v>89029.54800000001</v>
      </c>
      <c r="AI26">
        <f>83361*About!$A$103</f>
        <v>89029.54800000001</v>
      </c>
      <c r="AJ26">
        <f>83361*About!$A$103</f>
        <v>89029.54800000001</v>
      </c>
      <c r="AK26">
        <f>83361*About!$A$103</f>
        <v>89029.54800000001</v>
      </c>
      <c r="AL26">
        <f>83361*About!$A$103</f>
        <v>89029.54800000001</v>
      </c>
      <c r="AM26">
        <f>83361*About!$A$103</f>
        <v>89029.54800000001</v>
      </c>
      <c r="AN26">
        <f>83361*About!$A$103</f>
        <v>89029.54800000001</v>
      </c>
      <c r="AO26">
        <f>83361*About!$A$103</f>
        <v>89029.54800000001</v>
      </c>
      <c r="AP26">
        <f>83361*About!$A$103</f>
        <v>89029.54800000001</v>
      </c>
      <c r="AQ26">
        <f>83361*About!$A$103</f>
        <v>89029.54800000001</v>
      </c>
      <c r="AR26">
        <f>83361*About!$A$103</f>
        <v>89029.54800000001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
  <sheetViews>
    <sheetView workbookViewId="0">
      <selection activeCell="B5" sqref="B5"/>
    </sheetView>
  </sheetViews>
  <sheetFormatPr defaultRowHeight="14.5" x14ac:dyDescent="0.35"/>
  <cols>
    <col min="1" max="1" width="19.7265625" customWidth="1"/>
    <col min="2" max="2" width="15.453125" customWidth="1"/>
  </cols>
  <sheetData>
    <row r="1" spans="1:22" ht="14.25" x14ac:dyDescent="0.45">
      <c r="K1" t="s">
        <v>222</v>
      </c>
    </row>
    <row r="2" spans="1:22" ht="14.25" x14ac:dyDescent="0.45">
      <c r="A2" t="s">
        <v>145</v>
      </c>
      <c r="B2" t="s">
        <v>158</v>
      </c>
      <c r="C2" t="s">
        <v>159</v>
      </c>
      <c r="D2" t="s">
        <v>160</v>
      </c>
      <c r="E2" t="s">
        <v>161</v>
      </c>
      <c r="F2" t="s">
        <v>162</v>
      </c>
      <c r="G2" t="s">
        <v>163</v>
      </c>
      <c r="H2" t="s">
        <v>164</v>
      </c>
      <c r="I2" t="s">
        <v>165</v>
      </c>
      <c r="J2" t="s">
        <v>166</v>
      </c>
      <c r="K2" t="s">
        <v>167</v>
      </c>
      <c r="L2" t="s">
        <v>168</v>
      </c>
    </row>
    <row r="3" spans="1:22" ht="14.25" x14ac:dyDescent="0.45">
      <c r="A3">
        <v>2015</v>
      </c>
      <c r="B3" s="16">
        <v>33200</v>
      </c>
      <c r="C3">
        <v>0</v>
      </c>
      <c r="D3" s="16">
        <v>51020</v>
      </c>
      <c r="E3" s="16">
        <v>53990</v>
      </c>
      <c r="F3">
        <v>0</v>
      </c>
      <c r="G3" s="16">
        <v>56670</v>
      </c>
      <c r="H3" s="23">
        <v>29204</v>
      </c>
      <c r="K3" s="16">
        <v>33200</v>
      </c>
      <c r="L3" s="16">
        <v>51020</v>
      </c>
      <c r="N3" s="23"/>
      <c r="O3" s="23"/>
      <c r="P3" s="23" t="s">
        <v>173</v>
      </c>
      <c r="Q3" s="23"/>
      <c r="R3" s="23"/>
      <c r="S3" s="23"/>
      <c r="T3" s="23"/>
      <c r="U3" s="23"/>
      <c r="V3" s="23"/>
    </row>
    <row r="4" spans="1:22" ht="14.25" x14ac:dyDescent="0.45">
      <c r="A4">
        <v>2016</v>
      </c>
      <c r="B4" s="16">
        <v>33200</v>
      </c>
      <c r="C4">
        <v>0</v>
      </c>
      <c r="D4" s="16">
        <v>51020</v>
      </c>
      <c r="E4" s="16">
        <v>53990</v>
      </c>
      <c r="F4">
        <v>0</v>
      </c>
      <c r="G4" s="16">
        <v>56670</v>
      </c>
      <c r="H4" s="23">
        <v>29204</v>
      </c>
      <c r="K4" s="16">
        <v>33200</v>
      </c>
      <c r="L4" s="16">
        <v>51020</v>
      </c>
    </row>
    <row r="5" spans="1:22" ht="14.25" x14ac:dyDescent="0.45">
      <c r="A5">
        <v>2017</v>
      </c>
      <c r="B5" s="16">
        <v>33200</v>
      </c>
      <c r="C5">
        <v>0</v>
      </c>
      <c r="D5" s="16">
        <v>50270</v>
      </c>
      <c r="E5" s="16">
        <v>52960</v>
      </c>
      <c r="F5">
        <v>0</v>
      </c>
      <c r="G5" s="16">
        <v>55100</v>
      </c>
      <c r="H5" s="23">
        <v>29204</v>
      </c>
      <c r="K5" s="16">
        <v>33360</v>
      </c>
      <c r="L5" s="16">
        <v>50270</v>
      </c>
    </row>
    <row r="6" spans="1:22" ht="14.25" x14ac:dyDescent="0.45">
      <c r="A6">
        <v>2018</v>
      </c>
      <c r="B6" s="16">
        <v>33200</v>
      </c>
      <c r="C6">
        <v>0</v>
      </c>
      <c r="D6" s="16">
        <v>49510</v>
      </c>
      <c r="E6" s="16">
        <v>51940</v>
      </c>
      <c r="F6">
        <v>0</v>
      </c>
      <c r="G6" s="16">
        <v>53530</v>
      </c>
      <c r="H6" s="23">
        <v>29204</v>
      </c>
      <c r="K6" s="16">
        <v>33510</v>
      </c>
      <c r="L6" s="16">
        <v>49510</v>
      </c>
    </row>
    <row r="7" spans="1:22" ht="14.25" x14ac:dyDescent="0.45">
      <c r="A7">
        <v>2019</v>
      </c>
      <c r="B7" s="16">
        <v>33200</v>
      </c>
      <c r="C7">
        <v>0</v>
      </c>
      <c r="D7" s="16">
        <v>48760</v>
      </c>
      <c r="E7" s="16">
        <v>50910</v>
      </c>
      <c r="F7">
        <v>0</v>
      </c>
      <c r="G7" s="16">
        <v>51960</v>
      </c>
      <c r="H7" s="23">
        <v>29204</v>
      </c>
      <c r="K7" s="16">
        <v>33660</v>
      </c>
      <c r="L7" s="16">
        <v>48760</v>
      </c>
    </row>
    <row r="8" spans="1:22" ht="14.25" x14ac:dyDescent="0.45">
      <c r="A8">
        <v>2020</v>
      </c>
      <c r="B8" s="16">
        <v>33200</v>
      </c>
      <c r="C8">
        <v>27574</v>
      </c>
      <c r="D8" s="16">
        <v>48010</v>
      </c>
      <c r="E8" s="16">
        <v>49880</v>
      </c>
      <c r="F8">
        <v>33034</v>
      </c>
      <c r="G8" s="16">
        <v>50390</v>
      </c>
      <c r="H8">
        <v>29204</v>
      </c>
      <c r="I8">
        <v>38370</v>
      </c>
      <c r="K8" s="16">
        <v>33810</v>
      </c>
      <c r="L8" s="16">
        <v>48010</v>
      </c>
    </row>
    <row r="9" spans="1:22" ht="14.25" x14ac:dyDescent="0.45">
      <c r="A9">
        <v>2021</v>
      </c>
      <c r="B9" s="16">
        <v>33200</v>
      </c>
      <c r="C9">
        <v>0</v>
      </c>
      <c r="D9" s="16">
        <v>47260</v>
      </c>
      <c r="E9" s="16">
        <v>48860</v>
      </c>
      <c r="F9">
        <v>0</v>
      </c>
      <c r="G9" s="16">
        <v>48820</v>
      </c>
      <c r="H9" s="23">
        <f>($H$18-$H$8)/10+H8</f>
        <v>29342</v>
      </c>
      <c r="K9" s="16">
        <v>33970</v>
      </c>
      <c r="L9" s="16">
        <v>47260</v>
      </c>
    </row>
    <row r="10" spans="1:22" ht="14.25" x14ac:dyDescent="0.45">
      <c r="A10">
        <v>2022</v>
      </c>
      <c r="B10" s="16">
        <v>33200</v>
      </c>
      <c r="C10">
        <v>0</v>
      </c>
      <c r="D10" s="16">
        <v>46500</v>
      </c>
      <c r="E10" s="16">
        <v>47830</v>
      </c>
      <c r="F10">
        <v>0</v>
      </c>
      <c r="G10" s="16">
        <v>47250</v>
      </c>
      <c r="H10" s="23">
        <f t="shared" ref="H10:H17" si="0">($H$18-$H$8)/10+H9</f>
        <v>29480</v>
      </c>
      <c r="K10" s="16">
        <v>34120</v>
      </c>
      <c r="L10" s="16">
        <v>46500</v>
      </c>
    </row>
    <row r="11" spans="1:22" ht="14.25" x14ac:dyDescent="0.45">
      <c r="A11">
        <v>2023</v>
      </c>
      <c r="B11" s="16">
        <v>33200</v>
      </c>
      <c r="C11">
        <v>0</v>
      </c>
      <c r="D11" s="16">
        <v>45750</v>
      </c>
      <c r="E11" s="16">
        <v>46810</v>
      </c>
      <c r="F11">
        <v>0</v>
      </c>
      <c r="G11" s="16">
        <v>45680</v>
      </c>
      <c r="H11" s="23">
        <f t="shared" si="0"/>
        <v>29618</v>
      </c>
      <c r="K11" s="16">
        <v>34270</v>
      </c>
      <c r="L11" s="16">
        <v>45750</v>
      </c>
    </row>
    <row r="12" spans="1:22" ht="14.25" x14ac:dyDescent="0.45">
      <c r="A12">
        <v>2024</v>
      </c>
      <c r="B12" s="16">
        <v>33200</v>
      </c>
      <c r="C12">
        <v>0</v>
      </c>
      <c r="D12" s="16">
        <v>45000</v>
      </c>
      <c r="E12" s="16">
        <v>45780</v>
      </c>
      <c r="F12">
        <v>0</v>
      </c>
      <c r="G12" s="16">
        <v>44110</v>
      </c>
      <c r="H12" s="23">
        <f t="shared" si="0"/>
        <v>29756</v>
      </c>
      <c r="K12" s="16">
        <v>34430</v>
      </c>
      <c r="L12" s="16">
        <v>45000</v>
      </c>
    </row>
    <row r="13" spans="1:22" ht="14.25" x14ac:dyDescent="0.45">
      <c r="A13">
        <v>2025</v>
      </c>
      <c r="B13" s="16">
        <v>33200</v>
      </c>
      <c r="C13">
        <v>0</v>
      </c>
      <c r="D13" s="16">
        <v>44250</v>
      </c>
      <c r="E13" s="16">
        <v>44750</v>
      </c>
      <c r="F13">
        <v>0</v>
      </c>
      <c r="G13" s="16">
        <v>42540</v>
      </c>
      <c r="H13" s="23">
        <f t="shared" si="0"/>
        <v>29894</v>
      </c>
      <c r="K13" s="16">
        <v>34580</v>
      </c>
      <c r="L13" s="16">
        <v>44250</v>
      </c>
    </row>
    <row r="14" spans="1:22" ht="14.25" x14ac:dyDescent="0.45">
      <c r="A14">
        <v>2026</v>
      </c>
      <c r="B14" s="16">
        <v>33200</v>
      </c>
      <c r="C14">
        <v>0</v>
      </c>
      <c r="D14" s="16">
        <v>43780</v>
      </c>
      <c r="E14" s="16">
        <v>44180</v>
      </c>
      <c r="F14">
        <v>0</v>
      </c>
      <c r="G14" s="16">
        <v>42070</v>
      </c>
      <c r="H14" s="23">
        <f t="shared" si="0"/>
        <v>30032</v>
      </c>
      <c r="K14" s="16">
        <v>34640</v>
      </c>
      <c r="L14" s="16">
        <v>43780</v>
      </c>
    </row>
    <row r="15" spans="1:22" ht="14.25" x14ac:dyDescent="0.45">
      <c r="A15">
        <v>2027</v>
      </c>
      <c r="B15" s="16">
        <v>33200</v>
      </c>
      <c r="C15">
        <v>0</v>
      </c>
      <c r="D15" s="16">
        <v>43310</v>
      </c>
      <c r="E15" s="16">
        <v>43610</v>
      </c>
      <c r="F15">
        <v>0</v>
      </c>
      <c r="G15" s="16">
        <v>41600</v>
      </c>
      <c r="H15" s="23">
        <f t="shared" si="0"/>
        <v>30170</v>
      </c>
      <c r="K15" s="16">
        <v>34710</v>
      </c>
      <c r="L15" s="16">
        <v>43310</v>
      </c>
    </row>
    <row r="16" spans="1:22" ht="14.25" x14ac:dyDescent="0.45">
      <c r="A16">
        <v>2028</v>
      </c>
      <c r="B16" s="16">
        <v>33200</v>
      </c>
      <c r="C16">
        <v>0</v>
      </c>
      <c r="D16" s="16">
        <v>42840</v>
      </c>
      <c r="E16" s="16">
        <v>43040</v>
      </c>
      <c r="F16">
        <v>0</v>
      </c>
      <c r="G16" s="16">
        <v>41140</v>
      </c>
      <c r="H16" s="23">
        <f t="shared" si="0"/>
        <v>30308</v>
      </c>
      <c r="K16" s="16">
        <v>34770</v>
      </c>
      <c r="L16" s="16">
        <v>42840</v>
      </c>
    </row>
    <row r="17" spans="1:12" ht="14.25" x14ac:dyDescent="0.45">
      <c r="A17">
        <v>2029</v>
      </c>
      <c r="B17" s="16">
        <v>33200</v>
      </c>
      <c r="C17">
        <v>0</v>
      </c>
      <c r="D17" s="16">
        <v>42370</v>
      </c>
      <c r="E17" s="16">
        <v>42470</v>
      </c>
      <c r="F17">
        <v>0</v>
      </c>
      <c r="G17" s="16">
        <v>40670</v>
      </c>
      <c r="H17" s="23">
        <f t="shared" si="0"/>
        <v>30446</v>
      </c>
      <c r="K17" s="16">
        <v>34830</v>
      </c>
      <c r="L17" s="16">
        <v>42370</v>
      </c>
    </row>
    <row r="18" spans="1:12" ht="14.25" x14ac:dyDescent="0.45">
      <c r="A18">
        <v>2030</v>
      </c>
      <c r="B18" s="16">
        <v>33200</v>
      </c>
      <c r="C18">
        <v>29383</v>
      </c>
      <c r="D18" s="16">
        <v>41900</v>
      </c>
      <c r="E18" s="16">
        <v>41900</v>
      </c>
      <c r="F18">
        <v>31024</v>
      </c>
      <c r="G18" s="16">
        <v>40200</v>
      </c>
      <c r="H18">
        <v>30584</v>
      </c>
      <c r="I18">
        <v>36450</v>
      </c>
      <c r="K18" s="16">
        <v>34890</v>
      </c>
      <c r="L18" s="16">
        <v>41900</v>
      </c>
    </row>
    <row r="19" spans="1:12" ht="14.25" x14ac:dyDescent="0.45">
      <c r="A19">
        <v>2031</v>
      </c>
      <c r="B19" s="16">
        <v>33200</v>
      </c>
      <c r="C19">
        <v>0</v>
      </c>
      <c r="D19" s="16">
        <v>41660</v>
      </c>
      <c r="E19" s="16">
        <v>41660</v>
      </c>
      <c r="F19">
        <v>0</v>
      </c>
      <c r="G19" s="16">
        <v>40000</v>
      </c>
      <c r="H19" s="23">
        <f>($H$28-$H$18)/10+H18</f>
        <v>30632.6</v>
      </c>
      <c r="K19" s="16">
        <v>34950</v>
      </c>
      <c r="L19" s="16">
        <v>41660</v>
      </c>
    </row>
    <row r="20" spans="1:12" ht="15" x14ac:dyDescent="0.25">
      <c r="A20">
        <v>2032</v>
      </c>
      <c r="B20" s="16">
        <v>33200</v>
      </c>
      <c r="C20">
        <v>0</v>
      </c>
      <c r="D20" s="16">
        <v>41420</v>
      </c>
      <c r="E20" s="16">
        <v>41420</v>
      </c>
      <c r="F20">
        <v>0</v>
      </c>
      <c r="G20" s="16">
        <v>39800</v>
      </c>
      <c r="H20" s="23">
        <f t="shared" ref="H20:H27" si="1">($H$28-$H$18)/10+H19</f>
        <v>30681.199999999997</v>
      </c>
      <c r="K20" s="16">
        <v>35020</v>
      </c>
      <c r="L20" s="16">
        <v>41420</v>
      </c>
    </row>
    <row r="21" spans="1:12" x14ac:dyDescent="0.35">
      <c r="A21">
        <v>2033</v>
      </c>
      <c r="B21" s="16">
        <v>33200</v>
      </c>
      <c r="C21">
        <v>0</v>
      </c>
      <c r="D21" s="16">
        <v>41180</v>
      </c>
      <c r="E21" s="16">
        <v>41180</v>
      </c>
      <c r="F21">
        <v>0</v>
      </c>
      <c r="G21" s="16">
        <v>39600</v>
      </c>
      <c r="H21" s="23">
        <f t="shared" si="1"/>
        <v>30729.799999999996</v>
      </c>
      <c r="K21" s="16">
        <v>35080</v>
      </c>
      <c r="L21" s="16">
        <v>41180</v>
      </c>
    </row>
    <row r="22" spans="1:12" x14ac:dyDescent="0.35">
      <c r="A22">
        <v>2034</v>
      </c>
      <c r="B22" s="16">
        <v>33200</v>
      </c>
      <c r="C22">
        <v>0</v>
      </c>
      <c r="D22" s="16">
        <v>40940</v>
      </c>
      <c r="E22" s="16">
        <v>40940</v>
      </c>
      <c r="F22">
        <v>0</v>
      </c>
      <c r="G22" s="16">
        <v>39400</v>
      </c>
      <c r="H22" s="23">
        <f t="shared" si="1"/>
        <v>30778.399999999994</v>
      </c>
      <c r="K22" s="16">
        <v>35140</v>
      </c>
      <c r="L22" s="16">
        <v>40940</v>
      </c>
    </row>
    <row r="23" spans="1:12" x14ac:dyDescent="0.35">
      <c r="A23">
        <v>2035</v>
      </c>
      <c r="B23" s="16">
        <v>33200</v>
      </c>
      <c r="C23">
        <v>0</v>
      </c>
      <c r="D23" s="16">
        <v>40700</v>
      </c>
      <c r="E23" s="16">
        <v>40700</v>
      </c>
      <c r="F23">
        <v>0</v>
      </c>
      <c r="G23" s="16">
        <v>39200</v>
      </c>
      <c r="H23" s="23">
        <f t="shared" si="1"/>
        <v>30826.999999999993</v>
      </c>
      <c r="K23" s="16">
        <v>35200</v>
      </c>
      <c r="L23" s="16">
        <v>40700</v>
      </c>
    </row>
    <row r="24" spans="1:12" x14ac:dyDescent="0.35">
      <c r="A24">
        <v>2036</v>
      </c>
      <c r="B24" s="16">
        <v>33200</v>
      </c>
      <c r="C24">
        <v>0</v>
      </c>
      <c r="D24" s="16">
        <v>40500</v>
      </c>
      <c r="E24" s="16">
        <v>40500</v>
      </c>
      <c r="F24">
        <v>0</v>
      </c>
      <c r="G24" s="16">
        <v>39000</v>
      </c>
      <c r="H24" s="23">
        <f t="shared" si="1"/>
        <v>30875.599999999991</v>
      </c>
      <c r="K24" s="16">
        <v>35250</v>
      </c>
      <c r="L24" s="16">
        <v>40500</v>
      </c>
    </row>
    <row r="25" spans="1:12" x14ac:dyDescent="0.35">
      <c r="A25">
        <v>2037</v>
      </c>
      <c r="B25" s="16">
        <v>33200</v>
      </c>
      <c r="C25">
        <v>0</v>
      </c>
      <c r="D25" s="16">
        <v>40300</v>
      </c>
      <c r="E25" s="16">
        <v>40300</v>
      </c>
      <c r="F25">
        <v>0</v>
      </c>
      <c r="G25" s="16">
        <v>38800</v>
      </c>
      <c r="H25" s="23">
        <f t="shared" si="1"/>
        <v>30924.19999999999</v>
      </c>
      <c r="K25" s="16">
        <v>35300</v>
      </c>
      <c r="L25" s="16">
        <v>40300</v>
      </c>
    </row>
    <row r="26" spans="1:12" x14ac:dyDescent="0.35">
      <c r="A26">
        <v>2038</v>
      </c>
      <c r="B26" s="16">
        <v>33200</v>
      </c>
      <c r="C26">
        <v>0</v>
      </c>
      <c r="D26" s="16">
        <v>40100</v>
      </c>
      <c r="E26" s="16">
        <v>40100</v>
      </c>
      <c r="F26">
        <v>0</v>
      </c>
      <c r="G26" s="16">
        <v>38600</v>
      </c>
      <c r="H26" s="23">
        <f t="shared" si="1"/>
        <v>30972.799999999988</v>
      </c>
      <c r="K26" s="16">
        <v>35350</v>
      </c>
      <c r="L26" s="16">
        <v>40100</v>
      </c>
    </row>
    <row r="27" spans="1:12" x14ac:dyDescent="0.35">
      <c r="A27">
        <v>2039</v>
      </c>
      <c r="B27" s="16">
        <v>33200</v>
      </c>
      <c r="C27">
        <v>0</v>
      </c>
      <c r="D27" s="16">
        <v>39900</v>
      </c>
      <c r="E27" s="16">
        <v>39900</v>
      </c>
      <c r="F27">
        <v>0</v>
      </c>
      <c r="G27" s="16">
        <v>38400</v>
      </c>
      <c r="H27" s="23">
        <f t="shared" si="1"/>
        <v>31021.399999999987</v>
      </c>
      <c r="K27" s="16">
        <v>35400</v>
      </c>
      <c r="L27" s="16">
        <v>39900</v>
      </c>
    </row>
    <row r="28" spans="1:12" x14ac:dyDescent="0.35">
      <c r="A28">
        <v>2040</v>
      </c>
      <c r="B28" s="16">
        <v>33200</v>
      </c>
      <c r="C28">
        <v>30040</v>
      </c>
      <c r="D28" s="16">
        <v>39700</v>
      </c>
      <c r="E28" s="16">
        <v>39700</v>
      </c>
      <c r="F28">
        <v>30525</v>
      </c>
      <c r="G28" s="16">
        <v>38200</v>
      </c>
      <c r="H28">
        <v>31070</v>
      </c>
      <c r="I28">
        <v>35510</v>
      </c>
      <c r="K28" s="16">
        <v>35450</v>
      </c>
      <c r="L28" s="16">
        <v>39700</v>
      </c>
    </row>
    <row r="29" spans="1:12" x14ac:dyDescent="0.35">
      <c r="A29">
        <v>2041</v>
      </c>
      <c r="B29" s="16">
        <v>33200</v>
      </c>
      <c r="C29">
        <v>0</v>
      </c>
      <c r="D29" s="16">
        <v>39500</v>
      </c>
      <c r="E29" s="16">
        <v>39500</v>
      </c>
      <c r="F29">
        <v>0</v>
      </c>
      <c r="G29" s="16">
        <v>38000</v>
      </c>
      <c r="H29" s="23">
        <f>($H$38-$H$28)/10+H28</f>
        <v>31142.3</v>
      </c>
      <c r="K29" s="16">
        <v>35500</v>
      </c>
      <c r="L29" s="16">
        <v>39500</v>
      </c>
    </row>
    <row r="30" spans="1:12" x14ac:dyDescent="0.35">
      <c r="A30">
        <v>2042</v>
      </c>
      <c r="B30" s="16">
        <v>33200</v>
      </c>
      <c r="C30">
        <v>0</v>
      </c>
      <c r="D30" s="16">
        <v>39300</v>
      </c>
      <c r="E30" s="16">
        <v>39300</v>
      </c>
      <c r="F30">
        <v>0</v>
      </c>
      <c r="G30" s="16">
        <v>37800</v>
      </c>
      <c r="H30" s="23">
        <f t="shared" ref="H30:H37" si="2">($H$38-$H$28)/10+H29</f>
        <v>31214.6</v>
      </c>
      <c r="K30" s="16">
        <v>35550</v>
      </c>
      <c r="L30" s="16">
        <v>39300</v>
      </c>
    </row>
    <row r="31" spans="1:12" x14ac:dyDescent="0.35">
      <c r="A31">
        <v>2043</v>
      </c>
      <c r="B31" s="16">
        <v>33200</v>
      </c>
      <c r="C31">
        <v>0</v>
      </c>
      <c r="D31" s="16">
        <v>39100</v>
      </c>
      <c r="E31" s="16">
        <v>39100</v>
      </c>
      <c r="F31">
        <v>0</v>
      </c>
      <c r="G31" s="16">
        <v>37600</v>
      </c>
      <c r="H31" s="23">
        <f t="shared" si="2"/>
        <v>31286.899999999998</v>
      </c>
      <c r="K31" s="16">
        <v>35600</v>
      </c>
      <c r="L31" s="16">
        <v>39100</v>
      </c>
    </row>
    <row r="32" spans="1:12" x14ac:dyDescent="0.35">
      <c r="A32">
        <v>2044</v>
      </c>
      <c r="B32" s="16">
        <v>33200</v>
      </c>
      <c r="C32">
        <v>0</v>
      </c>
      <c r="D32" s="16">
        <v>38900</v>
      </c>
      <c r="E32" s="16">
        <v>38900</v>
      </c>
      <c r="F32">
        <v>0</v>
      </c>
      <c r="G32" s="16">
        <v>37400</v>
      </c>
      <c r="H32" s="23">
        <f t="shared" si="2"/>
        <v>31359.199999999997</v>
      </c>
      <c r="K32" s="16">
        <v>35650</v>
      </c>
      <c r="L32" s="16">
        <v>38900</v>
      </c>
    </row>
    <row r="33" spans="1:37" x14ac:dyDescent="0.35">
      <c r="A33">
        <v>2045</v>
      </c>
      <c r="B33" s="16">
        <v>33200</v>
      </c>
      <c r="C33">
        <v>0</v>
      </c>
      <c r="D33" s="16">
        <v>38700</v>
      </c>
      <c r="E33" s="16">
        <v>38700</v>
      </c>
      <c r="F33">
        <v>0</v>
      </c>
      <c r="G33" s="16">
        <v>37200</v>
      </c>
      <c r="H33" s="23">
        <f t="shared" si="2"/>
        <v>31431.499999999996</v>
      </c>
      <c r="K33" s="16">
        <v>35700</v>
      </c>
      <c r="L33" s="16">
        <v>38700</v>
      </c>
    </row>
    <row r="34" spans="1:37" x14ac:dyDescent="0.35">
      <c r="A34">
        <v>2046</v>
      </c>
      <c r="B34" s="16">
        <v>33200</v>
      </c>
      <c r="C34">
        <v>0</v>
      </c>
      <c r="D34" s="16">
        <v>38700</v>
      </c>
      <c r="E34" s="16">
        <v>38700</v>
      </c>
      <c r="F34">
        <v>0</v>
      </c>
      <c r="G34" s="16">
        <v>37200</v>
      </c>
      <c r="H34" s="23">
        <f t="shared" si="2"/>
        <v>31503.799999999996</v>
      </c>
      <c r="K34" s="16">
        <v>35700</v>
      </c>
      <c r="L34" s="16">
        <v>38700</v>
      </c>
    </row>
    <row r="35" spans="1:37" x14ac:dyDescent="0.35">
      <c r="A35">
        <v>2047</v>
      </c>
      <c r="B35" s="16">
        <v>33200</v>
      </c>
      <c r="C35">
        <v>0</v>
      </c>
      <c r="D35" s="16">
        <v>38700</v>
      </c>
      <c r="E35" s="16">
        <v>38700</v>
      </c>
      <c r="F35">
        <v>0</v>
      </c>
      <c r="G35" s="16">
        <v>37200</v>
      </c>
      <c r="H35" s="23">
        <f t="shared" si="2"/>
        <v>31576.099999999995</v>
      </c>
      <c r="K35" s="16">
        <v>35700</v>
      </c>
      <c r="L35" s="16">
        <v>38700</v>
      </c>
    </row>
    <row r="36" spans="1:37" x14ac:dyDescent="0.35">
      <c r="A36">
        <v>2048</v>
      </c>
      <c r="B36" s="16">
        <v>33200</v>
      </c>
      <c r="C36">
        <v>0</v>
      </c>
      <c r="D36" s="16">
        <v>38700</v>
      </c>
      <c r="E36" s="16">
        <v>38700</v>
      </c>
      <c r="F36">
        <v>0</v>
      </c>
      <c r="G36" s="16">
        <v>37200</v>
      </c>
      <c r="H36" s="23">
        <f t="shared" si="2"/>
        <v>31648.399999999994</v>
      </c>
      <c r="K36" s="16">
        <v>35700</v>
      </c>
      <c r="L36" s="16">
        <v>38700</v>
      </c>
    </row>
    <row r="37" spans="1:37" x14ac:dyDescent="0.35">
      <c r="A37">
        <v>2049</v>
      </c>
      <c r="B37" s="16">
        <v>33200</v>
      </c>
      <c r="C37">
        <v>0</v>
      </c>
      <c r="D37" s="16">
        <v>38700</v>
      </c>
      <c r="E37" s="16">
        <v>38700</v>
      </c>
      <c r="F37">
        <v>0</v>
      </c>
      <c r="G37" s="16">
        <v>37200</v>
      </c>
      <c r="H37" s="23">
        <f t="shared" si="2"/>
        <v>31720.699999999993</v>
      </c>
      <c r="K37" s="16">
        <v>35700</v>
      </c>
      <c r="L37" s="16">
        <v>38700</v>
      </c>
    </row>
    <row r="38" spans="1:37" x14ac:dyDescent="0.35">
      <c r="A38">
        <v>2050</v>
      </c>
      <c r="B38" s="16">
        <v>33200</v>
      </c>
      <c r="C38">
        <v>30914</v>
      </c>
      <c r="D38" s="16">
        <v>38700</v>
      </c>
      <c r="E38" s="16">
        <v>38700</v>
      </c>
      <c r="F38">
        <v>30442</v>
      </c>
      <c r="G38" s="16">
        <v>37200</v>
      </c>
      <c r="H38">
        <v>31793</v>
      </c>
      <c r="I38">
        <v>35380</v>
      </c>
      <c r="K38" s="16">
        <v>35700</v>
      </c>
      <c r="L38" s="16">
        <v>38700</v>
      </c>
    </row>
    <row r="41" spans="1:37" x14ac:dyDescent="0.35">
      <c r="A41" t="s">
        <v>145</v>
      </c>
      <c r="B41">
        <v>2015</v>
      </c>
      <c r="C41">
        <v>2016</v>
      </c>
      <c r="D41">
        <v>2017</v>
      </c>
      <c r="E41">
        <v>2018</v>
      </c>
      <c r="F41">
        <v>2019</v>
      </c>
      <c r="G41">
        <v>2020</v>
      </c>
      <c r="H41">
        <v>2021</v>
      </c>
      <c r="I41">
        <v>2022</v>
      </c>
      <c r="J41">
        <v>2023</v>
      </c>
      <c r="K41">
        <v>2024</v>
      </c>
      <c r="L41">
        <v>2025</v>
      </c>
      <c r="M41">
        <v>2026</v>
      </c>
      <c r="N41">
        <v>2027</v>
      </c>
      <c r="O41">
        <v>2028</v>
      </c>
      <c r="P41">
        <v>2029</v>
      </c>
      <c r="Q41">
        <v>2030</v>
      </c>
      <c r="R41">
        <v>2031</v>
      </c>
      <c r="S41">
        <v>2032</v>
      </c>
      <c r="T41">
        <v>2033</v>
      </c>
      <c r="U41">
        <v>2034</v>
      </c>
      <c r="V41">
        <v>2035</v>
      </c>
      <c r="W41">
        <v>2036</v>
      </c>
      <c r="X41">
        <v>2037</v>
      </c>
      <c r="Y41">
        <v>2038</v>
      </c>
      <c r="Z41">
        <v>2039</v>
      </c>
      <c r="AA41">
        <v>2040</v>
      </c>
      <c r="AB41">
        <v>2041</v>
      </c>
      <c r="AC41">
        <v>2042</v>
      </c>
      <c r="AD41">
        <v>2043</v>
      </c>
      <c r="AE41">
        <v>2044</v>
      </c>
      <c r="AF41">
        <v>2045</v>
      </c>
      <c r="AG41">
        <v>2046</v>
      </c>
      <c r="AH41">
        <v>2047</v>
      </c>
      <c r="AI41">
        <v>2048</v>
      </c>
      <c r="AJ41">
        <v>2049</v>
      </c>
      <c r="AK41">
        <v>2050</v>
      </c>
    </row>
    <row r="42" spans="1:37" x14ac:dyDescent="0.35">
      <c r="A42" t="s">
        <v>158</v>
      </c>
      <c r="B42">
        <v>33200</v>
      </c>
      <c r="C42">
        <v>33200</v>
      </c>
      <c r="D42">
        <v>33200</v>
      </c>
      <c r="E42">
        <v>33200</v>
      </c>
      <c r="F42">
        <v>33200</v>
      </c>
      <c r="G42">
        <v>33200</v>
      </c>
      <c r="H42">
        <v>33200</v>
      </c>
      <c r="I42">
        <v>33200</v>
      </c>
      <c r="J42">
        <v>33200</v>
      </c>
      <c r="K42">
        <v>33200</v>
      </c>
      <c r="L42">
        <v>33200</v>
      </c>
      <c r="M42">
        <v>33200</v>
      </c>
      <c r="N42">
        <v>33200</v>
      </c>
      <c r="O42">
        <v>33200</v>
      </c>
      <c r="P42">
        <v>33200</v>
      </c>
      <c r="Q42">
        <v>33200</v>
      </c>
      <c r="R42">
        <v>33200</v>
      </c>
      <c r="S42">
        <v>33200</v>
      </c>
      <c r="T42">
        <v>33200</v>
      </c>
      <c r="U42">
        <v>33200</v>
      </c>
      <c r="V42">
        <v>33200</v>
      </c>
      <c r="W42">
        <v>33200</v>
      </c>
      <c r="X42">
        <v>33200</v>
      </c>
      <c r="Y42">
        <v>33200</v>
      </c>
      <c r="Z42">
        <v>33200</v>
      </c>
      <c r="AA42">
        <v>33200</v>
      </c>
      <c r="AB42">
        <v>33200</v>
      </c>
      <c r="AC42">
        <v>33200</v>
      </c>
      <c r="AD42">
        <v>33200</v>
      </c>
      <c r="AE42">
        <v>33200</v>
      </c>
      <c r="AF42">
        <v>33200</v>
      </c>
      <c r="AG42">
        <v>33200</v>
      </c>
      <c r="AH42">
        <v>33200</v>
      </c>
      <c r="AI42">
        <v>33200</v>
      </c>
      <c r="AJ42">
        <v>33200</v>
      </c>
      <c r="AK42">
        <v>33200</v>
      </c>
    </row>
    <row r="43" spans="1:37" x14ac:dyDescent="0.35">
      <c r="A43" t="s">
        <v>160</v>
      </c>
      <c r="B43">
        <v>51020</v>
      </c>
      <c r="C43">
        <v>51020</v>
      </c>
      <c r="D43">
        <v>50270</v>
      </c>
      <c r="E43">
        <v>49510</v>
      </c>
      <c r="F43">
        <v>48760</v>
      </c>
      <c r="G43">
        <v>48010</v>
      </c>
      <c r="H43">
        <v>47260</v>
      </c>
      <c r="I43">
        <v>46500</v>
      </c>
      <c r="J43">
        <v>45750</v>
      </c>
      <c r="K43">
        <v>45000</v>
      </c>
      <c r="L43">
        <v>44250</v>
      </c>
      <c r="M43">
        <v>43780</v>
      </c>
      <c r="N43">
        <v>43310</v>
      </c>
      <c r="O43">
        <v>42840</v>
      </c>
      <c r="P43">
        <v>42370</v>
      </c>
      <c r="Q43">
        <v>41900</v>
      </c>
      <c r="R43">
        <v>41660</v>
      </c>
      <c r="S43">
        <v>41420</v>
      </c>
      <c r="T43">
        <v>41180</v>
      </c>
      <c r="U43">
        <v>40940</v>
      </c>
      <c r="V43">
        <v>40700</v>
      </c>
      <c r="W43">
        <v>40500</v>
      </c>
      <c r="X43">
        <v>40300</v>
      </c>
      <c r="Y43">
        <v>40100</v>
      </c>
      <c r="Z43">
        <v>39900</v>
      </c>
      <c r="AA43">
        <v>39700</v>
      </c>
      <c r="AB43">
        <v>39500</v>
      </c>
      <c r="AC43">
        <v>39300</v>
      </c>
      <c r="AD43">
        <v>39100</v>
      </c>
      <c r="AE43">
        <v>38900</v>
      </c>
      <c r="AF43">
        <v>38700</v>
      </c>
      <c r="AG43">
        <v>38700</v>
      </c>
      <c r="AH43">
        <v>38700</v>
      </c>
      <c r="AI43">
        <v>38700</v>
      </c>
      <c r="AJ43">
        <v>38700</v>
      </c>
      <c r="AK43">
        <v>38700</v>
      </c>
    </row>
    <row r="44" spans="1:37" x14ac:dyDescent="0.35">
      <c r="A44" t="s">
        <v>161</v>
      </c>
      <c r="B44">
        <v>53990</v>
      </c>
      <c r="C44">
        <v>53990</v>
      </c>
      <c r="D44">
        <v>52960</v>
      </c>
      <c r="E44">
        <v>51940</v>
      </c>
      <c r="F44">
        <v>50910</v>
      </c>
      <c r="G44">
        <v>49880</v>
      </c>
      <c r="H44">
        <v>48860</v>
      </c>
      <c r="I44">
        <v>47830</v>
      </c>
      <c r="J44">
        <v>46810</v>
      </c>
      <c r="K44">
        <v>45780</v>
      </c>
      <c r="L44">
        <v>44750</v>
      </c>
      <c r="M44">
        <v>44180</v>
      </c>
      <c r="N44">
        <v>43610</v>
      </c>
      <c r="O44">
        <v>43040</v>
      </c>
      <c r="P44">
        <v>42470</v>
      </c>
      <c r="Q44">
        <v>41900</v>
      </c>
      <c r="R44">
        <v>41660</v>
      </c>
      <c r="S44">
        <v>41420</v>
      </c>
      <c r="T44">
        <v>41180</v>
      </c>
      <c r="U44">
        <v>40940</v>
      </c>
      <c r="V44">
        <v>40700</v>
      </c>
      <c r="W44">
        <v>40500</v>
      </c>
      <c r="X44">
        <v>40300</v>
      </c>
      <c r="Y44">
        <v>40100</v>
      </c>
      <c r="Z44">
        <v>39900</v>
      </c>
      <c r="AA44">
        <v>39700</v>
      </c>
      <c r="AB44">
        <v>39500</v>
      </c>
      <c r="AC44">
        <v>39300</v>
      </c>
      <c r="AD44">
        <v>39100</v>
      </c>
      <c r="AE44">
        <v>38900</v>
      </c>
      <c r="AF44">
        <v>38700</v>
      </c>
      <c r="AG44">
        <v>38700</v>
      </c>
      <c r="AH44">
        <v>38700</v>
      </c>
      <c r="AI44">
        <v>38700</v>
      </c>
      <c r="AJ44">
        <v>38700</v>
      </c>
      <c r="AK44">
        <v>38700</v>
      </c>
    </row>
    <row r="45" spans="1:37" x14ac:dyDescent="0.35">
      <c r="A45" t="s">
        <v>164</v>
      </c>
      <c r="B45">
        <v>29204</v>
      </c>
      <c r="C45">
        <v>29204</v>
      </c>
      <c r="D45">
        <v>29204</v>
      </c>
      <c r="E45">
        <v>29204</v>
      </c>
      <c r="F45">
        <v>29204</v>
      </c>
      <c r="G45">
        <v>29204</v>
      </c>
      <c r="H45">
        <v>29342</v>
      </c>
      <c r="I45">
        <v>29480</v>
      </c>
      <c r="J45">
        <v>29618</v>
      </c>
      <c r="K45">
        <v>29756</v>
      </c>
      <c r="L45">
        <v>29894</v>
      </c>
      <c r="M45">
        <v>30032</v>
      </c>
      <c r="N45">
        <v>30170</v>
      </c>
      <c r="O45">
        <v>30308</v>
      </c>
      <c r="P45">
        <v>30446</v>
      </c>
      <c r="Q45">
        <v>30584</v>
      </c>
      <c r="R45">
        <v>30632.6</v>
      </c>
      <c r="S45">
        <v>30681.199999999997</v>
      </c>
      <c r="T45">
        <v>30729.799999999996</v>
      </c>
      <c r="U45">
        <v>30778.399999999994</v>
      </c>
      <c r="V45">
        <v>30826.999999999993</v>
      </c>
      <c r="W45">
        <v>30875.599999999991</v>
      </c>
      <c r="X45">
        <v>30924.19999999999</v>
      </c>
      <c r="Y45">
        <v>30972.799999999988</v>
      </c>
      <c r="Z45">
        <v>31021.399999999987</v>
      </c>
      <c r="AA45">
        <v>31070</v>
      </c>
      <c r="AB45">
        <v>31142.3</v>
      </c>
      <c r="AC45">
        <v>31214.6</v>
      </c>
      <c r="AD45">
        <v>31286.899999999998</v>
      </c>
      <c r="AE45">
        <v>31359.199999999997</v>
      </c>
      <c r="AF45">
        <v>31431.499999999996</v>
      </c>
      <c r="AG45">
        <v>31503.799999999996</v>
      </c>
      <c r="AH45">
        <v>31576.099999999995</v>
      </c>
      <c r="AI45">
        <v>31648.399999999994</v>
      </c>
      <c r="AJ45">
        <v>31720.699999999993</v>
      </c>
      <c r="AK45">
        <v>31793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9"/>
  <sheetViews>
    <sheetView workbookViewId="0">
      <selection activeCell="K11" sqref="K11"/>
    </sheetView>
  </sheetViews>
  <sheetFormatPr defaultRowHeight="14.5" x14ac:dyDescent="0.35"/>
  <cols>
    <col min="1" max="1" width="34.453125" customWidth="1"/>
    <col min="2" max="2" width="12.08984375" customWidth="1"/>
    <col min="11" max="11" width="17.36328125" customWidth="1"/>
    <col min="13" max="13" width="14" customWidth="1"/>
  </cols>
  <sheetData>
    <row r="1" spans="1:24" ht="14.25" x14ac:dyDescent="0.45">
      <c r="N1" s="23"/>
      <c r="O1" s="23"/>
      <c r="P1" s="23" t="s">
        <v>223</v>
      </c>
      <c r="Q1" s="23"/>
      <c r="R1" s="23"/>
      <c r="S1" s="23"/>
      <c r="T1" s="23"/>
      <c r="U1" s="23"/>
      <c r="V1" s="23"/>
    </row>
    <row r="2" spans="1:24" ht="14.25" x14ac:dyDescent="0.45">
      <c r="N2" t="s">
        <v>224</v>
      </c>
    </row>
    <row r="3" spans="1:24" ht="14.25" x14ac:dyDescent="0.45">
      <c r="A3" t="s">
        <v>145</v>
      </c>
      <c r="B3" t="s">
        <v>158</v>
      </c>
      <c r="C3" t="s">
        <v>159</v>
      </c>
      <c r="D3" t="s">
        <v>160</v>
      </c>
      <c r="E3" t="s">
        <v>161</v>
      </c>
      <c r="F3" t="s">
        <v>162</v>
      </c>
      <c r="G3" t="s">
        <v>163</v>
      </c>
      <c r="H3" t="s">
        <v>164</v>
      </c>
      <c r="I3" t="s">
        <v>165</v>
      </c>
      <c r="J3" t="s">
        <v>166</v>
      </c>
      <c r="K3" t="s">
        <v>167</v>
      </c>
      <c r="L3" t="s">
        <v>168</v>
      </c>
      <c r="N3" t="s">
        <v>158</v>
      </c>
      <c r="O3" t="s">
        <v>159</v>
      </c>
      <c r="P3" t="s">
        <v>160</v>
      </c>
      <c r="Q3" t="s">
        <v>161</v>
      </c>
      <c r="R3" t="s">
        <v>162</v>
      </c>
      <c r="S3" t="s">
        <v>163</v>
      </c>
      <c r="T3" t="s">
        <v>164</v>
      </c>
      <c r="U3" t="s">
        <v>165</v>
      </c>
      <c r="V3" t="s">
        <v>166</v>
      </c>
      <c r="W3" t="s">
        <v>167</v>
      </c>
      <c r="X3" t="s">
        <v>168</v>
      </c>
    </row>
    <row r="4" spans="1:24" ht="14.25" x14ac:dyDescent="0.45">
      <c r="A4">
        <v>2010</v>
      </c>
      <c r="B4">
        <v>32413</v>
      </c>
      <c r="C4">
        <v>32410</v>
      </c>
      <c r="D4">
        <v>46986</v>
      </c>
      <c r="E4">
        <v>61773</v>
      </c>
      <c r="F4">
        <v>47249</v>
      </c>
      <c r="G4">
        <v>47249</v>
      </c>
      <c r="H4">
        <v>33863</v>
      </c>
      <c r="I4">
        <v>54430</v>
      </c>
      <c r="J4">
        <v>0</v>
      </c>
      <c r="K4">
        <v>32413</v>
      </c>
      <c r="L4">
        <v>46986</v>
      </c>
    </row>
    <row r="5" spans="1:24" ht="14.25" x14ac:dyDescent="0.45">
      <c r="A5">
        <v>2011</v>
      </c>
      <c r="B5" s="23">
        <f>B4+N5</f>
        <v>32545.4</v>
      </c>
      <c r="C5" s="23">
        <f t="shared" ref="C5:L5" si="0">C4+O5</f>
        <v>32542.7</v>
      </c>
      <c r="D5" s="23">
        <f t="shared" si="0"/>
        <v>46592.4</v>
      </c>
      <c r="E5" s="23">
        <f t="shared" si="0"/>
        <v>60400.7</v>
      </c>
      <c r="F5" s="23">
        <f t="shared" si="0"/>
        <v>46720.5</v>
      </c>
      <c r="G5" s="23">
        <f t="shared" si="0"/>
        <v>46720.5</v>
      </c>
      <c r="H5" s="23">
        <f t="shared" si="0"/>
        <v>33978.699999999997</v>
      </c>
      <c r="I5" s="23">
        <f t="shared" si="0"/>
        <v>53797</v>
      </c>
      <c r="J5" s="23">
        <f t="shared" si="0"/>
        <v>0</v>
      </c>
      <c r="K5" s="23">
        <f t="shared" si="0"/>
        <v>32545.4</v>
      </c>
      <c r="L5" s="23">
        <f t="shared" si="0"/>
        <v>46592.4</v>
      </c>
      <c r="N5">
        <f>(B14-B4)/10</f>
        <v>132.4</v>
      </c>
      <c r="O5">
        <f t="shared" ref="O5:X5" si="1">(C14-C4)/10</f>
        <v>132.69999999999999</v>
      </c>
      <c r="P5">
        <f t="shared" si="1"/>
        <v>-393.6</v>
      </c>
      <c r="Q5">
        <f t="shared" si="1"/>
        <v>-1372.3</v>
      </c>
      <c r="R5">
        <f t="shared" si="1"/>
        <v>-528.5</v>
      </c>
      <c r="S5">
        <f t="shared" si="1"/>
        <v>-528.5</v>
      </c>
      <c r="T5">
        <f t="shared" si="1"/>
        <v>115.7</v>
      </c>
      <c r="U5">
        <f t="shared" si="1"/>
        <v>-633</v>
      </c>
      <c r="V5">
        <f t="shared" si="1"/>
        <v>0</v>
      </c>
      <c r="W5">
        <f t="shared" si="1"/>
        <v>132.4</v>
      </c>
      <c r="X5">
        <f t="shared" si="1"/>
        <v>-393.6</v>
      </c>
    </row>
    <row r="6" spans="1:24" ht="14.25" x14ac:dyDescent="0.45">
      <c r="A6">
        <v>2012</v>
      </c>
      <c r="B6" s="23">
        <f t="shared" ref="B6:B13" si="2">B5+N6</f>
        <v>32677.800000000003</v>
      </c>
      <c r="C6" s="23">
        <f t="shared" ref="C6:C13" si="3">C5+O6</f>
        <v>32675.4</v>
      </c>
      <c r="D6" s="23">
        <f t="shared" ref="D6:D13" si="4">D5+P6</f>
        <v>46198.8</v>
      </c>
      <c r="E6" s="23">
        <f t="shared" ref="E6:E13" si="5">E5+Q6</f>
        <v>59028.399999999994</v>
      </c>
      <c r="F6" s="23">
        <f t="shared" ref="F6:F13" si="6">F5+R6</f>
        <v>46192</v>
      </c>
      <c r="G6" s="23">
        <f t="shared" ref="G6:G13" si="7">G5+S6</f>
        <v>46192</v>
      </c>
      <c r="H6" s="23">
        <f t="shared" ref="H6:H13" si="8">H5+T6</f>
        <v>34094.399999999994</v>
      </c>
      <c r="I6" s="23">
        <f t="shared" ref="I6:I13" si="9">I5+U6</f>
        <v>53164</v>
      </c>
      <c r="J6" s="23">
        <f t="shared" ref="J6:J13" si="10">J5+V6</f>
        <v>0</v>
      </c>
      <c r="K6" s="23">
        <f t="shared" ref="K6:K13" si="11">K5+W6</f>
        <v>32677.800000000003</v>
      </c>
      <c r="L6" s="23">
        <f t="shared" ref="L6:L13" si="12">L5+X6</f>
        <v>46198.8</v>
      </c>
      <c r="N6">
        <v>132.4</v>
      </c>
      <c r="O6">
        <v>132.69999999999999</v>
      </c>
      <c r="P6">
        <v>-393.6</v>
      </c>
      <c r="Q6">
        <v>-1372.3</v>
      </c>
      <c r="R6">
        <v>-528.5</v>
      </c>
      <c r="S6">
        <v>-528.5</v>
      </c>
      <c r="T6">
        <v>115.7</v>
      </c>
      <c r="U6">
        <v>-633</v>
      </c>
      <c r="V6">
        <v>0</v>
      </c>
      <c r="W6">
        <v>132.4</v>
      </c>
      <c r="X6">
        <v>-393.6</v>
      </c>
    </row>
    <row r="7" spans="1:24" ht="14.25" x14ac:dyDescent="0.45">
      <c r="A7">
        <v>2013</v>
      </c>
      <c r="B7" s="23">
        <f t="shared" si="2"/>
        <v>32810.200000000004</v>
      </c>
      <c r="C7" s="23">
        <f t="shared" si="3"/>
        <v>32808.1</v>
      </c>
      <c r="D7" s="23">
        <f t="shared" si="4"/>
        <v>45805.200000000004</v>
      </c>
      <c r="E7" s="23">
        <f t="shared" si="5"/>
        <v>57656.099999999991</v>
      </c>
      <c r="F7" s="23">
        <f t="shared" si="6"/>
        <v>45663.5</v>
      </c>
      <c r="G7" s="23">
        <f t="shared" si="7"/>
        <v>45663.5</v>
      </c>
      <c r="H7" s="23">
        <f t="shared" si="8"/>
        <v>34210.099999999991</v>
      </c>
      <c r="I7" s="23">
        <f t="shared" si="9"/>
        <v>52531</v>
      </c>
      <c r="J7" s="23">
        <f t="shared" si="10"/>
        <v>0</v>
      </c>
      <c r="K7" s="23">
        <f t="shared" si="11"/>
        <v>32810.200000000004</v>
      </c>
      <c r="L7" s="23">
        <f t="shared" si="12"/>
        <v>45805.200000000004</v>
      </c>
      <c r="N7">
        <v>132.4</v>
      </c>
      <c r="O7">
        <v>132.69999999999999</v>
      </c>
      <c r="P7">
        <v>-393.6</v>
      </c>
      <c r="Q7">
        <v>-1372.3</v>
      </c>
      <c r="R7">
        <v>-528.5</v>
      </c>
      <c r="S7">
        <v>-528.5</v>
      </c>
      <c r="T7">
        <v>115.7</v>
      </c>
      <c r="U7">
        <v>-633</v>
      </c>
      <c r="V7">
        <v>0</v>
      </c>
      <c r="W7">
        <v>132.4</v>
      </c>
      <c r="X7">
        <v>-393.6</v>
      </c>
    </row>
    <row r="8" spans="1:24" ht="14.25" x14ac:dyDescent="0.45">
      <c r="A8">
        <v>2014</v>
      </c>
      <c r="B8" s="23">
        <f t="shared" si="2"/>
        <v>32942.600000000006</v>
      </c>
      <c r="C8" s="23">
        <f t="shared" si="3"/>
        <v>32940.799999999996</v>
      </c>
      <c r="D8" s="23">
        <f t="shared" si="4"/>
        <v>45411.600000000006</v>
      </c>
      <c r="E8" s="23">
        <f t="shared" si="5"/>
        <v>56283.799999999988</v>
      </c>
      <c r="F8" s="23">
        <f t="shared" si="6"/>
        <v>45135</v>
      </c>
      <c r="G8" s="23">
        <f t="shared" si="7"/>
        <v>45135</v>
      </c>
      <c r="H8" s="23">
        <f t="shared" si="8"/>
        <v>34325.799999999988</v>
      </c>
      <c r="I8" s="23">
        <f t="shared" si="9"/>
        <v>51898</v>
      </c>
      <c r="J8" s="23">
        <f t="shared" si="10"/>
        <v>0</v>
      </c>
      <c r="K8" s="23">
        <f t="shared" si="11"/>
        <v>32942.600000000006</v>
      </c>
      <c r="L8" s="23">
        <f t="shared" si="12"/>
        <v>45411.600000000006</v>
      </c>
      <c r="N8">
        <v>132.4</v>
      </c>
      <c r="O8">
        <v>132.69999999999999</v>
      </c>
      <c r="P8">
        <v>-393.6</v>
      </c>
      <c r="Q8">
        <v>-1372.3</v>
      </c>
      <c r="R8">
        <v>-528.5</v>
      </c>
      <c r="S8">
        <v>-528.5</v>
      </c>
      <c r="T8">
        <v>115.7</v>
      </c>
      <c r="U8">
        <v>-633</v>
      </c>
      <c r="V8">
        <v>0</v>
      </c>
      <c r="W8">
        <v>132.4</v>
      </c>
      <c r="X8">
        <v>-393.6</v>
      </c>
    </row>
    <row r="9" spans="1:24" ht="14.25" x14ac:dyDescent="0.45">
      <c r="A9">
        <v>2015</v>
      </c>
      <c r="B9" s="23">
        <f t="shared" si="2"/>
        <v>33075.000000000007</v>
      </c>
      <c r="C9" s="23">
        <f t="shared" si="3"/>
        <v>33073.499999999993</v>
      </c>
      <c r="D9" s="23">
        <f t="shared" si="4"/>
        <v>45018.000000000007</v>
      </c>
      <c r="E9" s="23">
        <f t="shared" si="5"/>
        <v>54911.499999999985</v>
      </c>
      <c r="F9" s="23">
        <f t="shared" si="6"/>
        <v>44606.5</v>
      </c>
      <c r="G9" s="23">
        <f t="shared" si="7"/>
        <v>44606.5</v>
      </c>
      <c r="H9" s="23">
        <f t="shared" si="8"/>
        <v>34441.499999999985</v>
      </c>
      <c r="I9" s="23">
        <f t="shared" si="9"/>
        <v>51265</v>
      </c>
      <c r="J9" s="23">
        <f t="shared" si="10"/>
        <v>0</v>
      </c>
      <c r="K9" s="23">
        <f t="shared" si="11"/>
        <v>33075.000000000007</v>
      </c>
      <c r="L9" s="23">
        <f t="shared" si="12"/>
        <v>45018.000000000007</v>
      </c>
      <c r="N9">
        <v>132.4</v>
      </c>
      <c r="O9">
        <v>132.69999999999999</v>
      </c>
      <c r="P9">
        <v>-393.6</v>
      </c>
      <c r="Q9">
        <v>-1372.3</v>
      </c>
      <c r="R9">
        <v>-528.5</v>
      </c>
      <c r="S9">
        <v>-528.5</v>
      </c>
      <c r="T9">
        <v>115.7</v>
      </c>
      <c r="U9">
        <v>-633</v>
      </c>
      <c r="V9">
        <v>0</v>
      </c>
      <c r="W9">
        <v>132.4</v>
      </c>
      <c r="X9">
        <v>-393.6</v>
      </c>
    </row>
    <row r="10" spans="1:24" ht="14.25" x14ac:dyDescent="0.45">
      <c r="A10">
        <v>2016</v>
      </c>
      <c r="B10" s="23">
        <f t="shared" si="2"/>
        <v>33207.400000000009</v>
      </c>
      <c r="C10" s="23">
        <f t="shared" si="3"/>
        <v>33206.19999999999</v>
      </c>
      <c r="D10" s="23">
        <f t="shared" si="4"/>
        <v>44624.400000000009</v>
      </c>
      <c r="E10" s="23">
        <f t="shared" si="5"/>
        <v>53539.199999999983</v>
      </c>
      <c r="F10" s="23">
        <f t="shared" si="6"/>
        <v>44078</v>
      </c>
      <c r="G10" s="23">
        <f t="shared" si="7"/>
        <v>44078</v>
      </c>
      <c r="H10" s="23">
        <f t="shared" si="8"/>
        <v>34557.199999999983</v>
      </c>
      <c r="I10" s="23">
        <f t="shared" si="9"/>
        <v>50632</v>
      </c>
      <c r="J10" s="23">
        <f t="shared" si="10"/>
        <v>0</v>
      </c>
      <c r="K10" s="23">
        <f t="shared" si="11"/>
        <v>33207.400000000009</v>
      </c>
      <c r="L10" s="23">
        <f t="shared" si="12"/>
        <v>44624.400000000009</v>
      </c>
      <c r="N10">
        <v>132.4</v>
      </c>
      <c r="O10">
        <v>132.69999999999999</v>
      </c>
      <c r="P10">
        <v>-393.6</v>
      </c>
      <c r="Q10">
        <v>-1372.3</v>
      </c>
      <c r="R10">
        <v>-528.5</v>
      </c>
      <c r="S10">
        <v>-528.5</v>
      </c>
      <c r="T10">
        <v>115.7</v>
      </c>
      <c r="U10">
        <v>-633</v>
      </c>
      <c r="V10">
        <v>0</v>
      </c>
      <c r="W10">
        <v>132.4</v>
      </c>
      <c r="X10">
        <v>-393.6</v>
      </c>
    </row>
    <row r="11" spans="1:24" ht="14.25" x14ac:dyDescent="0.45">
      <c r="A11">
        <v>2017</v>
      </c>
      <c r="B11" s="23">
        <f t="shared" si="2"/>
        <v>33339.80000000001</v>
      </c>
      <c r="C11" s="23">
        <f t="shared" si="3"/>
        <v>33338.899999999987</v>
      </c>
      <c r="D11" s="23">
        <f t="shared" si="4"/>
        <v>44230.80000000001</v>
      </c>
      <c r="E11" s="23">
        <f t="shared" si="5"/>
        <v>52166.89999999998</v>
      </c>
      <c r="F11" s="23">
        <f t="shared" si="6"/>
        <v>43549.5</v>
      </c>
      <c r="G11" s="23">
        <f t="shared" si="7"/>
        <v>43549.5</v>
      </c>
      <c r="H11" s="23">
        <f t="shared" si="8"/>
        <v>34672.89999999998</v>
      </c>
      <c r="I11" s="23">
        <f t="shared" si="9"/>
        <v>49999</v>
      </c>
      <c r="J11" s="23">
        <f t="shared" si="10"/>
        <v>0</v>
      </c>
      <c r="K11" s="23">
        <f t="shared" si="11"/>
        <v>33339.80000000001</v>
      </c>
      <c r="L11" s="23">
        <f t="shared" si="12"/>
        <v>44230.80000000001</v>
      </c>
      <c r="N11">
        <v>132.4</v>
      </c>
      <c r="O11">
        <v>132.69999999999999</v>
      </c>
      <c r="P11">
        <v>-393.6</v>
      </c>
      <c r="Q11">
        <v>-1372.3</v>
      </c>
      <c r="R11">
        <v>-528.5</v>
      </c>
      <c r="S11">
        <v>-528.5</v>
      </c>
      <c r="T11">
        <v>115.7</v>
      </c>
      <c r="U11">
        <v>-633</v>
      </c>
      <c r="V11">
        <v>0</v>
      </c>
      <c r="W11">
        <v>132.4</v>
      </c>
      <c r="X11">
        <v>-393.6</v>
      </c>
    </row>
    <row r="12" spans="1:24" ht="14.25" x14ac:dyDescent="0.45">
      <c r="A12">
        <v>2018</v>
      </c>
      <c r="B12" s="23">
        <f t="shared" si="2"/>
        <v>33472.200000000012</v>
      </c>
      <c r="C12" s="23">
        <f t="shared" si="3"/>
        <v>33471.599999999984</v>
      </c>
      <c r="D12" s="23">
        <f t="shared" si="4"/>
        <v>43837.200000000012</v>
      </c>
      <c r="E12" s="23">
        <f t="shared" si="5"/>
        <v>50794.599999999977</v>
      </c>
      <c r="F12" s="23">
        <f t="shared" si="6"/>
        <v>43021</v>
      </c>
      <c r="G12" s="23">
        <f t="shared" si="7"/>
        <v>43021</v>
      </c>
      <c r="H12" s="23">
        <f t="shared" si="8"/>
        <v>34788.599999999977</v>
      </c>
      <c r="I12" s="23">
        <f t="shared" si="9"/>
        <v>49366</v>
      </c>
      <c r="J12" s="23">
        <f t="shared" si="10"/>
        <v>0</v>
      </c>
      <c r="K12" s="23">
        <f t="shared" si="11"/>
        <v>33472.200000000012</v>
      </c>
      <c r="L12" s="23">
        <f t="shared" si="12"/>
        <v>43837.200000000012</v>
      </c>
      <c r="N12">
        <v>132.4</v>
      </c>
      <c r="O12">
        <v>132.69999999999999</v>
      </c>
      <c r="P12">
        <v>-393.6</v>
      </c>
      <c r="Q12">
        <v>-1372.3</v>
      </c>
      <c r="R12">
        <v>-528.5</v>
      </c>
      <c r="S12">
        <v>-528.5</v>
      </c>
      <c r="T12">
        <v>115.7</v>
      </c>
      <c r="U12">
        <v>-633</v>
      </c>
      <c r="V12">
        <v>0</v>
      </c>
      <c r="W12">
        <v>132.4</v>
      </c>
      <c r="X12">
        <v>-393.6</v>
      </c>
    </row>
    <row r="13" spans="1:24" ht="14.25" x14ac:dyDescent="0.45">
      <c r="A13">
        <v>2019</v>
      </c>
      <c r="B13" s="23">
        <f t="shared" si="2"/>
        <v>33604.600000000013</v>
      </c>
      <c r="C13" s="23">
        <f t="shared" si="3"/>
        <v>33604.299999999981</v>
      </c>
      <c r="D13" s="23">
        <f t="shared" si="4"/>
        <v>43443.600000000013</v>
      </c>
      <c r="E13" s="23">
        <f t="shared" si="5"/>
        <v>49422.299999999974</v>
      </c>
      <c r="F13" s="23">
        <f t="shared" si="6"/>
        <v>42492.5</v>
      </c>
      <c r="G13" s="23">
        <f t="shared" si="7"/>
        <v>42492.5</v>
      </c>
      <c r="H13" s="23">
        <f t="shared" si="8"/>
        <v>34904.299999999974</v>
      </c>
      <c r="I13" s="23">
        <f t="shared" si="9"/>
        <v>48733</v>
      </c>
      <c r="J13" s="23">
        <f t="shared" si="10"/>
        <v>0</v>
      </c>
      <c r="K13" s="23">
        <f t="shared" si="11"/>
        <v>33604.600000000013</v>
      </c>
      <c r="L13" s="23">
        <f t="shared" si="12"/>
        <v>43443.600000000013</v>
      </c>
      <c r="N13">
        <v>132.4</v>
      </c>
      <c r="O13">
        <v>132.69999999999999</v>
      </c>
      <c r="P13">
        <v>-393.6</v>
      </c>
      <c r="Q13">
        <v>-1372.3</v>
      </c>
      <c r="R13">
        <v>-528.5</v>
      </c>
      <c r="S13">
        <v>-528.5</v>
      </c>
      <c r="T13">
        <v>115.7</v>
      </c>
      <c r="U13">
        <v>-633</v>
      </c>
      <c r="V13">
        <v>0</v>
      </c>
      <c r="W13">
        <v>132.4</v>
      </c>
      <c r="X13">
        <v>-393.6</v>
      </c>
    </row>
    <row r="14" spans="1:24" ht="14.25" x14ac:dyDescent="0.45">
      <c r="A14">
        <v>2020</v>
      </c>
      <c r="B14">
        <v>33737</v>
      </c>
      <c r="C14">
        <v>33737</v>
      </c>
      <c r="D14" s="16">
        <v>43050</v>
      </c>
      <c r="E14" s="16">
        <v>48050</v>
      </c>
      <c r="F14">
        <v>41964</v>
      </c>
      <c r="G14">
        <v>41964</v>
      </c>
      <c r="H14">
        <v>35020</v>
      </c>
      <c r="I14">
        <v>48100</v>
      </c>
      <c r="J14">
        <v>0</v>
      </c>
      <c r="K14">
        <v>33737</v>
      </c>
      <c r="L14" s="16">
        <v>43050</v>
      </c>
      <c r="N14">
        <v>132.4</v>
      </c>
      <c r="O14">
        <v>132.69999999999999</v>
      </c>
      <c r="P14">
        <v>-393.6</v>
      </c>
      <c r="Q14">
        <v>-1372.3</v>
      </c>
      <c r="R14">
        <v>-528.5</v>
      </c>
      <c r="S14">
        <v>-528.5</v>
      </c>
      <c r="T14">
        <v>115.7</v>
      </c>
      <c r="U14">
        <v>-633</v>
      </c>
      <c r="V14">
        <v>0</v>
      </c>
      <c r="W14">
        <v>132.4</v>
      </c>
      <c r="X14">
        <v>-393.6</v>
      </c>
    </row>
    <row r="15" spans="1:24" ht="14.25" x14ac:dyDescent="0.45">
      <c r="A15">
        <v>2021</v>
      </c>
      <c r="B15" s="23">
        <f>B14+N15</f>
        <v>33939.1</v>
      </c>
      <c r="C15" s="23">
        <f t="shared" ref="C15:L15" si="13">C14+O15</f>
        <v>33939.1</v>
      </c>
      <c r="D15" s="23">
        <f t="shared" si="13"/>
        <v>42904</v>
      </c>
      <c r="E15" s="23">
        <f t="shared" si="13"/>
        <v>47571</v>
      </c>
      <c r="F15" s="23">
        <f t="shared" si="13"/>
        <v>41694.300000000003</v>
      </c>
      <c r="G15" s="23">
        <f t="shared" si="13"/>
        <v>41694.300000000003</v>
      </c>
      <c r="H15" s="23">
        <f t="shared" si="13"/>
        <v>35195.9</v>
      </c>
      <c r="I15" s="23">
        <f t="shared" si="13"/>
        <v>47803</v>
      </c>
      <c r="J15" s="23">
        <f t="shared" si="13"/>
        <v>0</v>
      </c>
      <c r="K15" s="23">
        <f t="shared" si="13"/>
        <v>33939.1</v>
      </c>
      <c r="L15" s="23">
        <f t="shared" si="13"/>
        <v>42904</v>
      </c>
      <c r="N15">
        <f>(B24-B14)/10</f>
        <v>202.1</v>
      </c>
      <c r="O15">
        <f t="shared" ref="O15" si="14">(C24-C14)/10</f>
        <v>202.1</v>
      </c>
      <c r="P15">
        <f t="shared" ref="P15" si="15">(D24-D14)/10</f>
        <v>-146</v>
      </c>
      <c r="Q15">
        <f t="shared" ref="Q15" si="16">(E24-E14)/10</f>
        <v>-479</v>
      </c>
      <c r="R15">
        <f t="shared" ref="R15" si="17">(F24-F14)/10</f>
        <v>-269.7</v>
      </c>
      <c r="S15">
        <f t="shared" ref="S15" si="18">(G24-G14)/10</f>
        <v>-269.7</v>
      </c>
      <c r="T15">
        <f t="shared" ref="T15" si="19">(H24-H14)/10</f>
        <v>175.9</v>
      </c>
      <c r="U15">
        <f t="shared" ref="U15" si="20">(I24-I14)/10</f>
        <v>-297</v>
      </c>
      <c r="V15">
        <f t="shared" ref="V15" si="21">(J24-J14)/10</f>
        <v>0</v>
      </c>
      <c r="W15">
        <f t="shared" ref="W15" si="22">(K24-K14)/10</f>
        <v>202.1</v>
      </c>
      <c r="X15">
        <f t="shared" ref="X15" si="23">(L24-L14)/10</f>
        <v>-146</v>
      </c>
    </row>
    <row r="16" spans="1:24" ht="14.25" x14ac:dyDescent="0.45">
      <c r="A16">
        <v>2022</v>
      </c>
      <c r="B16" s="23">
        <f t="shared" ref="B16:B23" si="24">B15+N16</f>
        <v>34141.199999999997</v>
      </c>
      <c r="C16" s="23">
        <f t="shared" ref="C16:C23" si="25">C15+O16</f>
        <v>34141.199999999997</v>
      </c>
      <c r="D16" s="23">
        <f t="shared" ref="D16:D23" si="26">D15+P16</f>
        <v>42758</v>
      </c>
      <c r="E16" s="23">
        <f t="shared" ref="E16:E23" si="27">E15+Q16</f>
        <v>47092</v>
      </c>
      <c r="F16" s="23">
        <f t="shared" ref="F16:F23" si="28">F15+R16</f>
        <v>41424.600000000006</v>
      </c>
      <c r="G16" s="23">
        <f t="shared" ref="G16:G23" si="29">G15+S16</f>
        <v>41424.600000000006</v>
      </c>
      <c r="H16" s="23">
        <f t="shared" ref="H16:H23" si="30">H15+T16</f>
        <v>35371.800000000003</v>
      </c>
      <c r="I16" s="23">
        <f t="shared" ref="I16:I23" si="31">I15+U16</f>
        <v>47506</v>
      </c>
      <c r="J16" s="23">
        <f t="shared" ref="J16:J23" si="32">J15+V16</f>
        <v>0</v>
      </c>
      <c r="K16" s="23">
        <f t="shared" ref="K16:K23" si="33">K15+W16</f>
        <v>34141.199999999997</v>
      </c>
      <c r="L16" s="23">
        <f t="shared" ref="L16:L23" si="34">L15+X16</f>
        <v>42758</v>
      </c>
      <c r="N16">
        <v>202.1</v>
      </c>
      <c r="O16">
        <v>202.1</v>
      </c>
      <c r="P16">
        <v>-146</v>
      </c>
      <c r="Q16">
        <v>-479</v>
      </c>
      <c r="R16">
        <v>-269.7</v>
      </c>
      <c r="S16">
        <v>-269.7</v>
      </c>
      <c r="T16">
        <v>175.9</v>
      </c>
      <c r="U16">
        <v>-297</v>
      </c>
      <c r="V16">
        <v>0</v>
      </c>
      <c r="W16">
        <v>202.1</v>
      </c>
      <c r="X16">
        <v>-146</v>
      </c>
    </row>
    <row r="17" spans="1:24" ht="14.25" x14ac:dyDescent="0.45">
      <c r="A17">
        <v>2023</v>
      </c>
      <c r="B17" s="23">
        <f t="shared" si="24"/>
        <v>34343.299999999996</v>
      </c>
      <c r="C17" s="23">
        <f t="shared" si="25"/>
        <v>34343.299999999996</v>
      </c>
      <c r="D17" s="23">
        <f t="shared" si="26"/>
        <v>42612</v>
      </c>
      <c r="E17" s="23">
        <f t="shared" si="27"/>
        <v>46613</v>
      </c>
      <c r="F17" s="23">
        <f t="shared" si="28"/>
        <v>41154.900000000009</v>
      </c>
      <c r="G17" s="23">
        <f t="shared" si="29"/>
        <v>41154.900000000009</v>
      </c>
      <c r="H17" s="23">
        <f t="shared" si="30"/>
        <v>35547.700000000004</v>
      </c>
      <c r="I17" s="23">
        <f t="shared" si="31"/>
        <v>47209</v>
      </c>
      <c r="J17" s="23">
        <f t="shared" si="32"/>
        <v>0</v>
      </c>
      <c r="K17" s="23">
        <f t="shared" si="33"/>
        <v>34343.299999999996</v>
      </c>
      <c r="L17" s="23">
        <f t="shared" si="34"/>
        <v>42612</v>
      </c>
      <c r="N17">
        <v>202.1</v>
      </c>
      <c r="O17">
        <v>202.1</v>
      </c>
      <c r="P17">
        <v>-146</v>
      </c>
      <c r="Q17">
        <v>-479</v>
      </c>
      <c r="R17">
        <v>-269.7</v>
      </c>
      <c r="S17">
        <v>-269.7</v>
      </c>
      <c r="T17">
        <v>175.9</v>
      </c>
      <c r="U17">
        <v>-297</v>
      </c>
      <c r="V17">
        <v>0</v>
      </c>
      <c r="W17">
        <v>202.1</v>
      </c>
      <c r="X17">
        <v>-146</v>
      </c>
    </row>
    <row r="18" spans="1:24" ht="14.25" x14ac:dyDescent="0.45">
      <c r="A18">
        <v>2024</v>
      </c>
      <c r="B18" s="23">
        <f t="shared" si="24"/>
        <v>34545.399999999994</v>
      </c>
      <c r="C18" s="23">
        <f t="shared" si="25"/>
        <v>34545.399999999994</v>
      </c>
      <c r="D18" s="23">
        <f t="shared" si="26"/>
        <v>42466</v>
      </c>
      <c r="E18" s="23">
        <f t="shared" si="27"/>
        <v>46134</v>
      </c>
      <c r="F18" s="23">
        <f t="shared" si="28"/>
        <v>40885.200000000012</v>
      </c>
      <c r="G18" s="23">
        <f t="shared" si="29"/>
        <v>40885.200000000012</v>
      </c>
      <c r="H18" s="23">
        <f t="shared" si="30"/>
        <v>35723.600000000006</v>
      </c>
      <c r="I18" s="23">
        <f t="shared" si="31"/>
        <v>46912</v>
      </c>
      <c r="J18" s="23">
        <f t="shared" si="32"/>
        <v>0</v>
      </c>
      <c r="K18" s="23">
        <f t="shared" si="33"/>
        <v>34545.399999999994</v>
      </c>
      <c r="L18" s="23">
        <f t="shared" si="34"/>
        <v>42466</v>
      </c>
      <c r="N18">
        <v>202.1</v>
      </c>
      <c r="O18">
        <v>202.1</v>
      </c>
      <c r="P18">
        <v>-146</v>
      </c>
      <c r="Q18">
        <v>-479</v>
      </c>
      <c r="R18">
        <v>-269.7</v>
      </c>
      <c r="S18">
        <v>-269.7</v>
      </c>
      <c r="T18">
        <v>175.9</v>
      </c>
      <c r="U18">
        <v>-297</v>
      </c>
      <c r="V18">
        <v>0</v>
      </c>
      <c r="W18">
        <v>202.1</v>
      </c>
      <c r="X18">
        <v>-146</v>
      </c>
    </row>
    <row r="19" spans="1:24" ht="14.25" x14ac:dyDescent="0.45">
      <c r="A19">
        <v>2025</v>
      </c>
      <c r="B19" s="23">
        <f t="shared" si="24"/>
        <v>34747.499999999993</v>
      </c>
      <c r="C19" s="23">
        <f t="shared" si="25"/>
        <v>34747.499999999993</v>
      </c>
      <c r="D19" s="23">
        <f t="shared" si="26"/>
        <v>42320</v>
      </c>
      <c r="E19" s="23">
        <f t="shared" si="27"/>
        <v>45655</v>
      </c>
      <c r="F19" s="23">
        <f t="shared" si="28"/>
        <v>40615.500000000015</v>
      </c>
      <c r="G19" s="23">
        <f t="shared" si="29"/>
        <v>40615.500000000015</v>
      </c>
      <c r="H19" s="23">
        <f t="shared" si="30"/>
        <v>35899.500000000007</v>
      </c>
      <c r="I19" s="23">
        <f t="shared" si="31"/>
        <v>46615</v>
      </c>
      <c r="J19" s="23">
        <f t="shared" si="32"/>
        <v>0</v>
      </c>
      <c r="K19" s="23">
        <f t="shared" si="33"/>
        <v>34747.499999999993</v>
      </c>
      <c r="L19" s="23">
        <f t="shared" si="34"/>
        <v>42320</v>
      </c>
      <c r="N19">
        <v>202.1</v>
      </c>
      <c r="O19">
        <v>202.1</v>
      </c>
      <c r="P19">
        <v>-146</v>
      </c>
      <c r="Q19">
        <v>-479</v>
      </c>
      <c r="R19">
        <v>-269.7</v>
      </c>
      <c r="S19">
        <v>-269.7</v>
      </c>
      <c r="T19">
        <v>175.9</v>
      </c>
      <c r="U19">
        <v>-297</v>
      </c>
      <c r="V19">
        <v>0</v>
      </c>
      <c r="W19">
        <v>202.1</v>
      </c>
      <c r="X19">
        <v>-146</v>
      </c>
    </row>
    <row r="20" spans="1:24" ht="15" x14ac:dyDescent="0.25">
      <c r="A20">
        <v>2026</v>
      </c>
      <c r="B20" s="23">
        <f t="shared" si="24"/>
        <v>34949.599999999991</v>
      </c>
      <c r="C20" s="23">
        <f t="shared" si="25"/>
        <v>34949.599999999991</v>
      </c>
      <c r="D20" s="23">
        <f t="shared" si="26"/>
        <v>42174</v>
      </c>
      <c r="E20" s="23">
        <f t="shared" si="27"/>
        <v>45176</v>
      </c>
      <c r="F20" s="23">
        <f t="shared" si="28"/>
        <v>40345.800000000017</v>
      </c>
      <c r="G20" s="23">
        <f t="shared" si="29"/>
        <v>40345.800000000017</v>
      </c>
      <c r="H20" s="23">
        <f t="shared" si="30"/>
        <v>36075.400000000009</v>
      </c>
      <c r="I20" s="23">
        <f t="shared" si="31"/>
        <v>46318</v>
      </c>
      <c r="J20" s="23">
        <f t="shared" si="32"/>
        <v>0</v>
      </c>
      <c r="K20" s="23">
        <f t="shared" si="33"/>
        <v>34949.599999999991</v>
      </c>
      <c r="L20" s="23">
        <f t="shared" si="34"/>
        <v>42174</v>
      </c>
      <c r="N20">
        <v>202.1</v>
      </c>
      <c r="O20">
        <v>202.1</v>
      </c>
      <c r="P20">
        <v>-146</v>
      </c>
      <c r="Q20">
        <v>-479</v>
      </c>
      <c r="R20">
        <v>-269.7</v>
      </c>
      <c r="S20">
        <v>-269.7</v>
      </c>
      <c r="T20">
        <v>175.9</v>
      </c>
      <c r="U20">
        <v>-297</v>
      </c>
      <c r="V20">
        <v>0</v>
      </c>
      <c r="W20">
        <v>202.1</v>
      </c>
      <c r="X20">
        <v>-146</v>
      </c>
    </row>
    <row r="21" spans="1:24" x14ac:dyDescent="0.35">
      <c r="A21">
        <v>2027</v>
      </c>
      <c r="B21" s="23">
        <f t="shared" si="24"/>
        <v>35151.69999999999</v>
      </c>
      <c r="C21" s="23">
        <f t="shared" si="25"/>
        <v>35151.69999999999</v>
      </c>
      <c r="D21" s="23">
        <f t="shared" si="26"/>
        <v>42028</v>
      </c>
      <c r="E21" s="23">
        <f t="shared" si="27"/>
        <v>44697</v>
      </c>
      <c r="F21" s="23">
        <f t="shared" si="28"/>
        <v>40076.10000000002</v>
      </c>
      <c r="G21" s="23">
        <f t="shared" si="29"/>
        <v>40076.10000000002</v>
      </c>
      <c r="H21" s="23">
        <f t="shared" si="30"/>
        <v>36251.30000000001</v>
      </c>
      <c r="I21" s="23">
        <f t="shared" si="31"/>
        <v>46021</v>
      </c>
      <c r="J21" s="23">
        <f t="shared" si="32"/>
        <v>0</v>
      </c>
      <c r="K21" s="23">
        <f t="shared" si="33"/>
        <v>35151.69999999999</v>
      </c>
      <c r="L21" s="23">
        <f t="shared" si="34"/>
        <v>42028</v>
      </c>
      <c r="N21">
        <v>202.1</v>
      </c>
      <c r="O21">
        <v>202.1</v>
      </c>
      <c r="P21">
        <v>-146</v>
      </c>
      <c r="Q21">
        <v>-479</v>
      </c>
      <c r="R21">
        <v>-269.7</v>
      </c>
      <c r="S21">
        <v>-269.7</v>
      </c>
      <c r="T21">
        <v>175.9</v>
      </c>
      <c r="U21">
        <v>-297</v>
      </c>
      <c r="V21">
        <v>0</v>
      </c>
      <c r="W21">
        <v>202.1</v>
      </c>
      <c r="X21">
        <v>-146</v>
      </c>
    </row>
    <row r="22" spans="1:24" x14ac:dyDescent="0.35">
      <c r="A22">
        <v>2028</v>
      </c>
      <c r="B22" s="23">
        <f t="shared" si="24"/>
        <v>35353.799999999988</v>
      </c>
      <c r="C22" s="23">
        <f t="shared" si="25"/>
        <v>35353.799999999988</v>
      </c>
      <c r="D22" s="23">
        <f t="shared" si="26"/>
        <v>41882</v>
      </c>
      <c r="E22" s="23">
        <f t="shared" si="27"/>
        <v>44218</v>
      </c>
      <c r="F22" s="23">
        <f t="shared" si="28"/>
        <v>39806.400000000023</v>
      </c>
      <c r="G22" s="23">
        <f t="shared" si="29"/>
        <v>39806.400000000023</v>
      </c>
      <c r="H22" s="23">
        <f t="shared" si="30"/>
        <v>36427.200000000012</v>
      </c>
      <c r="I22" s="23">
        <f t="shared" si="31"/>
        <v>45724</v>
      </c>
      <c r="J22" s="23">
        <f t="shared" si="32"/>
        <v>0</v>
      </c>
      <c r="K22" s="23">
        <f t="shared" si="33"/>
        <v>35353.799999999988</v>
      </c>
      <c r="L22" s="23">
        <f t="shared" si="34"/>
        <v>41882</v>
      </c>
      <c r="N22">
        <v>202.1</v>
      </c>
      <c r="O22">
        <v>202.1</v>
      </c>
      <c r="P22">
        <v>-146</v>
      </c>
      <c r="Q22">
        <v>-479</v>
      </c>
      <c r="R22">
        <v>-269.7</v>
      </c>
      <c r="S22">
        <v>-269.7</v>
      </c>
      <c r="T22">
        <v>175.9</v>
      </c>
      <c r="U22">
        <v>-297</v>
      </c>
      <c r="V22">
        <v>0</v>
      </c>
      <c r="W22">
        <v>202.1</v>
      </c>
      <c r="X22">
        <v>-146</v>
      </c>
    </row>
    <row r="23" spans="1:24" x14ac:dyDescent="0.35">
      <c r="A23">
        <v>2029</v>
      </c>
      <c r="B23" s="23">
        <f t="shared" si="24"/>
        <v>35555.899999999987</v>
      </c>
      <c r="C23" s="23">
        <f t="shared" si="25"/>
        <v>35555.899999999987</v>
      </c>
      <c r="D23" s="23">
        <f t="shared" si="26"/>
        <v>41736</v>
      </c>
      <c r="E23" s="23">
        <f t="shared" si="27"/>
        <v>43739</v>
      </c>
      <c r="F23" s="23">
        <f t="shared" si="28"/>
        <v>39536.700000000026</v>
      </c>
      <c r="G23" s="23">
        <f t="shared" si="29"/>
        <v>39536.700000000026</v>
      </c>
      <c r="H23" s="23">
        <f t="shared" si="30"/>
        <v>36603.100000000013</v>
      </c>
      <c r="I23" s="23">
        <f t="shared" si="31"/>
        <v>45427</v>
      </c>
      <c r="J23" s="23">
        <f t="shared" si="32"/>
        <v>0</v>
      </c>
      <c r="K23" s="23">
        <f t="shared" si="33"/>
        <v>35555.899999999987</v>
      </c>
      <c r="L23" s="23">
        <f t="shared" si="34"/>
        <v>41736</v>
      </c>
      <c r="N23">
        <v>202.1</v>
      </c>
      <c r="O23">
        <v>202.1</v>
      </c>
      <c r="P23">
        <v>-146</v>
      </c>
      <c r="Q23">
        <v>-479</v>
      </c>
      <c r="R23">
        <v>-269.7</v>
      </c>
      <c r="S23">
        <v>-269.7</v>
      </c>
      <c r="T23">
        <v>175.9</v>
      </c>
      <c r="U23">
        <v>-297</v>
      </c>
      <c r="V23">
        <v>0</v>
      </c>
      <c r="W23">
        <v>202.1</v>
      </c>
      <c r="X23">
        <v>-146</v>
      </c>
    </row>
    <row r="24" spans="1:24" x14ac:dyDescent="0.35">
      <c r="A24">
        <v>2030</v>
      </c>
      <c r="B24">
        <v>35758</v>
      </c>
      <c r="C24">
        <v>35758</v>
      </c>
      <c r="D24" s="16">
        <v>41590</v>
      </c>
      <c r="E24" s="16">
        <v>43260</v>
      </c>
      <c r="F24">
        <v>39267</v>
      </c>
      <c r="G24">
        <v>39267</v>
      </c>
      <c r="H24">
        <v>36779</v>
      </c>
      <c r="I24">
        <v>45130</v>
      </c>
      <c r="J24">
        <v>0</v>
      </c>
      <c r="K24">
        <v>35758</v>
      </c>
      <c r="L24" s="16">
        <v>41590</v>
      </c>
      <c r="N24">
        <v>202.1</v>
      </c>
      <c r="O24">
        <v>202.1</v>
      </c>
      <c r="P24">
        <v>-146</v>
      </c>
      <c r="Q24">
        <v>-479</v>
      </c>
      <c r="R24">
        <v>-269.7</v>
      </c>
      <c r="S24">
        <v>-269.7</v>
      </c>
      <c r="T24">
        <v>175.9</v>
      </c>
      <c r="U24">
        <v>-297</v>
      </c>
      <c r="V24">
        <v>0</v>
      </c>
      <c r="W24">
        <v>202.1</v>
      </c>
      <c r="X24">
        <v>-146</v>
      </c>
    </row>
    <row r="25" spans="1:24" x14ac:dyDescent="0.35">
      <c r="A25">
        <v>2031</v>
      </c>
      <c r="B25" s="23">
        <f>B24+N25</f>
        <v>35840</v>
      </c>
      <c r="C25" s="23">
        <f t="shared" ref="C25:L25" si="35">C24+O25</f>
        <v>35840</v>
      </c>
      <c r="D25" s="23">
        <f t="shared" si="35"/>
        <v>41520</v>
      </c>
      <c r="E25" s="23">
        <f t="shared" si="35"/>
        <v>42953</v>
      </c>
      <c r="F25" s="23">
        <f t="shared" si="35"/>
        <v>39187.4</v>
      </c>
      <c r="G25" s="23">
        <f t="shared" si="35"/>
        <v>39187.4</v>
      </c>
      <c r="H25" s="23">
        <f t="shared" si="35"/>
        <v>36848.300000000003</v>
      </c>
      <c r="I25" s="23">
        <f t="shared" si="35"/>
        <v>44985</v>
      </c>
      <c r="J25" s="23">
        <f t="shared" si="35"/>
        <v>0</v>
      </c>
      <c r="K25" s="23">
        <f t="shared" si="35"/>
        <v>35840</v>
      </c>
      <c r="L25" s="23">
        <f t="shared" si="35"/>
        <v>41520</v>
      </c>
      <c r="N25">
        <f>(B34-B24)/10</f>
        <v>82</v>
      </c>
      <c r="O25">
        <f t="shared" ref="O25" si="36">(C34-C24)/10</f>
        <v>82</v>
      </c>
      <c r="P25">
        <f t="shared" ref="P25" si="37">(D34-D24)/10</f>
        <v>-70</v>
      </c>
      <c r="Q25">
        <f t="shared" ref="Q25" si="38">(E34-E24)/10</f>
        <v>-307</v>
      </c>
      <c r="R25">
        <f t="shared" ref="R25" si="39">(F34-F24)/10</f>
        <v>-79.599999999999994</v>
      </c>
      <c r="S25">
        <f t="shared" ref="S25" si="40">(G34-G24)/10</f>
        <v>-79.599999999999994</v>
      </c>
      <c r="T25">
        <f t="shared" ref="T25" si="41">(H34-H24)/10</f>
        <v>69.3</v>
      </c>
      <c r="U25">
        <f t="shared" ref="U25" si="42">(I34-I24)/10</f>
        <v>-145</v>
      </c>
      <c r="V25">
        <f t="shared" ref="V25" si="43">(J34-J24)/10</f>
        <v>0</v>
      </c>
      <c r="W25">
        <f t="shared" ref="W25" si="44">(K34-K24)/10</f>
        <v>82</v>
      </c>
      <c r="X25">
        <f t="shared" ref="X25" si="45">(L34-L24)/10</f>
        <v>-70</v>
      </c>
    </row>
    <row r="26" spans="1:24" x14ac:dyDescent="0.35">
      <c r="A26">
        <v>2032</v>
      </c>
      <c r="B26" s="23">
        <f t="shared" ref="B26:B33" si="46">B25+N26</f>
        <v>35922</v>
      </c>
      <c r="C26" s="23">
        <f t="shared" ref="C26:C33" si="47">C25+O26</f>
        <v>35922</v>
      </c>
      <c r="D26" s="23">
        <f t="shared" ref="D26:D33" si="48">D25+P26</f>
        <v>41450</v>
      </c>
      <c r="E26" s="23">
        <f t="shared" ref="E26:E33" si="49">E25+Q26</f>
        <v>42646</v>
      </c>
      <c r="F26" s="23">
        <f t="shared" ref="F26:F33" si="50">F25+R26</f>
        <v>39107.800000000003</v>
      </c>
      <c r="G26" s="23">
        <f t="shared" ref="G26:G33" si="51">G25+S26</f>
        <v>39107.800000000003</v>
      </c>
      <c r="H26" s="23">
        <f t="shared" ref="H26:H33" si="52">H25+T26</f>
        <v>36917.600000000006</v>
      </c>
      <c r="I26" s="23">
        <f t="shared" ref="I26:I33" si="53">I25+U26</f>
        <v>44840</v>
      </c>
      <c r="J26" s="23">
        <f t="shared" ref="J26:J33" si="54">J25+V26</f>
        <v>0</v>
      </c>
      <c r="K26" s="23">
        <f t="shared" ref="K26:K33" si="55">K25+W26</f>
        <v>35922</v>
      </c>
      <c r="L26" s="23">
        <f t="shared" ref="L26:L33" si="56">L25+X26</f>
        <v>41450</v>
      </c>
      <c r="N26">
        <v>82</v>
      </c>
      <c r="O26">
        <v>82</v>
      </c>
      <c r="P26">
        <v>-70</v>
      </c>
      <c r="Q26">
        <v>-307</v>
      </c>
      <c r="R26">
        <v>-79.599999999999994</v>
      </c>
      <c r="S26">
        <v>-79.599999999999994</v>
      </c>
      <c r="T26">
        <v>69.3</v>
      </c>
      <c r="U26">
        <v>-145</v>
      </c>
      <c r="V26">
        <v>0</v>
      </c>
      <c r="W26">
        <v>82</v>
      </c>
      <c r="X26">
        <v>-70</v>
      </c>
    </row>
    <row r="27" spans="1:24" x14ac:dyDescent="0.35">
      <c r="A27">
        <v>2033</v>
      </c>
      <c r="B27" s="23">
        <f t="shared" si="46"/>
        <v>36004</v>
      </c>
      <c r="C27" s="23">
        <f t="shared" si="47"/>
        <v>36004</v>
      </c>
      <c r="D27" s="23">
        <f t="shared" si="48"/>
        <v>41380</v>
      </c>
      <c r="E27" s="23">
        <f t="shared" si="49"/>
        <v>42339</v>
      </c>
      <c r="F27" s="23">
        <f t="shared" si="50"/>
        <v>39028.200000000004</v>
      </c>
      <c r="G27" s="23">
        <f t="shared" si="51"/>
        <v>39028.200000000004</v>
      </c>
      <c r="H27" s="23">
        <f t="shared" si="52"/>
        <v>36986.900000000009</v>
      </c>
      <c r="I27" s="23">
        <f t="shared" si="53"/>
        <v>44695</v>
      </c>
      <c r="J27" s="23">
        <f t="shared" si="54"/>
        <v>0</v>
      </c>
      <c r="K27" s="23">
        <f t="shared" si="55"/>
        <v>36004</v>
      </c>
      <c r="L27" s="23">
        <f t="shared" si="56"/>
        <v>41380</v>
      </c>
      <c r="N27">
        <v>82</v>
      </c>
      <c r="O27">
        <v>82</v>
      </c>
      <c r="P27">
        <v>-70</v>
      </c>
      <c r="Q27">
        <v>-307</v>
      </c>
      <c r="R27">
        <v>-79.599999999999994</v>
      </c>
      <c r="S27">
        <v>-79.599999999999994</v>
      </c>
      <c r="T27">
        <v>69.3</v>
      </c>
      <c r="U27">
        <v>-145</v>
      </c>
      <c r="V27">
        <v>0</v>
      </c>
      <c r="W27">
        <v>82</v>
      </c>
      <c r="X27">
        <v>-70</v>
      </c>
    </row>
    <row r="28" spans="1:24" x14ac:dyDescent="0.35">
      <c r="A28">
        <v>2034</v>
      </c>
      <c r="B28" s="23">
        <f t="shared" si="46"/>
        <v>36086</v>
      </c>
      <c r="C28" s="23">
        <f t="shared" si="47"/>
        <v>36086</v>
      </c>
      <c r="D28" s="23">
        <f t="shared" si="48"/>
        <v>41310</v>
      </c>
      <c r="E28" s="23">
        <f t="shared" si="49"/>
        <v>42032</v>
      </c>
      <c r="F28" s="23">
        <f t="shared" si="50"/>
        <v>38948.600000000006</v>
      </c>
      <c r="G28" s="23">
        <f t="shared" si="51"/>
        <v>38948.600000000006</v>
      </c>
      <c r="H28" s="23">
        <f t="shared" si="52"/>
        <v>37056.200000000012</v>
      </c>
      <c r="I28" s="23">
        <f t="shared" si="53"/>
        <v>44550</v>
      </c>
      <c r="J28" s="23">
        <f t="shared" si="54"/>
        <v>0</v>
      </c>
      <c r="K28" s="23">
        <f t="shared" si="55"/>
        <v>36086</v>
      </c>
      <c r="L28" s="23">
        <f t="shared" si="56"/>
        <v>41310</v>
      </c>
      <c r="N28">
        <v>82</v>
      </c>
      <c r="O28">
        <v>82</v>
      </c>
      <c r="P28">
        <v>-70</v>
      </c>
      <c r="Q28">
        <v>-307</v>
      </c>
      <c r="R28">
        <v>-79.599999999999994</v>
      </c>
      <c r="S28">
        <v>-79.599999999999994</v>
      </c>
      <c r="T28">
        <v>69.3</v>
      </c>
      <c r="U28">
        <v>-145</v>
      </c>
      <c r="V28">
        <v>0</v>
      </c>
      <c r="W28">
        <v>82</v>
      </c>
      <c r="X28">
        <v>-70</v>
      </c>
    </row>
    <row r="29" spans="1:24" x14ac:dyDescent="0.35">
      <c r="A29">
        <v>2035</v>
      </c>
      <c r="B29" s="23">
        <f t="shared" si="46"/>
        <v>36168</v>
      </c>
      <c r="C29" s="23">
        <f t="shared" si="47"/>
        <v>36168</v>
      </c>
      <c r="D29" s="23">
        <f t="shared" si="48"/>
        <v>41240</v>
      </c>
      <c r="E29" s="23">
        <f t="shared" si="49"/>
        <v>41725</v>
      </c>
      <c r="F29" s="23">
        <f t="shared" si="50"/>
        <v>38869.000000000007</v>
      </c>
      <c r="G29" s="23">
        <f t="shared" si="51"/>
        <v>38869.000000000007</v>
      </c>
      <c r="H29" s="23">
        <f t="shared" si="52"/>
        <v>37125.500000000015</v>
      </c>
      <c r="I29" s="23">
        <f t="shared" si="53"/>
        <v>44405</v>
      </c>
      <c r="J29" s="23">
        <f t="shared" si="54"/>
        <v>0</v>
      </c>
      <c r="K29" s="23">
        <f t="shared" si="55"/>
        <v>36168</v>
      </c>
      <c r="L29" s="23">
        <f t="shared" si="56"/>
        <v>41240</v>
      </c>
      <c r="N29">
        <v>82</v>
      </c>
      <c r="O29">
        <v>82</v>
      </c>
      <c r="P29">
        <v>-70</v>
      </c>
      <c r="Q29">
        <v>-307</v>
      </c>
      <c r="R29">
        <v>-79.599999999999994</v>
      </c>
      <c r="S29">
        <v>-79.599999999999994</v>
      </c>
      <c r="T29">
        <v>69.3</v>
      </c>
      <c r="U29">
        <v>-145</v>
      </c>
      <c r="V29">
        <v>0</v>
      </c>
      <c r="W29">
        <v>82</v>
      </c>
      <c r="X29">
        <v>-70</v>
      </c>
    </row>
    <row r="30" spans="1:24" x14ac:dyDescent="0.35">
      <c r="A30">
        <v>2036</v>
      </c>
      <c r="B30" s="23">
        <f t="shared" si="46"/>
        <v>36250</v>
      </c>
      <c r="C30" s="23">
        <f t="shared" si="47"/>
        <v>36250</v>
      </c>
      <c r="D30" s="23">
        <f t="shared" si="48"/>
        <v>41170</v>
      </c>
      <c r="E30" s="23">
        <f t="shared" si="49"/>
        <v>41418</v>
      </c>
      <c r="F30" s="23">
        <f t="shared" si="50"/>
        <v>38789.400000000009</v>
      </c>
      <c r="G30" s="23">
        <f t="shared" si="51"/>
        <v>38789.400000000009</v>
      </c>
      <c r="H30" s="23">
        <f t="shared" si="52"/>
        <v>37194.800000000017</v>
      </c>
      <c r="I30" s="23">
        <f t="shared" si="53"/>
        <v>44260</v>
      </c>
      <c r="J30" s="23">
        <f t="shared" si="54"/>
        <v>0</v>
      </c>
      <c r="K30" s="23">
        <f t="shared" si="55"/>
        <v>36250</v>
      </c>
      <c r="L30" s="23">
        <f t="shared" si="56"/>
        <v>41170</v>
      </c>
      <c r="N30">
        <v>82</v>
      </c>
      <c r="O30">
        <v>82</v>
      </c>
      <c r="P30">
        <v>-70</v>
      </c>
      <c r="Q30">
        <v>-307</v>
      </c>
      <c r="R30">
        <v>-79.599999999999994</v>
      </c>
      <c r="S30">
        <v>-79.599999999999994</v>
      </c>
      <c r="T30">
        <v>69.3</v>
      </c>
      <c r="U30">
        <v>-145</v>
      </c>
      <c r="V30">
        <v>0</v>
      </c>
      <c r="W30">
        <v>82</v>
      </c>
      <c r="X30">
        <v>-70</v>
      </c>
    </row>
    <row r="31" spans="1:24" x14ac:dyDescent="0.35">
      <c r="A31">
        <v>2037</v>
      </c>
      <c r="B31" s="23">
        <f t="shared" si="46"/>
        <v>36332</v>
      </c>
      <c r="C31" s="23">
        <f t="shared" si="47"/>
        <v>36332</v>
      </c>
      <c r="D31" s="23">
        <f t="shared" si="48"/>
        <v>41100</v>
      </c>
      <c r="E31" s="23">
        <f t="shared" si="49"/>
        <v>41111</v>
      </c>
      <c r="F31" s="23">
        <f t="shared" si="50"/>
        <v>38709.80000000001</v>
      </c>
      <c r="G31" s="23">
        <f t="shared" si="51"/>
        <v>38709.80000000001</v>
      </c>
      <c r="H31" s="23">
        <f t="shared" si="52"/>
        <v>37264.10000000002</v>
      </c>
      <c r="I31" s="23">
        <f t="shared" si="53"/>
        <v>44115</v>
      </c>
      <c r="J31" s="23">
        <f t="shared" si="54"/>
        <v>0</v>
      </c>
      <c r="K31" s="23">
        <f t="shared" si="55"/>
        <v>36332</v>
      </c>
      <c r="L31" s="23">
        <f t="shared" si="56"/>
        <v>41100</v>
      </c>
      <c r="N31">
        <v>82</v>
      </c>
      <c r="O31">
        <v>82</v>
      </c>
      <c r="P31">
        <v>-70</v>
      </c>
      <c r="Q31">
        <v>-307</v>
      </c>
      <c r="R31">
        <v>-79.599999999999994</v>
      </c>
      <c r="S31">
        <v>-79.599999999999994</v>
      </c>
      <c r="T31">
        <v>69.3</v>
      </c>
      <c r="U31">
        <v>-145</v>
      </c>
      <c r="V31">
        <v>0</v>
      </c>
      <c r="W31">
        <v>82</v>
      </c>
      <c r="X31">
        <v>-70</v>
      </c>
    </row>
    <row r="32" spans="1:24" x14ac:dyDescent="0.35">
      <c r="A32">
        <v>2038</v>
      </c>
      <c r="B32" s="23">
        <f t="shared" si="46"/>
        <v>36414</v>
      </c>
      <c r="C32" s="23">
        <f t="shared" si="47"/>
        <v>36414</v>
      </c>
      <c r="D32" s="23">
        <f t="shared" si="48"/>
        <v>41030</v>
      </c>
      <c r="E32" s="23">
        <f t="shared" si="49"/>
        <v>40804</v>
      </c>
      <c r="F32" s="23">
        <f t="shared" si="50"/>
        <v>38630.200000000012</v>
      </c>
      <c r="G32" s="23">
        <f t="shared" si="51"/>
        <v>38630.200000000012</v>
      </c>
      <c r="H32" s="23">
        <f t="shared" si="52"/>
        <v>37333.400000000023</v>
      </c>
      <c r="I32" s="23">
        <f t="shared" si="53"/>
        <v>43970</v>
      </c>
      <c r="J32" s="23">
        <f t="shared" si="54"/>
        <v>0</v>
      </c>
      <c r="K32" s="23">
        <f t="shared" si="55"/>
        <v>36414</v>
      </c>
      <c r="L32" s="23">
        <f t="shared" si="56"/>
        <v>41030</v>
      </c>
      <c r="N32">
        <v>82</v>
      </c>
      <c r="O32">
        <v>82</v>
      </c>
      <c r="P32">
        <v>-70</v>
      </c>
      <c r="Q32">
        <v>-307</v>
      </c>
      <c r="R32">
        <v>-79.599999999999994</v>
      </c>
      <c r="S32">
        <v>-79.599999999999994</v>
      </c>
      <c r="T32">
        <v>69.3</v>
      </c>
      <c r="U32">
        <v>-145</v>
      </c>
      <c r="V32">
        <v>0</v>
      </c>
      <c r="W32">
        <v>82</v>
      </c>
      <c r="X32">
        <v>-70</v>
      </c>
    </row>
    <row r="33" spans="1:42" x14ac:dyDescent="0.35">
      <c r="A33">
        <v>2039</v>
      </c>
      <c r="B33" s="23">
        <f t="shared" si="46"/>
        <v>36496</v>
      </c>
      <c r="C33" s="23">
        <f t="shared" si="47"/>
        <v>36496</v>
      </c>
      <c r="D33" s="23">
        <f t="shared" si="48"/>
        <v>40960</v>
      </c>
      <c r="E33" s="23">
        <f t="shared" si="49"/>
        <v>40497</v>
      </c>
      <c r="F33" s="23">
        <f t="shared" si="50"/>
        <v>38550.600000000013</v>
      </c>
      <c r="G33" s="23">
        <f t="shared" si="51"/>
        <v>38550.600000000013</v>
      </c>
      <c r="H33" s="23">
        <f t="shared" si="52"/>
        <v>37402.700000000026</v>
      </c>
      <c r="I33" s="23">
        <f t="shared" si="53"/>
        <v>43825</v>
      </c>
      <c r="J33" s="23">
        <f t="shared" si="54"/>
        <v>0</v>
      </c>
      <c r="K33" s="23">
        <f t="shared" si="55"/>
        <v>36496</v>
      </c>
      <c r="L33" s="23">
        <f t="shared" si="56"/>
        <v>40960</v>
      </c>
      <c r="N33">
        <v>82</v>
      </c>
      <c r="O33">
        <v>82</v>
      </c>
      <c r="P33">
        <v>-70</v>
      </c>
      <c r="Q33">
        <v>-307</v>
      </c>
      <c r="R33">
        <v>-79.599999999999994</v>
      </c>
      <c r="S33">
        <v>-79.599999999999994</v>
      </c>
      <c r="T33">
        <v>69.3</v>
      </c>
      <c r="U33">
        <v>-145</v>
      </c>
      <c r="V33">
        <v>0</v>
      </c>
      <c r="W33">
        <v>82</v>
      </c>
      <c r="X33">
        <v>-70</v>
      </c>
    </row>
    <row r="34" spans="1:42" x14ac:dyDescent="0.35">
      <c r="A34">
        <v>2040</v>
      </c>
      <c r="B34">
        <v>36578</v>
      </c>
      <c r="C34">
        <v>36578</v>
      </c>
      <c r="D34" s="16">
        <v>40890</v>
      </c>
      <c r="E34" s="16">
        <v>40190</v>
      </c>
      <c r="F34">
        <v>38471</v>
      </c>
      <c r="G34">
        <v>38471</v>
      </c>
      <c r="H34">
        <v>37472</v>
      </c>
      <c r="I34">
        <v>43680</v>
      </c>
      <c r="J34">
        <v>0</v>
      </c>
      <c r="K34">
        <v>36578</v>
      </c>
      <c r="L34" s="16">
        <v>40890</v>
      </c>
      <c r="N34">
        <v>82</v>
      </c>
      <c r="O34">
        <v>82</v>
      </c>
      <c r="P34">
        <v>-70</v>
      </c>
      <c r="Q34">
        <v>-307</v>
      </c>
      <c r="R34">
        <v>-79.599999999999994</v>
      </c>
      <c r="S34">
        <v>-79.599999999999994</v>
      </c>
      <c r="T34">
        <v>69.3</v>
      </c>
      <c r="U34">
        <v>-145</v>
      </c>
      <c r="V34">
        <v>0</v>
      </c>
      <c r="W34">
        <v>82</v>
      </c>
      <c r="X34">
        <v>-70</v>
      </c>
    </row>
    <row r="35" spans="1:42" x14ac:dyDescent="0.35">
      <c r="A35">
        <v>2041</v>
      </c>
      <c r="B35" s="23">
        <f>B34+N35</f>
        <v>36686</v>
      </c>
      <c r="C35" s="23">
        <f t="shared" ref="C35:L35" si="57">C34+O35</f>
        <v>36686</v>
      </c>
      <c r="D35" s="23">
        <f t="shared" si="57"/>
        <v>40905</v>
      </c>
      <c r="E35" s="23">
        <f t="shared" si="57"/>
        <v>40025</v>
      </c>
      <c r="F35" s="23">
        <f t="shared" si="57"/>
        <v>38445.300000000003</v>
      </c>
      <c r="G35" s="23">
        <f t="shared" si="57"/>
        <v>38445.300000000003</v>
      </c>
      <c r="H35" s="23">
        <f t="shared" si="57"/>
        <v>37568.800000000003</v>
      </c>
      <c r="I35" s="23">
        <f t="shared" si="57"/>
        <v>43641</v>
      </c>
      <c r="J35" s="23">
        <f t="shared" si="57"/>
        <v>0</v>
      </c>
      <c r="K35" s="23">
        <f t="shared" si="57"/>
        <v>36686</v>
      </c>
      <c r="L35" s="23">
        <f t="shared" si="57"/>
        <v>40905</v>
      </c>
      <c r="N35">
        <f>(B44-B34)/10</f>
        <v>108</v>
      </c>
      <c r="O35">
        <f t="shared" ref="O35" si="58">(C44-C34)/10</f>
        <v>108</v>
      </c>
      <c r="P35">
        <f t="shared" ref="P35" si="59">(D44-D34)/10</f>
        <v>15</v>
      </c>
      <c r="Q35">
        <f t="shared" ref="Q35" si="60">(E44-E34)/10</f>
        <v>-165</v>
      </c>
      <c r="R35">
        <f t="shared" ref="R35" si="61">(F44-F34)/10</f>
        <v>-25.7</v>
      </c>
      <c r="S35">
        <f t="shared" ref="S35" si="62">(G44-G34)/10</f>
        <v>-25.7</v>
      </c>
      <c r="T35">
        <f t="shared" ref="T35" si="63">(H44-H34)/10</f>
        <v>96.8</v>
      </c>
      <c r="U35">
        <f t="shared" ref="U35" si="64">(I44-I34)/10</f>
        <v>-39</v>
      </c>
      <c r="V35">
        <f t="shared" ref="V35" si="65">(J44-J34)/10</f>
        <v>0</v>
      </c>
      <c r="W35">
        <f t="shared" ref="W35" si="66">(K44-K34)/10</f>
        <v>108</v>
      </c>
      <c r="X35">
        <f t="shared" ref="X35" si="67">(L44-L34)/10</f>
        <v>15</v>
      </c>
    </row>
    <row r="36" spans="1:42" x14ac:dyDescent="0.35">
      <c r="A36">
        <v>2042</v>
      </c>
      <c r="B36" s="23">
        <f t="shared" ref="B36:B43" si="68">B35+N36</f>
        <v>36794</v>
      </c>
      <c r="C36" s="23">
        <f t="shared" ref="C36:C43" si="69">C35+O36</f>
        <v>36794</v>
      </c>
      <c r="D36" s="23">
        <f t="shared" ref="D36:D43" si="70">D35+P36</f>
        <v>40920</v>
      </c>
      <c r="E36" s="23">
        <f t="shared" ref="E36:E43" si="71">E35+Q36</f>
        <v>39860</v>
      </c>
      <c r="F36" s="23">
        <f t="shared" ref="F36:F43" si="72">F35+R36</f>
        <v>38419.600000000006</v>
      </c>
      <c r="G36" s="23">
        <f t="shared" ref="G36:G43" si="73">G35+S36</f>
        <v>38419.600000000006</v>
      </c>
      <c r="H36" s="23">
        <f t="shared" ref="H36:H43" si="74">H35+T36</f>
        <v>37665.600000000006</v>
      </c>
      <c r="I36" s="23">
        <f t="shared" ref="I36:I43" si="75">I35+U36</f>
        <v>43602</v>
      </c>
      <c r="J36" s="23">
        <f t="shared" ref="J36:J43" si="76">J35+V36</f>
        <v>0</v>
      </c>
      <c r="K36" s="23">
        <f t="shared" ref="K36:K43" si="77">K35+W36</f>
        <v>36794</v>
      </c>
      <c r="L36" s="23">
        <f t="shared" ref="L36:L43" si="78">L35+X36</f>
        <v>40920</v>
      </c>
      <c r="N36">
        <v>108</v>
      </c>
      <c r="O36">
        <v>108</v>
      </c>
      <c r="P36">
        <v>15</v>
      </c>
      <c r="Q36">
        <v>-165</v>
      </c>
      <c r="R36">
        <v>-25.7</v>
      </c>
      <c r="S36">
        <v>-25.7</v>
      </c>
      <c r="T36">
        <v>96.8</v>
      </c>
      <c r="U36">
        <v>-39</v>
      </c>
      <c r="V36">
        <v>0</v>
      </c>
      <c r="W36">
        <v>108</v>
      </c>
      <c r="X36">
        <v>15</v>
      </c>
    </row>
    <row r="37" spans="1:42" x14ac:dyDescent="0.35">
      <c r="A37">
        <v>2043</v>
      </c>
      <c r="B37" s="23">
        <f t="shared" si="68"/>
        <v>36902</v>
      </c>
      <c r="C37" s="23">
        <f t="shared" si="69"/>
        <v>36902</v>
      </c>
      <c r="D37" s="23">
        <f t="shared" si="70"/>
        <v>40935</v>
      </c>
      <c r="E37" s="23">
        <f t="shared" si="71"/>
        <v>39695</v>
      </c>
      <c r="F37" s="23">
        <f t="shared" si="72"/>
        <v>38393.900000000009</v>
      </c>
      <c r="G37" s="23">
        <f t="shared" si="73"/>
        <v>38393.900000000009</v>
      </c>
      <c r="H37" s="23">
        <f t="shared" si="74"/>
        <v>37762.400000000009</v>
      </c>
      <c r="I37" s="23">
        <f t="shared" si="75"/>
        <v>43563</v>
      </c>
      <c r="J37" s="23">
        <f t="shared" si="76"/>
        <v>0</v>
      </c>
      <c r="K37" s="23">
        <f t="shared" si="77"/>
        <v>36902</v>
      </c>
      <c r="L37" s="23">
        <f t="shared" si="78"/>
        <v>40935</v>
      </c>
      <c r="N37">
        <v>108</v>
      </c>
      <c r="O37">
        <v>108</v>
      </c>
      <c r="P37">
        <v>15</v>
      </c>
      <c r="Q37">
        <v>-165</v>
      </c>
      <c r="R37">
        <v>-25.7</v>
      </c>
      <c r="S37">
        <v>-25.7</v>
      </c>
      <c r="T37">
        <v>96.8</v>
      </c>
      <c r="U37">
        <v>-39</v>
      </c>
      <c r="V37">
        <v>0</v>
      </c>
      <c r="W37">
        <v>108</v>
      </c>
      <c r="X37">
        <v>15</v>
      </c>
    </row>
    <row r="38" spans="1:42" x14ac:dyDescent="0.35">
      <c r="A38">
        <v>2044</v>
      </c>
      <c r="B38" s="23">
        <f t="shared" si="68"/>
        <v>37010</v>
      </c>
      <c r="C38" s="23">
        <f t="shared" si="69"/>
        <v>37010</v>
      </c>
      <c r="D38" s="23">
        <f t="shared" si="70"/>
        <v>40950</v>
      </c>
      <c r="E38" s="23">
        <f t="shared" si="71"/>
        <v>39530</v>
      </c>
      <c r="F38" s="23">
        <f t="shared" si="72"/>
        <v>38368.200000000012</v>
      </c>
      <c r="G38" s="23">
        <f t="shared" si="73"/>
        <v>38368.200000000012</v>
      </c>
      <c r="H38" s="23">
        <f t="shared" si="74"/>
        <v>37859.200000000012</v>
      </c>
      <c r="I38" s="23">
        <f t="shared" si="75"/>
        <v>43524</v>
      </c>
      <c r="J38" s="23">
        <f t="shared" si="76"/>
        <v>0</v>
      </c>
      <c r="K38" s="23">
        <f t="shared" si="77"/>
        <v>37010</v>
      </c>
      <c r="L38" s="23">
        <f t="shared" si="78"/>
        <v>40950</v>
      </c>
      <c r="N38">
        <v>108</v>
      </c>
      <c r="O38">
        <v>108</v>
      </c>
      <c r="P38">
        <v>15</v>
      </c>
      <c r="Q38">
        <v>-165</v>
      </c>
      <c r="R38">
        <v>-25.7</v>
      </c>
      <c r="S38">
        <v>-25.7</v>
      </c>
      <c r="T38">
        <v>96.8</v>
      </c>
      <c r="U38">
        <v>-39</v>
      </c>
      <c r="V38">
        <v>0</v>
      </c>
      <c r="W38">
        <v>108</v>
      </c>
      <c r="X38">
        <v>15</v>
      </c>
    </row>
    <row r="39" spans="1:42" x14ac:dyDescent="0.35">
      <c r="A39">
        <v>2045</v>
      </c>
      <c r="B39" s="23">
        <f t="shared" si="68"/>
        <v>37118</v>
      </c>
      <c r="C39" s="23">
        <f t="shared" si="69"/>
        <v>37118</v>
      </c>
      <c r="D39" s="23">
        <f t="shared" si="70"/>
        <v>40965</v>
      </c>
      <c r="E39" s="23">
        <f t="shared" si="71"/>
        <v>39365</v>
      </c>
      <c r="F39" s="23">
        <f t="shared" si="72"/>
        <v>38342.500000000015</v>
      </c>
      <c r="G39" s="23">
        <f t="shared" si="73"/>
        <v>38342.500000000015</v>
      </c>
      <c r="H39" s="23">
        <f t="shared" si="74"/>
        <v>37956.000000000015</v>
      </c>
      <c r="I39" s="23">
        <f t="shared" si="75"/>
        <v>43485</v>
      </c>
      <c r="J39" s="23">
        <f t="shared" si="76"/>
        <v>0</v>
      </c>
      <c r="K39" s="23">
        <f t="shared" si="77"/>
        <v>37118</v>
      </c>
      <c r="L39" s="23">
        <f t="shared" si="78"/>
        <v>40965</v>
      </c>
      <c r="N39">
        <v>108</v>
      </c>
      <c r="O39">
        <v>108</v>
      </c>
      <c r="P39">
        <v>15</v>
      </c>
      <c r="Q39">
        <v>-165</v>
      </c>
      <c r="R39">
        <v>-25.7</v>
      </c>
      <c r="S39">
        <v>-25.7</v>
      </c>
      <c r="T39">
        <v>96.8</v>
      </c>
      <c r="U39">
        <v>-39</v>
      </c>
      <c r="V39">
        <v>0</v>
      </c>
      <c r="W39">
        <v>108</v>
      </c>
      <c r="X39">
        <v>15</v>
      </c>
    </row>
    <row r="40" spans="1:42" x14ac:dyDescent="0.35">
      <c r="A40">
        <v>2046</v>
      </c>
      <c r="B40" s="23">
        <f t="shared" si="68"/>
        <v>37226</v>
      </c>
      <c r="C40" s="23">
        <f t="shared" si="69"/>
        <v>37226</v>
      </c>
      <c r="D40" s="23">
        <f t="shared" si="70"/>
        <v>40980</v>
      </c>
      <c r="E40" s="23">
        <f t="shared" si="71"/>
        <v>39200</v>
      </c>
      <c r="F40" s="23">
        <f t="shared" si="72"/>
        <v>38316.800000000017</v>
      </c>
      <c r="G40" s="23">
        <f t="shared" si="73"/>
        <v>38316.800000000017</v>
      </c>
      <c r="H40" s="23">
        <f t="shared" si="74"/>
        <v>38052.800000000017</v>
      </c>
      <c r="I40" s="23">
        <f t="shared" si="75"/>
        <v>43446</v>
      </c>
      <c r="J40" s="23">
        <f t="shared" si="76"/>
        <v>0</v>
      </c>
      <c r="K40" s="23">
        <f t="shared" si="77"/>
        <v>37226</v>
      </c>
      <c r="L40" s="23">
        <f t="shared" si="78"/>
        <v>40980</v>
      </c>
      <c r="N40">
        <v>108</v>
      </c>
      <c r="O40">
        <v>108</v>
      </c>
      <c r="P40">
        <v>15</v>
      </c>
      <c r="Q40">
        <v>-165</v>
      </c>
      <c r="R40">
        <v>-25.7</v>
      </c>
      <c r="S40">
        <v>-25.7</v>
      </c>
      <c r="T40">
        <v>96.8</v>
      </c>
      <c r="U40">
        <v>-39</v>
      </c>
      <c r="V40">
        <v>0</v>
      </c>
      <c r="W40">
        <v>108</v>
      </c>
      <c r="X40">
        <v>15</v>
      </c>
    </row>
    <row r="41" spans="1:42" x14ac:dyDescent="0.35">
      <c r="A41">
        <v>2047</v>
      </c>
      <c r="B41" s="23">
        <f t="shared" si="68"/>
        <v>37334</v>
      </c>
      <c r="C41" s="23">
        <f t="shared" si="69"/>
        <v>37334</v>
      </c>
      <c r="D41" s="23">
        <f t="shared" si="70"/>
        <v>40995</v>
      </c>
      <c r="E41" s="23">
        <f t="shared" si="71"/>
        <v>39035</v>
      </c>
      <c r="F41" s="23">
        <f t="shared" si="72"/>
        <v>38291.10000000002</v>
      </c>
      <c r="G41" s="23">
        <f t="shared" si="73"/>
        <v>38291.10000000002</v>
      </c>
      <c r="H41" s="23">
        <f t="shared" si="74"/>
        <v>38149.60000000002</v>
      </c>
      <c r="I41" s="23">
        <f t="shared" si="75"/>
        <v>43407</v>
      </c>
      <c r="J41" s="23">
        <f t="shared" si="76"/>
        <v>0</v>
      </c>
      <c r="K41" s="23">
        <f t="shared" si="77"/>
        <v>37334</v>
      </c>
      <c r="L41" s="23">
        <f t="shared" si="78"/>
        <v>40995</v>
      </c>
      <c r="N41">
        <v>108</v>
      </c>
      <c r="O41">
        <v>108</v>
      </c>
      <c r="P41">
        <v>15</v>
      </c>
      <c r="Q41">
        <v>-165</v>
      </c>
      <c r="R41">
        <v>-25.7</v>
      </c>
      <c r="S41">
        <v>-25.7</v>
      </c>
      <c r="T41">
        <v>96.8</v>
      </c>
      <c r="U41">
        <v>-39</v>
      </c>
      <c r="V41">
        <v>0</v>
      </c>
      <c r="W41">
        <v>108</v>
      </c>
      <c r="X41">
        <v>15</v>
      </c>
    </row>
    <row r="42" spans="1:42" x14ac:dyDescent="0.35">
      <c r="A42">
        <v>2048</v>
      </c>
      <c r="B42" s="23">
        <f t="shared" si="68"/>
        <v>37442</v>
      </c>
      <c r="C42" s="23">
        <f t="shared" si="69"/>
        <v>37442</v>
      </c>
      <c r="D42" s="23">
        <f t="shared" si="70"/>
        <v>41010</v>
      </c>
      <c r="E42" s="23">
        <f t="shared" si="71"/>
        <v>38870</v>
      </c>
      <c r="F42" s="23">
        <f t="shared" si="72"/>
        <v>38265.400000000023</v>
      </c>
      <c r="G42" s="23">
        <f t="shared" si="73"/>
        <v>38265.400000000023</v>
      </c>
      <c r="H42" s="23">
        <f t="shared" si="74"/>
        <v>38246.400000000023</v>
      </c>
      <c r="I42" s="23">
        <f t="shared" si="75"/>
        <v>43368</v>
      </c>
      <c r="J42" s="23">
        <f t="shared" si="76"/>
        <v>0</v>
      </c>
      <c r="K42" s="23">
        <f t="shared" si="77"/>
        <v>37442</v>
      </c>
      <c r="L42" s="23">
        <f t="shared" si="78"/>
        <v>41010</v>
      </c>
      <c r="N42">
        <v>108</v>
      </c>
      <c r="O42">
        <v>108</v>
      </c>
      <c r="P42">
        <v>15</v>
      </c>
      <c r="Q42">
        <v>-165</v>
      </c>
      <c r="R42">
        <v>-25.7</v>
      </c>
      <c r="S42">
        <v>-25.7</v>
      </c>
      <c r="T42">
        <v>96.8</v>
      </c>
      <c r="U42">
        <v>-39</v>
      </c>
      <c r="V42">
        <v>0</v>
      </c>
      <c r="W42">
        <v>108</v>
      </c>
      <c r="X42">
        <v>15</v>
      </c>
    </row>
    <row r="43" spans="1:42" x14ac:dyDescent="0.35">
      <c r="A43">
        <v>2049</v>
      </c>
      <c r="B43" s="23">
        <f t="shared" si="68"/>
        <v>37550</v>
      </c>
      <c r="C43" s="23">
        <f t="shared" si="69"/>
        <v>37550</v>
      </c>
      <c r="D43" s="23">
        <f t="shared" si="70"/>
        <v>41025</v>
      </c>
      <c r="E43" s="23">
        <f t="shared" si="71"/>
        <v>38705</v>
      </c>
      <c r="F43" s="23">
        <f t="shared" si="72"/>
        <v>38239.700000000026</v>
      </c>
      <c r="G43" s="23">
        <f t="shared" si="73"/>
        <v>38239.700000000026</v>
      </c>
      <c r="H43" s="23">
        <f t="shared" si="74"/>
        <v>38343.200000000026</v>
      </c>
      <c r="I43" s="23">
        <f t="shared" si="75"/>
        <v>43329</v>
      </c>
      <c r="J43" s="23">
        <f t="shared" si="76"/>
        <v>0</v>
      </c>
      <c r="K43" s="23">
        <f t="shared" si="77"/>
        <v>37550</v>
      </c>
      <c r="L43" s="23">
        <f t="shared" si="78"/>
        <v>41025</v>
      </c>
      <c r="N43">
        <v>108</v>
      </c>
      <c r="O43">
        <v>108</v>
      </c>
      <c r="P43">
        <v>15</v>
      </c>
      <c r="Q43">
        <v>-165</v>
      </c>
      <c r="R43">
        <v>-25.7</v>
      </c>
      <c r="S43">
        <v>-25.7</v>
      </c>
      <c r="T43">
        <v>96.8</v>
      </c>
      <c r="U43">
        <v>-39</v>
      </c>
      <c r="V43">
        <v>0</v>
      </c>
      <c r="W43">
        <v>108</v>
      </c>
      <c r="X43">
        <v>15</v>
      </c>
    </row>
    <row r="44" spans="1:42" x14ac:dyDescent="0.35">
      <c r="A44">
        <v>2050</v>
      </c>
      <c r="B44">
        <v>37658</v>
      </c>
      <c r="C44">
        <v>37658</v>
      </c>
      <c r="D44" s="16">
        <v>41040</v>
      </c>
      <c r="E44" s="16">
        <v>38540</v>
      </c>
      <c r="F44">
        <v>38214</v>
      </c>
      <c r="G44">
        <v>38214</v>
      </c>
      <c r="H44">
        <v>38440</v>
      </c>
      <c r="I44">
        <v>43290</v>
      </c>
      <c r="J44">
        <v>0</v>
      </c>
      <c r="K44">
        <v>37658</v>
      </c>
      <c r="L44" s="16">
        <v>41040</v>
      </c>
      <c r="N44">
        <v>108</v>
      </c>
      <c r="O44">
        <v>108</v>
      </c>
      <c r="P44">
        <v>15</v>
      </c>
      <c r="Q44">
        <v>-165</v>
      </c>
      <c r="R44">
        <v>-25.7</v>
      </c>
      <c r="S44">
        <v>-25.7</v>
      </c>
      <c r="T44">
        <v>96.8</v>
      </c>
      <c r="U44">
        <v>-39</v>
      </c>
      <c r="V44">
        <v>0</v>
      </c>
      <c r="W44">
        <v>108</v>
      </c>
      <c r="X44">
        <v>15</v>
      </c>
    </row>
    <row r="48" spans="1:42" x14ac:dyDescent="0.35">
      <c r="A48" t="s">
        <v>145</v>
      </c>
      <c r="B48">
        <v>2010</v>
      </c>
      <c r="C48">
        <v>2011</v>
      </c>
      <c r="D48">
        <v>2012</v>
      </c>
      <c r="E48">
        <v>2013</v>
      </c>
      <c r="F48">
        <v>2014</v>
      </c>
      <c r="G48">
        <v>2015</v>
      </c>
      <c r="H48">
        <v>2016</v>
      </c>
      <c r="I48">
        <v>2017</v>
      </c>
      <c r="J48">
        <v>2018</v>
      </c>
      <c r="K48">
        <v>2019</v>
      </c>
      <c r="L48">
        <v>2020</v>
      </c>
      <c r="M48">
        <v>2021</v>
      </c>
      <c r="N48">
        <v>2022</v>
      </c>
      <c r="O48">
        <v>2023</v>
      </c>
      <c r="P48">
        <v>2024</v>
      </c>
      <c r="Q48">
        <v>2025</v>
      </c>
      <c r="R48">
        <v>2026</v>
      </c>
      <c r="S48">
        <v>2027</v>
      </c>
      <c r="T48">
        <v>2028</v>
      </c>
      <c r="U48">
        <v>2029</v>
      </c>
      <c r="V48">
        <v>2030</v>
      </c>
      <c r="W48">
        <v>2031</v>
      </c>
      <c r="X48">
        <v>2032</v>
      </c>
      <c r="Y48">
        <v>2033</v>
      </c>
      <c r="Z48">
        <v>2034</v>
      </c>
      <c r="AA48">
        <v>2035</v>
      </c>
      <c r="AB48">
        <v>2036</v>
      </c>
      <c r="AC48">
        <v>2037</v>
      </c>
      <c r="AD48">
        <v>2038</v>
      </c>
      <c r="AE48">
        <v>2039</v>
      </c>
      <c r="AF48">
        <v>2040</v>
      </c>
      <c r="AG48">
        <v>2041</v>
      </c>
      <c r="AH48">
        <v>2042</v>
      </c>
      <c r="AI48">
        <v>2043</v>
      </c>
      <c r="AJ48">
        <v>2044</v>
      </c>
      <c r="AK48">
        <v>2045</v>
      </c>
      <c r="AL48">
        <v>2046</v>
      </c>
      <c r="AM48">
        <v>2047</v>
      </c>
      <c r="AN48">
        <v>2048</v>
      </c>
      <c r="AO48">
        <v>2049</v>
      </c>
      <c r="AP48">
        <v>2050</v>
      </c>
    </row>
    <row r="49" spans="1:42" x14ac:dyDescent="0.35">
      <c r="A49" t="s">
        <v>158</v>
      </c>
      <c r="B49">
        <v>32413</v>
      </c>
      <c r="C49">
        <v>32545.4</v>
      </c>
      <c r="D49">
        <v>32677.800000000003</v>
      </c>
      <c r="E49">
        <v>32810.200000000004</v>
      </c>
      <c r="F49">
        <v>32942.600000000006</v>
      </c>
      <c r="G49">
        <v>33075.000000000007</v>
      </c>
      <c r="H49">
        <v>33207.400000000009</v>
      </c>
      <c r="I49">
        <v>33339.80000000001</v>
      </c>
      <c r="J49">
        <v>33472.200000000012</v>
      </c>
      <c r="K49">
        <v>33604.600000000013</v>
      </c>
      <c r="L49">
        <v>33737</v>
      </c>
      <c r="M49">
        <v>33939.1</v>
      </c>
      <c r="N49">
        <v>34141.199999999997</v>
      </c>
      <c r="O49">
        <v>34343.299999999996</v>
      </c>
      <c r="P49">
        <v>34545.399999999994</v>
      </c>
      <c r="Q49">
        <v>34747.499999999993</v>
      </c>
      <c r="R49">
        <v>34949.599999999991</v>
      </c>
      <c r="S49">
        <v>35151.69999999999</v>
      </c>
      <c r="T49">
        <v>35353.799999999988</v>
      </c>
      <c r="U49">
        <v>35555.899999999987</v>
      </c>
      <c r="V49">
        <v>35758</v>
      </c>
      <c r="W49">
        <v>35840</v>
      </c>
      <c r="X49">
        <v>35922</v>
      </c>
      <c r="Y49">
        <v>36004</v>
      </c>
      <c r="Z49">
        <v>36086</v>
      </c>
      <c r="AA49">
        <v>36168</v>
      </c>
      <c r="AB49">
        <v>36250</v>
      </c>
      <c r="AC49">
        <v>36332</v>
      </c>
      <c r="AD49">
        <v>36414</v>
      </c>
      <c r="AE49">
        <v>36496</v>
      </c>
      <c r="AF49">
        <v>36578</v>
      </c>
      <c r="AG49">
        <v>36686</v>
      </c>
      <c r="AH49">
        <v>36794</v>
      </c>
      <c r="AI49">
        <v>36902</v>
      </c>
      <c r="AJ49">
        <v>37010</v>
      </c>
      <c r="AK49">
        <v>37118</v>
      </c>
      <c r="AL49">
        <v>37226</v>
      </c>
      <c r="AM49">
        <v>37334</v>
      </c>
      <c r="AN49">
        <v>37442</v>
      </c>
      <c r="AO49">
        <v>37550</v>
      </c>
      <c r="AP49">
        <v>37658</v>
      </c>
    </row>
    <row r="50" spans="1:42" x14ac:dyDescent="0.35">
      <c r="A50" t="s">
        <v>159</v>
      </c>
      <c r="B50">
        <v>32410</v>
      </c>
      <c r="C50">
        <v>32542.7</v>
      </c>
      <c r="D50">
        <v>32675.4</v>
      </c>
      <c r="E50">
        <v>32808.1</v>
      </c>
      <c r="F50">
        <v>32940.799999999996</v>
      </c>
      <c r="G50">
        <v>33073.499999999993</v>
      </c>
      <c r="H50">
        <v>33206.19999999999</v>
      </c>
      <c r="I50">
        <v>33338.899999999987</v>
      </c>
      <c r="J50">
        <v>33471.599999999984</v>
      </c>
      <c r="K50">
        <v>33604.299999999981</v>
      </c>
      <c r="L50">
        <v>33737</v>
      </c>
      <c r="M50">
        <v>33939.1</v>
      </c>
      <c r="N50">
        <v>34141.199999999997</v>
      </c>
      <c r="O50">
        <v>34343.299999999996</v>
      </c>
      <c r="P50">
        <v>34545.399999999994</v>
      </c>
      <c r="Q50">
        <v>34747.499999999993</v>
      </c>
      <c r="R50">
        <v>34949.599999999991</v>
      </c>
      <c r="S50">
        <v>35151.69999999999</v>
      </c>
      <c r="T50">
        <v>35353.799999999988</v>
      </c>
      <c r="U50">
        <v>35555.899999999987</v>
      </c>
      <c r="V50">
        <v>35758</v>
      </c>
      <c r="W50">
        <v>35840</v>
      </c>
      <c r="X50">
        <v>35922</v>
      </c>
      <c r="Y50">
        <v>36004</v>
      </c>
      <c r="Z50">
        <v>36086</v>
      </c>
      <c r="AA50">
        <v>36168</v>
      </c>
      <c r="AB50">
        <v>36250</v>
      </c>
      <c r="AC50">
        <v>36332</v>
      </c>
      <c r="AD50">
        <v>36414</v>
      </c>
      <c r="AE50">
        <v>36496</v>
      </c>
      <c r="AF50">
        <v>36578</v>
      </c>
      <c r="AG50">
        <v>36686</v>
      </c>
      <c r="AH50">
        <v>36794</v>
      </c>
      <c r="AI50">
        <v>36902</v>
      </c>
      <c r="AJ50">
        <v>37010</v>
      </c>
      <c r="AK50">
        <v>37118</v>
      </c>
      <c r="AL50">
        <v>37226</v>
      </c>
      <c r="AM50">
        <v>37334</v>
      </c>
      <c r="AN50">
        <v>37442</v>
      </c>
      <c r="AO50">
        <v>37550</v>
      </c>
      <c r="AP50">
        <v>37658</v>
      </c>
    </row>
    <row r="51" spans="1:42" x14ac:dyDescent="0.35">
      <c r="A51" t="s">
        <v>160</v>
      </c>
      <c r="B51">
        <v>46986</v>
      </c>
      <c r="C51">
        <v>46592.4</v>
      </c>
      <c r="D51">
        <v>46198.8</v>
      </c>
      <c r="E51">
        <v>45805.200000000004</v>
      </c>
      <c r="F51">
        <v>45411.600000000006</v>
      </c>
      <c r="G51">
        <v>45018.000000000007</v>
      </c>
      <c r="H51">
        <v>44624.400000000009</v>
      </c>
      <c r="I51">
        <v>44230.80000000001</v>
      </c>
      <c r="J51">
        <v>43837.200000000012</v>
      </c>
      <c r="K51">
        <v>43443.600000000013</v>
      </c>
      <c r="L51">
        <v>43050</v>
      </c>
      <c r="M51">
        <v>42904</v>
      </c>
      <c r="N51">
        <v>42758</v>
      </c>
      <c r="O51">
        <v>42612</v>
      </c>
      <c r="P51">
        <v>42466</v>
      </c>
      <c r="Q51">
        <v>42320</v>
      </c>
      <c r="R51">
        <v>42174</v>
      </c>
      <c r="S51">
        <v>42028</v>
      </c>
      <c r="T51">
        <v>41882</v>
      </c>
      <c r="U51">
        <v>41736</v>
      </c>
      <c r="V51">
        <v>41590</v>
      </c>
      <c r="W51">
        <v>41520</v>
      </c>
      <c r="X51">
        <v>41450</v>
      </c>
      <c r="Y51">
        <v>41380</v>
      </c>
      <c r="Z51">
        <v>41310</v>
      </c>
      <c r="AA51">
        <v>41240</v>
      </c>
      <c r="AB51">
        <v>41170</v>
      </c>
      <c r="AC51">
        <v>41100</v>
      </c>
      <c r="AD51">
        <v>41030</v>
      </c>
      <c r="AE51">
        <v>40960</v>
      </c>
      <c r="AF51">
        <v>40890</v>
      </c>
      <c r="AG51">
        <v>40905</v>
      </c>
      <c r="AH51">
        <v>40920</v>
      </c>
      <c r="AI51">
        <v>40935</v>
      </c>
      <c r="AJ51">
        <v>40950</v>
      </c>
      <c r="AK51">
        <v>40965</v>
      </c>
      <c r="AL51">
        <v>40980</v>
      </c>
      <c r="AM51">
        <v>40995</v>
      </c>
      <c r="AN51">
        <v>41010</v>
      </c>
      <c r="AO51">
        <v>41025</v>
      </c>
      <c r="AP51">
        <v>41040</v>
      </c>
    </row>
    <row r="52" spans="1:42" x14ac:dyDescent="0.35">
      <c r="A52" t="s">
        <v>161</v>
      </c>
      <c r="B52">
        <v>61773</v>
      </c>
      <c r="C52">
        <v>60400.7</v>
      </c>
      <c r="D52">
        <v>59028.399999999994</v>
      </c>
      <c r="E52">
        <v>57656.099999999991</v>
      </c>
      <c r="F52">
        <v>56283.799999999988</v>
      </c>
      <c r="G52">
        <v>54911.499999999985</v>
      </c>
      <c r="H52">
        <v>53539.199999999983</v>
      </c>
      <c r="I52">
        <v>52166.89999999998</v>
      </c>
      <c r="J52">
        <v>50794.599999999977</v>
      </c>
      <c r="K52">
        <v>49422.299999999974</v>
      </c>
      <c r="L52">
        <v>48050</v>
      </c>
      <c r="M52">
        <v>47571</v>
      </c>
      <c r="N52">
        <v>47092</v>
      </c>
      <c r="O52">
        <v>46613</v>
      </c>
      <c r="P52">
        <v>46134</v>
      </c>
      <c r="Q52">
        <v>45655</v>
      </c>
      <c r="R52">
        <v>45176</v>
      </c>
      <c r="S52">
        <v>44697</v>
      </c>
      <c r="T52">
        <v>44218</v>
      </c>
      <c r="U52">
        <v>43739</v>
      </c>
      <c r="V52">
        <v>43260</v>
      </c>
      <c r="W52">
        <v>42953</v>
      </c>
      <c r="X52">
        <v>42646</v>
      </c>
      <c r="Y52">
        <v>42339</v>
      </c>
      <c r="Z52">
        <v>42032</v>
      </c>
      <c r="AA52">
        <v>41725</v>
      </c>
      <c r="AB52">
        <v>41418</v>
      </c>
      <c r="AC52">
        <v>41111</v>
      </c>
      <c r="AD52">
        <v>40804</v>
      </c>
      <c r="AE52">
        <v>40497</v>
      </c>
      <c r="AF52">
        <v>40190</v>
      </c>
      <c r="AG52">
        <v>40025</v>
      </c>
      <c r="AH52">
        <v>39860</v>
      </c>
      <c r="AI52">
        <v>39695</v>
      </c>
      <c r="AJ52">
        <v>39530</v>
      </c>
      <c r="AK52">
        <v>39365</v>
      </c>
      <c r="AL52">
        <v>39200</v>
      </c>
      <c r="AM52">
        <v>39035</v>
      </c>
      <c r="AN52">
        <v>38870</v>
      </c>
      <c r="AO52">
        <v>38705</v>
      </c>
      <c r="AP52">
        <v>38540</v>
      </c>
    </row>
    <row r="53" spans="1:42" x14ac:dyDescent="0.35">
      <c r="A53" t="s">
        <v>162</v>
      </c>
      <c r="B53">
        <v>47249</v>
      </c>
      <c r="C53">
        <v>46720.5</v>
      </c>
      <c r="D53">
        <v>46192</v>
      </c>
      <c r="E53">
        <v>45663.5</v>
      </c>
      <c r="F53">
        <v>45135</v>
      </c>
      <c r="G53">
        <v>44606.5</v>
      </c>
      <c r="H53">
        <v>44078</v>
      </c>
      <c r="I53">
        <v>43549.5</v>
      </c>
      <c r="J53">
        <v>43021</v>
      </c>
      <c r="K53">
        <v>42492.5</v>
      </c>
      <c r="L53">
        <v>41964</v>
      </c>
      <c r="M53">
        <v>41694.300000000003</v>
      </c>
      <c r="N53">
        <v>41424.600000000006</v>
      </c>
      <c r="O53">
        <v>41154.900000000009</v>
      </c>
      <c r="P53">
        <v>40885.200000000012</v>
      </c>
      <c r="Q53">
        <v>40615.500000000015</v>
      </c>
      <c r="R53">
        <v>40345.800000000017</v>
      </c>
      <c r="S53">
        <v>40076.10000000002</v>
      </c>
      <c r="T53">
        <v>39806.400000000023</v>
      </c>
      <c r="U53">
        <v>39536.700000000026</v>
      </c>
      <c r="V53">
        <v>39267</v>
      </c>
      <c r="W53">
        <v>39187.4</v>
      </c>
      <c r="X53">
        <v>39107.800000000003</v>
      </c>
      <c r="Y53">
        <v>39028.200000000004</v>
      </c>
      <c r="Z53">
        <v>38948.600000000006</v>
      </c>
      <c r="AA53">
        <v>38869.000000000007</v>
      </c>
      <c r="AB53">
        <v>38789.400000000009</v>
      </c>
      <c r="AC53">
        <v>38709.80000000001</v>
      </c>
      <c r="AD53">
        <v>38630.200000000012</v>
      </c>
      <c r="AE53">
        <v>38550.600000000013</v>
      </c>
      <c r="AF53">
        <v>38471</v>
      </c>
      <c r="AG53">
        <v>38445.300000000003</v>
      </c>
      <c r="AH53">
        <v>38419.600000000006</v>
      </c>
      <c r="AI53">
        <v>38393.900000000009</v>
      </c>
      <c r="AJ53">
        <v>38368.200000000012</v>
      </c>
      <c r="AK53">
        <v>38342.500000000015</v>
      </c>
      <c r="AL53">
        <v>38316.800000000017</v>
      </c>
      <c r="AM53">
        <v>38291.10000000002</v>
      </c>
      <c r="AN53">
        <v>38265.400000000023</v>
      </c>
      <c r="AO53">
        <v>38239.700000000026</v>
      </c>
      <c r="AP53">
        <v>38214</v>
      </c>
    </row>
    <row r="54" spans="1:42" x14ac:dyDescent="0.35">
      <c r="A54" t="s">
        <v>163</v>
      </c>
      <c r="B54">
        <v>47249</v>
      </c>
      <c r="C54">
        <v>46720.5</v>
      </c>
      <c r="D54">
        <v>46192</v>
      </c>
      <c r="E54">
        <v>45663.5</v>
      </c>
      <c r="F54">
        <v>45135</v>
      </c>
      <c r="G54">
        <v>44606.5</v>
      </c>
      <c r="H54">
        <v>44078</v>
      </c>
      <c r="I54">
        <v>43549.5</v>
      </c>
      <c r="J54">
        <v>43021</v>
      </c>
      <c r="K54">
        <v>42492.5</v>
      </c>
      <c r="L54">
        <v>41964</v>
      </c>
      <c r="M54">
        <v>41694.300000000003</v>
      </c>
      <c r="N54">
        <v>41424.600000000006</v>
      </c>
      <c r="O54">
        <v>41154.900000000009</v>
      </c>
      <c r="P54">
        <v>40885.200000000012</v>
      </c>
      <c r="Q54">
        <v>40615.500000000015</v>
      </c>
      <c r="R54">
        <v>40345.800000000017</v>
      </c>
      <c r="S54">
        <v>40076.10000000002</v>
      </c>
      <c r="T54">
        <v>39806.400000000023</v>
      </c>
      <c r="U54">
        <v>39536.700000000026</v>
      </c>
      <c r="V54">
        <v>39267</v>
      </c>
      <c r="W54">
        <v>39187.4</v>
      </c>
      <c r="X54">
        <v>39107.800000000003</v>
      </c>
      <c r="Y54">
        <v>39028.200000000004</v>
      </c>
      <c r="Z54">
        <v>38948.600000000006</v>
      </c>
      <c r="AA54">
        <v>38869.000000000007</v>
      </c>
      <c r="AB54">
        <v>38789.400000000009</v>
      </c>
      <c r="AC54">
        <v>38709.80000000001</v>
      </c>
      <c r="AD54">
        <v>38630.200000000012</v>
      </c>
      <c r="AE54">
        <v>38550.600000000013</v>
      </c>
      <c r="AF54">
        <v>38471</v>
      </c>
      <c r="AG54">
        <v>38445.300000000003</v>
      </c>
      <c r="AH54">
        <v>38419.600000000006</v>
      </c>
      <c r="AI54">
        <v>38393.900000000009</v>
      </c>
      <c r="AJ54">
        <v>38368.200000000012</v>
      </c>
      <c r="AK54">
        <v>38342.500000000015</v>
      </c>
      <c r="AL54">
        <v>38316.800000000017</v>
      </c>
      <c r="AM54">
        <v>38291.10000000002</v>
      </c>
      <c r="AN54">
        <v>38265.400000000023</v>
      </c>
      <c r="AO54">
        <v>38239.700000000026</v>
      </c>
      <c r="AP54">
        <v>38214</v>
      </c>
    </row>
    <row r="55" spans="1:42" x14ac:dyDescent="0.35">
      <c r="A55" t="s">
        <v>164</v>
      </c>
      <c r="B55">
        <v>33863</v>
      </c>
      <c r="C55">
        <v>33978.699999999997</v>
      </c>
      <c r="D55">
        <v>34094.399999999994</v>
      </c>
      <c r="E55">
        <v>34210.099999999991</v>
      </c>
      <c r="F55">
        <v>34325.799999999988</v>
      </c>
      <c r="G55">
        <v>34441.499999999985</v>
      </c>
      <c r="H55">
        <v>34557.199999999983</v>
      </c>
      <c r="I55">
        <v>34672.89999999998</v>
      </c>
      <c r="J55">
        <v>34788.599999999977</v>
      </c>
      <c r="K55">
        <v>34904.299999999974</v>
      </c>
      <c r="L55">
        <v>35020</v>
      </c>
      <c r="M55">
        <v>35195.9</v>
      </c>
      <c r="N55">
        <v>35371.800000000003</v>
      </c>
      <c r="O55">
        <v>35547.700000000004</v>
      </c>
      <c r="P55">
        <v>35723.600000000006</v>
      </c>
      <c r="Q55">
        <v>35899.500000000007</v>
      </c>
      <c r="R55">
        <v>36075.400000000009</v>
      </c>
      <c r="S55">
        <v>36251.30000000001</v>
      </c>
      <c r="T55">
        <v>36427.200000000012</v>
      </c>
      <c r="U55">
        <v>36603.100000000013</v>
      </c>
      <c r="V55">
        <v>36779</v>
      </c>
      <c r="W55">
        <v>36848.300000000003</v>
      </c>
      <c r="X55">
        <v>36917.600000000006</v>
      </c>
      <c r="Y55">
        <v>36986.900000000009</v>
      </c>
      <c r="Z55">
        <v>37056.200000000012</v>
      </c>
      <c r="AA55">
        <v>37125.500000000015</v>
      </c>
      <c r="AB55">
        <v>37194.800000000017</v>
      </c>
      <c r="AC55">
        <v>37264.10000000002</v>
      </c>
      <c r="AD55">
        <v>37333.400000000023</v>
      </c>
      <c r="AE55">
        <v>37402.700000000026</v>
      </c>
      <c r="AF55">
        <v>37472</v>
      </c>
      <c r="AG55">
        <v>37568.800000000003</v>
      </c>
      <c r="AH55">
        <v>37665.600000000006</v>
      </c>
      <c r="AI55">
        <v>37762.400000000009</v>
      </c>
      <c r="AJ55">
        <v>37859.200000000012</v>
      </c>
      <c r="AK55">
        <v>37956.000000000015</v>
      </c>
      <c r="AL55">
        <v>38052.800000000017</v>
      </c>
      <c r="AM55">
        <v>38149.60000000002</v>
      </c>
      <c r="AN55">
        <v>38246.400000000023</v>
      </c>
      <c r="AO55">
        <v>38343.200000000026</v>
      </c>
      <c r="AP55">
        <v>38440</v>
      </c>
    </row>
    <row r="56" spans="1:42" x14ac:dyDescent="0.35">
      <c r="A56" t="s">
        <v>165</v>
      </c>
      <c r="B56">
        <v>54430</v>
      </c>
      <c r="C56">
        <v>53797</v>
      </c>
      <c r="D56">
        <v>53164</v>
      </c>
      <c r="E56">
        <v>52531</v>
      </c>
      <c r="F56">
        <v>51898</v>
      </c>
      <c r="G56">
        <v>51265</v>
      </c>
      <c r="H56">
        <v>50632</v>
      </c>
      <c r="I56">
        <v>49999</v>
      </c>
      <c r="J56">
        <v>49366</v>
      </c>
      <c r="K56">
        <v>48733</v>
      </c>
      <c r="L56">
        <v>48100</v>
      </c>
      <c r="M56">
        <v>47803</v>
      </c>
      <c r="N56">
        <v>47506</v>
      </c>
      <c r="O56">
        <v>47209</v>
      </c>
      <c r="P56">
        <v>46912</v>
      </c>
      <c r="Q56">
        <v>46615</v>
      </c>
      <c r="R56">
        <v>46318</v>
      </c>
      <c r="S56">
        <v>46021</v>
      </c>
      <c r="T56">
        <v>45724</v>
      </c>
      <c r="U56">
        <v>45427</v>
      </c>
      <c r="V56">
        <v>45130</v>
      </c>
      <c r="W56">
        <v>44985</v>
      </c>
      <c r="X56">
        <v>44840</v>
      </c>
      <c r="Y56">
        <v>44695</v>
      </c>
      <c r="Z56">
        <v>44550</v>
      </c>
      <c r="AA56">
        <v>44405</v>
      </c>
      <c r="AB56">
        <v>44260</v>
      </c>
      <c r="AC56">
        <v>44115</v>
      </c>
      <c r="AD56">
        <v>43970</v>
      </c>
      <c r="AE56">
        <v>43825</v>
      </c>
      <c r="AF56">
        <v>43680</v>
      </c>
      <c r="AG56">
        <v>43641</v>
      </c>
      <c r="AH56">
        <v>43602</v>
      </c>
      <c r="AI56">
        <v>43563</v>
      </c>
      <c r="AJ56">
        <v>43524</v>
      </c>
      <c r="AK56">
        <v>43485</v>
      </c>
      <c r="AL56">
        <v>43446</v>
      </c>
      <c r="AM56">
        <v>43407</v>
      </c>
      <c r="AN56">
        <v>43368</v>
      </c>
      <c r="AO56">
        <v>43329</v>
      </c>
      <c r="AP56">
        <v>43290</v>
      </c>
    </row>
    <row r="57" spans="1:42" x14ac:dyDescent="0.35">
      <c r="A57" t="s">
        <v>166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row>
    <row r="58" spans="1:42" x14ac:dyDescent="0.35">
      <c r="A58" t="s">
        <v>167</v>
      </c>
      <c r="B58">
        <v>32413</v>
      </c>
      <c r="C58">
        <v>32545.4</v>
      </c>
      <c r="D58">
        <v>32677.800000000003</v>
      </c>
      <c r="E58">
        <v>32810.200000000004</v>
      </c>
      <c r="F58">
        <v>32942.600000000006</v>
      </c>
      <c r="G58">
        <v>33075.000000000007</v>
      </c>
      <c r="H58">
        <v>33207.400000000009</v>
      </c>
      <c r="I58">
        <v>33339.80000000001</v>
      </c>
      <c r="J58">
        <v>33472.200000000012</v>
      </c>
      <c r="K58">
        <v>33604.600000000013</v>
      </c>
      <c r="L58">
        <v>33737</v>
      </c>
      <c r="M58">
        <v>33939.1</v>
      </c>
      <c r="N58">
        <v>34141.199999999997</v>
      </c>
      <c r="O58">
        <v>34343.299999999996</v>
      </c>
      <c r="P58">
        <v>34545.399999999994</v>
      </c>
      <c r="Q58">
        <v>34747.499999999993</v>
      </c>
      <c r="R58">
        <v>34949.599999999991</v>
      </c>
      <c r="S58">
        <v>35151.69999999999</v>
      </c>
      <c r="T58">
        <v>35353.799999999988</v>
      </c>
      <c r="U58">
        <v>35555.899999999987</v>
      </c>
      <c r="V58">
        <v>35758</v>
      </c>
      <c r="W58">
        <v>35840</v>
      </c>
      <c r="X58">
        <v>35922</v>
      </c>
      <c r="Y58">
        <v>36004</v>
      </c>
      <c r="Z58">
        <v>36086</v>
      </c>
      <c r="AA58">
        <v>36168</v>
      </c>
      <c r="AB58">
        <v>36250</v>
      </c>
      <c r="AC58">
        <v>36332</v>
      </c>
      <c r="AD58">
        <v>36414</v>
      </c>
      <c r="AE58">
        <v>36496</v>
      </c>
      <c r="AF58">
        <v>36578</v>
      </c>
      <c r="AG58">
        <v>36686</v>
      </c>
      <c r="AH58">
        <v>36794</v>
      </c>
      <c r="AI58">
        <v>36902</v>
      </c>
      <c r="AJ58">
        <v>37010</v>
      </c>
      <c r="AK58">
        <v>37118</v>
      </c>
      <c r="AL58">
        <v>37226</v>
      </c>
      <c r="AM58">
        <v>37334</v>
      </c>
      <c r="AN58">
        <v>37442</v>
      </c>
      <c r="AO58">
        <v>37550</v>
      </c>
      <c r="AP58">
        <v>37658</v>
      </c>
    </row>
    <row r="59" spans="1:42" x14ac:dyDescent="0.35">
      <c r="A59" t="s">
        <v>168</v>
      </c>
      <c r="B59">
        <v>46986</v>
      </c>
      <c r="C59">
        <v>46592.4</v>
      </c>
      <c r="D59">
        <v>46198.8</v>
      </c>
      <c r="E59">
        <v>45805.200000000004</v>
      </c>
      <c r="F59">
        <v>45411.600000000006</v>
      </c>
      <c r="G59">
        <v>45018.000000000007</v>
      </c>
      <c r="H59">
        <v>44624.400000000009</v>
      </c>
      <c r="I59">
        <v>44230.80000000001</v>
      </c>
      <c r="J59">
        <v>43837.200000000012</v>
      </c>
      <c r="K59">
        <v>43443.600000000013</v>
      </c>
      <c r="L59">
        <v>43050</v>
      </c>
      <c r="M59">
        <v>42904</v>
      </c>
      <c r="N59">
        <v>42758</v>
      </c>
      <c r="O59">
        <v>42612</v>
      </c>
      <c r="P59">
        <v>42466</v>
      </c>
      <c r="Q59">
        <v>42320</v>
      </c>
      <c r="R59">
        <v>42174</v>
      </c>
      <c r="S59">
        <v>42028</v>
      </c>
      <c r="T59">
        <v>41882</v>
      </c>
      <c r="U59">
        <v>41736</v>
      </c>
      <c r="V59">
        <v>41590</v>
      </c>
      <c r="W59">
        <v>41520</v>
      </c>
      <c r="X59">
        <v>41450</v>
      </c>
      <c r="Y59">
        <v>41380</v>
      </c>
      <c r="Z59">
        <v>41310</v>
      </c>
      <c r="AA59">
        <v>41240</v>
      </c>
      <c r="AB59">
        <v>41170</v>
      </c>
      <c r="AC59">
        <v>41100</v>
      </c>
      <c r="AD59">
        <v>41030</v>
      </c>
      <c r="AE59">
        <v>40960</v>
      </c>
      <c r="AF59">
        <v>40890</v>
      </c>
      <c r="AG59">
        <v>40905</v>
      </c>
      <c r="AH59">
        <v>40920</v>
      </c>
      <c r="AI59">
        <v>40935</v>
      </c>
      <c r="AJ59">
        <v>40950</v>
      </c>
      <c r="AK59">
        <v>40965</v>
      </c>
      <c r="AL59">
        <v>40980</v>
      </c>
      <c r="AM59">
        <v>40995</v>
      </c>
      <c r="AN59">
        <v>41010</v>
      </c>
      <c r="AO59">
        <v>41025</v>
      </c>
      <c r="AP59">
        <v>41040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opLeftCell="A31" workbookViewId="0">
      <selection activeCell="H61" sqref="H61"/>
    </sheetView>
  </sheetViews>
  <sheetFormatPr defaultRowHeight="14.5" x14ac:dyDescent="0.35"/>
  <sheetData>
    <row r="1" spans="1:19" s="61" customFormat="1" x14ac:dyDescent="0.35">
      <c r="A1" s="61" t="s">
        <v>312</v>
      </c>
    </row>
    <row r="2" spans="1:19" s="61" customFormat="1" x14ac:dyDescent="0.35">
      <c r="A2" s="61" t="s">
        <v>313</v>
      </c>
    </row>
    <row r="3" spans="1:19" ht="15" thickBot="1" x14ac:dyDescent="0.4">
      <c r="A3" s="33" t="s">
        <v>314</v>
      </c>
      <c r="K3" s="61"/>
      <c r="L3" s="61"/>
      <c r="M3" s="61"/>
      <c r="N3" s="61"/>
      <c r="O3" s="61"/>
      <c r="P3" s="61"/>
      <c r="Q3" s="61"/>
      <c r="R3" s="61"/>
      <c r="S3" s="61"/>
    </row>
    <row r="4" spans="1:19" ht="15" thickBot="1" x14ac:dyDescent="0.4">
      <c r="A4" s="36"/>
      <c r="B4" s="36"/>
      <c r="C4" s="36"/>
      <c r="D4" s="36"/>
      <c r="E4" s="36"/>
      <c r="F4" s="36"/>
      <c r="G4" s="36"/>
      <c r="H4" s="36"/>
      <c r="I4" s="36"/>
      <c r="K4" s="98" t="s">
        <v>301</v>
      </c>
      <c r="L4" s="99"/>
      <c r="M4" s="99"/>
      <c r="N4" s="99"/>
      <c r="O4" s="99"/>
      <c r="P4" s="99"/>
      <c r="Q4" s="99"/>
      <c r="R4" s="99"/>
      <c r="S4" s="100"/>
    </row>
    <row r="5" spans="1:19" x14ac:dyDescent="0.35">
      <c r="A5" s="98" t="s">
        <v>284</v>
      </c>
      <c r="B5" s="99"/>
      <c r="C5" s="99"/>
      <c r="D5" s="99"/>
      <c r="E5" s="99"/>
      <c r="F5" s="99"/>
      <c r="G5" s="99"/>
      <c r="H5" s="99"/>
      <c r="I5" s="100"/>
      <c r="K5" s="101"/>
      <c r="L5" s="102"/>
      <c r="M5" s="102"/>
      <c r="N5" s="102"/>
      <c r="O5" s="102"/>
      <c r="P5" s="102"/>
      <c r="Q5" s="102"/>
      <c r="R5" s="102"/>
      <c r="S5" s="103"/>
    </row>
    <row r="6" spans="1:19" ht="15" thickBot="1" x14ac:dyDescent="0.4">
      <c r="A6" s="104"/>
      <c r="B6" s="105"/>
      <c r="C6" s="105"/>
      <c r="D6" s="105"/>
      <c r="E6" s="105"/>
      <c r="F6" s="105"/>
      <c r="G6" s="105"/>
      <c r="H6" s="105"/>
      <c r="I6" s="106"/>
      <c r="K6" s="104"/>
      <c r="L6" s="105"/>
      <c r="M6" s="105"/>
      <c r="N6" s="105"/>
      <c r="O6" s="105"/>
      <c r="P6" s="105"/>
      <c r="Q6" s="105"/>
      <c r="R6" s="105"/>
      <c r="S6" s="106"/>
    </row>
    <row r="7" spans="1:19" x14ac:dyDescent="0.35">
      <c r="A7" s="36"/>
      <c r="B7" s="36"/>
      <c r="C7" s="36"/>
      <c r="D7" s="36"/>
      <c r="E7" s="36"/>
      <c r="F7" s="36"/>
      <c r="G7" s="36"/>
      <c r="H7" s="36"/>
      <c r="I7" s="36"/>
      <c r="K7" s="60"/>
      <c r="L7" s="60"/>
      <c r="M7" s="60"/>
      <c r="N7" s="60"/>
      <c r="O7" s="60"/>
      <c r="P7" s="60"/>
      <c r="Q7" s="60"/>
      <c r="R7" s="60"/>
      <c r="S7" s="60"/>
    </row>
    <row r="8" spans="1:19" x14ac:dyDescent="0.35">
      <c r="A8" s="96" t="s">
        <v>285</v>
      </c>
      <c r="B8" s="96"/>
      <c r="C8" s="96"/>
      <c r="D8" s="96"/>
      <c r="E8" s="96"/>
      <c r="F8" s="96"/>
      <c r="G8" s="96"/>
      <c r="H8" s="96"/>
      <c r="I8" s="96"/>
      <c r="K8" s="96" t="s">
        <v>302</v>
      </c>
      <c r="L8" s="96"/>
      <c r="M8" s="96"/>
      <c r="N8" s="96"/>
      <c r="O8" s="96"/>
      <c r="P8" s="96"/>
      <c r="Q8" s="96"/>
      <c r="R8" s="96"/>
      <c r="S8" s="96"/>
    </row>
    <row r="9" spans="1:19" ht="16.5" x14ac:dyDescent="0.35">
      <c r="A9" s="96" t="s">
        <v>286</v>
      </c>
      <c r="B9" s="96"/>
      <c r="C9" s="96"/>
      <c r="D9" s="96"/>
      <c r="E9" s="96"/>
      <c r="F9" s="96"/>
      <c r="G9" s="96"/>
      <c r="H9" s="96"/>
      <c r="I9" s="96"/>
      <c r="K9" s="96" t="s">
        <v>303</v>
      </c>
      <c r="L9" s="96"/>
      <c r="M9" s="96"/>
      <c r="N9" s="96"/>
      <c r="O9" s="96"/>
      <c r="P9" s="96"/>
      <c r="Q9" s="96"/>
      <c r="R9" s="96"/>
      <c r="S9" s="96"/>
    </row>
    <row r="10" spans="1:19" ht="15" thickBot="1" x14ac:dyDescent="0.4">
      <c r="A10" s="37"/>
      <c r="B10" s="38"/>
      <c r="C10" s="38"/>
      <c r="D10" s="38"/>
      <c r="E10" s="38"/>
      <c r="F10" s="38"/>
      <c r="G10" s="38"/>
      <c r="H10" s="38"/>
      <c r="I10" s="38"/>
      <c r="K10" s="78"/>
      <c r="L10" s="75"/>
      <c r="M10" s="75"/>
      <c r="N10" s="75"/>
      <c r="O10" s="75"/>
      <c r="P10" s="75"/>
      <c r="Q10" s="75"/>
      <c r="R10" s="75"/>
      <c r="S10" s="75"/>
    </row>
    <row r="11" spans="1:19" ht="15.5" x14ac:dyDescent="0.35">
      <c r="A11" s="39"/>
      <c r="B11" s="97" t="s">
        <v>287</v>
      </c>
      <c r="C11" s="97"/>
      <c r="D11" s="39"/>
      <c r="E11" s="97" t="s">
        <v>288</v>
      </c>
      <c r="F11" s="97"/>
      <c r="G11" s="39"/>
      <c r="H11" s="97" t="s">
        <v>266</v>
      </c>
      <c r="I11" s="97"/>
      <c r="K11" s="66"/>
      <c r="L11" s="97" t="s">
        <v>304</v>
      </c>
      <c r="M11" s="97"/>
      <c r="N11" s="66"/>
      <c r="O11" s="97" t="s">
        <v>288</v>
      </c>
      <c r="P11" s="97"/>
      <c r="Q11" s="66"/>
      <c r="R11" s="97" t="s">
        <v>266</v>
      </c>
      <c r="S11" s="97"/>
    </row>
    <row r="12" spans="1:19" x14ac:dyDescent="0.35">
      <c r="A12" s="107" t="s">
        <v>253</v>
      </c>
      <c r="B12" s="40" t="s">
        <v>289</v>
      </c>
      <c r="C12" s="40" t="s">
        <v>290</v>
      </c>
      <c r="D12" s="107"/>
      <c r="E12" s="40" t="s">
        <v>289</v>
      </c>
      <c r="F12" s="40" t="s">
        <v>290</v>
      </c>
      <c r="G12" s="107"/>
      <c r="H12" s="40" t="s">
        <v>289</v>
      </c>
      <c r="I12" s="40" t="s">
        <v>290</v>
      </c>
      <c r="K12" s="107" t="s">
        <v>253</v>
      </c>
      <c r="L12" s="64" t="s">
        <v>289</v>
      </c>
      <c r="M12" s="64" t="s">
        <v>290</v>
      </c>
      <c r="N12" s="107"/>
      <c r="O12" s="64" t="s">
        <v>289</v>
      </c>
      <c r="P12" s="64" t="s">
        <v>290</v>
      </c>
      <c r="Q12" s="107"/>
      <c r="R12" s="64" t="s">
        <v>289</v>
      </c>
      <c r="S12" s="64" t="s">
        <v>290</v>
      </c>
    </row>
    <row r="13" spans="1:19" ht="15.5" x14ac:dyDescent="0.35">
      <c r="A13" s="97"/>
      <c r="B13" s="41" t="s">
        <v>291</v>
      </c>
      <c r="C13" s="41" t="s">
        <v>292</v>
      </c>
      <c r="D13" s="97"/>
      <c r="E13" s="41" t="s">
        <v>291</v>
      </c>
      <c r="F13" s="41" t="s">
        <v>292</v>
      </c>
      <c r="G13" s="97"/>
      <c r="H13" s="41" t="s">
        <v>291</v>
      </c>
      <c r="I13" s="41" t="s">
        <v>292</v>
      </c>
      <c r="K13" s="97"/>
      <c r="L13" s="65" t="s">
        <v>291</v>
      </c>
      <c r="M13" s="65" t="s">
        <v>305</v>
      </c>
      <c r="N13" s="97"/>
      <c r="O13" s="65" t="s">
        <v>291</v>
      </c>
      <c r="P13" s="65" t="s">
        <v>305</v>
      </c>
      <c r="Q13" s="97"/>
      <c r="R13" s="65" t="s">
        <v>291</v>
      </c>
      <c r="S13" s="65" t="s">
        <v>305</v>
      </c>
    </row>
    <row r="14" spans="1:19" ht="15.5" x14ac:dyDescent="0.35">
      <c r="A14" s="40">
        <v>1970</v>
      </c>
      <c r="B14" s="42">
        <v>3705.6053319099924</v>
      </c>
      <c r="C14" s="43">
        <v>23410.257189633438</v>
      </c>
      <c r="D14" s="39"/>
      <c r="E14" s="42">
        <v>2649.3359569825438</v>
      </c>
      <c r="F14" s="43">
        <v>16737.248190091785</v>
      </c>
      <c r="G14" s="39"/>
      <c r="H14" s="42">
        <v>3542.8840596958089</v>
      </c>
      <c r="I14" s="43">
        <v>22382.261358573112</v>
      </c>
      <c r="K14" s="63">
        <v>1990</v>
      </c>
      <c r="L14" s="80" t="s">
        <v>306</v>
      </c>
      <c r="M14" s="80" t="s">
        <v>306</v>
      </c>
      <c r="N14" s="61"/>
      <c r="O14" s="80" t="s">
        <v>306</v>
      </c>
      <c r="P14" s="80" t="s">
        <v>306</v>
      </c>
      <c r="Q14" s="61"/>
      <c r="R14" s="67">
        <v>13592</v>
      </c>
      <c r="S14" s="68">
        <v>25492</v>
      </c>
    </row>
    <row r="15" spans="1:19" ht="15.5" x14ac:dyDescent="0.35">
      <c r="A15" s="44">
        <v>1971</v>
      </c>
      <c r="B15" s="45">
        <v>3918.3267219284676</v>
      </c>
      <c r="C15" s="46">
        <v>23715.067804422371</v>
      </c>
      <c r="D15" s="47"/>
      <c r="E15" s="45">
        <v>2765.2229885057468</v>
      </c>
      <c r="F15" s="46">
        <v>16736.08540598836</v>
      </c>
      <c r="G15" s="47"/>
      <c r="H15" s="45">
        <v>3741.7939341793935</v>
      </c>
      <c r="I15" s="46">
        <v>22646.630349285257</v>
      </c>
      <c r="K15" s="63">
        <v>1991</v>
      </c>
      <c r="L15" s="80" t="s">
        <v>306</v>
      </c>
      <c r="M15" s="80" t="s">
        <v>306</v>
      </c>
      <c r="N15" s="61"/>
      <c r="O15" s="80" t="s">
        <v>306</v>
      </c>
      <c r="P15" s="80" t="s">
        <v>306</v>
      </c>
      <c r="Q15" s="61"/>
      <c r="R15" s="67">
        <v>14124</v>
      </c>
      <c r="S15" s="68">
        <v>25419</v>
      </c>
    </row>
    <row r="16" spans="1:19" ht="15.5" x14ac:dyDescent="0.35">
      <c r="A16" s="44">
        <v>1972</v>
      </c>
      <c r="B16" s="45">
        <v>4037.8126688714528</v>
      </c>
      <c r="C16" s="46">
        <v>23678.197162530396</v>
      </c>
      <c r="D16" s="47"/>
      <c r="E16" s="45">
        <v>2995.5502560621953</v>
      </c>
      <c r="F16" s="46">
        <v>17566.25068818099</v>
      </c>
      <c r="G16" s="47"/>
      <c r="H16" s="45">
        <v>3882.3162517359037</v>
      </c>
      <c r="I16" s="46">
        <v>22766.348316399635</v>
      </c>
      <c r="K16" s="63">
        <v>1992</v>
      </c>
      <c r="L16" s="80" t="s">
        <v>306</v>
      </c>
      <c r="M16" s="80" t="s">
        <v>306</v>
      </c>
      <c r="N16" s="61"/>
      <c r="O16" s="80" t="s">
        <v>306</v>
      </c>
      <c r="P16" s="80" t="s">
        <v>306</v>
      </c>
      <c r="Q16" s="61"/>
      <c r="R16" s="67">
        <v>15032</v>
      </c>
      <c r="S16" s="68">
        <v>26263</v>
      </c>
    </row>
    <row r="17" spans="1:19" ht="15.5" x14ac:dyDescent="0.35">
      <c r="A17" s="44">
        <v>1973</v>
      </c>
      <c r="B17" s="45">
        <v>4178.0685918695126</v>
      </c>
      <c r="C17" s="46">
        <v>23065.949847726464</v>
      </c>
      <c r="D17" s="47"/>
      <c r="E17" s="45">
        <v>3323.5848424638089</v>
      </c>
      <c r="F17" s="46">
        <v>18348.583706863265</v>
      </c>
      <c r="G17" s="47"/>
      <c r="H17" s="45">
        <v>4047.2983674152647</v>
      </c>
      <c r="I17" s="46">
        <v>22344.003959928599</v>
      </c>
      <c r="K17" s="63">
        <v>1993</v>
      </c>
      <c r="L17" s="80" t="s">
        <v>306</v>
      </c>
      <c r="M17" s="80" t="s">
        <v>306</v>
      </c>
      <c r="N17" s="61"/>
      <c r="O17" s="80" t="s">
        <v>306</v>
      </c>
      <c r="P17" s="80" t="s">
        <v>306</v>
      </c>
      <c r="Q17" s="61"/>
      <c r="R17" s="67">
        <v>15611</v>
      </c>
      <c r="S17" s="68">
        <v>26482</v>
      </c>
    </row>
    <row r="18" spans="1:19" ht="15.5" x14ac:dyDescent="0.35">
      <c r="A18" s="44">
        <v>1974</v>
      </c>
      <c r="B18" s="45">
        <v>4503.8326632073677</v>
      </c>
      <c r="C18" s="46">
        <v>22393.092543719878</v>
      </c>
      <c r="D18" s="47"/>
      <c r="E18" s="45">
        <v>4027.315390608399</v>
      </c>
      <c r="F18" s="46">
        <v>20023.844798091905</v>
      </c>
      <c r="G18" s="47"/>
      <c r="H18" s="45">
        <v>4425.1103525308581</v>
      </c>
      <c r="I18" s="46">
        <v>22001.6845763157</v>
      </c>
      <c r="K18" s="63">
        <v>1994</v>
      </c>
      <c r="L18" s="80" t="s">
        <v>306</v>
      </c>
      <c r="M18" s="80" t="s">
        <v>306</v>
      </c>
      <c r="N18" s="61"/>
      <c r="O18" s="80" t="s">
        <v>306</v>
      </c>
      <c r="P18" s="80" t="s">
        <v>306</v>
      </c>
      <c r="Q18" s="61"/>
      <c r="R18" s="67">
        <v>16821</v>
      </c>
      <c r="S18" s="68">
        <v>27822</v>
      </c>
    </row>
    <row r="19" spans="1:19" ht="15.5" x14ac:dyDescent="0.35">
      <c r="A19" s="48">
        <v>1975</v>
      </c>
      <c r="B19" s="49">
        <v>5095.745299169891</v>
      </c>
      <c r="C19" s="50">
        <v>23216.897541496724</v>
      </c>
      <c r="D19" s="36"/>
      <c r="E19" s="49">
        <v>4366.7478101959796</v>
      </c>
      <c r="F19" s="50">
        <v>19895.487420729343</v>
      </c>
      <c r="G19" s="36"/>
      <c r="H19" s="49">
        <v>4961.3328257865023</v>
      </c>
      <c r="I19" s="50">
        <v>22604.496324475607</v>
      </c>
      <c r="K19" s="63">
        <v>1995</v>
      </c>
      <c r="L19" s="80" t="s">
        <v>306</v>
      </c>
      <c r="M19" s="80" t="s">
        <v>306</v>
      </c>
      <c r="N19" s="61"/>
      <c r="O19" s="80" t="s">
        <v>306</v>
      </c>
      <c r="P19" s="80" t="s">
        <v>306</v>
      </c>
      <c r="Q19" s="61"/>
      <c r="R19" s="67">
        <v>17725</v>
      </c>
      <c r="S19" s="68">
        <v>28509</v>
      </c>
    </row>
    <row r="20" spans="1:19" ht="15.5" x14ac:dyDescent="0.35">
      <c r="A20" s="48">
        <v>1976</v>
      </c>
      <c r="B20" s="49">
        <v>5506.2970678285437</v>
      </c>
      <c r="C20" s="50">
        <v>23720.62455652254</v>
      </c>
      <c r="D20" s="36"/>
      <c r="E20" s="49">
        <v>4926.6140479360856</v>
      </c>
      <c r="F20" s="50">
        <v>21223.403083129935</v>
      </c>
      <c r="G20" s="36"/>
      <c r="H20" s="49">
        <v>5417.9183810286167</v>
      </c>
      <c r="I20" s="50">
        <v>23339.897250575297</v>
      </c>
      <c r="K20" s="63">
        <v>1996</v>
      </c>
      <c r="L20" s="80" t="s">
        <v>306</v>
      </c>
      <c r="M20" s="80" t="s">
        <v>306</v>
      </c>
      <c r="N20" s="61"/>
      <c r="O20" s="80" t="s">
        <v>306</v>
      </c>
      <c r="P20" s="80" t="s">
        <v>306</v>
      </c>
      <c r="Q20" s="61"/>
      <c r="R20" s="67">
        <v>19574</v>
      </c>
      <c r="S20" s="68">
        <v>30581</v>
      </c>
    </row>
    <row r="21" spans="1:19" ht="15.5" x14ac:dyDescent="0.35">
      <c r="A21" s="48">
        <v>1977</v>
      </c>
      <c r="B21" s="49">
        <v>5984.340366952023</v>
      </c>
      <c r="C21" s="50">
        <v>24205.965523882503</v>
      </c>
      <c r="D21" s="36"/>
      <c r="E21" s="49">
        <v>5060.2327935222675</v>
      </c>
      <c r="F21" s="50">
        <v>20468.057134458384</v>
      </c>
      <c r="G21" s="36"/>
      <c r="H21" s="49">
        <v>5811.0464240449028</v>
      </c>
      <c r="I21" s="50">
        <v>23505.011542275355</v>
      </c>
      <c r="K21" s="63">
        <v>1997</v>
      </c>
      <c r="L21" s="80" t="s">
        <v>306</v>
      </c>
      <c r="M21" s="80" t="s">
        <v>306</v>
      </c>
      <c r="N21" s="61"/>
      <c r="O21" s="80" t="s">
        <v>306</v>
      </c>
      <c r="P21" s="80" t="s">
        <v>306</v>
      </c>
      <c r="Q21" s="61"/>
      <c r="R21" s="67">
        <v>21777</v>
      </c>
      <c r="S21" s="68">
        <v>33259</v>
      </c>
    </row>
    <row r="22" spans="1:19" ht="15.5" x14ac:dyDescent="0.35">
      <c r="A22" s="48">
        <v>1978</v>
      </c>
      <c r="B22" s="49">
        <v>6483.5141369940748</v>
      </c>
      <c r="C22" s="50">
        <v>24374.83106226975</v>
      </c>
      <c r="D22" s="36"/>
      <c r="E22" s="49">
        <v>5905.2290385480719</v>
      </c>
      <c r="F22" s="50">
        <v>22200.762913019989</v>
      </c>
      <c r="G22" s="36"/>
      <c r="H22" s="49">
        <v>6383.1695091365109</v>
      </c>
      <c r="I22" s="50">
        <v>23997.584510422417</v>
      </c>
      <c r="K22" s="63">
        <v>1998</v>
      </c>
      <c r="L22" s="80" t="s">
        <v>306</v>
      </c>
      <c r="M22" s="80" t="s">
        <v>306</v>
      </c>
      <c r="N22" s="61"/>
      <c r="O22" s="80" t="s">
        <v>306</v>
      </c>
      <c r="P22" s="80" t="s">
        <v>306</v>
      </c>
      <c r="Q22" s="61"/>
      <c r="R22" s="67">
        <v>22787</v>
      </c>
      <c r="S22" s="68">
        <v>34267</v>
      </c>
    </row>
    <row r="23" spans="1:19" ht="15.5" x14ac:dyDescent="0.35">
      <c r="A23" s="48">
        <v>1979</v>
      </c>
      <c r="B23" s="49">
        <v>6877.1957448876683</v>
      </c>
      <c r="C23" s="50">
        <v>23219.534724336987</v>
      </c>
      <c r="D23" s="36"/>
      <c r="E23" s="49">
        <v>6696.8663202645239</v>
      </c>
      <c r="F23" s="50">
        <v>22610.686947978516</v>
      </c>
      <c r="G23" s="36"/>
      <c r="H23" s="49">
        <v>6836.2925048300922</v>
      </c>
      <c r="I23" s="50">
        <v>23081.432765619178</v>
      </c>
      <c r="K23" s="63">
        <v>1999</v>
      </c>
      <c r="L23" s="80" t="s">
        <v>306</v>
      </c>
      <c r="M23" s="80" t="s">
        <v>306</v>
      </c>
      <c r="N23" s="61"/>
      <c r="O23" s="80" t="s">
        <v>306</v>
      </c>
      <c r="P23" s="80" t="s">
        <v>306</v>
      </c>
      <c r="Q23" s="61"/>
      <c r="R23" s="67">
        <v>23626</v>
      </c>
      <c r="S23" s="68">
        <v>34762</v>
      </c>
    </row>
    <row r="24" spans="1:19" ht="15.5" x14ac:dyDescent="0.35">
      <c r="A24" s="48">
        <v>1980</v>
      </c>
      <c r="B24" s="49">
        <v>7591.4588689336606</v>
      </c>
      <c r="C24" s="50">
        <v>22582.747547973529</v>
      </c>
      <c r="D24" s="36"/>
      <c r="E24" s="49">
        <v>7468.0576987168797</v>
      </c>
      <c r="F24" s="50">
        <v>22215.659018318947</v>
      </c>
      <c r="G24" s="36"/>
      <c r="H24" s="49">
        <v>7557.3092587231949</v>
      </c>
      <c r="I24" s="50">
        <v>22481.160746337737</v>
      </c>
      <c r="K24" s="63">
        <v>2000</v>
      </c>
      <c r="L24" s="80" t="s">
        <v>306</v>
      </c>
      <c r="M24" s="80" t="s">
        <v>306</v>
      </c>
      <c r="N24" s="69"/>
      <c r="O24" s="80" t="s">
        <v>306</v>
      </c>
      <c r="P24" s="80" t="s">
        <v>306</v>
      </c>
      <c r="Q24" s="69"/>
      <c r="R24" s="67">
        <v>23363</v>
      </c>
      <c r="S24" s="68">
        <v>33256</v>
      </c>
    </row>
    <row r="25" spans="1:19" ht="15.5" x14ac:dyDescent="0.35">
      <c r="A25" s="48">
        <v>1981</v>
      </c>
      <c r="B25" s="49">
        <v>8881.4177296740108</v>
      </c>
      <c r="C25" s="50">
        <v>23949.539206795307</v>
      </c>
      <c r="D25" s="36"/>
      <c r="E25" s="49">
        <v>8856.8679423779831</v>
      </c>
      <c r="F25" s="50">
        <v>23883.338504243027</v>
      </c>
      <c r="G25" s="36"/>
      <c r="H25" s="49">
        <v>8876.2791324420268</v>
      </c>
      <c r="I25" s="50">
        <v>23935.682518637946</v>
      </c>
      <c r="K25" s="63">
        <v>2001</v>
      </c>
      <c r="L25" s="80" t="s">
        <v>306</v>
      </c>
      <c r="M25" s="80" t="s">
        <v>306</v>
      </c>
      <c r="N25" s="69"/>
      <c r="O25" s="80" t="s">
        <v>306</v>
      </c>
      <c r="P25" s="80" t="s">
        <v>306</v>
      </c>
      <c r="Q25" s="69"/>
      <c r="R25" s="67">
        <v>24391</v>
      </c>
      <c r="S25" s="68">
        <v>33759</v>
      </c>
    </row>
    <row r="26" spans="1:19" x14ac:dyDescent="0.35">
      <c r="A26" s="48">
        <v>1982</v>
      </c>
      <c r="B26" s="49">
        <v>9873.6745163419109</v>
      </c>
      <c r="C26" s="50">
        <v>25080.15645021481</v>
      </c>
      <c r="D26" s="36"/>
      <c r="E26" s="49">
        <v>9955.2953808752045</v>
      </c>
      <c r="F26" s="50">
        <v>25287.481904250053</v>
      </c>
      <c r="G26" s="36"/>
      <c r="H26" s="49">
        <v>9909.6229290422853</v>
      </c>
      <c r="I26" s="50">
        <v>25171.469143697876</v>
      </c>
      <c r="K26" s="63">
        <v>2002</v>
      </c>
      <c r="L26" s="67">
        <v>26066</v>
      </c>
      <c r="M26" s="68">
        <v>35516</v>
      </c>
      <c r="N26" s="69"/>
      <c r="O26" s="67">
        <v>26753</v>
      </c>
      <c r="P26" s="68">
        <v>36452</v>
      </c>
      <c r="Q26" s="69"/>
      <c r="R26" s="67">
        <v>26149</v>
      </c>
      <c r="S26" s="68">
        <v>35629</v>
      </c>
    </row>
    <row r="27" spans="1:19" x14ac:dyDescent="0.35">
      <c r="A27" s="48">
        <v>1983</v>
      </c>
      <c r="B27" s="49">
        <v>10532.94980126601</v>
      </c>
      <c r="C27" s="50">
        <v>25922.05477195105</v>
      </c>
      <c r="D27" s="36"/>
      <c r="E27" s="49">
        <v>10866.401534205232</v>
      </c>
      <c r="F27" s="50">
        <v>26742.694217513923</v>
      </c>
      <c r="G27" s="36"/>
      <c r="H27" s="49">
        <v>10620.482916784693</v>
      </c>
      <c r="I27" s="50">
        <v>26137.47763616731</v>
      </c>
      <c r="K27" s="63">
        <v>2003</v>
      </c>
      <c r="L27" s="67">
        <v>26420</v>
      </c>
      <c r="M27" s="68">
        <v>35196</v>
      </c>
      <c r="N27" s="69"/>
      <c r="O27" s="67">
        <v>28604</v>
      </c>
      <c r="P27" s="68">
        <v>38105</v>
      </c>
      <c r="Q27" s="69"/>
      <c r="R27" s="67">
        <v>26715</v>
      </c>
      <c r="S27" s="68">
        <v>35589</v>
      </c>
    </row>
    <row r="28" spans="1:19" x14ac:dyDescent="0.35">
      <c r="A28" s="48">
        <v>1984</v>
      </c>
      <c r="B28" s="49">
        <v>11063.615956336384</v>
      </c>
      <c r="C28" s="50">
        <v>26101.189058875592</v>
      </c>
      <c r="D28" s="36"/>
      <c r="E28" s="49">
        <v>12331.354480213249</v>
      </c>
      <c r="F28" s="50">
        <v>29092.027047063249</v>
      </c>
      <c r="G28" s="36"/>
      <c r="H28" s="49">
        <v>11363.458999826762</v>
      </c>
      <c r="I28" s="50">
        <v>26808.576227502752</v>
      </c>
      <c r="K28" s="63">
        <v>2004</v>
      </c>
      <c r="L28" s="67">
        <v>26950</v>
      </c>
      <c r="M28" s="68">
        <v>34971</v>
      </c>
      <c r="N28" s="61"/>
      <c r="O28" s="67">
        <v>28760</v>
      </c>
      <c r="P28" s="68">
        <v>37320</v>
      </c>
      <c r="Q28" s="61"/>
      <c r="R28" s="67">
        <v>27190</v>
      </c>
      <c r="S28" s="68">
        <v>35283</v>
      </c>
    </row>
    <row r="29" spans="1:19" x14ac:dyDescent="0.35">
      <c r="A29" s="48">
        <v>1985</v>
      </c>
      <c r="B29" s="49">
        <v>11576.318902580228</v>
      </c>
      <c r="C29" s="50">
        <v>26371.629083647451</v>
      </c>
      <c r="D29" s="36"/>
      <c r="E29" s="49">
        <v>12842.662869091828</v>
      </c>
      <c r="F29" s="50">
        <v>29256.445376131869</v>
      </c>
      <c r="G29" s="36"/>
      <c r="H29" s="49">
        <v>11834.637551920134</v>
      </c>
      <c r="I29" s="50">
        <v>26960.096252106538</v>
      </c>
      <c r="K29" s="63">
        <v>2005</v>
      </c>
      <c r="L29" s="67">
        <v>27296</v>
      </c>
      <c r="M29" s="68">
        <v>34259</v>
      </c>
      <c r="N29" s="61"/>
      <c r="O29" s="67">
        <v>29543</v>
      </c>
      <c r="P29" s="68">
        <v>37079</v>
      </c>
      <c r="Q29" s="61"/>
      <c r="R29" s="67">
        <v>27590</v>
      </c>
      <c r="S29" s="68">
        <v>34628</v>
      </c>
    </row>
    <row r="30" spans="1:19" x14ac:dyDescent="0.35">
      <c r="A30" s="48">
        <v>1986</v>
      </c>
      <c r="B30" s="49">
        <v>12315.830310407791</v>
      </c>
      <c r="C30" s="50">
        <v>27544.30954094122</v>
      </c>
      <c r="D30" s="36"/>
      <c r="E30" s="49">
        <v>13710.100510859686</v>
      </c>
      <c r="F30" s="50">
        <v>30662.589755674508</v>
      </c>
      <c r="G30" s="36"/>
      <c r="H30" s="49">
        <v>12654.649368298307</v>
      </c>
      <c r="I30" s="50">
        <v>28302.077127347457</v>
      </c>
      <c r="K30" s="63">
        <v>2006</v>
      </c>
      <c r="L30" s="67">
        <v>27999</v>
      </c>
      <c r="M30" s="68">
        <v>34044</v>
      </c>
      <c r="N30" s="61"/>
      <c r="O30" s="67">
        <v>29611</v>
      </c>
      <c r="P30" s="68">
        <v>36004</v>
      </c>
      <c r="Q30" s="61"/>
      <c r="R30" s="67">
        <v>28248</v>
      </c>
      <c r="S30" s="68">
        <v>34346</v>
      </c>
    </row>
    <row r="31" spans="1:19" x14ac:dyDescent="0.35">
      <c r="A31" s="48">
        <v>1987</v>
      </c>
      <c r="B31" s="49">
        <v>12906.129376209239</v>
      </c>
      <c r="C31" s="50">
        <v>27848.155217397965</v>
      </c>
      <c r="D31" s="36"/>
      <c r="E31" s="49">
        <v>14459.077378640779</v>
      </c>
      <c r="F31" s="50">
        <v>31199.023301517853</v>
      </c>
      <c r="G31" s="36"/>
      <c r="H31" s="49">
        <v>13384.993530562686</v>
      </c>
      <c r="I31" s="50">
        <v>28881.422660312728</v>
      </c>
      <c r="K31" s="63">
        <v>2007</v>
      </c>
      <c r="L31" s="67">
        <v>29158</v>
      </c>
      <c r="M31" s="68">
        <v>34470</v>
      </c>
      <c r="N31" s="61"/>
      <c r="O31" s="67">
        <v>29817</v>
      </c>
      <c r="P31" s="68">
        <v>35250</v>
      </c>
      <c r="Q31" s="61"/>
      <c r="R31" s="67">
        <v>29265</v>
      </c>
      <c r="S31" s="68">
        <v>34597</v>
      </c>
    </row>
    <row r="32" spans="1:19" x14ac:dyDescent="0.35">
      <c r="A32" s="48">
        <v>1988</v>
      </c>
      <c r="B32" s="49">
        <v>13415.295050003979</v>
      </c>
      <c r="C32" s="50">
        <v>27796.763505130813</v>
      </c>
      <c r="D32" s="36"/>
      <c r="E32" s="49">
        <v>15227.248054021687</v>
      </c>
      <c r="F32" s="50">
        <v>31551.166889279764</v>
      </c>
      <c r="G32" s="36"/>
      <c r="H32" s="49">
        <v>13929.871396601429</v>
      </c>
      <c r="I32" s="50">
        <v>28862.976134699427</v>
      </c>
      <c r="K32" s="63">
        <v>2008</v>
      </c>
      <c r="L32" s="67">
        <v>28267</v>
      </c>
      <c r="M32" s="68">
        <v>32181</v>
      </c>
      <c r="N32" s="61"/>
      <c r="O32" s="67">
        <v>29958</v>
      </c>
      <c r="P32" s="68">
        <v>34107</v>
      </c>
      <c r="Q32" s="61"/>
      <c r="R32" s="67">
        <v>28555</v>
      </c>
      <c r="S32" s="68">
        <v>32510</v>
      </c>
    </row>
    <row r="33" spans="1:19" x14ac:dyDescent="0.35">
      <c r="A33" s="48">
        <v>1989</v>
      </c>
      <c r="B33" s="49">
        <v>13927.065314137979</v>
      </c>
      <c r="C33" s="50">
        <v>27530.663304850819</v>
      </c>
      <c r="D33" s="36"/>
      <c r="E33" s="49">
        <v>15490.524734131253</v>
      </c>
      <c r="F33" s="50">
        <v>30621.269538953653</v>
      </c>
      <c r="G33" s="36"/>
      <c r="H33" s="49">
        <v>14357.028168725965</v>
      </c>
      <c r="I33" s="50">
        <v>28380.602779984747</v>
      </c>
      <c r="K33" s="63">
        <v>2009</v>
      </c>
      <c r="L33" s="67">
        <v>29447</v>
      </c>
      <c r="M33" s="68">
        <v>33644</v>
      </c>
      <c r="N33" s="61"/>
      <c r="O33" s="67">
        <v>29072</v>
      </c>
      <c r="P33" s="68">
        <v>33217</v>
      </c>
      <c r="Q33" s="61"/>
      <c r="R33" s="67">
        <v>29381</v>
      </c>
      <c r="S33" s="68">
        <v>33569</v>
      </c>
    </row>
    <row r="34" spans="1:19" x14ac:dyDescent="0.35">
      <c r="A34" s="48">
        <v>1990</v>
      </c>
      <c r="B34" s="49">
        <v>14483.423639606201</v>
      </c>
      <c r="C34" s="50">
        <v>27162.791144148985</v>
      </c>
      <c r="D34" s="36"/>
      <c r="E34" s="49">
        <v>16615.336412432902</v>
      </c>
      <c r="F34" s="50">
        <v>31161.065504327111</v>
      </c>
      <c r="G34" s="36"/>
      <c r="H34" s="49">
        <v>15032.838369067331</v>
      </c>
      <c r="I34" s="50">
        <v>28193.185470740507</v>
      </c>
      <c r="K34" s="63">
        <v>2010</v>
      </c>
      <c r="L34" s="67">
        <v>32327</v>
      </c>
      <c r="M34" s="68">
        <v>36340</v>
      </c>
      <c r="N34" s="70"/>
      <c r="O34" s="67">
        <v>32305</v>
      </c>
      <c r="P34" s="68">
        <v>36315</v>
      </c>
      <c r="Q34" s="70"/>
      <c r="R34" s="67">
        <v>32324</v>
      </c>
      <c r="S34" s="68">
        <v>36336</v>
      </c>
    </row>
    <row r="35" spans="1:19" x14ac:dyDescent="0.35">
      <c r="A35" s="48">
        <v>1991</v>
      </c>
      <c r="B35" s="49">
        <v>15187.790513125517</v>
      </c>
      <c r="C35" s="50">
        <v>27333.56248588346</v>
      </c>
      <c r="D35" s="36"/>
      <c r="E35" s="49">
        <v>16342.978215004172</v>
      </c>
      <c r="F35" s="50">
        <v>29412.56108709121</v>
      </c>
      <c r="G35" s="36"/>
      <c r="H35" s="49">
        <v>15475.873737003059</v>
      </c>
      <c r="I35" s="50">
        <v>27852.02768292357</v>
      </c>
      <c r="K35" s="63">
        <v>2011</v>
      </c>
      <c r="L35" s="67">
        <v>33373</v>
      </c>
      <c r="M35" s="68">
        <v>36367</v>
      </c>
      <c r="N35" s="70"/>
      <c r="O35" s="67">
        <v>33317</v>
      </c>
      <c r="P35" s="68">
        <v>36306</v>
      </c>
      <c r="Q35" s="70"/>
      <c r="R35" s="67">
        <v>33365</v>
      </c>
      <c r="S35" s="68">
        <v>36358</v>
      </c>
    </row>
    <row r="36" spans="1:19" x14ac:dyDescent="0.35">
      <c r="A36" s="48">
        <v>1992</v>
      </c>
      <c r="B36" s="49">
        <v>15635.262004907112</v>
      </c>
      <c r="C36" s="50">
        <v>27316.574644638851</v>
      </c>
      <c r="D36" s="36"/>
      <c r="E36" s="49">
        <v>18588.540355041798</v>
      </c>
      <c r="F36" s="50">
        <v>32476.286613170672</v>
      </c>
      <c r="G36" s="36"/>
      <c r="H36" s="49">
        <v>16330.545602843784</v>
      </c>
      <c r="I36" s="50">
        <v>28531.313885738189</v>
      </c>
      <c r="K36" s="63">
        <v>2012</v>
      </c>
      <c r="L36" s="67">
        <v>34040</v>
      </c>
      <c r="M36" s="68">
        <v>36342</v>
      </c>
      <c r="N36" s="70"/>
      <c r="O36" s="67">
        <v>34136</v>
      </c>
      <c r="P36" s="68">
        <v>36445</v>
      </c>
      <c r="Q36" s="70"/>
      <c r="R36" s="67">
        <v>34054</v>
      </c>
      <c r="S36" s="68">
        <v>36357</v>
      </c>
    </row>
    <row r="37" spans="1:19" x14ac:dyDescent="0.35">
      <c r="A37" s="48">
        <v>1993</v>
      </c>
      <c r="B37" s="49">
        <v>15936.132580932583</v>
      </c>
      <c r="C37" s="50">
        <v>27032.974520679545</v>
      </c>
      <c r="D37" s="36"/>
      <c r="E37" s="49">
        <v>20229.771037730559</v>
      </c>
      <c r="F37" s="50">
        <v>34316.411603934357</v>
      </c>
      <c r="G37" s="36"/>
      <c r="H37" s="49">
        <v>16833.221022106904</v>
      </c>
      <c r="I37" s="50">
        <v>28554.7345116875</v>
      </c>
      <c r="K37" s="63">
        <v>2013</v>
      </c>
      <c r="L37" s="67">
        <v>34773</v>
      </c>
      <c r="M37" s="68">
        <v>36588</v>
      </c>
      <c r="N37" s="70"/>
      <c r="O37" s="67">
        <v>33766</v>
      </c>
      <c r="P37" s="68">
        <v>35529</v>
      </c>
      <c r="Q37" s="70"/>
      <c r="R37" s="67">
        <v>34616</v>
      </c>
      <c r="S37" s="68">
        <v>36423</v>
      </c>
    </row>
    <row r="38" spans="1:19" x14ac:dyDescent="0.35">
      <c r="A38" s="48">
        <v>1994</v>
      </c>
      <c r="B38" s="49">
        <v>16816.698202668435</v>
      </c>
      <c r="C38" s="50">
        <v>27814.501102821101</v>
      </c>
      <c r="D38" s="36"/>
      <c r="E38" s="49">
        <v>21885.175253573077</v>
      </c>
      <c r="F38" s="50">
        <v>36197.666384317366</v>
      </c>
      <c r="G38" s="36"/>
      <c r="H38" s="49">
        <v>17797.615434240972</v>
      </c>
      <c r="I38" s="50">
        <v>29436.919670992898</v>
      </c>
      <c r="K38" s="63">
        <v>2014</v>
      </c>
      <c r="L38" s="67">
        <v>35793</v>
      </c>
      <c r="M38" s="68">
        <v>37061</v>
      </c>
      <c r="N38" s="70"/>
      <c r="O38" s="67">
        <v>34204</v>
      </c>
      <c r="P38" s="68">
        <v>35415</v>
      </c>
      <c r="Q38" s="70"/>
      <c r="R38" s="67">
        <v>35546</v>
      </c>
      <c r="S38" s="68">
        <v>36805</v>
      </c>
    </row>
    <row r="39" spans="1:19" x14ac:dyDescent="0.35">
      <c r="A39" s="48">
        <v>1995</v>
      </c>
      <c r="B39" s="49">
        <v>16796.884229909618</v>
      </c>
      <c r="C39" s="50">
        <v>27016.090960862501</v>
      </c>
      <c r="D39" s="36"/>
      <c r="E39" s="49">
        <v>23068.854278696141</v>
      </c>
      <c r="F39" s="50">
        <v>37103.921002585288</v>
      </c>
      <c r="G39" s="36"/>
      <c r="H39" s="49">
        <v>17894.456614542247</v>
      </c>
      <c r="I39" s="50">
        <v>28781.425231998655</v>
      </c>
      <c r="K39" s="63">
        <v>2015</v>
      </c>
      <c r="L39" s="67">
        <v>36817</v>
      </c>
      <c r="M39" s="68">
        <v>38076</v>
      </c>
      <c r="N39" s="70"/>
      <c r="O39" s="67">
        <v>33675</v>
      </c>
      <c r="P39" s="68">
        <v>34826</v>
      </c>
      <c r="Q39" s="70"/>
      <c r="R39" s="67">
        <v>36251</v>
      </c>
      <c r="S39" s="68">
        <v>37490</v>
      </c>
    </row>
    <row r="40" spans="1:19" x14ac:dyDescent="0.35">
      <c r="A40" s="48">
        <v>1996</v>
      </c>
      <c r="B40" s="49">
        <v>17179.664099468522</v>
      </c>
      <c r="C40" s="50">
        <v>26839.255985097028</v>
      </c>
      <c r="D40" s="36"/>
      <c r="E40" s="49">
        <v>26049.147528098718</v>
      </c>
      <c r="F40" s="50">
        <v>40695.774646829559</v>
      </c>
      <c r="G40" s="36"/>
      <c r="H40" s="49">
        <v>18505.419397070273</v>
      </c>
      <c r="I40" s="50">
        <v>28910.44233658295</v>
      </c>
      <c r="K40" s="63">
        <v>2016</v>
      </c>
      <c r="L40" s="67">
        <v>37514</v>
      </c>
      <c r="M40" s="68">
        <v>38313</v>
      </c>
      <c r="N40" s="70"/>
      <c r="O40" s="67">
        <v>33408</v>
      </c>
      <c r="P40" s="68">
        <v>34120</v>
      </c>
      <c r="Q40" s="70"/>
      <c r="R40" s="67">
        <v>36678</v>
      </c>
      <c r="S40" s="68">
        <v>37460</v>
      </c>
    </row>
    <row r="41" spans="1:19" x14ac:dyDescent="0.35">
      <c r="A41" s="48">
        <v>1997</v>
      </c>
      <c r="B41" s="49">
        <v>17532.497617416899</v>
      </c>
      <c r="C41" s="50">
        <v>26776.111002998317</v>
      </c>
      <c r="D41" s="36"/>
      <c r="E41" s="49">
        <v>27682.344842850813</v>
      </c>
      <c r="F41" s="50">
        <v>42277.235936944489</v>
      </c>
      <c r="G41" s="36"/>
      <c r="H41" s="49">
        <v>19206.937841488489</v>
      </c>
      <c r="I41" s="50">
        <v>29333.362016857682</v>
      </c>
      <c r="K41" s="63">
        <v>2017</v>
      </c>
      <c r="L41" s="67">
        <v>38135</v>
      </c>
      <c r="M41" s="68">
        <v>38135</v>
      </c>
      <c r="N41" s="70"/>
      <c r="O41" s="67">
        <v>33357</v>
      </c>
      <c r="P41" s="68">
        <v>33357</v>
      </c>
      <c r="Q41" s="70"/>
      <c r="R41" s="67">
        <v>37097</v>
      </c>
      <c r="S41" s="68">
        <v>37097</v>
      </c>
    </row>
    <row r="42" spans="1:19" x14ac:dyDescent="0.35">
      <c r="A42" s="48">
        <v>1998</v>
      </c>
      <c r="B42" s="49">
        <v>18487.838660124384</v>
      </c>
      <c r="C42" s="50">
        <v>27802.079830488889</v>
      </c>
      <c r="D42" s="36"/>
      <c r="E42" s="49">
        <v>28707.569792723578</v>
      </c>
      <c r="F42" s="50">
        <v>43170.549126333761</v>
      </c>
      <c r="G42" s="36"/>
      <c r="H42" s="49">
        <v>20233.745439028313</v>
      </c>
      <c r="I42" s="50">
        <v>30427.580871255337</v>
      </c>
      <c r="K42" s="95" t="s">
        <v>293</v>
      </c>
      <c r="L42" s="95"/>
      <c r="M42" s="95"/>
      <c r="N42" s="95"/>
      <c r="O42" s="95"/>
      <c r="P42" s="95"/>
      <c r="Q42" s="95"/>
      <c r="R42" s="95"/>
      <c r="S42" s="95"/>
    </row>
    <row r="43" spans="1:19" x14ac:dyDescent="0.35">
      <c r="A43" s="48">
        <v>1999</v>
      </c>
      <c r="B43" s="49">
        <v>19005.599265768637</v>
      </c>
      <c r="C43" s="50">
        <v>27963.100192228143</v>
      </c>
      <c r="D43" s="36"/>
      <c r="E43" s="49">
        <v>27485.421548664839</v>
      </c>
      <c r="F43" s="50">
        <v>40439.53499404998</v>
      </c>
      <c r="G43" s="36"/>
      <c r="H43" s="49">
        <v>20691.227502691687</v>
      </c>
      <c r="I43" s="50">
        <v>30443.179384512525</v>
      </c>
      <c r="K43" s="63" t="s">
        <v>294</v>
      </c>
      <c r="L43" s="71">
        <v>0.04</v>
      </c>
      <c r="M43" s="71">
        <v>0</v>
      </c>
      <c r="N43" s="72"/>
      <c r="O43" s="71">
        <v>5.3999999999999999E-2</v>
      </c>
      <c r="P43" s="71">
        <v>1.2999999999999999E-2</v>
      </c>
      <c r="Q43" s="72"/>
      <c r="R43" s="71">
        <v>4.3999999999999997E-2</v>
      </c>
      <c r="S43" s="71">
        <v>3.0000000000000001E-3</v>
      </c>
    </row>
    <row r="44" spans="1:19" ht="15" thickBot="1" x14ac:dyDescent="0.4">
      <c r="A44" s="48">
        <v>2000</v>
      </c>
      <c r="B44" s="49">
        <v>19558.66991540464</v>
      </c>
      <c r="C44" s="50">
        <v>27841.0056310336</v>
      </c>
      <c r="D44" s="51"/>
      <c r="E44" s="49">
        <v>26007.544367838895</v>
      </c>
      <c r="F44" s="50">
        <v>37020.727499678695</v>
      </c>
      <c r="G44" s="51"/>
      <c r="H44" s="49">
        <v>21037.355958850272</v>
      </c>
      <c r="I44" s="50">
        <v>29945.857680797792</v>
      </c>
      <c r="K44" s="78" t="s">
        <v>295</v>
      </c>
      <c r="L44" s="79">
        <v>5.0000000000000001E-3</v>
      </c>
      <c r="M44" s="79">
        <v>-1.2E-2</v>
      </c>
      <c r="N44" s="79"/>
      <c r="O44" s="79">
        <v>1.4E-2</v>
      </c>
      <c r="P44" s="79">
        <v>-3.0000000000000001E-3</v>
      </c>
      <c r="Q44" s="79"/>
      <c r="R44" s="79">
        <v>6.0000000000000001E-3</v>
      </c>
      <c r="S44" s="79">
        <v>-1.0999999999999999E-2</v>
      </c>
    </row>
    <row r="45" spans="1:19" x14ac:dyDescent="0.35">
      <c r="A45" s="48">
        <v>2001</v>
      </c>
      <c r="B45" s="49">
        <v>19994.598346763876</v>
      </c>
      <c r="C45" s="50">
        <v>27674.059552562179</v>
      </c>
      <c r="D45" s="51"/>
      <c r="E45" s="49">
        <v>25853.982313962915</v>
      </c>
      <c r="F45" s="50">
        <v>35783.896921505308</v>
      </c>
      <c r="G45" s="51"/>
      <c r="H45" s="49">
        <v>21468.155469881818</v>
      </c>
      <c r="I45" s="50">
        <v>29713.575769494251</v>
      </c>
      <c r="K45" s="70"/>
      <c r="L45" s="61"/>
      <c r="M45" s="61"/>
      <c r="N45" s="61"/>
      <c r="O45" s="61"/>
      <c r="P45" s="61"/>
      <c r="Q45" s="61"/>
      <c r="R45" s="61"/>
      <c r="S45" s="61"/>
    </row>
    <row r="46" spans="1:19" x14ac:dyDescent="0.35">
      <c r="A46" s="48">
        <v>2002</v>
      </c>
      <c r="B46" s="49">
        <v>20438.482231582562</v>
      </c>
      <c r="C46" s="50">
        <v>27848.142104533174</v>
      </c>
      <c r="D46" s="51"/>
      <c r="E46" s="49">
        <v>25605.180895039539</v>
      </c>
      <c r="F46" s="50">
        <v>34887.948532474111</v>
      </c>
      <c r="G46" s="51"/>
      <c r="H46" s="49">
        <v>21864.648785764908</v>
      </c>
      <c r="I46" s="50">
        <v>29791.34358180486</v>
      </c>
      <c r="K46" s="108"/>
      <c r="L46" s="108"/>
      <c r="M46" s="108"/>
      <c r="N46" s="108"/>
      <c r="O46" s="108"/>
      <c r="P46" s="108"/>
      <c r="Q46" s="108"/>
      <c r="R46" s="108"/>
      <c r="S46" s="108"/>
    </row>
    <row r="47" spans="1:19" x14ac:dyDescent="0.35">
      <c r="A47" s="48">
        <v>2003</v>
      </c>
      <c r="B47" s="49">
        <v>19959.131950662402</v>
      </c>
      <c r="C47" s="50">
        <v>26589.034911665043</v>
      </c>
      <c r="D47" s="51"/>
      <c r="E47" s="49">
        <v>26125.844071051364</v>
      </c>
      <c r="F47" s="50">
        <v>34804.167927696253</v>
      </c>
      <c r="G47" s="51"/>
      <c r="H47" s="49">
        <v>21658.906956429666</v>
      </c>
      <c r="I47" s="50">
        <v>28853.430832391517</v>
      </c>
      <c r="K47" s="70"/>
      <c r="L47" s="61"/>
      <c r="M47" s="61"/>
      <c r="N47" s="61"/>
      <c r="O47" s="61"/>
      <c r="P47" s="61"/>
      <c r="Q47" s="61"/>
      <c r="R47" s="61"/>
      <c r="S47" s="61"/>
    </row>
    <row r="48" spans="1:19" x14ac:dyDescent="0.35">
      <c r="A48" s="48">
        <v>2004</v>
      </c>
      <c r="B48" s="49">
        <v>20503.273623818801</v>
      </c>
      <c r="C48" s="50">
        <v>26605.412549870114</v>
      </c>
      <c r="D48" s="36"/>
      <c r="E48" s="49">
        <v>25948.965517241384</v>
      </c>
      <c r="F48" s="50">
        <v>33671.839214326144</v>
      </c>
      <c r="G48" s="36"/>
      <c r="H48" s="49">
        <v>22068.279402330802</v>
      </c>
      <c r="I48" s="50">
        <v>28636.191885120836</v>
      </c>
      <c r="K48" s="73" t="s">
        <v>297</v>
      </c>
      <c r="L48" s="61"/>
      <c r="M48" s="61"/>
      <c r="N48" s="61"/>
      <c r="O48" s="61"/>
      <c r="P48" s="61"/>
      <c r="Q48" s="61"/>
      <c r="R48" s="61"/>
      <c r="S48" s="61"/>
    </row>
    <row r="49" spans="1:19" x14ac:dyDescent="0.35">
      <c r="A49" s="48">
        <v>2005</v>
      </c>
      <c r="B49" s="49">
        <v>21566.235420929555</v>
      </c>
      <c r="C49" s="50">
        <v>27067.668337830273</v>
      </c>
      <c r="D49" s="36"/>
      <c r="E49" s="49">
        <v>26633.097219681731</v>
      </c>
      <c r="F49" s="50">
        <v>33427.059859131514</v>
      </c>
      <c r="G49" s="36"/>
      <c r="H49" s="49">
        <v>23010.946085662446</v>
      </c>
      <c r="I49" s="50">
        <v>28880.917073822726</v>
      </c>
      <c r="K49" s="94" t="s">
        <v>307</v>
      </c>
      <c r="L49" s="94"/>
      <c r="M49" s="94"/>
      <c r="N49" s="94"/>
      <c r="O49" s="94"/>
      <c r="P49" s="94"/>
      <c r="Q49" s="94"/>
      <c r="R49" s="94"/>
      <c r="S49" s="94"/>
    </row>
    <row r="50" spans="1:19" x14ac:dyDescent="0.35">
      <c r="A50" s="48">
        <v>2006</v>
      </c>
      <c r="B50" s="49">
        <v>22129.953329517972</v>
      </c>
      <c r="C50" s="50">
        <v>26907.213095890107</v>
      </c>
      <c r="D50" s="36"/>
      <c r="E50" s="49">
        <v>27026.807813699557</v>
      </c>
      <c r="F50" s="50">
        <v>32861.166325863276</v>
      </c>
      <c r="G50" s="36"/>
      <c r="H50" s="49">
        <v>23615.762771700618</v>
      </c>
      <c r="I50" s="50">
        <v>28713.768703369326</v>
      </c>
      <c r="K50" s="94"/>
      <c r="L50" s="94"/>
      <c r="M50" s="94"/>
      <c r="N50" s="94"/>
      <c r="O50" s="94"/>
      <c r="P50" s="94"/>
      <c r="Q50" s="94"/>
      <c r="R50" s="94"/>
      <c r="S50" s="94"/>
    </row>
    <row r="51" spans="1:19" ht="15" thickBot="1" x14ac:dyDescent="0.4">
      <c r="A51" s="48">
        <v>2007</v>
      </c>
      <c r="B51" s="49">
        <v>22259.504723788265</v>
      </c>
      <c r="C51" s="50">
        <v>26315.217360182593</v>
      </c>
      <c r="D51" s="36"/>
      <c r="E51" s="49">
        <v>27487.566892177587</v>
      </c>
      <c r="F51" s="50">
        <v>32495.8397073944</v>
      </c>
      <c r="G51" s="36"/>
      <c r="H51" s="49">
        <v>23892.937133864929</v>
      </c>
      <c r="I51" s="50">
        <v>28246.263421077114</v>
      </c>
      <c r="K51" s="74"/>
      <c r="L51" s="75"/>
      <c r="M51" s="60"/>
      <c r="N51" s="60"/>
      <c r="O51" s="60"/>
      <c r="P51" s="60"/>
      <c r="Q51" s="60"/>
      <c r="R51" s="60"/>
      <c r="S51" s="60"/>
    </row>
    <row r="52" spans="1:19" ht="15.5" x14ac:dyDescent="0.35">
      <c r="A52" s="48">
        <v>2008</v>
      </c>
      <c r="B52" s="49">
        <v>22194.053440213767</v>
      </c>
      <c r="C52" s="50">
        <v>25267.675690841272</v>
      </c>
      <c r="D52" s="36"/>
      <c r="E52" s="49">
        <v>25869.082214028622</v>
      </c>
      <c r="F52" s="50">
        <v>29451.653865959583</v>
      </c>
      <c r="G52" s="36"/>
      <c r="H52" s="49">
        <v>23437.797976067366</v>
      </c>
      <c r="I52" s="50">
        <v>26683.664602414425</v>
      </c>
      <c r="K52" s="76" t="s">
        <v>308</v>
      </c>
      <c r="L52" s="61"/>
      <c r="M52" s="60"/>
      <c r="N52" s="60"/>
      <c r="O52" s="60"/>
      <c r="P52" s="60"/>
      <c r="Q52" s="60"/>
      <c r="R52" s="60"/>
      <c r="S52" s="60"/>
    </row>
    <row r="53" spans="1:19" ht="15.5" x14ac:dyDescent="0.35">
      <c r="A53" s="48">
        <v>2009</v>
      </c>
      <c r="B53" s="49">
        <v>22050.687443794963</v>
      </c>
      <c r="C53" s="50">
        <v>25194.090092725361</v>
      </c>
      <c r="D53" s="36"/>
      <c r="E53" s="49">
        <v>25175.472193586887</v>
      </c>
      <c r="F53" s="50">
        <v>28764.323842004025</v>
      </c>
      <c r="G53" s="36"/>
      <c r="H53" s="49">
        <v>23118.466804902437</v>
      </c>
      <c r="I53" s="50">
        <v>26414.085137844217</v>
      </c>
      <c r="K53" s="76" t="s">
        <v>309</v>
      </c>
      <c r="L53" s="61"/>
      <c r="M53" s="60"/>
      <c r="N53" s="60"/>
      <c r="O53" s="60"/>
      <c r="P53" s="60"/>
      <c r="Q53" s="60"/>
      <c r="R53" s="60"/>
      <c r="S53" s="60"/>
    </row>
    <row r="54" spans="1:19" ht="16" x14ac:dyDescent="0.35">
      <c r="A54" s="48">
        <v>2010</v>
      </c>
      <c r="B54" s="49">
        <v>23777.326229724385</v>
      </c>
      <c r="C54" s="50">
        <v>26728.446845902159</v>
      </c>
      <c r="D54" s="52"/>
      <c r="E54" s="49">
        <v>27256.886840535706</v>
      </c>
      <c r="F54" s="50">
        <v>30639.872795759402</v>
      </c>
      <c r="G54" s="52"/>
      <c r="H54" s="49">
        <v>24914.672007523339</v>
      </c>
      <c r="I54" s="50">
        <v>28006.954188300806</v>
      </c>
      <c r="K54" s="77" t="s">
        <v>310</v>
      </c>
      <c r="L54" s="61"/>
      <c r="M54" s="60"/>
      <c r="N54" s="60"/>
      <c r="O54" s="60"/>
      <c r="P54" s="60"/>
      <c r="Q54" s="60"/>
      <c r="R54" s="60"/>
      <c r="S54" s="60"/>
    </row>
    <row r="55" spans="1:19" ht="16" x14ac:dyDescent="0.35">
      <c r="A55" s="48">
        <v>2011</v>
      </c>
      <c r="B55" s="49">
        <v>24166.601099881813</v>
      </c>
      <c r="C55" s="50">
        <v>26334.771923068165</v>
      </c>
      <c r="D55" s="52"/>
      <c r="E55" s="49">
        <v>28273.907648055887</v>
      </c>
      <c r="F55" s="50">
        <v>30810.576390450118</v>
      </c>
      <c r="G55" s="52"/>
      <c r="H55" s="49">
        <v>25477.633431806989</v>
      </c>
      <c r="I55" s="50">
        <v>27763.4270037856</v>
      </c>
      <c r="K55" s="62" t="s">
        <v>311</v>
      </c>
      <c r="L55" s="61"/>
      <c r="M55" s="60"/>
      <c r="N55" s="60"/>
      <c r="O55" s="60"/>
      <c r="P55" s="60"/>
      <c r="Q55" s="60"/>
      <c r="R55" s="60"/>
      <c r="S55" s="60"/>
    </row>
    <row r="56" spans="1:19" x14ac:dyDescent="0.35">
      <c r="A56" s="48">
        <v>2012</v>
      </c>
      <c r="B56" s="49">
        <v>24123.60335162796</v>
      </c>
      <c r="C56" s="50">
        <v>25754.931111226972</v>
      </c>
      <c r="D56" s="52"/>
      <c r="E56" s="49">
        <v>28978.787559403376</v>
      </c>
      <c r="F56" s="50">
        <v>30938.440928599855</v>
      </c>
      <c r="G56" s="52"/>
      <c r="H56" s="49">
        <v>25542.918523119395</v>
      </c>
      <c r="I56" s="50">
        <v>27270.225652181791</v>
      </c>
    </row>
    <row r="57" spans="1:19" x14ac:dyDescent="0.35">
      <c r="A57" s="48">
        <v>2013</v>
      </c>
      <c r="B57" s="49">
        <v>23913.973091364205</v>
      </c>
      <c r="C57" s="50">
        <v>25162.553965561001</v>
      </c>
      <c r="D57" s="52"/>
      <c r="E57" s="49">
        <v>29753.953511053314</v>
      </c>
      <c r="F57" s="50">
        <v>31307.447660423975</v>
      </c>
      <c r="G57" s="52"/>
      <c r="H57" s="49">
        <v>25570.470393609445</v>
      </c>
      <c r="I57" s="50">
        <v>26905.539232053758</v>
      </c>
    </row>
    <row r="58" spans="1:19" x14ac:dyDescent="0.35">
      <c r="A58" s="48">
        <v>2014</v>
      </c>
      <c r="B58" s="49">
        <v>23699.199932262611</v>
      </c>
      <c r="C58" s="50">
        <v>24538.506553275427</v>
      </c>
      <c r="D58" s="52"/>
      <c r="E58" s="49">
        <v>30489.842953148091</v>
      </c>
      <c r="F58" s="50">
        <v>31569.640040702136</v>
      </c>
      <c r="G58" s="52"/>
      <c r="H58" s="49">
        <v>25545.165116309243</v>
      </c>
      <c r="I58" s="50">
        <v>26449.846551896298</v>
      </c>
    </row>
    <row r="59" spans="1:19" x14ac:dyDescent="0.35">
      <c r="A59" s="48">
        <v>2015</v>
      </c>
      <c r="B59" s="49">
        <v>23666.333845686404</v>
      </c>
      <c r="C59" s="50">
        <v>24475.424768074234</v>
      </c>
      <c r="D59" s="52"/>
      <c r="E59" s="49">
        <v>30659.761084512902</v>
      </c>
      <c r="F59" s="50">
        <v>31707.939249234452</v>
      </c>
      <c r="G59" s="52"/>
      <c r="H59" s="49">
        <v>25458.304447312057</v>
      </c>
      <c r="I59" s="50">
        <v>26328.65822335584</v>
      </c>
    </row>
    <row r="60" spans="1:19" x14ac:dyDescent="0.35">
      <c r="A60" s="48">
        <v>2016</v>
      </c>
      <c r="B60" s="49">
        <v>23969.096191918012</v>
      </c>
      <c r="C60" s="50">
        <v>24479.722918760468</v>
      </c>
      <c r="D60" s="52"/>
      <c r="E60" s="49">
        <v>29442.675055213302</v>
      </c>
      <c r="F60" s="50">
        <v>30069.90841739568</v>
      </c>
      <c r="G60" s="52"/>
      <c r="H60" s="49">
        <v>25338.947938189332</v>
      </c>
      <c r="I60" s="50">
        <v>25878.757363780929</v>
      </c>
    </row>
    <row r="61" spans="1:19" x14ac:dyDescent="0.35">
      <c r="A61" s="48">
        <v>2017</v>
      </c>
      <c r="B61" s="49">
        <v>23422.531089263626</v>
      </c>
      <c r="C61" s="50">
        <v>23422.531089263626</v>
      </c>
      <c r="D61" s="52"/>
      <c r="E61" s="49">
        <v>31472.58746434878</v>
      </c>
      <c r="F61" s="50">
        <v>31472.58746434878</v>
      </c>
      <c r="G61" s="52"/>
      <c r="H61" s="49">
        <v>25366.889791622125</v>
      </c>
      <c r="I61" s="50">
        <v>25366.889791622125</v>
      </c>
    </row>
    <row r="62" spans="1:19" x14ac:dyDescent="0.35">
      <c r="A62" s="95" t="s">
        <v>293</v>
      </c>
      <c r="B62" s="95"/>
      <c r="C62" s="95"/>
      <c r="D62" s="95"/>
      <c r="E62" s="95"/>
      <c r="F62" s="95"/>
      <c r="G62" s="95"/>
      <c r="H62" s="95"/>
      <c r="I62" s="95"/>
    </row>
    <row r="63" spans="1:19" x14ac:dyDescent="0.35">
      <c r="A63" s="48" t="s">
        <v>294</v>
      </c>
      <c r="B63" s="53">
        <v>0.04</v>
      </c>
      <c r="C63" s="53">
        <v>0</v>
      </c>
      <c r="D63" s="54"/>
      <c r="E63" s="53">
        <v>5.3999999999999999E-2</v>
      </c>
      <c r="F63" s="53">
        <v>1.2999999999999999E-2</v>
      </c>
      <c r="G63" s="54"/>
      <c r="H63" s="53">
        <v>4.3999999999999997E-2</v>
      </c>
      <c r="I63" s="53">
        <v>3.0000000000000001E-3</v>
      </c>
    </row>
    <row r="64" spans="1:19" ht="15" thickBot="1" x14ac:dyDescent="0.4">
      <c r="A64" s="37" t="s">
        <v>295</v>
      </c>
      <c r="B64" s="55">
        <v>5.0000000000000001E-3</v>
      </c>
      <c r="C64" s="55">
        <v>-1.2E-2</v>
      </c>
      <c r="D64" s="55"/>
      <c r="E64" s="55">
        <v>1.4E-2</v>
      </c>
      <c r="F64" s="55">
        <v>-3.0000000000000001E-3</v>
      </c>
      <c r="G64" s="55"/>
      <c r="H64" s="55">
        <v>6.0000000000000001E-3</v>
      </c>
      <c r="I64" s="55">
        <v>-1.0999999999999999E-2</v>
      </c>
    </row>
    <row r="65" spans="1:9" x14ac:dyDescent="0.35">
      <c r="A65" s="52"/>
      <c r="B65" s="36"/>
      <c r="C65" s="36"/>
      <c r="D65" s="36"/>
      <c r="E65" s="36"/>
      <c r="F65" s="36"/>
      <c r="G65" s="36"/>
      <c r="H65" s="36"/>
      <c r="I65" s="36"/>
    </row>
    <row r="66" spans="1:9" x14ac:dyDescent="0.35">
      <c r="A66" s="108" t="s">
        <v>296</v>
      </c>
      <c r="B66" s="108"/>
      <c r="C66" s="108"/>
      <c r="D66" s="108"/>
      <c r="E66" s="108"/>
      <c r="F66" s="108"/>
      <c r="G66" s="108"/>
      <c r="H66" s="108"/>
      <c r="I66" s="108"/>
    </row>
    <row r="67" spans="1:9" x14ac:dyDescent="0.35">
      <c r="A67" s="52"/>
      <c r="B67" s="36"/>
      <c r="C67" s="36"/>
      <c r="D67" s="36"/>
      <c r="E67" s="36"/>
      <c r="F67" s="36"/>
      <c r="G67" s="36"/>
      <c r="H67" s="36"/>
      <c r="I67" s="36"/>
    </row>
    <row r="68" spans="1:9" x14ac:dyDescent="0.35">
      <c r="A68" s="56" t="s">
        <v>297</v>
      </c>
      <c r="B68" s="36"/>
      <c r="C68" s="36"/>
      <c r="D68" s="36"/>
      <c r="E68" s="36"/>
      <c r="F68" s="36"/>
      <c r="G68" s="36"/>
      <c r="H68" s="36"/>
      <c r="I68" s="36"/>
    </row>
    <row r="69" spans="1:9" x14ac:dyDescent="0.35">
      <c r="A69" s="94" t="s">
        <v>298</v>
      </c>
      <c r="B69" s="94"/>
      <c r="C69" s="94"/>
      <c r="D69" s="94"/>
      <c r="E69" s="94"/>
      <c r="F69" s="94"/>
      <c r="G69" s="94"/>
      <c r="H69" s="94"/>
      <c r="I69" s="94"/>
    </row>
    <row r="70" spans="1:9" x14ac:dyDescent="0.35">
      <c r="A70" s="94"/>
      <c r="B70" s="94"/>
      <c r="C70" s="94"/>
      <c r="D70" s="94"/>
      <c r="E70" s="94"/>
      <c r="F70" s="94"/>
      <c r="G70" s="94"/>
      <c r="H70" s="94"/>
      <c r="I70" s="94"/>
    </row>
    <row r="71" spans="1:9" ht="15" thickBot="1" x14ac:dyDescent="0.4">
      <c r="A71" s="57"/>
      <c r="B71" s="38"/>
      <c r="C71" s="36"/>
      <c r="D71" s="36"/>
      <c r="E71" s="36"/>
      <c r="F71" s="36"/>
      <c r="G71" s="36"/>
      <c r="H71" s="36"/>
      <c r="I71" s="36"/>
    </row>
    <row r="72" spans="1:9" ht="15.5" x14ac:dyDescent="0.35">
      <c r="A72" s="58" t="s">
        <v>299</v>
      </c>
      <c r="B72" s="36"/>
      <c r="C72" s="36"/>
      <c r="D72" s="36"/>
      <c r="E72" s="36"/>
      <c r="F72" s="36"/>
      <c r="G72" s="36"/>
      <c r="H72" s="36"/>
      <c r="I72" s="36"/>
    </row>
    <row r="73" spans="1:9" ht="16" x14ac:dyDescent="0.35">
      <c r="A73" s="59" t="s">
        <v>300</v>
      </c>
      <c r="B73" s="36"/>
      <c r="C73" s="36"/>
      <c r="D73" s="36"/>
      <c r="E73" s="36"/>
      <c r="F73" s="36"/>
      <c r="G73" s="36"/>
      <c r="H73" s="36"/>
      <c r="I73" s="36"/>
    </row>
  </sheetData>
  <mergeCells count="24">
    <mergeCell ref="A69:I70"/>
    <mergeCell ref="A5:I6"/>
    <mergeCell ref="A8:I8"/>
    <mergeCell ref="A9:I9"/>
    <mergeCell ref="B11:C11"/>
    <mergeCell ref="E11:F11"/>
    <mergeCell ref="H11:I11"/>
    <mergeCell ref="A12:A13"/>
    <mergeCell ref="D12:D13"/>
    <mergeCell ref="G12:G13"/>
    <mergeCell ref="A62:I62"/>
    <mergeCell ref="A66:I66"/>
    <mergeCell ref="K49:S50"/>
    <mergeCell ref="K42:S42"/>
    <mergeCell ref="K9:S9"/>
    <mergeCell ref="L11:M11"/>
    <mergeCell ref="K4:S6"/>
    <mergeCell ref="K8:S8"/>
    <mergeCell ref="O11:P11"/>
    <mergeCell ref="R11:S11"/>
    <mergeCell ref="K12:K13"/>
    <mergeCell ref="N12:N13"/>
    <mergeCell ref="Q12:Q13"/>
    <mergeCell ref="K46:S46"/>
  </mergeCells>
  <hyperlinks>
    <hyperlink ref="A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
  <sheetViews>
    <sheetView workbookViewId="0">
      <selection activeCell="U8" sqref="U8"/>
    </sheetView>
  </sheetViews>
  <sheetFormatPr defaultRowHeight="14.5" x14ac:dyDescent="0.35"/>
  <cols>
    <col min="1" max="1" width="19.81640625" customWidth="1"/>
  </cols>
  <sheetData>
    <row r="1" spans="1:51" ht="14.25" x14ac:dyDescent="0.45">
      <c r="A1" t="s">
        <v>212</v>
      </c>
    </row>
    <row r="2" spans="1:51" ht="14.25" x14ac:dyDescent="0.45">
      <c r="A2" t="s">
        <v>145</v>
      </c>
      <c r="B2">
        <v>2001</v>
      </c>
      <c r="C2">
        <v>2002</v>
      </c>
      <c r="D2">
        <v>2003</v>
      </c>
      <c r="E2">
        <v>2004</v>
      </c>
      <c r="F2">
        <v>2005</v>
      </c>
      <c r="G2">
        <v>2006</v>
      </c>
      <c r="H2">
        <v>2007</v>
      </c>
      <c r="I2">
        <v>2008</v>
      </c>
      <c r="J2">
        <v>2009</v>
      </c>
      <c r="K2">
        <v>2010</v>
      </c>
      <c r="L2">
        <v>2011</v>
      </c>
      <c r="M2">
        <v>2012</v>
      </c>
      <c r="N2">
        <v>2013</v>
      </c>
      <c r="O2">
        <v>2014</v>
      </c>
      <c r="P2">
        <v>2015</v>
      </c>
      <c r="Q2">
        <v>2016</v>
      </c>
      <c r="R2">
        <v>2017</v>
      </c>
      <c r="S2">
        <v>2018</v>
      </c>
      <c r="T2">
        <v>2019</v>
      </c>
      <c r="U2">
        <v>2020</v>
      </c>
      <c r="V2">
        <v>2021</v>
      </c>
      <c r="W2">
        <v>2022</v>
      </c>
      <c r="X2">
        <v>2023</v>
      </c>
      <c r="Y2">
        <v>2024</v>
      </c>
      <c r="Z2">
        <v>2025</v>
      </c>
      <c r="AA2">
        <v>2026</v>
      </c>
      <c r="AB2">
        <v>2027</v>
      </c>
      <c r="AC2">
        <v>2028</v>
      </c>
      <c r="AD2">
        <v>2029</v>
      </c>
      <c r="AE2">
        <v>2030</v>
      </c>
      <c r="AF2">
        <v>2031</v>
      </c>
      <c r="AG2">
        <v>2032</v>
      </c>
      <c r="AH2">
        <v>2033</v>
      </c>
      <c r="AI2">
        <v>2034</v>
      </c>
      <c r="AJ2">
        <v>2035</v>
      </c>
      <c r="AK2">
        <v>2036</v>
      </c>
      <c r="AL2">
        <v>2037</v>
      </c>
      <c r="AM2">
        <v>2038</v>
      </c>
      <c r="AN2">
        <v>2039</v>
      </c>
      <c r="AO2">
        <v>2040</v>
      </c>
      <c r="AP2">
        <v>2041</v>
      </c>
      <c r="AQ2">
        <v>2042</v>
      </c>
      <c r="AR2">
        <v>2043</v>
      </c>
      <c r="AS2">
        <v>2044</v>
      </c>
      <c r="AT2">
        <v>2045</v>
      </c>
      <c r="AU2">
        <v>2046</v>
      </c>
      <c r="AV2">
        <v>2047</v>
      </c>
      <c r="AW2">
        <v>2048</v>
      </c>
      <c r="AX2">
        <v>2049</v>
      </c>
      <c r="AY2">
        <v>2050</v>
      </c>
    </row>
    <row r="3" spans="1:51" ht="14.25" x14ac:dyDescent="0.45">
      <c r="A3" t="s">
        <v>203</v>
      </c>
      <c r="B3">
        <v>0</v>
      </c>
      <c r="C3">
        <v>0</v>
      </c>
      <c r="D3">
        <v>0</v>
      </c>
      <c r="E3">
        <v>0</v>
      </c>
      <c r="F3">
        <v>0</v>
      </c>
      <c r="G3">
        <v>0</v>
      </c>
      <c r="H3">
        <v>0</v>
      </c>
      <c r="I3">
        <v>0</v>
      </c>
      <c r="J3">
        <v>0</v>
      </c>
      <c r="K3">
        <v>0</v>
      </c>
      <c r="L3">
        <v>101953</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row>
    <row r="4" spans="1:51" ht="14.25" x14ac:dyDescent="0.45">
      <c r="A4" t="s">
        <v>204</v>
      </c>
      <c r="B4">
        <v>0</v>
      </c>
      <c r="C4">
        <v>0</v>
      </c>
      <c r="D4">
        <v>0</v>
      </c>
      <c r="E4">
        <v>0</v>
      </c>
      <c r="F4">
        <v>0</v>
      </c>
      <c r="G4">
        <v>0</v>
      </c>
      <c r="H4">
        <v>0</v>
      </c>
      <c r="I4">
        <v>0</v>
      </c>
      <c r="J4">
        <v>0</v>
      </c>
      <c r="K4">
        <v>0</v>
      </c>
      <c r="L4">
        <v>0</v>
      </c>
      <c r="M4">
        <v>0</v>
      </c>
      <c r="N4">
        <v>0</v>
      </c>
      <c r="O4">
        <v>0</v>
      </c>
      <c r="P4">
        <v>0</v>
      </c>
      <c r="Q4">
        <v>500000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row>
    <row r="5" spans="1:51" ht="14.25" x14ac:dyDescent="0.45">
      <c r="A5" t="s">
        <v>205</v>
      </c>
      <c r="B5">
        <v>0</v>
      </c>
      <c r="C5">
        <v>0</v>
      </c>
      <c r="D5">
        <v>0</v>
      </c>
      <c r="E5">
        <v>0</v>
      </c>
      <c r="F5">
        <v>0</v>
      </c>
      <c r="G5">
        <v>0</v>
      </c>
      <c r="H5">
        <v>0</v>
      </c>
      <c r="I5">
        <v>0</v>
      </c>
      <c r="J5">
        <v>0</v>
      </c>
      <c r="K5">
        <v>0</v>
      </c>
      <c r="L5">
        <v>0</v>
      </c>
      <c r="M5">
        <v>0</v>
      </c>
      <c r="N5">
        <v>0</v>
      </c>
      <c r="O5">
        <v>0</v>
      </c>
      <c r="P5">
        <v>0</v>
      </c>
      <c r="Q5">
        <v>580000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row>
    <row r="6" spans="1:51" ht="14.25" x14ac:dyDescent="0.45">
      <c r="A6" t="s">
        <v>206</v>
      </c>
      <c r="B6">
        <v>333709</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row>
    <row r="7" spans="1:51" ht="14.25" x14ac:dyDescent="0.45">
      <c r="A7" t="s">
        <v>207</v>
      </c>
      <c r="B7">
        <v>0</v>
      </c>
      <c r="C7">
        <v>0</v>
      </c>
      <c r="D7">
        <v>0</v>
      </c>
      <c r="E7">
        <v>0</v>
      </c>
      <c r="F7">
        <v>0</v>
      </c>
      <c r="G7">
        <v>0</v>
      </c>
      <c r="H7">
        <v>0</v>
      </c>
      <c r="I7">
        <v>0</v>
      </c>
      <c r="J7">
        <v>567258</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row>
    <row r="8" spans="1:51" s="5" customFormat="1" ht="14.25" x14ac:dyDescent="0.45">
      <c r="A8" s="5" t="s">
        <v>208</v>
      </c>
      <c r="B8" s="5">
        <v>0</v>
      </c>
      <c r="C8" s="5">
        <v>0</v>
      </c>
      <c r="D8" s="5">
        <v>0</v>
      </c>
      <c r="E8" s="5">
        <v>0</v>
      </c>
      <c r="F8" s="5">
        <v>0</v>
      </c>
      <c r="G8" s="5">
        <v>0</v>
      </c>
      <c r="H8" s="5">
        <v>0</v>
      </c>
      <c r="I8" s="5">
        <v>0</v>
      </c>
      <c r="J8" s="5">
        <v>0</v>
      </c>
      <c r="K8" s="5">
        <v>0</v>
      </c>
      <c r="L8" s="5">
        <v>0</v>
      </c>
      <c r="M8" s="5">
        <v>0</v>
      </c>
      <c r="N8" s="5">
        <v>0</v>
      </c>
      <c r="O8" s="5">
        <v>0</v>
      </c>
      <c r="P8" s="5">
        <v>770000</v>
      </c>
      <c r="Q8" s="5">
        <v>760584</v>
      </c>
      <c r="R8" s="5">
        <v>747778</v>
      </c>
      <c r="S8" s="5">
        <v>735178</v>
      </c>
      <c r="T8" s="5">
        <v>722766</v>
      </c>
      <c r="U8" s="5">
        <v>696509</v>
      </c>
      <c r="V8" s="5">
        <v>675588</v>
      </c>
      <c r="W8" s="5">
        <v>657483</v>
      </c>
      <c r="X8" s="5">
        <v>641270</v>
      </c>
      <c r="Y8" s="5">
        <v>632952</v>
      </c>
      <c r="Z8" s="5">
        <v>625610</v>
      </c>
      <c r="AA8" s="5">
        <v>619337</v>
      </c>
      <c r="AB8" s="5">
        <v>613580</v>
      </c>
      <c r="AC8" s="5">
        <v>608229</v>
      </c>
      <c r="AD8" s="5">
        <v>603204</v>
      </c>
      <c r="AE8" s="5">
        <v>598445</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row>
    <row r="9" spans="1:51" ht="14.25" x14ac:dyDescent="0.45">
      <c r="A9" t="s">
        <v>209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row>
    <row r="10" spans="1:51" ht="14.25" x14ac:dyDescent="0.45">
      <c r="A10" t="s">
        <v>210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row>
    <row r="11" spans="1:51" ht="14.25" x14ac:dyDescent="0.45">
      <c r="A11" t="s">
        <v>211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row>
    <row r="13" spans="1:51" ht="14.25" x14ac:dyDescent="0.45">
      <c r="A13" t="s">
        <v>215</v>
      </c>
    </row>
    <row r="15" spans="1:51" ht="14.25" x14ac:dyDescent="0.45">
      <c r="A15" t="s">
        <v>213</v>
      </c>
    </row>
    <row r="16" spans="1:51" ht="14.25" x14ac:dyDescent="0.45">
      <c r="A16" t="s">
        <v>145</v>
      </c>
      <c r="B16">
        <v>2001</v>
      </c>
      <c r="C16">
        <v>2002</v>
      </c>
      <c r="D16">
        <v>2003</v>
      </c>
      <c r="E16">
        <v>2004</v>
      </c>
      <c r="F16">
        <v>2005</v>
      </c>
      <c r="G16">
        <v>2006</v>
      </c>
      <c r="H16">
        <v>2007</v>
      </c>
      <c r="I16">
        <v>2008</v>
      </c>
      <c r="J16">
        <v>2009</v>
      </c>
      <c r="K16">
        <v>2010</v>
      </c>
      <c r="L16">
        <v>2011</v>
      </c>
      <c r="M16">
        <v>2012</v>
      </c>
      <c r="N16">
        <v>2013</v>
      </c>
      <c r="O16">
        <v>2014</v>
      </c>
      <c r="P16">
        <v>2015</v>
      </c>
      <c r="Q16">
        <v>2016</v>
      </c>
      <c r="R16">
        <v>2017</v>
      </c>
      <c r="S16">
        <v>2018</v>
      </c>
      <c r="T16">
        <v>2019</v>
      </c>
      <c r="U16">
        <v>2020</v>
      </c>
      <c r="V16">
        <v>2021</v>
      </c>
      <c r="W16">
        <v>2022</v>
      </c>
      <c r="X16">
        <v>2023</v>
      </c>
      <c r="Y16">
        <v>2024</v>
      </c>
      <c r="Z16">
        <v>2025</v>
      </c>
      <c r="AA16">
        <v>2026</v>
      </c>
      <c r="AB16">
        <v>2027</v>
      </c>
      <c r="AC16">
        <v>2028</v>
      </c>
      <c r="AD16">
        <v>2029</v>
      </c>
      <c r="AE16">
        <v>2030</v>
      </c>
      <c r="AF16">
        <v>2031</v>
      </c>
      <c r="AG16">
        <v>2032</v>
      </c>
      <c r="AH16">
        <v>2033</v>
      </c>
      <c r="AI16">
        <v>2034</v>
      </c>
      <c r="AJ16">
        <v>2035</v>
      </c>
      <c r="AK16">
        <v>2036</v>
      </c>
      <c r="AL16">
        <v>2037</v>
      </c>
      <c r="AM16">
        <v>2038</v>
      </c>
      <c r="AN16">
        <v>2039</v>
      </c>
      <c r="AO16">
        <v>2040</v>
      </c>
      <c r="AP16">
        <v>2041</v>
      </c>
      <c r="AQ16">
        <v>2042</v>
      </c>
      <c r="AR16">
        <v>2043</v>
      </c>
      <c r="AS16">
        <v>2044</v>
      </c>
      <c r="AT16">
        <v>2045</v>
      </c>
      <c r="AU16">
        <v>2046</v>
      </c>
      <c r="AV16">
        <v>2047</v>
      </c>
      <c r="AW16">
        <v>2048</v>
      </c>
      <c r="AX16">
        <v>2049</v>
      </c>
      <c r="AY16">
        <v>2050</v>
      </c>
    </row>
    <row r="17" spans="1:51" ht="14.25" x14ac:dyDescent="0.45">
      <c r="A17" t="s">
        <v>203</v>
      </c>
      <c r="B17" s="17">
        <v>101953</v>
      </c>
      <c r="C17" s="17">
        <v>101953</v>
      </c>
      <c r="D17" s="17">
        <v>101953</v>
      </c>
      <c r="E17" s="17">
        <v>101953</v>
      </c>
      <c r="F17" s="17">
        <v>101953</v>
      </c>
      <c r="G17" s="17">
        <v>101953</v>
      </c>
      <c r="H17" s="17">
        <v>101953</v>
      </c>
      <c r="I17" s="17">
        <v>101953</v>
      </c>
      <c r="J17" s="17">
        <v>101953</v>
      </c>
      <c r="K17" s="17">
        <v>101953</v>
      </c>
      <c r="L17" s="17">
        <v>101953</v>
      </c>
      <c r="M17" s="17">
        <v>101953</v>
      </c>
      <c r="N17" s="17">
        <v>101953</v>
      </c>
      <c r="O17" s="17">
        <v>101953</v>
      </c>
      <c r="P17" s="17">
        <v>101953</v>
      </c>
      <c r="Q17" s="17">
        <v>101953</v>
      </c>
      <c r="R17" s="17">
        <v>101953</v>
      </c>
      <c r="S17" s="17">
        <v>101953</v>
      </c>
      <c r="T17" s="17">
        <v>101953</v>
      </c>
      <c r="U17" s="17">
        <v>101953</v>
      </c>
      <c r="V17" s="17">
        <v>101953</v>
      </c>
      <c r="W17" s="17">
        <v>101953</v>
      </c>
      <c r="X17" s="17">
        <v>101953</v>
      </c>
      <c r="Y17" s="17">
        <v>101953</v>
      </c>
      <c r="Z17" s="17">
        <v>101953</v>
      </c>
      <c r="AA17" s="17">
        <v>101953</v>
      </c>
      <c r="AB17" s="17">
        <v>101953</v>
      </c>
      <c r="AC17" s="17">
        <v>101953</v>
      </c>
      <c r="AD17" s="17">
        <v>101953</v>
      </c>
      <c r="AE17" s="17">
        <v>101953</v>
      </c>
      <c r="AF17" s="17">
        <v>101953</v>
      </c>
      <c r="AG17" s="17">
        <v>101953</v>
      </c>
      <c r="AH17" s="17">
        <v>101953</v>
      </c>
      <c r="AI17" s="17">
        <v>101953</v>
      </c>
      <c r="AJ17" s="17">
        <v>101953</v>
      </c>
      <c r="AK17" s="17">
        <v>101953</v>
      </c>
      <c r="AL17" s="17">
        <v>101953</v>
      </c>
      <c r="AM17" s="17">
        <v>101953</v>
      </c>
      <c r="AN17" s="17">
        <v>101953</v>
      </c>
      <c r="AO17" s="17">
        <v>101953</v>
      </c>
      <c r="AP17" s="17">
        <v>101953</v>
      </c>
      <c r="AQ17" s="17">
        <v>101953</v>
      </c>
      <c r="AR17" s="17">
        <v>101953</v>
      </c>
      <c r="AS17" s="17">
        <v>101953</v>
      </c>
      <c r="AT17" s="17">
        <v>101953</v>
      </c>
      <c r="AU17" s="17">
        <v>101953</v>
      </c>
      <c r="AV17" s="17">
        <v>101953</v>
      </c>
      <c r="AW17" s="17">
        <v>101953</v>
      </c>
      <c r="AX17" s="17">
        <v>101953</v>
      </c>
      <c r="AY17" s="17">
        <v>101953</v>
      </c>
    </row>
    <row r="18" spans="1:51" ht="14.25" x14ac:dyDescent="0.45">
      <c r="A18" t="s">
        <v>204</v>
      </c>
      <c r="B18" s="17">
        <v>500000</v>
      </c>
      <c r="C18" s="17">
        <v>500000</v>
      </c>
      <c r="D18" s="17">
        <v>500000</v>
      </c>
      <c r="E18" s="17">
        <v>500000</v>
      </c>
      <c r="F18" s="17">
        <v>500000</v>
      </c>
      <c r="G18" s="17">
        <v>500000</v>
      </c>
      <c r="H18" s="17">
        <v>500000</v>
      </c>
      <c r="I18" s="17">
        <v>500000</v>
      </c>
      <c r="J18" s="17">
        <v>500000</v>
      </c>
      <c r="K18" s="17">
        <v>500000</v>
      </c>
      <c r="L18" s="17">
        <v>500000</v>
      </c>
      <c r="M18" s="17">
        <v>500000</v>
      </c>
      <c r="N18" s="17">
        <v>500000</v>
      </c>
      <c r="O18" s="17">
        <v>500000</v>
      </c>
      <c r="P18" s="17">
        <v>500000</v>
      </c>
      <c r="Q18" s="17">
        <v>500000</v>
      </c>
      <c r="R18" s="17">
        <v>500000</v>
      </c>
      <c r="S18" s="17">
        <v>500000</v>
      </c>
      <c r="T18" s="17">
        <v>500000</v>
      </c>
      <c r="U18" s="17">
        <v>500000</v>
      </c>
      <c r="V18" s="17">
        <v>500000</v>
      </c>
      <c r="W18" s="17">
        <v>500000</v>
      </c>
      <c r="X18" s="17">
        <v>500000</v>
      </c>
      <c r="Y18" s="17">
        <v>500000</v>
      </c>
      <c r="Z18" s="17">
        <v>500000</v>
      </c>
      <c r="AA18" s="17">
        <v>500000</v>
      </c>
      <c r="AB18" s="17">
        <v>500000</v>
      </c>
      <c r="AC18" s="17">
        <v>500000</v>
      </c>
      <c r="AD18" s="17">
        <v>500000</v>
      </c>
      <c r="AE18" s="17">
        <v>500000</v>
      </c>
      <c r="AF18" s="17">
        <v>500000</v>
      </c>
      <c r="AG18" s="17">
        <v>500000</v>
      </c>
      <c r="AH18" s="17">
        <v>500000</v>
      </c>
      <c r="AI18" s="17">
        <v>500000</v>
      </c>
      <c r="AJ18" s="17">
        <v>500000</v>
      </c>
      <c r="AK18" s="17">
        <v>500000</v>
      </c>
      <c r="AL18" s="17">
        <v>500000</v>
      </c>
      <c r="AM18" s="17">
        <v>500000</v>
      </c>
      <c r="AN18" s="17">
        <v>500000</v>
      </c>
      <c r="AO18" s="17">
        <v>500000</v>
      </c>
      <c r="AP18" s="17">
        <v>500000</v>
      </c>
      <c r="AQ18" s="17">
        <v>500000</v>
      </c>
      <c r="AR18" s="17">
        <v>500000</v>
      </c>
      <c r="AS18" s="17">
        <v>500000</v>
      </c>
      <c r="AT18" s="17">
        <v>500000</v>
      </c>
      <c r="AU18" s="17">
        <v>500000</v>
      </c>
      <c r="AV18" s="17">
        <v>500000</v>
      </c>
      <c r="AW18" s="17">
        <v>500000</v>
      </c>
      <c r="AX18" s="17">
        <v>500000</v>
      </c>
      <c r="AY18" s="17">
        <v>500000</v>
      </c>
    </row>
    <row r="19" spans="1:51" ht="14.25" x14ac:dyDescent="0.45">
      <c r="A19" t="s">
        <v>205</v>
      </c>
      <c r="B19" s="17">
        <v>580000</v>
      </c>
      <c r="C19" s="17">
        <v>580000</v>
      </c>
      <c r="D19" s="17">
        <v>580000</v>
      </c>
      <c r="E19" s="17">
        <v>580000</v>
      </c>
      <c r="F19" s="17">
        <v>580000</v>
      </c>
      <c r="G19" s="17">
        <v>580000</v>
      </c>
      <c r="H19" s="17">
        <v>580000</v>
      </c>
      <c r="I19" s="17">
        <v>580000</v>
      </c>
      <c r="J19" s="17">
        <v>580000</v>
      </c>
      <c r="K19" s="17">
        <v>580000</v>
      </c>
      <c r="L19" s="17">
        <v>580000</v>
      </c>
      <c r="M19" s="17">
        <v>580000</v>
      </c>
      <c r="N19" s="17">
        <v>580000</v>
      </c>
      <c r="O19" s="17">
        <v>580000</v>
      </c>
      <c r="P19" s="17">
        <v>580000</v>
      </c>
      <c r="Q19" s="17">
        <v>580000</v>
      </c>
      <c r="R19" s="17">
        <v>580000</v>
      </c>
      <c r="S19" s="17">
        <v>580000</v>
      </c>
      <c r="T19" s="17">
        <v>580000</v>
      </c>
      <c r="U19" s="17">
        <v>580000</v>
      </c>
      <c r="V19" s="17">
        <v>580000</v>
      </c>
      <c r="W19" s="17">
        <v>580000</v>
      </c>
      <c r="X19" s="17">
        <v>580000</v>
      </c>
      <c r="Y19" s="17">
        <v>580000</v>
      </c>
      <c r="Z19" s="17">
        <v>580000</v>
      </c>
      <c r="AA19" s="17">
        <v>580000</v>
      </c>
      <c r="AB19" s="17">
        <v>580000</v>
      </c>
      <c r="AC19" s="17">
        <v>580000</v>
      </c>
      <c r="AD19" s="17">
        <v>580000</v>
      </c>
      <c r="AE19" s="17">
        <v>580000</v>
      </c>
      <c r="AF19" s="17">
        <v>580000</v>
      </c>
      <c r="AG19" s="17">
        <v>580000</v>
      </c>
      <c r="AH19" s="17">
        <v>580000</v>
      </c>
      <c r="AI19" s="17">
        <v>580000</v>
      </c>
      <c r="AJ19" s="17">
        <v>580000</v>
      </c>
      <c r="AK19" s="17">
        <v>580000</v>
      </c>
      <c r="AL19" s="17">
        <v>580000</v>
      </c>
      <c r="AM19" s="17">
        <v>580000</v>
      </c>
      <c r="AN19" s="17">
        <v>580000</v>
      </c>
      <c r="AO19" s="17">
        <v>580000</v>
      </c>
      <c r="AP19" s="17">
        <v>580000</v>
      </c>
      <c r="AQ19" s="17">
        <v>580000</v>
      </c>
      <c r="AR19" s="17">
        <v>580000</v>
      </c>
      <c r="AS19" s="17">
        <v>580000</v>
      </c>
      <c r="AT19" s="17">
        <v>580000</v>
      </c>
      <c r="AU19" s="17">
        <v>580000</v>
      </c>
      <c r="AV19" s="17">
        <v>580000</v>
      </c>
      <c r="AW19" s="17">
        <v>580000</v>
      </c>
      <c r="AX19" s="17">
        <v>580000</v>
      </c>
      <c r="AY19" s="17">
        <v>580000</v>
      </c>
    </row>
    <row r="20" spans="1:51" ht="15" x14ac:dyDescent="0.25">
      <c r="A20" t="s">
        <v>206</v>
      </c>
      <c r="B20" s="17">
        <v>333709</v>
      </c>
      <c r="C20" s="17">
        <v>333709</v>
      </c>
      <c r="D20" s="17">
        <v>333709</v>
      </c>
      <c r="E20" s="17">
        <v>333709</v>
      </c>
      <c r="F20" s="17">
        <v>333709</v>
      </c>
      <c r="G20" s="17">
        <v>333709</v>
      </c>
      <c r="H20" s="17">
        <v>333709</v>
      </c>
      <c r="I20" s="17">
        <v>333709</v>
      </c>
      <c r="J20" s="17">
        <v>333709</v>
      </c>
      <c r="K20" s="17">
        <v>333709</v>
      </c>
      <c r="L20" s="17">
        <v>333709</v>
      </c>
      <c r="M20" s="17">
        <v>333709</v>
      </c>
      <c r="N20" s="17">
        <v>333709</v>
      </c>
      <c r="O20" s="17">
        <v>333709</v>
      </c>
      <c r="P20" s="17">
        <v>333709</v>
      </c>
      <c r="Q20" s="17">
        <v>333709</v>
      </c>
      <c r="R20" s="17">
        <v>333709</v>
      </c>
      <c r="S20" s="17">
        <v>333709</v>
      </c>
      <c r="T20" s="17">
        <v>333709</v>
      </c>
      <c r="U20" s="17">
        <v>333709</v>
      </c>
      <c r="V20" s="17">
        <v>333709</v>
      </c>
      <c r="W20" s="17">
        <v>333709</v>
      </c>
      <c r="X20" s="17">
        <v>333709</v>
      </c>
      <c r="Y20" s="17">
        <v>333709</v>
      </c>
      <c r="Z20" s="17">
        <v>333709</v>
      </c>
      <c r="AA20" s="17">
        <v>333709</v>
      </c>
      <c r="AB20" s="17">
        <v>333709</v>
      </c>
      <c r="AC20" s="17">
        <v>333709</v>
      </c>
      <c r="AD20" s="17">
        <v>333709</v>
      </c>
      <c r="AE20" s="17">
        <v>333709</v>
      </c>
      <c r="AF20" s="17">
        <v>333709</v>
      </c>
      <c r="AG20" s="17">
        <v>333709</v>
      </c>
      <c r="AH20" s="17">
        <v>333709</v>
      </c>
      <c r="AI20" s="17">
        <v>333709</v>
      </c>
      <c r="AJ20" s="17">
        <v>333709</v>
      </c>
      <c r="AK20" s="17">
        <v>333709</v>
      </c>
      <c r="AL20" s="17">
        <v>333709</v>
      </c>
      <c r="AM20" s="17">
        <v>333709</v>
      </c>
      <c r="AN20" s="17">
        <v>333709</v>
      </c>
      <c r="AO20" s="17">
        <v>333709</v>
      </c>
      <c r="AP20" s="17">
        <v>333709</v>
      </c>
      <c r="AQ20" s="17">
        <v>333709</v>
      </c>
      <c r="AR20" s="17">
        <v>333709</v>
      </c>
      <c r="AS20" s="17">
        <v>333709</v>
      </c>
      <c r="AT20" s="17">
        <v>333709</v>
      </c>
      <c r="AU20" s="17">
        <v>333709</v>
      </c>
      <c r="AV20" s="17">
        <v>333709</v>
      </c>
      <c r="AW20" s="17">
        <v>333709</v>
      </c>
      <c r="AX20" s="17">
        <v>333709</v>
      </c>
      <c r="AY20" s="17">
        <v>333709</v>
      </c>
    </row>
    <row r="21" spans="1:51" x14ac:dyDescent="0.35">
      <c r="A21" t="s">
        <v>214</v>
      </c>
      <c r="Q21" s="5">
        <v>760584</v>
      </c>
      <c r="R21" s="5">
        <v>747778</v>
      </c>
      <c r="S21" s="5">
        <v>735178</v>
      </c>
      <c r="T21" s="5">
        <v>722766</v>
      </c>
      <c r="U21" s="5">
        <v>696509</v>
      </c>
      <c r="V21" s="5">
        <v>675588</v>
      </c>
      <c r="W21" s="5">
        <v>657483</v>
      </c>
      <c r="X21" s="5">
        <v>641270</v>
      </c>
      <c r="Y21" s="5">
        <v>632952</v>
      </c>
      <c r="Z21" s="5">
        <v>625610</v>
      </c>
      <c r="AA21" s="5">
        <v>619337</v>
      </c>
      <c r="AB21" s="5">
        <v>613580</v>
      </c>
      <c r="AC21" s="5">
        <v>608229</v>
      </c>
      <c r="AD21" s="5">
        <v>603204</v>
      </c>
      <c r="AE21" s="5">
        <v>598445</v>
      </c>
      <c r="AF21" s="28">
        <v>598445</v>
      </c>
      <c r="AG21" s="28">
        <v>598445</v>
      </c>
      <c r="AH21" s="28">
        <v>598445</v>
      </c>
      <c r="AI21" s="28">
        <v>598445</v>
      </c>
      <c r="AJ21" s="28">
        <v>598445</v>
      </c>
      <c r="AK21" s="28">
        <v>598445</v>
      </c>
      <c r="AL21" s="28">
        <v>598445</v>
      </c>
      <c r="AM21" s="28">
        <v>598445</v>
      </c>
      <c r="AN21" s="28">
        <v>598445</v>
      </c>
      <c r="AO21" s="28">
        <v>598445</v>
      </c>
      <c r="AP21" s="28">
        <v>598445</v>
      </c>
      <c r="AQ21" s="28">
        <v>598445</v>
      </c>
      <c r="AR21" s="28">
        <v>598445</v>
      </c>
      <c r="AS21" s="28">
        <v>598445</v>
      </c>
      <c r="AT21" s="28">
        <v>598445</v>
      </c>
      <c r="AU21" s="28">
        <v>598445</v>
      </c>
      <c r="AV21" s="28">
        <v>598445</v>
      </c>
      <c r="AW21" s="28">
        <v>598445</v>
      </c>
      <c r="AX21" s="28">
        <v>598445</v>
      </c>
      <c r="AY21" s="28">
        <v>598445</v>
      </c>
    </row>
    <row r="22" spans="1:51" x14ac:dyDescent="0.35">
      <c r="A22" t="s">
        <v>207</v>
      </c>
      <c r="J22" s="29">
        <v>567258</v>
      </c>
      <c r="K22" s="28">
        <v>567258</v>
      </c>
      <c r="L22" s="28">
        <v>567258</v>
      </c>
      <c r="M22" s="28">
        <v>567258</v>
      </c>
      <c r="N22" s="28">
        <v>567258</v>
      </c>
      <c r="O22" s="28">
        <v>567258</v>
      </c>
      <c r="P22" s="28">
        <v>567258</v>
      </c>
      <c r="Q22" s="28">
        <v>567258</v>
      </c>
      <c r="R22" s="28">
        <v>567258</v>
      </c>
      <c r="S22" s="28">
        <v>567258</v>
      </c>
      <c r="T22" s="28">
        <v>567258</v>
      </c>
      <c r="U22" s="28">
        <v>567258</v>
      </c>
      <c r="V22" s="28">
        <v>567258</v>
      </c>
      <c r="W22" s="28">
        <v>567258</v>
      </c>
      <c r="X22" s="28">
        <v>567258</v>
      </c>
      <c r="Y22" s="28">
        <v>567258</v>
      </c>
      <c r="Z22" s="28">
        <v>567258</v>
      </c>
      <c r="AA22" s="28">
        <v>567258</v>
      </c>
      <c r="AB22" s="28">
        <v>567258</v>
      </c>
      <c r="AC22" s="28">
        <v>567258</v>
      </c>
      <c r="AD22" s="28">
        <v>567258</v>
      </c>
      <c r="AE22" s="28">
        <v>567258</v>
      </c>
      <c r="AF22" s="28">
        <v>567258</v>
      </c>
      <c r="AG22" s="28">
        <v>567258</v>
      </c>
      <c r="AH22" s="28">
        <v>567258</v>
      </c>
      <c r="AI22" s="28">
        <v>567258</v>
      </c>
      <c r="AJ22" s="28">
        <v>567258</v>
      </c>
      <c r="AK22" s="28">
        <v>567258</v>
      </c>
      <c r="AL22" s="28">
        <v>567258</v>
      </c>
      <c r="AM22" s="28">
        <v>567258</v>
      </c>
      <c r="AN22" s="28">
        <v>567258</v>
      </c>
      <c r="AO22" s="28">
        <v>567258</v>
      </c>
      <c r="AP22" s="28">
        <v>567258</v>
      </c>
      <c r="AQ22" s="28">
        <v>567258</v>
      </c>
      <c r="AR22" s="28">
        <v>567258</v>
      </c>
      <c r="AS22" s="28">
        <v>567258</v>
      </c>
      <c r="AT22" s="28">
        <v>567258</v>
      </c>
      <c r="AU22" s="28">
        <v>567258</v>
      </c>
      <c r="AV22" s="28">
        <v>567258</v>
      </c>
      <c r="AW22" s="28">
        <v>567258</v>
      </c>
      <c r="AX22" s="28">
        <v>567258</v>
      </c>
      <c r="AY22" s="28">
        <v>567258</v>
      </c>
    </row>
    <row r="24" spans="1:51" x14ac:dyDescent="0.35">
      <c r="A24" s="9" t="s">
        <v>6</v>
      </c>
    </row>
    <row r="25" spans="1:51" x14ac:dyDescent="0.35">
      <c r="A25" t="s">
        <v>216</v>
      </c>
    </row>
    <row r="27" spans="1:51" x14ac:dyDescent="0.35">
      <c r="A27" t="s">
        <v>248</v>
      </c>
    </row>
    <row r="28" spans="1:51" x14ac:dyDescent="0.35">
      <c r="A28" t="s">
        <v>218</v>
      </c>
    </row>
    <row r="29" spans="1:51" x14ac:dyDescent="0.35">
      <c r="A29" t="s">
        <v>219</v>
      </c>
    </row>
    <row r="31" spans="1:51" x14ac:dyDescent="0.35">
      <c r="A31" t="s">
        <v>220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vt:i4>
      </vt:variant>
    </vt:vector>
  </HeadingPairs>
  <TitlesOfParts>
    <vt:vector size="36" baseType="lpstr">
      <vt:lpstr>About</vt:lpstr>
      <vt:lpstr>Passenger Aircraft</vt:lpstr>
      <vt:lpstr>Ships</vt:lpstr>
      <vt:lpstr>HDV costs</vt:lpstr>
      <vt:lpstr>LDV freight = MD costs</vt:lpstr>
      <vt:lpstr>E3 LDV car</vt:lpstr>
      <vt:lpstr>E3 LD truck</vt:lpstr>
      <vt:lpstr>Transportation Data Book</vt:lpstr>
      <vt:lpstr>E3 Bus Price Data</vt:lpstr>
      <vt:lpstr>LDV EV comparative  lit</vt:lpstr>
      <vt:lpstr>LDV EV method-sources</vt:lpstr>
      <vt:lpstr>LDV market segments</vt:lpstr>
      <vt:lpstr>Battery cost per unit</vt:lpstr>
      <vt:lpstr>Battery size across segments</vt:lpstr>
      <vt:lpstr>Weighted average battery cost</vt:lpstr>
      <vt:lpstr>100 mile vs. 200 miles</vt:lpstr>
      <vt:lpstr>LDV EV calculations</vt:lpstr>
      <vt:lpstr>LDV Account for auto vs truck</vt:lpstr>
      <vt:lpstr>more recent LDV $</vt:lpstr>
      <vt:lpstr>LDV PHEV addendum</vt:lpstr>
      <vt:lpstr>Motorcycles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cpi_2014to2012</vt:lpstr>
      <vt:lpstr>cpi_2016to2012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2017-07-01T03:43:09Z</dcterms:created>
  <dcterms:modified xsi:type="dcterms:W3CDTF">2019-04-15T20:11:21Z</dcterms:modified>
</cp:coreProperties>
</file>